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2"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Checklist &amp; TOC" sheetId="2" r:id="rId5"/>
    <sheet state="visible" name="Cover" sheetId="3" r:id="rId6"/>
    <sheet state="visible" name="Summary" sheetId="4" r:id="rId7"/>
    <sheet state="visible" name="CF Y1 Mo" sheetId="5" r:id="rId8"/>
    <sheet state="visible" name="Statistics" sheetId="6" r:id="rId9"/>
    <sheet state="visible" name="Mkt Res" sheetId="7" r:id="rId10"/>
    <sheet state="visible" name=" Enrol &amp; Rev" sheetId="8" r:id="rId11"/>
    <sheet state="visible" name="Facilities" sheetId="9" r:id="rId12"/>
    <sheet state="visible" name="Staff" sheetId="10" r:id="rId13"/>
    <sheet state="hidden" name="Pre Y1 (Incubation)" sheetId="11" r:id="rId14"/>
    <sheet state="visible" name="Gen Optg" sheetId="12" r:id="rId15"/>
    <sheet state="visible" name="FFE&amp;T" sheetId="13" r:id="rId16"/>
    <sheet state="visible" name="Ins" sheetId="14" r:id="rId17"/>
    <sheet state="visible" name="Marketing" sheetId="15" r:id="rId18"/>
    <sheet state="visible" name="EMO-CMO-BOSP" sheetId="16" r:id="rId19"/>
    <sheet state="visible" name="Info--&gt;" sheetId="17" r:id="rId20"/>
    <sheet state="visible" name="Demographics" sheetId="18" r:id="rId21"/>
    <sheet state="visible" name="PCFP Rates" sheetId="19" r:id="rId22"/>
    <sheet state="visible" name="Facilities wkst" sheetId="20" r:id="rId23"/>
    <sheet state="visible" name="Dev Notes" sheetId="21" r:id="rId24"/>
    <sheet state="hidden" name="Note FFE" sheetId="22" r:id="rId25"/>
    <sheet state="hidden" name="Eq wip" sheetId="23" r:id="rId26"/>
    <sheet state="hidden" name="Scratchpad (2)" sheetId="24" r:id="rId27"/>
    <sheet state="visible" name="Levers" sheetId="25" r:id="rId28"/>
    <sheet state="visible" name="Scratchpad" sheetId="26" r:id="rId29"/>
    <sheet state="visible" name="Transp" sheetId="27" r:id="rId30"/>
    <sheet state="visible" name="Star Ratings" sheetId="28" r:id="rId31"/>
  </sheets>
  <definedNames>
    <definedName name="HypLink3">Cover!$A$1</definedName>
    <definedName name="HypLink4">'Checklist &amp; TOC'!$A$1</definedName>
    <definedName name="HypLink21">'Note FFE'!$A$1</definedName>
    <definedName name="HypLink7">'Mkt Res'!$A$1</definedName>
    <definedName name="HypLink20">'Dev Notes'!$A$1</definedName>
    <definedName name="HypLink17">'EMO-CMO-BOSP'!$A$1</definedName>
    <definedName name="HypLink5">Summary!$A$1</definedName>
    <definedName name="HypLink2">Instructions!$A$1</definedName>
    <definedName name="HypLink11">Staff!$A$1</definedName>
    <definedName name="SchoolName">Cover!$C$9</definedName>
    <definedName name="FICA_Rate">Staff!$C$59</definedName>
    <definedName name="HypLink8">' Enrol &amp; Rev'!$A$1</definedName>
    <definedName name="HypLink15">Ins!$A$1</definedName>
    <definedName localSheetId="9" name="HypLink6">Staff!$A$1</definedName>
    <definedName name="HypLink6">Statistics!$A$1</definedName>
    <definedName name="County">'PCFP Rates'!$O$49:$O$79</definedName>
    <definedName name="HypLink24">Levers!$A$1</definedName>
    <definedName name="HypLink26">Demographics!$A$1</definedName>
    <definedName name="HypLink12">Facilities!$A$1</definedName>
    <definedName name="HypLink10">'CF Y1 Mo'!$A$1</definedName>
    <definedName name="HypLink13">'Gen Optg'!$A$1</definedName>
    <definedName name="HypLink16">Marketing!$A$1</definedName>
    <definedName name="HypLink18">'PCFP Rates'!$A$1</definedName>
    <definedName name="HypLink19">'Facilities wkst'!$A$1</definedName>
    <definedName name="HypLink9">'Pre Y1 (Incubation)'!$A$1</definedName>
    <definedName name="HypLink1">#REF!</definedName>
    <definedName localSheetId="11" name="HypLink6">'Gen Optg'!$A$1</definedName>
    <definedName name="HypLink14">'FFE&amp;T'!$A$1</definedName>
    <definedName name="HypLink25">Scratchpad!$A$1</definedName>
    <definedName name="HypLink23">'Scratchpad (2)'!$A$1</definedName>
    <definedName name="Counties">'PCFP Rates'!$O$49:$O$79</definedName>
    <definedName name="HypLink22">'Eq wip'!$A$1</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B15">
      <text>
        <t xml:space="preserve">[Threaded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authorId="0" ref="B26">
      <text>
        <t xml:space="preserve">Michael Dang: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text>
    </comment>
    <comment authorId="0" ref="B44">
      <text>
        <t xml:space="preserve">[Threaded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authorId="0" ref="C44">
      <text>
        <t xml:space="preserve">[Threaded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3">
      <text>
        <t xml:space="preserve">[Threaded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7">
      <text>
        <t xml:space="preserve">[Threaded comment]
Your version of Excel allows you to read this threaded comment; however, any edits to it will get removed if the file is opened in a newer version of Excel. Learn more: https://go.microsoft.com/fwlink/?linkid=870924
Comment:
    lines changed to align with profile tab</t>
      </text>
    </comment>
    <comment authorId="0" ref="U17">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U19">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U21">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B39">
      <text>
        <t xml:space="preserve">[Threaded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text>
    </comment>
    <comment authorId="0" ref="E39">
      <text>
        <t xml:space="preserve">[Threaded comment]
Your version of Excel allows you to read this threaded comment; however, any edits to it will get removed if the file is opened in a newer version of Excel. Learn more: https://go.microsoft.com/fwlink/?linkid=870924
Comment:
    conditional formatting added</t>
      </text>
    </comment>
    <comment authorId="0" ref="U42">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B75">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97">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B76">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93">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113">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4">
      <text>
        <t xml:space="preserve">[Threaded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authorId="0" ref="I34">
      <text>
        <t xml:space="preserve">[Threaded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authorId="0" ref="B66">
      <text>
        <t xml:space="preserve">[Threaded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authorId="0" ref="I66">
      <text>
        <t xml:space="preserve">[Threaded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2">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authorId="0" ref="B47">
      <text>
        <t xml:space="preserve">[Threaded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authorId="0" ref="B60">
      <text>
        <t xml:space="preserve">Michael Dang: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text>
    </comment>
    <comment authorId="0" ref="B73">
      <text>
        <t xml:space="preserve">Michael Dang: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text>
    </comment>
    <comment authorId="0" ref="C73">
      <text>
        <t xml:space="preserve">Michael Dang:
This may go over 100% as it is showing an estimate of overlap which is addressed in the rest of the table.</t>
      </text>
    </comment>
    <comment authorId="0" ref="B76">
      <text>
        <t xml:space="preserve">Michael Dang:
Greater accuracy will reduce over/under payments and payment adjustments.</t>
      </text>
    </comment>
    <comment authorId="0" ref="G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H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I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J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K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L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B78">
      <text>
        <t xml:space="preserve">Michael Dang:
The same Per Pupil Revenue (PPR) amount is now paid for all Distance Education students--regardless of the county/district they are in.
All other applications should select the appropriate District/County where they will be conducting In Person teaching.</t>
      </text>
    </comment>
    <comment authorId="0" ref="D84">
      <text>
        <t xml:space="preserve">Michael Dang:
2025 Rates: $3,845 PP
$3,694 PP w/o inflation, replaces
$2,755.30 per pupil (subject to change depending on actual enrollment of SPED students) 
SPED FY22 Payment Book- 7.6.21</t>
      </text>
    </comment>
    <comment authorId="0" ref="C99">
      <text>
        <t xml:space="preserve">[Threaded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authorId="0" ref="C100">
      <text>
        <t xml:space="preserve">Michael Dang:
RF 8/26/21 em @ $66</t>
      </text>
    </comment>
    <comment authorId="0" ref="C101">
      <text>
        <t xml:space="preserve">Michael Dang:
RF 8/26/21 em @ $4</t>
      </text>
    </comment>
    <comment authorId="0" ref="C102">
      <text>
        <t xml:space="preserve">Michael Dang:
RF 8/26/21 em @ $97</t>
      </text>
    </comment>
    <comment authorId="0" ref="C104">
      <text>
        <t xml:space="preserve">Michael Dang:
8/26/2021 RF em
IDEA SPED-B @ $1005/Special Education Student</t>
      </text>
    </comment>
    <comment authorId="0" ref="B118">
      <text>
        <t xml:space="preserve">[Threaded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text>
    </comment>
    <comment authorId="0" ref="B133">
      <text>
        <t xml:space="preserve">Michael Dang: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text>
    </comment>
    <comment authorId="0" ref="B135">
      <text>
        <t xml:space="preserve">Michael Dang:
State Education Agency grant program (SEA grants)</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F23">
      <text>
        <t xml:space="preserve">Michael Dang:
Overwrite this with the actual lease rate likely for a new occupancy and partial year.</t>
      </text>
    </comment>
    <comment authorId="0" ref="G23">
      <text>
        <t xml:space="preserve">Michael Dang:
Overwrite this with the actual lease rate likely for a new occupancy and partial year.</t>
      </text>
    </comment>
    <comment authorId="0" ref="H23">
      <text>
        <t xml:space="preserve">Michael Dang:
Overwrite this with the actual lease rate likely for a new occupancy and partial year.</t>
      </text>
    </comment>
    <comment authorId="0" ref="I23">
      <text>
        <t xml:space="preserve">Michael Dang:
Overwrite this with the actual lease rate likely for a new occupancy and partial year.</t>
      </text>
    </comment>
    <comment authorId="0" ref="J23">
      <text>
        <t xml:space="preserve">Michael Dang:
Overwrite this with the actual lease rate likely for a new occupancy and partial year.</t>
      </text>
    </comment>
    <comment authorId="0" ref="K23">
      <text>
        <t xml:space="preserve">Michael Dang:
Overwrite this with the actual lease rate likely for a new occupancy and partial year.</t>
      </text>
    </comment>
    <comment authorId="0" ref="L23">
      <text>
        <t xml:space="preserve">Michael Dang:
Overwrite this with the actual lease rate likely for a new occupancy and partial year.</t>
      </text>
    </comment>
    <comment authorId="0" ref="F40">
      <text>
        <t xml:space="preserve">[Threaded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authorId="0" ref="G40">
      <text>
        <t xml:space="preserve">[Threaded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authorId="0" ref="F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G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H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I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J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K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L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F7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G7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F72">
      <text>
        <t xml:space="preserve">[Threaded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authorId="0" ref="G72">
      <text>
        <t xml:space="preserve">[Threaded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authorId="0" ref="F76">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C59">
      <text>
        <t xml:space="preserve">[Threaded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
</t>
      </text>
    </comment>
    <comment authorId="0" ref="C60">
      <text>
        <t xml:space="preserve">[Threaded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text>
    </comment>
    <comment authorId="0" ref="C62">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authorId="0" ref="C63">
      <text>
        <t xml:space="preserve">[Threaded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text>
    </comment>
    <comment authorId="0" ref="C64">
      <text>
        <t xml:space="preserve">[Threaded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
</t>
      </text>
    </comment>
    <comment authorId="0" ref="G142">
      <text>
        <t xml:space="preserve">[Threaded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authorId="0" ref="B398">
      <text>
        <t xml:space="preserve">Michael Dang: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   </t>
      </text>
    </comment>
    <comment authorId="0" ref="B431">
      <text>
        <t xml:space="preserve">[Threaded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2">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authorId="0" ref="B66">
      <text>
        <t xml:space="preserve">[Threaded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authorId="0" ref="D146">
      <text>
        <t xml:space="preserve">[Threaded comment]
Your version of Excel allows you to read this threaded comment; however, any edits to it will get removed if the file is opened in a newer version of Excel. Learn more: https://go.microsoft.com/fwlink/?linkid=870924
Comment:
    Per student</t>
      </text>
    </comment>
    <comment authorId="0" ref="D147">
      <text>
        <t xml:space="preserve">[Threaded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authorId="0" ref="D148">
      <text>
        <t xml:space="preserve">[Threaded comment]
Your version of Excel allows you to read this threaded comment; however, any edits to it will get removed if the file is opened in a newer version of Excel. Learn more: https://go.microsoft.com/fwlink/?linkid=870924
Comment:
    Per student</t>
      </text>
    </comment>
    <comment authorId="0" ref="D149">
      <text>
        <t xml:space="preserve">[Threaded comment]
Your version of Excel allows you to read this threaded comment; however, any edits to it will get removed if the file is opened in a newer version of Excel. Learn more: https://go.microsoft.com/fwlink/?linkid=870924
Comment:
    Input "yes or "no"</t>
      </text>
    </comment>
    <comment authorId="0" ref="B195">
      <text>
        <t xml:space="preserve">Michael Dang:
Current formula assumes costs above are entered at today's costs and this formula will inflate those costs for future years.
Otherwise we would want to use this formula, starting in G121:
=SUM(G119,G110,G102)*$C$121</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3">
      <text>
        <t xml:space="preserve">[Threaded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authorId="0" ref="C18">
      <text>
        <t xml:space="preserve">[Threaded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sharedStrings.xml><?xml version="1.0" encoding="utf-8"?>
<sst xmlns="http://schemas.openxmlformats.org/spreadsheetml/2006/main" count="2767" uniqueCount="1505">
  <si>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</si>
  <si>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</si>
  <si>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</si>
  <si>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</si>
  <si>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</si>
  <si>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</si>
  <si>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</si>
  <si>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</si>
  <si>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</si>
  <si>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</si>
  <si>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</si>
  <si>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</si>
  <si>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</si>
  <si>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</si>
  <si>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</si>
  <si>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</si>
  <si>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</si>
  <si>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</si>
  <si>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</si>
  <si>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</si>
  <si>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rFont val="Calibri"/>
        <b/>
        <color rgb="FF000000"/>
        <sz val="11.0"/>
      </rPr>
      <t>1.</t>
    </r>
    <r>
      <rPr>
        <rFont val="Calibri"/>
        <color theme="1"/>
        <sz val="11.0"/>
      </rPr>
      <t xml:space="preserve"> Please enter a Base Year into 'H2'. Additionally, please enter the appropriate school years in cells H5 through N5 as well as H6 through N6.</t>
    </r>
  </si>
  <si>
    <r>
      <rPr>
        <rFont val="Calibri"/>
        <b/>
        <color rgb="FF000000"/>
        <sz val="11.0"/>
      </rPr>
      <t>2.</t>
    </r>
    <r>
      <rPr>
        <rFont val="Calibri"/>
        <color theme="1"/>
        <sz val="11.0"/>
      </rPr>
      <t xml:space="preserve"> Next, be sure to enter your projected student enrollment in the enrollment section. This section caputres the number of students by grade level (Rows 7-21) and by school year (Columns H-N). </t>
    </r>
  </si>
  <si>
    <r>
      <rPr>
        <rFont val="Calibri"/>
        <b/>
        <color rgb="FF000000"/>
        <sz val="11.0"/>
      </rPr>
      <t>3.</t>
    </r>
    <r>
      <rPr>
        <rFont val="Calibri"/>
        <color theme="1"/>
        <sz val="11.0"/>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</si>
  <si>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</si>
  <si>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</si>
  <si>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</si>
  <si>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</si>
  <si>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</si>
  <si>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</si>
  <si>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</si>
  <si>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</si>
  <si>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</si>
  <si>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</si>
  <si>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</si>
  <si>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</si>
  <si>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</si>
  <si>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</si>
  <si>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</si>
  <si>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rFont val="Calibri"/>
        <b/>
        <color rgb="FF000000"/>
        <sz val="11.0"/>
      </rPr>
      <t>1.</t>
    </r>
    <r>
      <rPr>
        <rFont val="Calibri"/>
        <color theme="1"/>
        <sz val="11.0"/>
      </rPr>
      <t xml:space="preserve"> Enter the average medical benefits for employees with both single and family coverage into cells 'F62' and 'F63'. </t>
    </r>
  </si>
  <si>
    <r>
      <rPr>
        <rFont val="Calibri"/>
        <b/>
        <color rgb="FF000000"/>
        <sz val="11.0"/>
      </rPr>
      <t>2.</t>
    </r>
    <r>
      <rPr>
        <rFont val="Calibri"/>
        <color theme="1"/>
        <sz val="11.0"/>
      </rPr>
      <t xml:space="preserve"> Second, enter the school's percentage of coverage.</t>
    </r>
  </si>
  <si>
    <r>
      <rPr>
        <rFont val="Calibri"/>
        <b/>
        <color rgb="FF000000"/>
        <sz val="11.0"/>
      </rPr>
      <t>3.</t>
    </r>
    <r>
      <rPr>
        <rFont val="Calibri"/>
        <color theme="1"/>
        <sz val="11.0"/>
      </rPr>
      <t xml:space="preserve"> Enter the assumed percentage of employees choosing single for their health benefits.</t>
    </r>
  </si>
  <si>
    <r>
      <rPr>
        <rFont val="Calibri"/>
        <b/>
        <color rgb="FF000000"/>
        <sz val="11.0"/>
      </rPr>
      <t xml:space="preserve">4. </t>
    </r>
    <r>
      <rPr>
        <rFont val="Calibri"/>
        <color theme="1"/>
        <sz val="11.0"/>
      </rPr>
      <t>Enter the percentage of your employee's salaries that will be allocated to FICA, State Retirement for Certified Employees, State Retirement for Non-Certified Employees and Life Insurance.</t>
    </r>
  </si>
  <si>
    <r>
      <rPr>
        <rFont val="Calibri"/>
        <b/>
        <color rgb="FF000000"/>
        <sz val="11.0"/>
      </rPr>
      <t>5.</t>
    </r>
    <r>
      <rPr>
        <rFont val="Calibri"/>
        <color theme="1"/>
        <sz val="11.0"/>
      </rPr>
      <t xml:space="preserve"> Enter any per-employee expenses associated with GASB 45 and Unemployment Insurance.</t>
    </r>
  </si>
  <si>
    <r>
      <rPr>
        <rFont val="Calibri"/>
        <b/>
        <color rgb="FF000000"/>
        <sz val="11.0"/>
      </rPr>
      <t>6.</t>
    </r>
    <r>
      <rPr>
        <rFont val="Calibri"/>
        <color theme="1"/>
        <sz val="11.0"/>
      </rPr>
      <t xml:space="preserve"> Payroll services are accounted for as a dollar value on a per employee/per month basis.</t>
    </r>
  </si>
  <si>
    <r>
      <rPr>
        <rFont val="Calibri"/>
        <b/>
        <color rgb="FF000000"/>
        <sz val="11.0"/>
      </rPr>
      <t>7.</t>
    </r>
    <r>
      <rPr>
        <rFont val="Calibri"/>
        <color theme="1"/>
        <sz val="11.0"/>
      </rPr>
      <t xml:space="preserve"> Any bonuses should be input and will be calculated as a percentage of salaried employees. </t>
    </r>
  </si>
  <si>
    <r>
      <rPr>
        <rFont val="Calibri"/>
        <b/>
        <color rgb="FF000000"/>
        <sz val="11.0"/>
      </rPr>
      <t>8.</t>
    </r>
    <r>
      <rPr>
        <rFont val="Calibri"/>
        <color theme="1"/>
        <sz val="11.0"/>
      </rPr>
      <t xml:space="preserve"> Be sure to enter your school's instructional days per year (required) as well as the Saturday schools per year, contractors required for Saturday school and price per contractor (if necessary).</t>
    </r>
  </si>
  <si>
    <r>
      <rPr>
        <rFont val="Calibri"/>
        <b/>
        <color rgb="FF000000"/>
        <sz val="11.0"/>
      </rPr>
      <t>9.</t>
    </r>
    <r>
      <rPr>
        <rFont val="Calibri"/>
        <color theme="1"/>
        <sz val="11.0"/>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</si>
  <si>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rFont val="Calibri"/>
        <b/>
        <color rgb="FF000000"/>
        <sz val="11.0"/>
      </rPr>
      <t>10.</t>
    </r>
    <r>
      <rPr>
        <rFont val="Calibri"/>
        <color theme="1"/>
        <sz val="11.0"/>
      </rPr>
      <t xml:space="preserve"> For part-Time employees simply enter the average salary for each respective position and enter the number of employees per year. </t>
    </r>
  </si>
  <si>
    <r>
      <rPr>
        <rFont val="Calibri"/>
        <b/>
        <color rgb="FF000000"/>
        <sz val="11.0"/>
      </rPr>
      <t>11.</t>
    </r>
    <r>
      <rPr>
        <rFont val="Calibri"/>
        <color theme="1"/>
        <sz val="11.0"/>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</si>
  <si>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</si>
  <si>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</si>
  <si>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</si>
  <si>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</si>
  <si>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</si>
  <si>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rFont val="Calibri"/>
        <b/>
        <color rgb="FF000000"/>
        <sz val="11.0"/>
      </rPr>
      <t>1.</t>
    </r>
    <r>
      <rPr>
        <rFont val="Calibri"/>
        <color theme="1"/>
        <sz val="11.0"/>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</si>
  <si>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rFont val="Calibri"/>
        <b/>
        <color rgb="FF000000"/>
        <sz val="11.0"/>
      </rPr>
      <t>2.</t>
    </r>
    <r>
      <rPr>
        <rFont val="Calibri"/>
        <color theme="1"/>
        <sz val="11.0"/>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</si>
  <si>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</si>
  <si>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</si>
  <si>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</si>
  <si>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</si>
  <si>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</si>
  <si>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</si>
  <si>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</si>
  <si>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</si>
  <si>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</si>
  <si>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</si>
  <si>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</si>
  <si>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</si>
  <si>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</si>
  <si>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</si>
  <si>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</si>
  <si>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</si>
  <si>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</si>
  <si>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</si>
  <si>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</si>
  <si>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</si>
  <si>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</si>
  <si>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</si>
  <si>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</si>
  <si>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</si>
  <si>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</si>
  <si>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</si>
  <si>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</si>
  <si>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</si>
  <si>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</si>
  <si>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</si>
  <si>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</si>
  <si>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</si>
  <si>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</si>
  <si>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AM</t>
  </si>
  <si>
    <t>Instructions -- Start here</t>
  </si>
  <si>
    <t>HypLink3</t>
  </si>
  <si>
    <t>Beginning School Year entered on Cover Page?</t>
  </si>
  <si>
    <t>HypLink4</t>
  </si>
  <si>
    <t>HypLink5</t>
  </si>
  <si>
    <t>Complete lower Net Position (Balance Sheet) information</t>
  </si>
  <si>
    <t>HypLink6</t>
  </si>
  <si>
    <t>HypLink7</t>
  </si>
  <si>
    <t>Market (Potential Students Populations)</t>
  </si>
  <si>
    <t>HypLink8</t>
  </si>
  <si>
    <t>Revenue &amp; Enrollment</t>
  </si>
  <si>
    <t>HypLink10</t>
  </si>
  <si>
    <t>Expenses: Year One--Month to Month</t>
  </si>
  <si>
    <t>HypLink11</t>
  </si>
  <si>
    <t>Expenses: Staff</t>
  </si>
  <si>
    <t>HypLink12</t>
  </si>
  <si>
    <t>Expenses: Facility Lease/Purchase</t>
  </si>
  <si>
    <t>HypLink13</t>
  </si>
  <si>
    <t>Expenses: General Operating</t>
  </si>
  <si>
    <t>HypLink14</t>
  </si>
  <si>
    <t>Expenses: Furniture, Fixtures, Equipment &amp; Technology</t>
  </si>
  <si>
    <t>HypLink15</t>
  </si>
  <si>
    <t>Expenses: Insurance</t>
  </si>
  <si>
    <t>HypLink16</t>
  </si>
  <si>
    <t>Expenses: Marketing Plan &amp; Implementation</t>
  </si>
  <si>
    <t>HypLink17</t>
  </si>
  <si>
    <t>Expenses: Education/Charter Management Organization, 
Back Office Service Provider (If applicable)</t>
  </si>
  <si>
    <t>HypLink18</t>
  </si>
  <si>
    <t>NA</t>
  </si>
  <si>
    <t>Applicable Per Pupil Revenue estimates (No completion required)</t>
  </si>
  <si>
    <t>HypLink19</t>
  </si>
  <si>
    <t>Worksheet which may help calculate Facilities costs (Not required)</t>
  </si>
  <si>
    <t>HypLink25</t>
  </si>
  <si>
    <t>Free space for applicant tests, notes</t>
  </si>
  <si>
    <t>HypLink26</t>
  </si>
  <si>
    <t>Special Population and Demographic percentages</t>
  </si>
  <si>
    <t>Attachments</t>
  </si>
  <si>
    <t>Supporting documents referred to below.</t>
  </si>
  <si>
    <t>Supporting documentation attached? (y/n)</t>
  </si>
  <si>
    <t>Market report or Sample Listings of buildings in targeted/planned zip codes</t>
  </si>
  <si>
    <t>Must show building types (/raw land), square footages (/acres), lease rates.</t>
  </si>
  <si>
    <t>For start-up funding</t>
  </si>
  <si>
    <t>For fundraising</t>
  </si>
  <si>
    <t>Application Cover Sheet</t>
  </si>
  <si>
    <t>Mike Dang</t>
  </si>
  <si>
    <t>702.486.8879</t>
  </si>
  <si>
    <t>Proposed Name of School</t>
  </si>
  <si>
    <t>Explore Knowledge Academy</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</si>
  <si>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</si>
  <si>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</si>
  <si>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</si>
  <si>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</si>
  <si>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</si>
  <si>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</si>
  <si>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</si>
  <si>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</si>
  <si>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</si>
  <si>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Three sample Listings of buildings in targeted/planned zip code being considered.</t>
  </si>
  <si>
    <t>Listing must show available square footage, lease rates, location. (E.g., Loopnet)</t>
  </si>
  <si>
    <t>School Financial Plan Summary</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</si>
  <si>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</si>
  <si>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</si>
  <si>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</si>
  <si>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</si>
  <si>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</si>
  <si>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</si>
  <si>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</si>
  <si>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</si>
  <si>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</si>
  <si>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</si>
  <si>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</si>
  <si>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</si>
  <si>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</si>
  <si>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</si>
  <si>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</si>
  <si>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</si>
  <si>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</si>
  <si>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</si>
  <si>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</si>
  <si>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</si>
  <si>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</si>
  <si>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</si>
  <si>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</si>
  <si>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</si>
  <si>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</si>
  <si>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</si>
  <si>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</si>
  <si>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</si>
  <si>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</si>
  <si>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</si>
  <si>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</si>
  <si>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</si>
  <si>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</si>
  <si>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</si>
  <si>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</si>
  <si>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</si>
  <si>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</si>
  <si>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</si>
  <si>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</si>
  <si>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</si>
  <si>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</si>
  <si>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</si>
  <si>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</si>
  <si>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</si>
  <si>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</si>
  <si>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</si>
  <si>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</si>
  <si>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</si>
  <si>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</si>
  <si>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</si>
  <si>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</si>
  <si>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</si>
  <si>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</si>
  <si>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</si>
  <si>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</si>
  <si>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</si>
  <si>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</si>
  <si>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</si>
  <si>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</si>
  <si>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</si>
  <si>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</si>
  <si>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</si>
  <si>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</si>
  <si>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</si>
  <si>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</si>
  <si>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</si>
  <si>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</si>
  <si>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</si>
  <si>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</si>
  <si>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</si>
  <si>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</si>
  <si>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</si>
  <si>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</si>
  <si>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</si>
  <si>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</si>
  <si>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</si>
  <si>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</si>
  <si>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</si>
  <si>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</si>
  <si>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</si>
  <si>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</si>
  <si>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</si>
  <si>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</si>
  <si>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</si>
  <si>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</si>
  <si>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 &amp; Short Term Borrowings</t>
  </si>
  <si>
    <t>Net Pension Liability (PERS allocates to schools in year 2)</t>
  </si>
  <si>
    <t>x</t>
  </si>
  <si>
    <t>Noncurrent Liabilities &amp; Medium/Long Term Borrowings</t>
  </si>
  <si>
    <t xml:space="preserve">   Total Liabilities</t>
  </si>
  <si>
    <t>Net Position</t>
  </si>
  <si>
    <t>Liabilities &amp; Net Position</t>
  </si>
  <si>
    <t>Assets - Liabilities &amp; Net Position (w/o Net Pension Liabilities; should be 0)</t>
  </si>
  <si>
    <t>Current Ratio</t>
  </si>
  <si>
    <t>Debt to Aseets Ratio</t>
  </si>
  <si>
    <t>Year 1 Cash Flow Worksheet</t>
  </si>
  <si>
    <t>Fall</t>
  </si>
  <si>
    <t>School Operations Year 1</t>
  </si>
  <si>
    <t xml:space="preserve">Winter, Spring  </t>
  </si>
  <si>
    <t>(This is a year 1 budget.  It is not a pre-opening budget)</t>
  </si>
  <si>
    <t>Sponsorship Fee</t>
  </si>
  <si>
    <t>New FY</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</si>
  <si>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</si>
  <si>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</si>
  <si>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</si>
  <si>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</si>
  <si>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</si>
  <si>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</si>
  <si>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</si>
  <si>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</si>
  <si>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</si>
  <si>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</si>
  <si>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</si>
  <si>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</si>
  <si>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</si>
  <si>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</si>
  <si>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</si>
  <si>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</si>
  <si>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</si>
  <si>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</si>
  <si>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</si>
  <si>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Lags (variances) may occur in revenue and expense items due to</t>
  </si>
  <si>
    <t>timing</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</si>
  <si>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</si>
  <si>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</si>
  <si>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</si>
  <si>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</si>
  <si>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</si>
  <si>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</si>
  <si>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</si>
  <si>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</si>
  <si>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</si>
  <si>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</si>
  <si>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</si>
  <si>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</si>
  <si>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Expense tabs</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</si>
  <si>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</si>
  <si>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</si>
  <si>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</si>
  <si>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</si>
  <si>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</si>
  <si>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</si>
  <si>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</si>
  <si>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</si>
  <si>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</si>
  <si>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</si>
  <si>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</si>
  <si>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</si>
  <si>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</si>
  <si>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</si>
  <si>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</si>
  <si>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</si>
  <si>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</si>
  <si>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</si>
  <si>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</si>
  <si>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</si>
  <si>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</si>
  <si>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</si>
  <si>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</si>
  <si>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</si>
  <si>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</si>
  <si>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</si>
  <si>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</si>
  <si>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</si>
  <si>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Cumulative Net Surplus Balance (Cash Balance)</t>
  </si>
  <si>
    <t>Cash/Expense X</t>
  </si>
  <si>
    <t>Revenue / Revenue %</t>
  </si>
  <si>
    <t>State SPED Funding</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</si>
  <si>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</si>
  <si>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</si>
  <si>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</si>
  <si>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</si>
  <si>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</si>
  <si>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</si>
  <si>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</si>
  <si>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</si>
  <si>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</si>
  <si>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</si>
  <si>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</si>
  <si>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</si>
  <si>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</si>
  <si>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</si>
  <si>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</si>
  <si>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</si>
  <si>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</si>
  <si>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Projected Cash Balance Statement</t>
  </si>
  <si>
    <t>Net change in Cash from operations</t>
  </si>
  <si>
    <t>Begin Cash Balance(F/B)</t>
  </si>
  <si>
    <t>End Cash Balance (F/B)</t>
  </si>
  <si>
    <t>Benefits/Salaries Exp</t>
  </si>
  <si>
    <t># Employees</t>
  </si>
  <si>
    <t>Benefits/Employee</t>
  </si>
  <si>
    <t>Salaries/Employee</t>
  </si>
  <si>
    <t>School Plan Statistics</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</si>
  <si>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</si>
  <si>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</si>
  <si>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</si>
  <si>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</si>
  <si>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</si>
  <si>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</si>
  <si>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</si>
  <si>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</si>
  <si>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</si>
  <si>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</si>
  <si>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</si>
  <si>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</si>
  <si>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</si>
  <si>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</si>
  <si>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</si>
  <si>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</si>
  <si>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</si>
  <si>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</si>
  <si>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</si>
  <si>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</si>
  <si>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</si>
  <si>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</si>
  <si>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</si>
  <si>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</si>
  <si>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</si>
  <si>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</si>
  <si>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</si>
  <si>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</si>
  <si>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</si>
  <si>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</si>
  <si>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</si>
  <si>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</si>
  <si>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</si>
  <si>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</si>
  <si>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</si>
  <si>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</si>
  <si>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</si>
  <si>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</si>
  <si>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</si>
  <si>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</si>
  <si>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</si>
  <si>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</si>
  <si>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</si>
  <si>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</si>
  <si>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</si>
  <si>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</si>
  <si>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</si>
  <si>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</si>
  <si>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</si>
  <si>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</si>
  <si>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</si>
  <si>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</si>
  <si>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</si>
  <si>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</si>
  <si>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</si>
  <si>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</si>
  <si>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</si>
  <si>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</si>
  <si>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</si>
  <si>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</si>
  <si>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</si>
  <si>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</si>
  <si>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</si>
  <si>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</si>
  <si>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</si>
  <si>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</si>
  <si>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</si>
  <si>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</si>
  <si>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</si>
  <si>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</si>
  <si>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</si>
  <si>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</si>
  <si>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</si>
  <si>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</si>
  <si>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</si>
  <si>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</si>
  <si>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</si>
  <si>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</si>
  <si>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</si>
  <si>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</si>
  <si>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</si>
  <si>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</si>
  <si>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</si>
  <si>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</si>
  <si>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</si>
  <si>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</si>
  <si>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</si>
  <si>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</si>
  <si>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</si>
  <si>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</si>
  <si>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</si>
  <si>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We currently own our facility and do not intend to relocate.</t>
  </si>
  <si>
    <t>Feeder/Source Schools</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</si>
  <si>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</si>
  <si>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</si>
  <si>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</si>
  <si>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</si>
  <si>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</si>
  <si>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</si>
  <si>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</si>
  <si>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</si>
  <si>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</si>
  <si>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</si>
  <si>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Enrollment &amp; Revenue</t>
  </si>
  <si>
    <t>School Year 1 (Fall Start) Teaching Starts</t>
  </si>
  <si>
    <t>SY Ending</t>
  </si>
  <si>
    <t>Totals</t>
  </si>
  <si>
    <t>Total Student Enrollment (input below must match application narrative)</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</si>
  <si>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</si>
  <si>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</si>
  <si>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</si>
  <si>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</si>
  <si>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</si>
  <si>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</si>
  <si>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</si>
  <si>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</si>
  <si>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</si>
  <si>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 xml:space="preserve"> </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</si>
  <si>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</si>
  <si>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</si>
  <si>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</si>
  <si>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</si>
  <si>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</si>
  <si>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</si>
  <si>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</si>
  <si>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</si>
  <si>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</si>
  <si>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English Language Learners (EL)</t>
  </si>
  <si>
    <t>Gifted &amp; Talented (GATE)</t>
  </si>
  <si>
    <t>At Risk Pupils (AR) (Computed separately and funded later)</t>
  </si>
  <si>
    <t>Totals on this line may exceed 100% and planned enrollments</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</si>
  <si>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</si>
  <si>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</si>
  <si>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</si>
  <si>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</si>
  <si>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</si>
  <si>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</si>
  <si>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</si>
  <si>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</si>
  <si>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</si>
  <si>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</si>
  <si>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</si>
  <si>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</si>
  <si>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</si>
  <si>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</si>
  <si>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</si>
  <si>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</si>
  <si>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</si>
  <si>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</si>
  <si>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</si>
  <si>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</si>
  <si>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</si>
  <si>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</si>
  <si>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</si>
  <si>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</si>
  <si>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</si>
  <si>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</si>
  <si>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</si>
  <si>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</si>
  <si>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</si>
  <si>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</si>
  <si>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</si>
  <si>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</si>
  <si>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</si>
  <si>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</si>
  <si>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</si>
  <si>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</si>
  <si>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</si>
  <si>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</si>
  <si>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</si>
  <si>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</si>
  <si>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</si>
  <si>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</si>
  <si>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</si>
  <si>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</si>
  <si>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</si>
  <si>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IDEA (total)</t>
  </si>
  <si>
    <t>Per SPED student</t>
  </si>
  <si>
    <t>Breakfast Program -- Federal Reimbursement</t>
  </si>
  <si>
    <t>no</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</si>
  <si>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</si>
  <si>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</si>
  <si>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</si>
  <si>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</si>
  <si>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</si>
  <si>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</si>
  <si>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</si>
  <si>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</si>
  <si>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</si>
  <si>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</si>
  <si>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SpEd revenue set for prior year SpEd count; Y6 would be received in Y7 (aka Y1 of a renewal)</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</si>
  <si>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</si>
  <si>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</si>
  <si>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</si>
  <si>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</si>
  <si>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</si>
  <si>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</si>
  <si>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</si>
  <si>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</si>
  <si>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</si>
  <si>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</si>
  <si>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</si>
  <si>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</si>
  <si>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</si>
  <si>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</si>
  <si>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</si>
  <si>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</si>
  <si>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</si>
  <si>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</si>
  <si>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</si>
  <si>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</si>
  <si>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</si>
  <si>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</si>
  <si>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</si>
  <si>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</si>
  <si>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</si>
  <si>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5871 Mountain Vista Street, Las Vegas, NV 89120 Clark County</t>
  </si>
  <si>
    <t>FACILITIES</t>
  </si>
  <si>
    <t>SELECT "Purchase" or "Lease"</t>
  </si>
  <si>
    <t>Lease</t>
  </si>
  <si>
    <t>LEASE OPTION</t>
  </si>
  <si>
    <t>Enrollment</t>
  </si>
  <si>
    <t>SF/pupil (50-55 sf PP common w/charter schools)(20 sf PP common for classrom only space)</t>
  </si>
  <si>
    <t>Lease area (conditioned space)(sq ft)</t>
  </si>
  <si>
    <t>Existing Facility owned by our Foundation. Rent paid to the bond holder, Wells Fargo Bank.</t>
  </si>
  <si>
    <t>Lease rate/sq ft/Month (Contract--Before waivers/deferrals; w/o escalator)</t>
  </si>
  <si>
    <t>Lease rate/sq ft/Year (Contract--Before waivers/deferrals; w/o escalator)</t>
  </si>
  <si>
    <t>Lease rate/sq ft/month (After waivers, w/o escalator)(If applicable)</t>
  </si>
  <si>
    <t>Lease rate/sq ft/year (After waivers, w/o escalator)</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</si>
  <si>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</si>
  <si>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</si>
  <si>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</si>
  <si>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</si>
  <si>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</si>
  <si>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</si>
  <si>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</si>
  <si>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</si>
  <si>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</si>
  <si>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</si>
  <si>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</si>
  <si>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</si>
  <si>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</si>
  <si>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</si>
  <si>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</si>
  <si>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</si>
  <si>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</si>
  <si>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</si>
  <si>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</si>
  <si>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</si>
  <si>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</si>
  <si>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</si>
  <si>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</si>
  <si>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</si>
  <si>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</si>
  <si>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</si>
  <si>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</si>
  <si>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</si>
  <si>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</si>
  <si>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</si>
  <si>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</si>
  <si>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</si>
  <si>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</si>
  <si>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</si>
  <si>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</si>
  <si>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</si>
  <si>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</si>
  <si>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</si>
  <si>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</si>
  <si>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</si>
  <si>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</si>
  <si>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</si>
  <si>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</si>
  <si>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</si>
  <si>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</si>
  <si>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</si>
  <si>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</si>
  <si>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</si>
  <si>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</si>
  <si>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</si>
  <si>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</si>
  <si>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</si>
  <si>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Per year</t>
  </si>
  <si>
    <t>Equity (down payment)</t>
  </si>
  <si>
    <t>Financing costs (6 months during planning year)</t>
  </si>
  <si>
    <t>Total cash costs to purchase</t>
  </si>
  <si>
    <t>Total purchase book  expense</t>
  </si>
  <si>
    <t>TOTAL FACILITIES CASH COSTS</t>
  </si>
  <si>
    <t>TOTAL FACILITIES Book Expense</t>
  </si>
  <si>
    <t>Difference</t>
  </si>
  <si>
    <t>Net Surplus/Deficit</t>
  </si>
  <si>
    <t>Net Surplus/Deficit per student</t>
  </si>
  <si>
    <t>To pull to other sheets</t>
  </si>
  <si>
    <t>SY 0/Incubation</t>
  </si>
  <si>
    <t>SY 1</t>
  </si>
  <si>
    <t>SY 2</t>
  </si>
  <si>
    <t>SY 3</t>
  </si>
  <si>
    <t>SY 4</t>
  </si>
  <si>
    <t>SY 5</t>
  </si>
  <si>
    <t>SY 6</t>
  </si>
  <si>
    <t>Square Feet</t>
  </si>
  <si>
    <t>Staffing Expenses</t>
  </si>
  <si>
    <t>You may wish to compare your planned staff compensation plan with what is shown on the Transparent Nevada website--for references.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</si>
  <si>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</si>
  <si>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</si>
  <si>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</si>
  <si>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</si>
  <si>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</si>
  <si>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</si>
  <si>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</si>
  <si>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</si>
  <si>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</si>
  <si>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</si>
  <si>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</si>
  <si>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</si>
  <si>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</si>
  <si>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</si>
  <si>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</si>
  <si>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</si>
  <si>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</si>
  <si>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</si>
  <si>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</si>
  <si>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</si>
  <si>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</si>
  <si>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</si>
  <si>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</si>
  <si>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</si>
  <si>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</si>
  <si>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</si>
  <si>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</si>
  <si>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</si>
  <si>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STAFFING COSTS</t>
  </si>
  <si>
    <t>ASSUMPTIONS</t>
  </si>
  <si>
    <t>Payroll Tax and Benefits</t>
  </si>
  <si>
    <t>Medical</t>
  </si>
  <si>
    <t>Notes, Sources</t>
  </si>
  <si>
    <t>Single Coverage</t>
  </si>
  <si>
    <t>Family Coverage</t>
  </si>
  <si>
    <t xml:space="preserve">School's percentage of coverage </t>
  </si>
  <si>
    <t>Assumed percentage of employees choosing single coverage</t>
  </si>
  <si>
    <t>Weighted avg. cost for medical</t>
  </si>
  <si>
    <t>/ Employee/Year</t>
  </si>
  <si>
    <t>FICA</t>
  </si>
  <si>
    <t>% Wages</t>
  </si>
  <si>
    <t>State Retirement (PERS, Required)</t>
  </si>
  <si>
    <t>Life Insurance</t>
  </si>
  <si>
    <t>GASB 75 (replaces GASB 45)</t>
  </si>
  <si>
    <t>/ Employee</t>
  </si>
  <si>
    <t>Unemployment Insurance</t>
  </si>
  <si>
    <t>Workers' Compensation Insurance</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</si>
  <si>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</si>
  <si>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</si>
  <si>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</si>
  <si>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</si>
  <si>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</si>
  <si>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</si>
  <si>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</si>
  <si>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</si>
  <si>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</si>
  <si>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</si>
  <si>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</si>
  <si>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</si>
  <si>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</si>
  <si>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</si>
  <si>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</si>
  <si>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</si>
  <si>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</si>
  <si>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</si>
  <si>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</si>
  <si>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</si>
  <si>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</si>
  <si>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Superintendent</t>
  </si>
  <si>
    <t>year</t>
  </si>
  <si>
    <t xml:space="preserve">Total Administrators </t>
  </si>
  <si>
    <t>Office Staff (Full-time &amp; Part-Time w/benefits)</t>
  </si>
  <si>
    <t>Finance Manager</t>
  </si>
  <si>
    <t>HR/Payroll</t>
  </si>
  <si>
    <t>Office Specialist</t>
  </si>
  <si>
    <t>Total Administrators and Office Staff</t>
  </si>
  <si>
    <t>Special Education (SPED) Teachers (Full-time &amp; Part-Time w/benefits)</t>
  </si>
  <si>
    <t>Special Education SIEF</t>
  </si>
  <si>
    <t>Special Education Teacher</t>
  </si>
  <si>
    <t>Total Special EducationTeachers</t>
  </si>
  <si>
    <t xml:space="preserve">     SPED Students</t>
  </si>
  <si>
    <t xml:space="preserve">     SPED Students/Teacher Ratio</t>
  </si>
  <si>
    <t>English Language Learner (ELL) Teachers (Full-time &amp; Part-Time w/benefits)</t>
  </si>
  <si>
    <t>Literacy Specialist</t>
  </si>
  <si>
    <t>Total ELL Teachers</t>
  </si>
  <si>
    <t>Guidance Counselor &amp; Other Staff (Full-time &amp; Part-Time w/benefits)</t>
  </si>
  <si>
    <t>Nurse</t>
  </si>
  <si>
    <t>Counselor</t>
  </si>
  <si>
    <t>Social Worker</t>
  </si>
  <si>
    <t>Registrar</t>
  </si>
  <si>
    <t>Custodial/grounds workers</t>
  </si>
  <si>
    <t>Technology Specialist</t>
  </si>
  <si>
    <t>FASA</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</si>
  <si>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</si>
  <si>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</si>
  <si>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</si>
  <si>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</si>
  <si>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</si>
  <si>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</si>
  <si>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</si>
  <si>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</si>
  <si>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</si>
  <si>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</si>
  <si>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</si>
  <si>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</si>
  <si>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</si>
  <si>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</si>
  <si>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</si>
  <si>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</si>
  <si>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</si>
  <si>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</si>
  <si>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</si>
  <si>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</si>
  <si>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</si>
  <si>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</si>
  <si>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</si>
  <si>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</si>
  <si>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</si>
  <si>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English Teacher</t>
  </si>
  <si>
    <t>Science Teacher</t>
  </si>
  <si>
    <t>Science</t>
  </si>
  <si>
    <t>Theater and Public Speaking Teacher</t>
  </si>
  <si>
    <t>Foreign Language Teacher</t>
  </si>
  <si>
    <t>Art Teacher</t>
  </si>
  <si>
    <t>History Teacher</t>
  </si>
  <si>
    <t>Math Teacher</t>
  </si>
  <si>
    <t>Paraprofessional</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</si>
  <si>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</si>
  <si>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</si>
  <si>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</si>
  <si>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</si>
  <si>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</si>
  <si>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</si>
  <si>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</si>
  <si>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</si>
  <si>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</si>
  <si>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</si>
  <si>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</si>
  <si>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</si>
  <si>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</si>
  <si>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</si>
  <si>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</si>
  <si>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</si>
  <si>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</si>
  <si>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</si>
  <si>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</si>
  <si>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</si>
  <si>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</si>
  <si>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</si>
  <si>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</si>
  <si>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</si>
  <si>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</si>
  <si>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</si>
  <si>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</si>
  <si>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</si>
  <si>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</si>
  <si>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</si>
  <si>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</si>
  <si>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</si>
  <si>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</si>
  <si>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</si>
  <si>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</si>
  <si>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</si>
  <si>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</si>
  <si>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</si>
  <si>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</si>
  <si>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</si>
  <si>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</si>
  <si>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</si>
  <si>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</si>
  <si>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</si>
  <si>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</si>
  <si>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</si>
  <si>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</si>
  <si>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</si>
  <si>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</si>
  <si>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</si>
  <si>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</si>
  <si>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</si>
  <si>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</si>
  <si>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</si>
  <si>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</si>
  <si>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</si>
  <si>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</si>
  <si>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</si>
  <si>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</si>
  <si>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</si>
  <si>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</si>
  <si>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</si>
  <si>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</si>
  <si>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</si>
  <si>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</si>
  <si>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</si>
  <si>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</si>
  <si>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</si>
  <si>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</si>
  <si>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</si>
  <si>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</si>
  <si>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</si>
  <si>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</si>
  <si>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</si>
  <si>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</si>
  <si>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</si>
  <si>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</si>
  <si>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</si>
  <si>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</si>
  <si>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</si>
  <si>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</si>
  <si>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</si>
  <si>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</si>
  <si>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</si>
  <si>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</si>
  <si>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</si>
  <si>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</si>
  <si>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</si>
  <si>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</si>
  <si>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</si>
  <si>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</si>
  <si>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</si>
  <si>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</si>
  <si>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</si>
  <si>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</si>
  <si>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</si>
  <si>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</si>
  <si>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</si>
  <si>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</si>
  <si>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</si>
  <si>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</si>
  <si>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</si>
  <si>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</si>
  <si>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</si>
  <si>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</si>
  <si>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</si>
  <si>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</si>
  <si>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</si>
  <si>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</si>
  <si>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</si>
  <si>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</si>
  <si>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</si>
  <si>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</si>
  <si>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 Non BOSP)</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</si>
  <si>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</si>
  <si>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</si>
  <si>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</si>
  <si>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</si>
  <si>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</si>
  <si>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</si>
  <si>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</si>
  <si>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</si>
  <si>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</si>
  <si>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</si>
  <si>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</si>
  <si>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</si>
  <si>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</si>
  <si>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</si>
  <si>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</si>
  <si>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</si>
  <si>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</si>
  <si>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</si>
  <si>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</si>
  <si>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</si>
  <si>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</si>
  <si>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</si>
  <si>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</si>
  <si>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</si>
  <si>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</si>
  <si>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</si>
  <si>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</si>
  <si>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</si>
  <si>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</si>
  <si>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</si>
  <si>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</si>
  <si>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</si>
  <si>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</si>
  <si>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</si>
  <si>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</si>
  <si>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</si>
  <si>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</si>
  <si>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</si>
  <si>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Input "yes" or "no"</t>
  </si>
  <si>
    <t>Total Instructional Supplies</t>
  </si>
  <si>
    <t>Contract/Other Services (Not otherwise included in app)(note EMO, CMO, BOSP tab)</t>
  </si>
  <si>
    <t>Annual audit</t>
  </si>
  <si>
    <t>Brochures, Information</t>
  </si>
  <si>
    <t>Community meeting, hosting</t>
  </si>
  <si>
    <t>Deposits (non facility--if not shown elsewhere)</t>
  </si>
  <si>
    <t>HR: Hiring: Head of School</t>
  </si>
  <si>
    <t>HR: Hiring: Other</t>
  </si>
  <si>
    <t>Legal fees (Incubation Year)</t>
  </si>
  <si>
    <t>Legal fees (Post incubation)</t>
  </si>
  <si>
    <r>
      <rPr>
        <rFont val="Times New Roman"/>
        <color rgb="FF000000"/>
        <sz val="11.0"/>
      </rPr>
      <t>Nonprofit Incorporation-Federal (</t>
    </r>
    <r>
      <rPr>
        <rFont val="Times New Roman"/>
        <i/>
        <color rgb="FF000000"/>
        <sz val="11.0"/>
      </rPr>
      <t>see note--&gt;</t>
    </r>
    <r>
      <rPr>
        <rFont val="Times New Roman"/>
        <color rgb="FF000000"/>
        <sz val="11.0"/>
      </rPr>
      <t>)</t>
    </r>
  </si>
  <si>
    <t>Nonprofit Incorporation may be required for some grants.  Is not required by SPCSA to open</t>
  </si>
  <si>
    <r>
      <rPr>
        <rFont val="Times New Roman"/>
        <color rgb="FF000000"/>
        <sz val="11.0"/>
      </rPr>
      <t>Nonprofit Incorporation-State (</t>
    </r>
    <r>
      <rPr>
        <rFont val="Times New Roman"/>
        <i/>
        <color rgb="FF000000"/>
        <sz val="11.0"/>
      </rPr>
      <t>see note--&gt;</t>
    </r>
    <r>
      <rPr>
        <rFont val="Times New Roman"/>
        <color rgb="FF000000"/>
        <sz val="11.0"/>
      </rPr>
      <t>)</t>
    </r>
  </si>
  <si>
    <t>School leader acquisition/development costs in incubation</t>
  </si>
  <si>
    <t>Amergis - Instructional Aides</t>
  </si>
  <si>
    <t>Amergis - Custodial</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</si>
  <si>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</si>
  <si>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</si>
  <si>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</si>
  <si>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</si>
  <si>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</si>
  <si>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</si>
  <si>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</si>
  <si>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</si>
  <si>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</si>
  <si>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</si>
  <si>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</si>
  <si>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</si>
  <si>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</si>
  <si>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</si>
  <si>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</si>
  <si>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</si>
  <si>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</si>
  <si>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</si>
  <si>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</si>
  <si>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</si>
  <si>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</si>
  <si>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</si>
  <si>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</si>
  <si>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</si>
  <si>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</si>
  <si>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</si>
  <si>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</si>
  <si>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</si>
  <si>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</si>
  <si>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</si>
  <si>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</si>
  <si>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</si>
  <si>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</si>
  <si>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</si>
  <si>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</si>
  <si>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</si>
  <si>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</si>
  <si>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</si>
  <si>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</si>
  <si>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</si>
  <si>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</si>
  <si>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</si>
  <si>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</si>
  <si>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</si>
  <si>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</si>
  <si>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</si>
  <si>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</si>
  <si>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</si>
  <si>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</si>
  <si>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</si>
  <si>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</si>
  <si>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</si>
  <si>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</si>
  <si>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</si>
  <si>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Future</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</si>
  <si>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</si>
  <si>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</si>
  <si>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</si>
  <si>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</si>
  <si>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</si>
  <si>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</si>
  <si>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</si>
  <si>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</si>
  <si>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</si>
  <si>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</si>
  <si>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</si>
  <si>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</si>
  <si>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</si>
  <si>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</si>
  <si>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</si>
  <si>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</si>
  <si>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</si>
  <si>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</si>
  <si>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</si>
  <si>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</si>
  <si>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</si>
  <si>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</si>
  <si>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</si>
  <si>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</si>
  <si>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</si>
  <si>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</si>
  <si>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 xml:space="preserve">TOTAL FFE &amp; T COSTS 
</t>
  </si>
  <si>
    <t>Comments (Row #, you can include calculations in this workspace area; you can also insert Comments in cells above)</t>
  </si>
  <si>
    <t>We currently own enough FFE&amp;T for 800 students. We do not need to purchase new items at this time.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</si>
  <si>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</si>
  <si>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</si>
  <si>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</si>
  <si>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</si>
  <si>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</si>
  <si>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</si>
  <si>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</si>
  <si>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</si>
  <si>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</si>
  <si>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</si>
  <si>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</si>
  <si>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</si>
  <si>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</si>
  <si>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</si>
  <si>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</si>
  <si>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</si>
  <si>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</si>
  <si>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</si>
  <si>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</si>
  <si>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</si>
  <si>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</si>
  <si>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</si>
  <si>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</si>
  <si>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</si>
  <si>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</si>
  <si>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</si>
  <si>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</si>
  <si>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</si>
  <si>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</si>
  <si>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</si>
  <si>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</si>
  <si>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</si>
  <si>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</si>
  <si>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</si>
  <si>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</si>
  <si>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</si>
  <si>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</si>
  <si>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</si>
  <si>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</si>
  <si>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</si>
  <si>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</si>
  <si>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</si>
  <si>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</si>
  <si>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</si>
  <si>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</si>
  <si>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</si>
  <si>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</si>
  <si>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</si>
  <si>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</si>
  <si>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</si>
  <si>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</si>
  <si>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</si>
  <si>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</si>
  <si>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</si>
  <si>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</si>
  <si>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</si>
  <si>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</si>
  <si>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</si>
  <si>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</si>
  <si>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24%</t>
  </si>
  <si>
    <t>STUDENT RECRUITMENT AND MARKETING</t>
  </si>
  <si>
    <t>Marketing/Recruitment Method</t>
  </si>
  <si>
    <t>Schedule estimate</t>
  </si>
  <si>
    <t>Marketing complete</t>
  </si>
  <si>
    <t>Sample two months prior to open enrollment</t>
  </si>
  <si>
    <t>Enrollment development contracting</t>
  </si>
  <si>
    <t>Yearly Marketing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</si>
  <si>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</si>
  <si>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</si>
  <si>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</si>
  <si>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</si>
  <si>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</si>
  <si>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</si>
  <si>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</si>
  <si>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</si>
  <si>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</si>
  <si>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</si>
  <si>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</si>
  <si>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</si>
  <si>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No</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</si>
  <si>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</si>
  <si>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</si>
  <si>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</si>
  <si>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</si>
  <si>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</si>
  <si>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</si>
  <si>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</si>
  <si>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</si>
  <si>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</si>
  <si>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</si>
  <si>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</si>
  <si>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</si>
  <si>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</si>
  <si>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</si>
  <si>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</si>
  <si>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</si>
  <si>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</si>
  <si>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</si>
  <si>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</si>
  <si>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</si>
  <si>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</si>
  <si>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</si>
  <si>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</si>
  <si>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</si>
  <si>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</si>
  <si>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</si>
  <si>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</si>
  <si>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</si>
  <si>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</si>
  <si>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If you mark Y/N here do not mark the individual items below</t>
  </si>
  <si>
    <t>Accounting (AR, AP...)</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</si>
  <si>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</si>
  <si>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</si>
  <si>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</si>
  <si>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</si>
  <si>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</si>
  <si>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</si>
  <si>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</si>
  <si>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</si>
  <si>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</si>
  <si>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</si>
  <si>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</si>
  <si>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</si>
  <si>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</si>
  <si>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</si>
  <si>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</si>
  <si>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</si>
  <si>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</si>
  <si>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</si>
  <si>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</si>
  <si>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</si>
  <si>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</si>
  <si>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</si>
  <si>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</si>
  <si>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</si>
  <si>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</si>
  <si>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</si>
  <si>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</si>
  <si>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</si>
  <si>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</si>
  <si>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</si>
  <si>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</si>
  <si>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</si>
  <si>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</si>
  <si>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</si>
  <si>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Information, cost estimating or "scratch paper" pages to your right.</t>
  </si>
  <si>
    <t>There is no required information to fill out in the tabs to the right</t>
  </si>
  <si>
    <t>Special Populations &amp; Demographics</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</si>
  <si>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</si>
  <si>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</si>
  <si>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</si>
  <si>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</si>
  <si>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</si>
  <si>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</si>
  <si>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</si>
  <si>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</si>
  <si>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</si>
  <si>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</si>
  <si>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</si>
  <si>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</si>
  <si>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</si>
  <si>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</si>
  <si>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</si>
  <si>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</si>
  <si>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</si>
  <si>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</si>
  <si>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</si>
  <si>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</si>
  <si>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</si>
  <si>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</si>
  <si>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</si>
  <si>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</si>
  <si>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</si>
  <si>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</si>
  <si>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</si>
  <si>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</si>
  <si>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</si>
  <si>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</si>
  <si>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</si>
  <si>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</si>
  <si>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</si>
  <si>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</si>
  <si>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</si>
  <si>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</si>
  <si>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</si>
  <si>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</si>
  <si>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</si>
  <si>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</si>
  <si>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</si>
  <si>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</si>
  <si>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</si>
  <si>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</si>
  <si>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</si>
  <si>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</si>
  <si>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</si>
  <si>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</si>
  <si>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</si>
  <si>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</si>
  <si>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</si>
  <si>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</si>
  <si>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</si>
  <si>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</si>
  <si>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</si>
  <si>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</si>
  <si>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</si>
  <si>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</si>
  <si>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</si>
  <si>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</si>
  <si>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</si>
  <si>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</si>
  <si>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</si>
  <si>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</si>
  <si>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</si>
  <si>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</si>
  <si>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</si>
  <si>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</si>
  <si>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</si>
  <si>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</si>
  <si>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</si>
  <si>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</si>
  <si>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</si>
  <si>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</si>
  <si>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</si>
  <si>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</si>
  <si>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</si>
  <si>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</si>
  <si>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</si>
  <si>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</si>
  <si>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</si>
  <si>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</si>
  <si>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</si>
  <si>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</si>
  <si>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</si>
  <si>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</si>
  <si>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</si>
  <si>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</si>
  <si>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</si>
  <si>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</si>
  <si>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</si>
  <si>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</si>
  <si>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</si>
  <si>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</si>
  <si>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</si>
  <si>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</si>
  <si>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</si>
  <si>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</si>
  <si>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</si>
  <si>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</si>
  <si>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</si>
  <si>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</si>
  <si>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</si>
  <si>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</si>
  <si>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</si>
  <si>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</si>
  <si>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</si>
  <si>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</si>
  <si>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</si>
  <si>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</si>
  <si>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</si>
  <si>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</si>
  <si>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</si>
  <si>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</si>
  <si>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</si>
  <si>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</si>
  <si>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</si>
  <si>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</si>
  <si>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</si>
  <si>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</si>
  <si>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</si>
  <si>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</si>
  <si>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</si>
  <si>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</si>
  <si>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</si>
  <si>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</si>
  <si>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</si>
  <si>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</si>
  <si>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</si>
  <si>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</si>
  <si>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</si>
  <si>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</si>
  <si>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</si>
  <si>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</si>
  <si>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</si>
  <si>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</si>
  <si>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</si>
  <si>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</si>
  <si>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</si>
  <si>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</si>
  <si>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</si>
  <si>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</si>
  <si>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</si>
  <si>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</si>
  <si>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</si>
  <si>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</si>
  <si>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</si>
  <si>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</si>
  <si>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</si>
  <si>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</si>
  <si>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</si>
  <si>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</si>
  <si>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</si>
  <si>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</si>
  <si>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</si>
  <si>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</si>
  <si>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25</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</si>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</sst>
</file>

<file path=xl/styles.xml><?xml version="1.0" encoding="utf-8"?>
<styleSheet xmlns="http://schemas.openxmlformats.org/spreadsheetml/2006/main" xmlns:x14ac="http://schemas.microsoft.com/office/spreadsheetml/2009/9/ac" xmlns:mc="http://schemas.openxmlformats.org/markup-compatibility/2006">
  <numFmts count="65">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quot;$&quot;#,##0_);\(&quot;$&quot;#,##0\)"/>
    <numFmt numFmtId="177" formatCode="0.00%;[Red]\(0.00%\);&quot;-%&quot;"/>
    <numFmt numFmtId="178" formatCode="&quot;$&quot;#,##0"/>
    <numFmt numFmtId="179" formatCode="&quot;$&quot;#,##0.00_);\(&quot;$&quot;#,##0.00\)"/>
    <numFmt numFmtId="180" formatCode="&quot;$&quot;#,##0_);[Red]\(&quot;$&quot;#,##0\)"/>
    <numFmt numFmtId="181" formatCode="0%;[Red]\(0\)%"/>
    <numFmt numFmtId="182" formatCode="_(#,##0.00_);[Red]_(\(#,##0.00\);_(&quot;-&quot;_);_(@_)"/>
    <numFmt numFmtId="183" formatCode="_(&quot;$&quot;* #,##0.00_);_(&quot;$&quot;* \(#,##0.00\);_(&quot;$&quot;* &quot;-&quot;??_);_(@_)"/>
    <numFmt numFmtId="184" formatCode="mmm"/>
    <numFmt numFmtId="185" formatCode="mmm\ d"/>
    <numFmt numFmtId="186" formatCode="_(#,##0_)&quot;days&quot;;[Red]_(\(#,##0\);_(&quot;-&quot;_);_(@_)"/>
    <numFmt numFmtId="187" formatCode="_(#,##0_)&quot; sf&quot;;[Red]_(\(#,##0\);_(&quot;-&quot;_);_(@_)"/>
    <numFmt numFmtId="188" formatCode="_(#,##0_)&quot; sf/p&quot;;[Red]_(\(#,##0\);_(&quot;-&quot;_);_(@_)"/>
    <numFmt numFmtId="189" formatCode="_(#,##0_)&quot;s&quot;;[Red]_(\(#,##0\)&quot; s&quot;;_(&quot;-&quot;_);_(@_)"/>
    <numFmt numFmtId="190" formatCode="&quot;max &quot;#,##0_);[Red]\(#,##0\);&quot;max -&quot;"/>
    <numFmt numFmtId="191" formatCode="&quot;max &quot;#,##0_);[Red]\(#,##0\)"/>
    <numFmt numFmtId="192" formatCode="&quot;av &quot;_(&quot;$&quot;#,##0_);[Red]_(&quot;$&quot;\(#,##0\);_(&quot;$&quot;\ &quot;-&quot;_);_(@_)"/>
    <numFmt numFmtId="193" formatCode="_(&quot;$&quot;#,##0_);&quot;$&quot;\(#,##0\);_(&quot;$&quot;&quot;-&quot;_);_(@_)"/>
    <numFmt numFmtId="194" formatCode="&quot;min &quot;_(#,##0_);[Red]_(\(#,##0\);_(&quot;-&quot;_);_(@_)"/>
    <numFmt numFmtId="195" formatCode="&quot;$&quot;#,##0_)&quot;/pp&quot;;[Red]\(&quot;$&quot;#,##0\);&quot;$-/pp&quot;"/>
    <numFmt numFmtId="196" formatCode="&quot;$&quot;#,##0_)&quot;/pp&quot;;[Red]\(&quot;$&quot;#,##0\)"/>
    <numFmt numFmtId="197" formatCode="&quot;$&quot;#,##0_)&quot;pp&quot;;[Red]\(&quot;$&quot;#,##0\)&quot;pp&quot;;&quot;$/pp&quot;"/>
    <numFmt numFmtId="198" formatCode="_(#,##0.0_)&quot;mi&quot;;[Red]_(\(#,##0.0\);_(&quot;-&quot;_);_(@_)"/>
    <numFmt numFmtId="199" formatCode="&quot;Incu' Yr &quot;General"/>
    <numFmt numFmtId="200" formatCode="0.0"/>
    <numFmt numFmtId="201" formatCode="0.0%;[Red]\(0.0%\);&quot;-%&quot;"/>
    <numFmt numFmtId="202" formatCode="_(&quot;$&quot;* #,##0_);[Red]_(&quot;$&quot;* \(#,##0\);_(&quot;$&quot;* \ &quot;-&quot;_);_(@_)"/>
    <numFmt numFmtId="203" formatCode="_(#,##0_)&quot;s&quot;;[Red]_(\(#,##0\);_(&quot;-&quot;_);_(@_)"/>
    <numFmt numFmtId="204" formatCode="#,##0_)&quot;sf&quot;;\(#,##0\)&quot;sf&quot;;_(* &quot;-&quot;_);_(@_)"/>
    <numFmt numFmtId="205" formatCode="_(&quot;$&quot;#,##0.00_)&quot;/mo&quot;;[Red]_(&quot;$&quot;\(#,##0.00\);_(&quot;$&quot;\ &quot;-&quot;_);_(@_)"/>
    <numFmt numFmtId="206" formatCode="_(&quot;$&quot;#,##0.00_)&quot;/yr&quot;;[Red]_(&quot;$&quot;\(#,##0.00\);_(&quot;$&quot;\ &quot;-&quot;_);_(@_)"/>
    <numFmt numFmtId="207" formatCode="_(&quot;$&quot;#,##0.00_);[Red]_(&quot;$&quot;\(#,##0.00\);_(&quot;$&quot;\ &quot;-&quot;_);_(@_)"/>
    <numFmt numFmtId="208" formatCode="_(&quot;$&quot;#,##0.00_);&quot;$&quot;\(#,##0.00\);_(&quot;$&quot;&quot;-&quot;_);_(@_)"/>
    <numFmt numFmtId="209" formatCode="&quot;$&quot;#,##0.00_);[Red]\(&quot;$&quot;#,##0.00\);&quot;$ -&quot;"/>
    <numFmt numFmtId="210" formatCode="&quot;$&quot;#,##0.00_);[Red]\(&quot;$&quot;#,##0.00\)"/>
    <numFmt numFmtId="211" formatCode="_(#,##0_)&quot;sf&quot;;[Red]_(\(#,##0\);_(&quot;-&quot;_);_(@_)"/>
    <numFmt numFmtId="212" formatCode="#,##0.00;[Red]\(#,##0.00\);&quot;-&quot;"/>
    <numFmt numFmtId="213" formatCode="0.00%;[Red]\(0.00%\);&quot;% -&quot;"/>
    <numFmt numFmtId="214" formatCode="General;;&quot;-s&quot;"/>
    <numFmt numFmtId="215" formatCode="&quot;avg &quot;&quot;$&quot;#,##0_);[Red]\(&quot;$&quot;#,##0\);&quot;avg $-&quot;"/>
    <numFmt numFmtId="216" formatCode="_(* #,##0_);_(* \(#,##0\);_(* &quot;-&quot;??_);_(@_)"/>
    <numFmt numFmtId="217" formatCode="_(* #,##0.00_);_(* \(#,##0.00\);_(* &quot;-&quot;??_);_(@_)"/>
    <numFmt numFmtId="218" formatCode="0_);[Red]\(0\)"/>
    <numFmt numFmtId="219" formatCode="#,##0_)&quot;Ss&quot;;[Red]\(#,##0\);&quot;- Ss&quot;"/>
    <numFmt numFmtId="220" formatCode="#,##0.00;(#,##0.00)"/>
    <numFmt numFmtId="221" formatCode="_(&quot;$&quot;\ #,##0_);[Red]_(&quot;$&quot;\(#,##0\);_(&quot;$&quot;\ &quot;-&quot;_);_(@_)"/>
    <numFmt numFmtId="222" formatCode="_(&quot;$&quot;#,##0.0_);[Red]_(&quot;$&quot;\(#,##0.0\);_(&quot;$&quot;\ &quot;-&quot;_);_(@_)"/>
    <numFmt numFmtId="223" formatCode="_(&quot;$&quot;* #,##0_);_(&quot;$&quot;* \(#,##0\);_(&quot;$&quot;* &quot;-&quot;??_);_(@_)"/>
    <numFmt numFmtId="224" formatCode="_(&quot;$&quot;#,##0_)&quot;PP&quot;;[Red]_(&quot;$&quot;\(#,##0\);_(&quot;$&quot;\ &quot;-&quot;_);_(@_)"/>
    <numFmt numFmtId="225" formatCode="_(&quot;$&quot;#,##0_)&quot;P FRL P&quot;;[Red]_(&quot;$&quot;\(#,##0\);_(&quot;$&quot;\ &quot;-&quot;_);_(@_)"/>
    <numFmt numFmtId="226" formatCode="General&quot; s&quot;"/>
    <numFmt numFmtId="227" formatCode="#,##0_)&quot;sf/p&quot;;\(#,##0\)&quot;sf&quot;;_(* &quot;-&quot;_);_(@_)"/>
    <numFmt numFmtId="228" formatCode="_(#,##0_)&quot;sf/p&quot;;[Red]_(\(#,##0\);_(&quot;-&quot;_);_(@_)"/>
  </numFmts>
  <fonts count="117">
    <font>
      <sz val="11.0"/>
      <color theme="1"/>
      <name val="Calibri"/>
      <scheme val="minor"/>
    </font>
    <font>
      <b/>
      <sz val="14.0"/>
      <color theme="1"/>
      <name val="Calibri"/>
    </font>
    <font>
      <b/>
      <sz val="12.0"/>
      <color rgb="FFFFFFFF"/>
      <name val="Arial"/>
    </font>
    <font>
      <b/>
      <sz val="12.0"/>
      <color theme="1"/>
      <name val="Arial"/>
    </font>
    <font>
      <b/>
      <sz val="10.0"/>
      <color rgb="FF808080"/>
      <name val="Times"/>
    </font>
    <font>
      <sz val="10.0"/>
      <color theme="1"/>
      <name val="Arial"/>
    </font>
    <font>
      <i/>
      <sz val="9.0"/>
      <color rgb="FF000000"/>
      <name val="Times"/>
    </font>
    <font>
      <b/>
      <u/>
      <sz val="12.0"/>
      <color rgb="FF0000FF"/>
      <name val="Times New Roman"/>
    </font>
    <font>
      <b/>
      <u/>
      <sz val="12.0"/>
      <color rgb="FF0000FF"/>
      <name val="Times New Roman"/>
    </font>
    <font>
      <b/>
      <sz val="12.0"/>
      <color theme="0"/>
      <name val="Calibri"/>
    </font>
    <font>
      <sz val="11.0"/>
      <color rgb="FF000000"/>
      <name val="Times New Roman"/>
    </font>
    <font>
      <sz val="11.0"/>
      <color rgb="FF0000FF"/>
      <name val="Times New Roman"/>
    </font>
    <font>
      <sz val="11.0"/>
      <color theme="1"/>
      <name val="Calibri"/>
    </font>
    <font>
      <b/>
      <sz val="11.0"/>
      <color rgb="FF0000FF"/>
      <name val="Calibri"/>
    </font>
    <font>
      <i/>
      <sz val="11.0"/>
      <color theme="1"/>
      <name val="Calibri"/>
    </font>
    <font>
      <b/>
      <sz val="11.0"/>
      <color theme="1"/>
      <name val="Calibri"/>
    </font>
    <font>
      <color theme="1"/>
      <name val="Calibri"/>
      <scheme val="minor"/>
    </font>
    <font>
      <b/>
      <sz val="11.0"/>
      <color rgb="FF7F7F7F"/>
      <name val="Calibri"/>
    </font>
    <font>
      <sz val="11.0"/>
      <color rgb="FF000000"/>
      <name val="Calibri"/>
    </font>
    <font>
      <b/>
      <sz val="11.0"/>
      <color theme="0"/>
      <name val="Calibri"/>
    </font>
    <font>
      <sz val="11.0"/>
      <color theme="1"/>
      <name val="Times New Roman"/>
    </font>
    <font>
      <b/>
      <sz val="11.0"/>
      <color theme="1"/>
      <name val="Arial"/>
    </font>
    <font>
      <i/>
      <sz val="12.0"/>
      <color theme="1"/>
      <name val="Arial"/>
    </font>
    <font>
      <b/>
      <sz val="12.0"/>
      <color rgb="FF000000"/>
      <name val="Times New Roman"/>
    </font>
    <font>
      <b/>
      <sz val="11.0"/>
      <color rgb="FF000000"/>
      <name val="Times New Roman"/>
    </font>
    <font>
      <b/>
      <i/>
      <sz val="12.0"/>
      <color theme="1"/>
      <name val="Times New Roman"/>
    </font>
    <font>
      <sz val="12.0"/>
      <color rgb="FFA5A5A5"/>
      <name val="Times New Roman"/>
    </font>
    <font>
      <u/>
      <sz val="12.0"/>
      <color rgb="FF0000D4"/>
      <name val="Times New Roman"/>
    </font>
    <font>
      <sz val="12.0"/>
      <color rgb="FF0000FF"/>
      <name val="Times New Roman"/>
    </font>
    <font>
      <u/>
      <sz val="12.0"/>
      <color rgb="FF0000D4"/>
      <name val="Times New Roman"/>
    </font>
    <font>
      <sz val="12.0"/>
      <color rgb="FF000000"/>
      <name val="Times New Roman"/>
    </font>
    <font>
      <u/>
      <sz val="12.0"/>
      <color rgb="FF0000D4"/>
      <name val="Times New Roman"/>
    </font>
    <font/>
    <font>
      <u/>
      <sz val="12.0"/>
      <color theme="10"/>
      <name val="Times New Roman"/>
    </font>
    <font>
      <sz val="12.0"/>
      <color theme="1"/>
      <name val="Times New Roman"/>
    </font>
    <font>
      <i/>
      <sz val="11.0"/>
      <color rgb="FF000000"/>
      <name val="Times New Roman"/>
    </font>
    <font>
      <i/>
      <sz val="12.0"/>
      <color rgb="FF000000"/>
      <name val="Times New Roman"/>
    </font>
    <font>
      <u/>
      <sz val="12.0"/>
      <color rgb="FF0000FF"/>
      <name val="Times New Roman"/>
    </font>
    <font>
      <b/>
      <sz val="10.0"/>
      <color rgb="FF808080"/>
      <name val="Arial"/>
    </font>
    <font>
      <b/>
      <sz val="9.0"/>
      <color rgb="FF808080"/>
      <name val="Arial"/>
    </font>
    <font>
      <i/>
      <sz val="9.0"/>
      <color rgb="FF000000"/>
      <name val="Arial"/>
    </font>
    <font>
      <sz val="11.0"/>
      <color rgb="FFBFBFBF"/>
      <name val="Calibri"/>
    </font>
    <font>
      <b/>
      <sz val="28.0"/>
      <color rgb="FF0000FF"/>
      <name val="Times New Roman"/>
    </font>
    <font>
      <b/>
      <sz val="11.0"/>
      <color rgb="FF0000FF"/>
      <name val="Times New Roman"/>
    </font>
    <font>
      <b/>
      <sz val="12.0"/>
      <color theme="0"/>
      <name val="Arial"/>
    </font>
    <font>
      <b/>
      <sz val="14.0"/>
      <color rgb="FF000000"/>
      <name val="Times New Roman"/>
    </font>
    <font>
      <b/>
      <sz val="10.0"/>
      <color rgb="FF000000"/>
      <name val="Times New Roman"/>
    </font>
    <font>
      <b/>
      <sz val="12.0"/>
      <color rgb="FF000000"/>
      <name val="Arial"/>
    </font>
    <font>
      <i/>
      <sz val="9.0"/>
      <color rgb="FF000000"/>
      <name val="Times New Roman"/>
    </font>
    <font>
      <sz val="11.0"/>
      <color rgb="FFBFBFBF"/>
      <name val="Times New Roman"/>
    </font>
    <font>
      <b/>
      <sz val="14.0"/>
      <color rgb="FF000000"/>
      <name val="Arial"/>
    </font>
    <font>
      <sz val="11.0"/>
      <color rgb="FF3C4043"/>
      <name val="Inconsolata"/>
    </font>
    <font>
      <b/>
      <i/>
      <sz val="11.0"/>
      <color rgb="FF000000"/>
      <name val="Times New Roman"/>
    </font>
    <font>
      <i/>
      <sz val="11.0"/>
      <color theme="1"/>
      <name val="Times New Roman"/>
    </font>
    <font>
      <b/>
      <u/>
      <sz val="11.0"/>
      <color rgb="FF000000"/>
      <name val="Times New Roman"/>
    </font>
    <font>
      <b/>
      <sz val="11.0"/>
      <color theme="1"/>
      <name val="Times New Roman"/>
    </font>
    <font>
      <u/>
      <sz val="12.0"/>
      <color rgb="FF0000FF"/>
      <name val="Times New Roman"/>
    </font>
    <font>
      <b/>
      <sz val="9.0"/>
      <color rgb="FF000000"/>
      <name val="Times New Roman"/>
    </font>
    <font>
      <sz val="10.0"/>
      <color rgb="FF000000"/>
      <name val="Times New Roman"/>
    </font>
    <font>
      <b/>
      <sz val="10.0"/>
      <color theme="1"/>
      <name val="Times New Roman"/>
    </font>
    <font>
      <sz val="10.0"/>
      <color rgb="FF0000FF"/>
      <name val="Times New Roman"/>
    </font>
    <font>
      <sz val="10.0"/>
      <color rgb="FFA5A5A5"/>
      <name val="Times New Roman"/>
    </font>
    <font>
      <b/>
      <i/>
      <sz val="10.0"/>
      <color rgb="FFFF0000"/>
      <name val="Times New Roman"/>
    </font>
    <font>
      <sz val="11.0"/>
      <color rgb="FFFF0000"/>
      <name val="Times New Roman"/>
    </font>
    <font>
      <b/>
      <i/>
      <sz val="12.0"/>
      <color rgb="FF000000"/>
      <name val="Times New Roman"/>
    </font>
    <font>
      <sz val="10.0"/>
      <color theme="1"/>
      <name val="Times New Roman"/>
    </font>
    <font>
      <b/>
      <sz val="10.0"/>
      <color rgb="FF0000FF"/>
      <name val="Times New Roman"/>
    </font>
    <font>
      <sz val="11.0"/>
      <color rgb="FF000000"/>
      <name val="Arial"/>
    </font>
    <font>
      <b/>
      <sz val="11.0"/>
      <color rgb="FF000000"/>
      <name val="Arial"/>
    </font>
    <font>
      <b/>
      <sz val="14.0"/>
      <color theme="0"/>
      <name val="Arial"/>
    </font>
    <font>
      <u/>
      <sz val="12.0"/>
      <color theme="10"/>
      <name val="Cambria"/>
    </font>
    <font>
      <b/>
      <sz val="12.0"/>
      <color theme="1"/>
      <name val="Times New Roman"/>
    </font>
    <font>
      <i/>
      <sz val="11.0"/>
      <color rgb="FF0000FF"/>
      <name val="Times New Roman"/>
    </font>
    <font>
      <b/>
      <i/>
      <sz val="11.0"/>
      <color rgb="FFA5A5A5"/>
      <name val="Times New Roman"/>
    </font>
    <font>
      <i/>
      <sz val="11.0"/>
      <color rgb="FFA5A5A5"/>
      <name val="Times New Roman"/>
    </font>
    <font>
      <sz val="11.0"/>
      <color rgb="FF000080"/>
      <name val="Times New Roman"/>
    </font>
    <font>
      <i/>
      <sz val="11.0"/>
      <color rgb="FF000080"/>
      <name val="Times New Roman"/>
    </font>
    <font>
      <b/>
      <sz val="11.0"/>
      <color rgb="FF000080"/>
      <name val="Times New Roman"/>
    </font>
    <font>
      <i/>
      <u/>
      <sz val="11.0"/>
      <color theme="10"/>
      <name val="Times New Roman"/>
    </font>
    <font>
      <sz val="11.0"/>
      <color rgb="FFA5A5A5"/>
      <name val="Times New Roman"/>
    </font>
    <font>
      <u/>
      <sz val="11.0"/>
      <color rgb="FF000000"/>
      <name val="Times New Roman"/>
    </font>
    <font>
      <i/>
      <u/>
      <sz val="12.0"/>
      <color theme="10"/>
      <name val="Times New Roman"/>
    </font>
    <font>
      <b/>
      <sz val="14.0"/>
      <color theme="1"/>
      <name val="Times New Roman"/>
    </font>
    <font>
      <sz val="14.0"/>
      <color rgb="FF000000"/>
      <name val="Times New Roman"/>
    </font>
    <font>
      <sz val="11.0"/>
      <color rgb="FF002060"/>
      <name val="Times New Roman"/>
    </font>
    <font>
      <b/>
      <sz val="14.0"/>
      <color rgb="FFFFFFFF"/>
      <name val="Arial"/>
    </font>
    <font>
      <b/>
      <sz val="10.0"/>
      <color rgb="FF0000FF"/>
      <name val="Arial"/>
    </font>
    <font>
      <sz val="10.0"/>
      <color rgb="FFBFBFBF"/>
      <name val="Times New Roman"/>
    </font>
    <font>
      <sz val="10.0"/>
      <color rgb="FF0000FF"/>
      <name val="Arial"/>
    </font>
    <font>
      <sz val="8.0"/>
      <color rgb="FF000000"/>
      <name val="Times New Roman"/>
    </font>
    <font>
      <b/>
      <sz val="28.0"/>
      <color theme="1"/>
      <name val="Calibri"/>
    </font>
    <font>
      <b/>
      <u/>
      <sz val="18.0"/>
      <color theme="1"/>
      <name val="Arial"/>
    </font>
    <font>
      <b/>
      <u/>
      <sz val="18.0"/>
      <color theme="10"/>
      <name val="Calibri"/>
    </font>
    <font>
      <b/>
      <sz val="10.0"/>
      <color theme="1"/>
      <name val="Arial"/>
    </font>
    <font>
      <u/>
      <sz val="12.0"/>
      <color rgb="FF0000FF"/>
      <name val="Times New Roman"/>
    </font>
    <font>
      <i/>
      <sz val="9.0"/>
      <color theme="1"/>
      <name val="Arial"/>
    </font>
    <font>
      <b/>
      <sz val="12.0"/>
      <color theme="1"/>
      <name val="Calibri"/>
    </font>
    <font>
      <sz val="12.0"/>
      <color theme="1"/>
      <name val="Calibri"/>
    </font>
    <font>
      <b/>
      <u/>
      <sz val="12.0"/>
      <color theme="10"/>
      <name val="Calibri"/>
    </font>
    <font>
      <b/>
      <u/>
      <sz val="12.0"/>
      <color theme="10"/>
      <name val="Calibri"/>
    </font>
    <font>
      <b/>
      <u/>
      <sz val="12.0"/>
      <color theme="10"/>
      <name val="Calibri"/>
    </font>
    <font>
      <sz val="9.0"/>
      <color rgb="FF000000"/>
      <name val="Times New Roman"/>
    </font>
    <font>
      <sz val="9.0"/>
      <color theme="1"/>
      <name val="Arial"/>
    </font>
    <font>
      <sz val="12.0"/>
      <color theme="1"/>
      <name val="Arial"/>
    </font>
    <font>
      <sz val="11.0"/>
      <color rgb="FF000080"/>
      <name val="Calibri"/>
    </font>
    <font>
      <sz val="12.0"/>
      <color rgb="FFBFBFBF"/>
      <name val="Times New Roman"/>
    </font>
    <font>
      <sz val="12.0"/>
      <color rgb="FFBFBFBF"/>
      <name val="Calibri"/>
    </font>
    <font>
      <sz val="11.0"/>
      <color theme="1"/>
      <name val="Arial"/>
    </font>
    <font>
      <sz val="11.0"/>
      <color rgb="FF000080"/>
      <name val="Arial"/>
    </font>
    <font>
      <sz val="12.0"/>
      <color rgb="FF000080"/>
      <name val="Arial"/>
    </font>
    <font>
      <sz val="8.0"/>
      <color theme="1"/>
      <name val="Arial"/>
    </font>
    <font>
      <b/>
      <sz val="11.0"/>
      <color rgb="FF000080"/>
      <name val="Arial"/>
    </font>
    <font>
      <sz val="12.0"/>
      <color rgb="FF000080"/>
      <name val="Times New Roman"/>
    </font>
    <font>
      <b/>
      <sz val="11.0"/>
      <color rgb="FFFF0000"/>
      <name val="Calibri"/>
    </font>
    <font>
      <sz val="12.0"/>
      <color rgb="FF000000"/>
      <name val="Cambria"/>
    </font>
    <font>
      <i/>
      <sz val="12.0"/>
      <color theme="1"/>
      <name val="Calibri"/>
    </font>
    <font>
      <i/>
      <sz val="8.0"/>
      <color rgb="FF000000"/>
      <name val="Times New Roman"/>
    </font>
  </fonts>
  <fills count="21">
    <fill>
      <patternFill patternType="none"/>
    </fill>
    <fill>
      <patternFill patternType="lightGray"/>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FFFF"/>
        <bgColor rgb="FFFFFFFF"/>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FFF00"/>
        <bgColor rgb="FFFFFF00"/>
      </patternFill>
    </fill>
    <fill>
      <patternFill patternType="solid">
        <fgColor rgb="FFCCCCFF"/>
        <bgColor rgb="FFCCCCFF"/>
      </patternFill>
    </fill>
    <fill>
      <patternFill patternType="solid">
        <fgColor rgb="FFCCCCCC"/>
        <bgColor rgb="FFCCCCCC"/>
      </patternFill>
    </fill>
    <fill>
      <patternFill patternType="solid">
        <fgColor rgb="FFFFCC99"/>
        <bgColor rgb="FFFFCC99"/>
      </patternFill>
    </fill>
    <fill>
      <patternFill patternType="solid">
        <fgColor rgb="FFFCF305"/>
        <bgColor rgb="FFFCF305"/>
      </patternFill>
    </fill>
    <fill>
      <patternFill patternType="solid">
        <fgColor rgb="FF00ABEA"/>
        <bgColor rgb="FF00ABEA"/>
      </patternFill>
    </fill>
    <fill>
      <patternFill patternType="solid">
        <fgColor rgb="FF1FB714"/>
        <bgColor rgb="FF1FB714"/>
      </patternFill>
    </fill>
  </fills>
  <borders count="163">
    <border/>
    <border>
      <left/>
      <right/>
      <top/>
      <bottom/>
    </border>
    <border>
      <bottom style="hair">
        <color rgb="FFC0C0C0"/>
      </bottom>
    </border>
    <border>
      <bottom style="thin">
        <color rgb="FF000000"/>
      </bottom>
    </border>
    <border>
      <left/>
      <right/>
      <top style="hair">
        <color rgb="FFC0C0C0"/>
      </top>
      <bottom style="hair">
        <color rgb="FFC0C0C0"/>
      </bottom>
    </border>
    <border>
      <left style="hair">
        <color rgb="FFC0C0C0"/>
      </left>
      <right style="hair">
        <color rgb="FFC0C0C0"/>
      </right>
      <top style="hair">
        <color rgb="FFC0C0C0"/>
      </top>
      <bottom style="hair">
        <color rgb="FFC0C0C0"/>
      </bottom>
    </border>
    <border>
      <top style="hair">
        <color rgb="FFC0C0C0"/>
      </top>
      <bottom style="hair">
        <color rgb="FFC0C0C0"/>
      </bottom>
    </border>
    <border>
      <left style="hair">
        <color rgb="FFC0C0C0"/>
      </left>
      <top style="hair">
        <color rgb="FFC0C0C0"/>
      </top>
      <bottom style="hair">
        <color rgb="FFC0C0C0"/>
      </bottom>
    </border>
    <border>
      <left/>
      <top style="thin">
        <color rgb="FF000000"/>
      </top>
      <bottom style="hair">
        <color rgb="FFC0C0C0"/>
      </bottom>
    </border>
    <border>
      <top style="thin">
        <color rgb="FF000000"/>
      </top>
      <bottom style="hair">
        <color rgb="FFC0C0C0"/>
      </bottom>
    </border>
    <border>
      <right/>
      <top style="thin">
        <color rgb="FF000000"/>
      </top>
      <bottom style="hair">
        <color rgb="FFC0C0C0"/>
      </bottom>
    </border>
    <border>
      <left/>
      <right/>
      <top/>
      <bottom style="hair">
        <color rgb="FFC0C0C0"/>
      </bottom>
    </border>
    <border>
      <left/>
      <top style="hair">
        <color rgb="FFC0C0C0"/>
      </top>
      <bottom style="hair">
        <color rgb="FFC0C0C0"/>
      </bottom>
    </border>
    <border>
      <right/>
      <top style="hair">
        <color rgb="FFC0C0C0"/>
      </top>
      <bottom style="hair">
        <color rgb="FFC0C0C0"/>
      </bottom>
    </border>
    <border>
      <left/>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FFFFFF"/>
      </bottom>
    </border>
    <border>
      <left style="thin">
        <color rgb="FFFFFFFF"/>
      </left>
      <right style="thin">
        <color rgb="FF000000"/>
      </right>
      <top style="thin">
        <color rgb="FF000000"/>
      </top>
      <bottom style="thin">
        <color rgb="FFFFFFFF"/>
      </bottom>
    </border>
    <border>
      <left/>
      <right/>
      <top/>
      <bottom style="thin">
        <color rgb="FF000000"/>
      </bottom>
    </border>
    <border>
      <left/>
      <right style="thin">
        <color rgb="FF000000"/>
      </right>
      <top/>
      <bottom style="thin">
        <color rgb="FF000000"/>
      </bottom>
    </border>
    <border>
      <top style="thin">
        <color rgb="FF000000"/>
      </top>
    </border>
    <border>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left style="thin">
        <color rgb="FF000000"/>
      </left>
      <top style="thin">
        <color rgb="FF000000"/>
      </top>
    </border>
    <border>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right style="thin">
        <color rgb="FF000000"/>
      </right>
      <top style="thin">
        <color rgb="FF000000"/>
      </top>
      <bottom/>
    </border>
    <border>
      <left style="thin">
        <color rgb="FF000000"/>
      </left>
      <bottom style="thin">
        <color rgb="FF000000"/>
      </bottom>
    </border>
    <border>
      <left style="hair">
        <color rgb="FFC0C0C0"/>
      </left>
      <right style="hair">
        <color rgb="FFC0C0C0"/>
      </right>
      <top style="thin">
        <color rgb="FF000000"/>
      </top>
      <bottom style="thin">
        <color rgb="FF000000"/>
      </bottom>
    </border>
    <border>
      <right style="hair">
        <color rgb="FFC0C0C0"/>
      </right>
      <top style="thin">
        <color rgb="FF000000"/>
      </top>
      <bottom style="hair">
        <color rgb="FFC0C0C0"/>
      </bottom>
    </border>
    <border>
      <left style="hair">
        <color rgb="FFC0C0C0"/>
      </left>
      <right style="hair">
        <color rgb="FFC0C0C0"/>
      </right>
      <bottom style="hair">
        <color rgb="FFC0C0C0"/>
      </bottom>
    </border>
    <border>
      <left style="hair">
        <color rgb="FFC0C0C0"/>
      </left>
      <right style="hair">
        <color rgb="FFC0C0C0"/>
      </right>
      <top/>
      <bottom style="hair">
        <color rgb="FFC0C0C0"/>
      </bottom>
    </border>
    <border>
      <right style="hair">
        <color rgb="FFC0C0C0"/>
      </right>
      <top style="hair">
        <color rgb="FFC0C0C0"/>
      </top>
      <bottom style="hair">
        <color rgb="FFC0C0C0"/>
      </bottom>
    </border>
    <border>
      <right style="hair">
        <color rgb="FFC0C0C0"/>
      </right>
      <top style="hair">
        <color rgb="FFC0C0C0"/>
      </top>
    </border>
    <border>
      <left style="hair">
        <color rgb="FFC0C0C0"/>
      </left>
      <right style="hair">
        <color rgb="FFC0C0C0"/>
      </right>
      <top style="hair">
        <color rgb="FFC0C0C0"/>
      </top>
    </border>
    <border>
      <left style="hair">
        <color rgb="FFC0C0C0"/>
      </left>
      <right style="hair">
        <color rgb="FFC0C0C0"/>
      </right>
      <top style="hair">
        <color rgb="FFC0C0C0"/>
      </top>
      <bottom style="thin">
        <color rgb="FF000000"/>
      </bottom>
    </border>
    <border>
      <left style="hair">
        <color rgb="FFC0C0C0"/>
      </left>
      <right style="hair">
        <color rgb="FFC0C0C0"/>
      </right>
      <top style="thin">
        <color rgb="FF000000"/>
      </top>
      <bottom style="hair">
        <color rgb="FFC0C0C0"/>
      </bottom>
    </border>
    <border>
      <left style="hair">
        <color rgb="FFC0C0C0"/>
      </left>
      <right style="hair">
        <color rgb="FFC0C0C0"/>
      </right>
      <top style="hair">
        <color rgb="FFC0C0C0"/>
      </top>
      <bottom/>
    </border>
    <border>
      <right style="thin">
        <color rgb="FF000000"/>
      </right>
      <bottom style="thin">
        <color rgb="FF000000"/>
      </bottom>
    </border>
    <border>
      <left style="hair">
        <color rgb="FFC0C0C0"/>
      </left>
      <right style="hair">
        <color rgb="FFC0C0C0"/>
      </right>
      <top style="thin">
        <color rgb="FF000000"/>
      </top>
    </border>
    <border>
      <left style="thin">
        <color rgb="FF000000"/>
      </left>
      <right/>
      <top style="thin">
        <color rgb="FF000000"/>
      </top>
      <bottom style="thin">
        <color rgb="FF000000"/>
      </bottom>
    </border>
    <border>
      <left style="thin">
        <color rgb="FF000000"/>
      </left>
      <right style="thin">
        <color rgb="FFFFFFFF"/>
      </right>
      <top style="thin">
        <color rgb="FF000000"/>
      </top>
      <bottom style="thin">
        <color rgb="FFFFFFFF"/>
      </bottom>
    </border>
    <border>
      <left style="thin">
        <color rgb="FF000000"/>
      </left>
      <right/>
      <top/>
      <bottom style="thin">
        <color rgb="FF000000"/>
      </bottom>
    </border>
    <border>
      <top style="thin">
        <color rgb="FF000000"/>
      </top>
      <bottom style="medium">
        <color rgb="FF000000"/>
      </bottom>
    </border>
    <border>
      <left style="thin">
        <color rgb="FF000000"/>
      </left>
      <right/>
      <top style="thin">
        <color rgb="FF000000"/>
      </top>
      <bottom/>
    </border>
    <border>
      <left style="thin">
        <color rgb="FF000000"/>
      </left>
      <right style="hair">
        <color rgb="FF000000"/>
      </right>
      <top style="thin">
        <color rgb="FF000000"/>
      </top>
    </border>
    <border>
      <left style="hair">
        <color rgb="FF000000"/>
      </left>
      <right style="hair">
        <color rgb="FF000000"/>
      </right>
      <top style="thin">
        <color rgb="FF000000"/>
      </top>
    </border>
    <border>
      <left style="hair">
        <color rgb="FF000000"/>
      </left>
      <right style="thin">
        <color rgb="FF000000"/>
      </right>
      <top style="thin">
        <color rgb="FF000000"/>
      </top>
    </border>
    <border>
      <left style="thin">
        <color rgb="FF000000"/>
      </left>
      <right style="hair">
        <color rgb="FF000000"/>
      </right>
      <top style="thin">
        <color rgb="FF000000"/>
      </top>
      <bottom style="thin">
        <color rgb="FF000000"/>
      </bottom>
    </border>
    <border>
      <left style="hair">
        <color rgb="FF000000"/>
      </left>
      <right style="hair">
        <color rgb="FF000000"/>
      </right>
      <top style="thin">
        <color rgb="FF000000"/>
      </top>
      <bottom style="thin">
        <color rgb="FF000000"/>
      </bottom>
    </border>
    <border>
      <left style="hair">
        <color rgb="FF000000"/>
      </left>
      <right style="thin">
        <color rgb="FF000000"/>
      </right>
      <top style="thin">
        <color rgb="FF000000"/>
      </top>
      <bottom style="thin">
        <color rgb="FF000000"/>
      </bottom>
    </border>
    <border>
      <left/>
      <right/>
      <top style="thin">
        <color rgb="FF000000"/>
      </top>
      <bottom style="hair">
        <color rgb="FFC0C0C0"/>
      </bottom>
    </border>
    <border>
      <left/>
      <right style="hair">
        <color rgb="FFC0C0C0"/>
      </right>
      <top style="thin">
        <color rgb="FF000000"/>
      </top>
      <bottom style="hair">
        <color rgb="FFC0C0C0"/>
      </bottom>
    </border>
    <border>
      <left/>
      <right style="hair">
        <color rgb="FFC0C0C0"/>
      </right>
      <top style="hair">
        <color rgb="FFC0C0C0"/>
      </top>
      <bottom style="hair">
        <color rgb="FFC0C0C0"/>
      </bottom>
    </border>
    <border>
      <left/>
      <right/>
      <top style="hair">
        <color rgb="FFC0C0C0"/>
      </top>
      <bottom style="thin">
        <color rgb="FF000000"/>
      </bottom>
    </border>
    <border>
      <left/>
      <right style="hair">
        <color rgb="FFC0C0C0"/>
      </right>
      <top style="hair">
        <color rgb="FFC0C0C0"/>
      </top>
      <bottom style="thin">
        <color rgb="FF000000"/>
      </bottom>
    </border>
    <border>
      <left/>
      <top style="thin">
        <color rgb="FF000000"/>
      </top>
      <bottom/>
    </border>
    <border>
      <right/>
      <top style="thin">
        <color rgb="FF000000"/>
      </top>
      <bottom/>
    </border>
    <border>
      <left style="thin">
        <color rgb="FF000000"/>
      </left>
      <top style="thin">
        <color rgb="FF000000"/>
      </top>
      <bottom style="hair">
        <color rgb="FFC0C0C0"/>
      </bottom>
    </border>
    <border>
      <left/>
      <right style="thin">
        <color rgb="FF000000"/>
      </right>
      <top style="thin">
        <color rgb="FF000000"/>
      </top>
      <bottom style="hair">
        <color rgb="FFC0C0C0"/>
      </bottom>
    </border>
    <border>
      <left style="thin">
        <color rgb="FF000000"/>
      </left>
      <top style="hair">
        <color rgb="FFC0C0C0"/>
      </top>
      <bottom style="hair">
        <color rgb="FFC0C0C0"/>
      </bottom>
    </border>
    <border>
      <left/>
      <right style="thin">
        <color rgb="FF000000"/>
      </right>
      <top style="hair">
        <color rgb="FFC0C0C0"/>
      </top>
      <bottom style="hair">
        <color rgb="FFC0C0C0"/>
      </bottom>
    </border>
    <border>
      <left style="thin">
        <color rgb="FF000000"/>
      </left>
      <top style="hair">
        <color rgb="FFC0C0C0"/>
      </top>
    </border>
    <border>
      <left/>
      <right/>
      <top style="hair">
        <color rgb="FFC0C0C0"/>
      </top>
      <bottom/>
    </border>
    <border>
      <left/>
      <right style="thin">
        <color rgb="FF000000"/>
      </right>
      <top style="hair">
        <color rgb="FFC0C0C0"/>
      </top>
      <bottom/>
    </border>
    <border>
      <left style="thin">
        <color rgb="FF000000"/>
      </left>
      <top style="hair">
        <color rgb="FFC0C0C0"/>
      </top>
      <bottom style="thin">
        <color rgb="FF000000"/>
      </bottom>
    </border>
    <border>
      <left/>
      <right style="thin">
        <color rgb="FF000000"/>
      </right>
      <top style="hair">
        <color rgb="FFC0C0C0"/>
      </top>
      <bottom style="thin">
        <color rgb="FF000000"/>
      </bottom>
    </border>
    <border>
      <left style="thin">
        <color rgb="FF000000"/>
      </left>
    </border>
    <border>
      <left/>
      <top style="hair">
        <color rgb="FFC0C0C0"/>
      </top>
      <bottom/>
    </border>
    <border>
      <top style="hair">
        <color rgb="FFC0C0C0"/>
      </top>
      <bottom/>
    </border>
    <border>
      <right/>
      <top style="hair">
        <color rgb="FFC0C0C0"/>
      </top>
      <bottom/>
    </border>
    <border>
      <top style="hair">
        <color rgb="FFC0C0C0"/>
      </top>
      <bottom style="thin">
        <color rgb="FF000000"/>
      </bottom>
    </border>
    <border>
      <top style="hair">
        <color rgb="FFC0C0C0"/>
      </top>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top/>
      <bottom style="medium">
        <color rgb="FF000000"/>
      </bottom>
    </border>
    <border>
      <left style="hair">
        <color rgb="FF000000"/>
      </left>
      <right style="hair">
        <color rgb="FF000000"/>
      </right>
      <top style="hair">
        <color rgb="FF000000"/>
      </top>
      <bottom style="medium">
        <color rgb="FF000000"/>
      </bottom>
    </border>
    <border>
      <left/>
      <right style="medium">
        <color rgb="FF000000"/>
      </right>
      <top/>
      <bottom style="medium">
        <color rgb="FF000000"/>
      </bottom>
    </border>
    <border>
      <left style="hair">
        <color rgb="FFC0C0C0"/>
      </left>
      <right style="hair">
        <color rgb="FFC0C0C0"/>
      </right>
      <top style="thin">
        <color rgb="FF000000"/>
      </top>
      <bottom/>
    </border>
    <border>
      <left style="hair">
        <color rgb="FF000000"/>
      </left>
      <right style="hair">
        <color rgb="FF000000"/>
      </right>
      <top style="hair">
        <color rgb="FF000000"/>
      </top>
      <bottom style="hair">
        <color rgb="FF000000"/>
      </bottom>
    </border>
    <border>
      <left style="thin">
        <color rgb="FF000000"/>
      </left>
      <right style="thin">
        <color rgb="FF000000"/>
      </right>
      <top/>
      <bottom style="thin">
        <color rgb="FF000000"/>
      </bottom>
    </border>
    <border>
      <left style="thin">
        <color rgb="FF000000"/>
      </left>
      <right style="hair">
        <color rgb="FF000000"/>
      </right>
      <top style="thin">
        <color rgb="FF000000"/>
      </top>
      <bottom/>
    </border>
    <border>
      <left style="hair">
        <color rgb="FF000000"/>
      </left>
      <right style="hair">
        <color rgb="FF000000"/>
      </right>
      <top style="thin">
        <color rgb="FF000000"/>
      </top>
      <bottom/>
    </border>
    <border>
      <left style="hair">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right style="thin">
        <color rgb="FFFFFFFF"/>
      </right>
      <top style="thin">
        <color rgb="FFFFFFFF"/>
      </top>
      <bottom/>
    </border>
    <border>
      <left style="thin">
        <color rgb="FFFFFFFF"/>
      </left>
      <right style="thin">
        <color rgb="FFFFFFFF"/>
      </right>
      <top style="thin">
        <color rgb="FFFFFFFF"/>
      </top>
      <bottom style="thin">
        <color rgb="FFFFFFFF"/>
      </bottom>
    </border>
    <border>
      <left/>
      <right/>
      <top style="dotted">
        <color rgb="FF000000"/>
      </top>
      <bottom/>
    </border>
    <border>
      <top style="dotted">
        <color rgb="FF000000"/>
      </top>
    </border>
    <border>
      <left style="hair">
        <color rgb="FF000000"/>
      </left>
      <right style="hair">
        <color rgb="FF000000"/>
      </right>
      <top/>
      <bottom style="hair">
        <color rgb="FF000000"/>
      </bottom>
    </border>
    <border>
      <left style="thin">
        <color rgb="FF000000"/>
      </left>
      <right style="thin">
        <color rgb="FF000000"/>
      </right>
      <top style="thin">
        <color rgb="FF000000"/>
      </top>
      <bottom/>
    </border>
    <border>
      <left/>
      <right/>
      <top style="thin">
        <color rgb="FF000000"/>
      </top>
      <bottom style="dotted">
        <color rgb="FFC0C0C0"/>
      </bottom>
    </border>
    <border>
      <left/>
      <right/>
      <top/>
      <bottom style="dotted">
        <color rgb="FFC0C0C0"/>
      </bottom>
    </border>
    <border>
      <left/>
      <right/>
      <top style="dotted">
        <color rgb="FFC0C0C0"/>
      </top>
      <bottom style="dotted">
        <color rgb="FFC0C0C0"/>
      </bottom>
    </border>
    <border>
      <left/>
      <right/>
      <top style="dotted">
        <color rgb="FFC0C0C0"/>
      </top>
      <bottom/>
    </border>
    <border>
      <left/>
      <top style="dotted">
        <color rgb="FFC0C0C0"/>
      </top>
      <bottom style="thin">
        <color rgb="FF000000"/>
      </bottom>
    </border>
    <border>
      <top style="dotted">
        <color rgb="FFC0C0C0"/>
      </top>
      <bottom style="thin">
        <color rgb="FF000000"/>
      </bottom>
    </border>
    <border>
      <right/>
      <top style="dotted">
        <color rgb="FFC0C0C0"/>
      </top>
      <bottom style="thin">
        <color rgb="FF000000"/>
      </bottom>
    </border>
    <border>
      <left/>
      <right style="hair">
        <color rgb="FF000000"/>
      </right>
      <top style="thin">
        <color rgb="FF000000"/>
      </top>
      <bottom style="hair">
        <color rgb="FF000000"/>
      </bottom>
    </border>
    <border>
      <left/>
      <right style="hair">
        <color rgb="FF000000"/>
      </right>
      <top style="hair">
        <color rgb="FF000000"/>
      </top>
      <bottom style="hair">
        <color rgb="FF000000"/>
      </bottom>
    </border>
    <border>
      <left/>
      <right style="hair">
        <color rgb="FF000000"/>
      </right>
      <top style="hair">
        <color rgb="FFC0C0C0"/>
      </top>
      <bottom style="hair">
        <color rgb="FFC0C0C0"/>
      </bottom>
    </border>
    <border>
      <left/>
      <right style="hair">
        <color rgb="FF000000"/>
      </right>
      <top style="hair">
        <color rgb="FF000000"/>
      </top>
      <bottom/>
    </border>
    <border>
      <left style="hair">
        <color rgb="FF000000"/>
      </left>
      <right style="hair">
        <color rgb="FF000000"/>
      </right>
      <top style="hair">
        <color rgb="FF000000"/>
      </top>
      <bottom/>
    </border>
    <border>
      <left/>
      <right/>
      <top style="thin">
        <color rgb="FF000000"/>
      </top>
      <bottom style="double">
        <color rgb="FF000000"/>
      </bottom>
    </border>
    <border>
      <left/>
      <top/>
      <bottom/>
    </border>
    <border>
      <right/>
      <top/>
      <bottom/>
    </border>
    <border>
      <left style="thin">
        <color rgb="FF000000"/>
      </left>
      <right/>
      <top/>
      <bottom/>
    </border>
    <border>
      <left style="thin">
        <color rgb="FF000000"/>
      </left>
      <right style="hair">
        <color rgb="FFC0C0C0"/>
      </right>
      <top style="thin">
        <color rgb="FF000000"/>
      </top>
      <bottom style="hair">
        <color rgb="FFC0C0C0"/>
      </bottom>
    </border>
    <border>
      <left style="thin">
        <color rgb="FF000000"/>
      </left>
      <right style="hair">
        <color rgb="FFC0C0C0"/>
      </right>
      <top style="hair">
        <color rgb="FFC0C0C0"/>
      </top>
      <bottom style="hair">
        <color rgb="FFC0C0C0"/>
      </bottom>
    </border>
    <border>
      <left style="thin">
        <color rgb="FF000000"/>
      </left>
      <right style="hair">
        <color rgb="FFC0C0C0"/>
      </right>
      <top style="hair">
        <color rgb="FFC0C0C0"/>
      </top>
    </border>
    <border>
      <left style="thin">
        <color rgb="FF000000"/>
      </left>
      <right style="hair">
        <color rgb="FFC0C0C0"/>
      </right>
      <top style="hair">
        <color rgb="FFC0C0C0"/>
      </top>
      <bottom style="thin">
        <color rgb="FF000000"/>
      </bottom>
    </border>
    <border>
      <left/>
      <right style="hair">
        <color rgb="FFC0C0C0"/>
      </right>
      <top style="hair">
        <color rgb="FFC0C0C0"/>
      </top>
      <bottom/>
    </border>
    <border>
      <top/>
      <bottom/>
    </border>
    <border>
      <left/>
      <right style="thin">
        <color rgb="FF000000"/>
      </right>
      <top/>
      <bottom/>
    </border>
    <border>
      <left style="hair">
        <color rgb="FFC0C0C0"/>
      </left>
      <right style="thin">
        <color rgb="FF000000"/>
      </right>
      <top style="thin">
        <color rgb="FF000000"/>
      </top>
      <bottom/>
    </border>
    <border>
      <left style="hair">
        <color rgb="FFC0C0C0"/>
      </left>
      <right style="thin">
        <color rgb="FF000000"/>
      </right>
      <top style="hair">
        <color rgb="FFC0C0C0"/>
      </top>
      <bottom style="hair">
        <color rgb="FFC0C0C0"/>
      </bottom>
    </border>
    <border>
      <left style="thin">
        <color rgb="FF000000"/>
      </left>
      <right style="hair">
        <color rgb="FFC0C0C0"/>
      </right>
      <top/>
      <bottom style="hair">
        <color rgb="FFC0C0C0"/>
      </bottom>
    </border>
    <border>
      <left style="hair">
        <color rgb="FFC0C0C0"/>
      </left>
      <right style="thin">
        <color rgb="FF000000"/>
      </right>
      <top style="hair">
        <color rgb="FFC0C0C0"/>
      </top>
      <bottom/>
    </border>
    <border>
      <left style="hair">
        <color rgb="FFC0C0C0"/>
      </left>
      <right style="thin">
        <color rgb="FF000000"/>
      </right>
      <top style="hair">
        <color rgb="FFC0C0C0"/>
      </top>
      <bottom style="thin">
        <color rgb="FF000000"/>
      </bottom>
    </border>
    <border>
      <left style="hair">
        <color rgb="FFC0C0C0"/>
      </left>
      <top style="thin">
        <color rgb="FF000000"/>
      </top>
      <bottom style="hair">
        <color rgb="FFC0C0C0"/>
      </bottom>
    </border>
    <border>
      <left style="hair">
        <color rgb="FFC0C0C0"/>
      </left>
      <top style="hair">
        <color rgb="FFC0C0C0"/>
      </top>
    </border>
    <border>
      <left style="hair">
        <color rgb="FFC0C0C0"/>
      </left>
      <top style="hair">
        <color rgb="FFC0C0C0"/>
      </top>
      <bottom style="thin">
        <color rgb="FF000000"/>
      </bottom>
    </border>
    <border>
      <right style="hair">
        <color rgb="FFC0C0C0"/>
      </right>
      <top style="thin">
        <color rgb="FF000000"/>
      </top>
    </border>
    <border>
      <left style="hair">
        <color rgb="FFC0C0C0"/>
      </left>
      <top style="thin">
        <color rgb="FF000000"/>
      </top>
      <bottom style="thin">
        <color rgb="FF000000"/>
      </bottom>
    </border>
    <border>
      <left style="thin">
        <color rgb="FF000000"/>
      </left>
      <right style="hair">
        <color rgb="FFC0C0C0"/>
      </right>
      <top style="thin">
        <color rgb="FF000000"/>
      </top>
      <bottom style="thin">
        <color rgb="FF000000"/>
      </bottom>
    </border>
    <border>
      <left style="thin">
        <color rgb="FF000000"/>
      </left>
      <right style="hair">
        <color rgb="FFC0C0C0"/>
      </right>
      <bottom style="hair">
        <color rgb="FFC0C0C0"/>
      </bottom>
    </border>
    <border>
      <left/>
      <right style="hair">
        <color rgb="FFC0C0C0"/>
      </right>
      <top style="thin">
        <color rgb="FF000000"/>
      </top>
      <bottom/>
    </border>
    <border>
      <left style="thin">
        <color rgb="FFA1AFC9"/>
      </left>
      <right/>
      <top style="thin">
        <color rgb="FFA1AFC9"/>
      </top>
      <bottom style="thin">
        <color rgb="FFA1AFC9"/>
      </bottom>
    </border>
    <border>
      <left style="thin">
        <color rgb="FF000000"/>
      </left>
      <right style="thin">
        <color rgb="FFA1AFC9"/>
      </right>
      <top style="thin">
        <color rgb="FF000000"/>
      </top>
      <bottom style="thin">
        <color rgb="FF000000"/>
      </bottom>
    </border>
    <border>
      <left style="thin">
        <color rgb="FFA1AFC9"/>
      </left>
      <right style="thin">
        <color rgb="FFA1AFC9"/>
      </right>
      <top style="thin">
        <color rgb="FF000000"/>
      </top>
      <bottom style="thin">
        <color rgb="FF000000"/>
      </bottom>
    </border>
    <border>
      <left style="thin">
        <color rgb="FFA1AFC9"/>
      </left>
      <right style="thin">
        <color rgb="FF000000"/>
      </right>
      <top style="thin">
        <color rgb="FF000000"/>
      </top>
      <bottom style="thin">
        <color rgb="FF000000"/>
      </bottom>
    </border>
    <border>
      <left style="thin">
        <color rgb="FF000000"/>
      </left>
      <top style="thin">
        <color rgb="FF000000"/>
      </top>
      <bottom style="thin">
        <color rgb="FFA1AFC9"/>
      </bottom>
    </border>
    <border>
      <right style="thin">
        <color rgb="FF000000"/>
      </right>
      <top style="thin">
        <color rgb="FF000000"/>
      </top>
      <bottom style="thin">
        <color rgb="FFA1AFC9"/>
      </bottom>
    </border>
    <border>
      <left style="thin">
        <color rgb="FFA1AFC9"/>
      </left>
      <top style="thin">
        <color rgb="FFA1AFC9"/>
      </top>
      <bottom style="thin">
        <color rgb="FFA1AFC9"/>
      </bottom>
    </border>
    <border>
      <left style="thin">
        <color rgb="FF000000"/>
      </left>
      <right style="thin">
        <color rgb="FFA1AFC9"/>
      </right>
      <top/>
      <bottom style="thin">
        <color rgb="FFA1AFC9"/>
      </bottom>
    </border>
    <border>
      <left style="thin">
        <color rgb="FFA1AFC9"/>
      </left>
      <right style="thin">
        <color rgb="FFA1AFC9"/>
      </right>
      <top/>
      <bottom style="thin">
        <color rgb="FFA1AFC9"/>
      </bottom>
    </border>
    <border>
      <left style="thin">
        <color rgb="FFA1AFC9"/>
      </left>
      <right style="thin">
        <color rgb="FF000000"/>
      </right>
      <bottom style="thin">
        <color rgb="FFA1AFC9"/>
      </bottom>
    </border>
    <border>
      <left style="thin">
        <color rgb="FF000000"/>
      </left>
      <right style="thin">
        <color rgb="FFA1AFC9"/>
      </right>
      <top style="thin">
        <color rgb="FFA1AFC9"/>
      </top>
      <bottom style="thin">
        <color rgb="FFA1AFC9"/>
      </bottom>
    </border>
    <border>
      <right style="thin">
        <color rgb="FF000000"/>
      </right>
    </border>
    <border>
      <left style="thin">
        <color rgb="FFA1AFC9"/>
      </left>
      <right style="thin">
        <color rgb="FF000000"/>
      </right>
      <top style="thin">
        <color rgb="FFA1AFC9"/>
      </top>
      <bottom style="thin">
        <color rgb="FFA1AFC9"/>
      </bottom>
    </border>
    <border>
      <left style="thin">
        <color rgb="FFA1AFC9"/>
      </left>
      <right style="thin">
        <color rgb="FFA1AFC9"/>
      </right>
      <top style="thin">
        <color rgb="FFA1AFC9"/>
      </top>
      <bottom style="thin">
        <color rgb="FFA1AFC9"/>
      </bottom>
    </border>
    <border>
      <left style="thin">
        <color rgb="FFA1AFC9"/>
      </left>
      <top style="thin">
        <color rgb="FFA1AFC9"/>
      </top>
    </border>
    <border>
      <left style="thin">
        <color rgb="FF000000"/>
      </left>
      <right style="thin">
        <color rgb="FFA1AFC9"/>
      </right>
      <top style="thin">
        <color rgb="FFA1AFC9"/>
      </top>
      <bottom/>
    </border>
    <border>
      <left style="thin">
        <color rgb="FFA1AFC9"/>
      </left>
      <right style="thin">
        <color rgb="FFA1AFC9"/>
      </right>
      <top style="thin">
        <color rgb="FFA1AFC9"/>
      </top>
      <bottom/>
    </border>
    <border>
      <left style="thin">
        <color rgb="FFA1AFC9"/>
      </left>
      <right style="thin">
        <color rgb="FF000000"/>
      </right>
      <top style="thin">
        <color rgb="FFA1AFC9"/>
      </top>
      <bottom/>
    </border>
    <border>
      <left style="thin">
        <color rgb="FF000000"/>
      </left>
      <right style="thin">
        <color rgb="FFA1AFC9"/>
      </right>
      <top style="thin">
        <color rgb="FFA1AFC9"/>
      </top>
      <bottom style="thin">
        <color rgb="FF000000"/>
      </bottom>
    </border>
    <border>
      <left style="thin">
        <color rgb="FFA1AFC9"/>
      </left>
      <right style="thin">
        <color rgb="FF000000"/>
      </right>
      <top style="thin">
        <color rgb="FFA1AFC9"/>
      </top>
      <bottom style="thin">
        <color rgb="FF000000"/>
      </bottom>
    </border>
    <border>
      <left style="thin">
        <color rgb="FF163861"/>
      </left>
      <right style="thin">
        <color rgb="FF163861"/>
      </right>
      <bottom style="thin">
        <color rgb="FF163861"/>
      </bottom>
    </border>
    <border>
      <left style="thin">
        <color rgb="FF163861"/>
      </left>
      <right style="thin">
        <color rgb="FF030404"/>
      </right>
      <bottom style="thin">
        <color rgb="FF030404"/>
      </bottom>
    </border>
    <border>
      <left style="thin">
        <color rgb="FF030404"/>
      </left>
      <right style="thin">
        <color rgb="FFFFFFFF"/>
      </right>
      <bottom style="thin">
        <color rgb="FF163861"/>
      </bottom>
    </border>
    <border>
      <left style="thin">
        <color rgb="FFFFFFFF"/>
      </left>
      <right style="thin">
        <color rgb="FFFFFFFF"/>
      </right>
      <bottom style="thin">
        <color rgb="FF163861"/>
      </bottom>
    </border>
    <border>
      <left style="thin">
        <color rgb="FF163861"/>
      </left>
      <right style="thin">
        <color rgb="FF163861"/>
      </right>
      <top style="thin">
        <color rgb="FF163861"/>
      </top>
      <bottom style="thin">
        <color rgb="FF163861"/>
      </bottom>
    </border>
    <border>
      <left style="thin">
        <color rgb="FF163861"/>
      </left>
      <right style="thin">
        <color rgb="FF030404"/>
      </right>
      <top style="thin">
        <color rgb="FF030404"/>
      </top>
      <bottom style="thin">
        <color rgb="FF030404"/>
      </bottom>
    </border>
    <border>
      <left style="thin">
        <color rgb="FF030404"/>
      </left>
      <right style="thin">
        <color rgb="FFFFFFFF"/>
      </right>
      <top style="thin">
        <color rgb="FF163861"/>
      </top>
      <bottom style="thin">
        <color rgb="FF163861"/>
      </bottom>
    </border>
    <border>
      <left style="thin">
        <color rgb="FFFFFFFF"/>
      </left>
      <right style="thin">
        <color rgb="FFFFFFFF"/>
      </right>
      <top style="thin">
        <color rgb="FF163861"/>
      </top>
      <bottom style="thin">
        <color rgb="FF163861"/>
      </bottom>
    </border>
  </borders>
  <cellStyleXfs count="1">
    <xf borderId="0" fillId="0" fontId="0" numFmtId="0" applyAlignment="1" applyFont="1"/>
  </cellStyleXfs>
  <cellXfs count="1711">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1" fillId="3" fontId="2" numFmtId="0" xfId="0" applyBorder="1" applyFill="1" applyFont="1"/>
    <xf borderId="1" fillId="4" fontId="3" numFmtId="0" xfId="0" applyBorder="1" applyFill="1" applyFont="1"/>
    <xf borderId="0" fillId="0" fontId="4" numFmtId="0" xfId="0" applyFont="1"/>
    <xf borderId="0" fillId="0" fontId="5" numFmtId="164" xfId="0" applyFont="1" applyNumberFormat="1"/>
    <xf borderId="0" fillId="0" fontId="6" numFmtId="0" xfId="0" applyFont="1"/>
    <xf borderId="2" fillId="0" fontId="7" numFmtId="0" xfId="0" applyAlignment="1" applyBorder="1" applyFont="1">
      <alignment horizontal="right"/>
    </xf>
    <xf borderId="0" fillId="0" fontId="8" numFmtId="0" xfId="0" applyAlignment="1" applyFont="1">
      <alignment horizontal="left"/>
    </xf>
    <xf borderId="1" fillId="5" fontId="9" numFmtId="0" xfId="0" applyBorder="1" applyFill="1" applyFont="1"/>
    <xf borderId="1" fillId="6" fontId="10" numFmtId="0" xfId="0" applyAlignment="1" applyBorder="1" applyFill="1" applyFont="1">
      <alignment shrinkToFit="0" wrapText="1"/>
    </xf>
    <xf borderId="1" fillId="7" fontId="11" numFmtId="0" xfId="0" applyAlignment="1" applyBorder="1" applyFill="1" applyFont="1">
      <alignment shrinkToFit="0" wrapText="1"/>
    </xf>
    <xf borderId="0" fillId="0" fontId="12" numFmtId="0" xfId="0" applyAlignment="1" applyFont="1">
      <alignment shrinkToFit="0" wrapText="1"/>
    </xf>
    <xf borderId="1" fillId="8" fontId="13" numFmtId="0" xfId="0" applyBorder="1" applyFill="1" applyFont="1"/>
    <xf borderId="0" fillId="0" fontId="14" numFmtId="0" xfId="0" applyAlignment="1" applyFont="1">
      <alignment shrinkToFit="0" wrapText="1"/>
    </xf>
    <xf borderId="1" fillId="8" fontId="15" numFmtId="0" xfId="0" applyAlignment="1" applyBorder="1" applyFont="1">
      <alignment horizontal="left"/>
    </xf>
    <xf borderId="1" fillId="8" fontId="12" numFmtId="0" xfId="0" applyAlignment="1" applyBorder="1" applyFont="1">
      <alignment shrinkToFit="0" wrapText="1"/>
    </xf>
    <xf borderId="0" fillId="0" fontId="12" numFmtId="164" xfId="0" applyFont="1" applyNumberFormat="1"/>
    <xf borderId="0" fillId="0" fontId="16" numFmtId="0" xfId="0" applyFont="1"/>
    <xf borderId="0" fillId="0" fontId="15" numFmtId="0" xfId="0" applyFont="1"/>
    <xf borderId="1" fillId="8" fontId="12" numFmtId="0" xfId="0" applyBorder="1" applyFont="1"/>
    <xf borderId="1" fillId="8" fontId="17" numFmtId="0" xfId="0" applyBorder="1" applyFont="1"/>
    <xf borderId="0" fillId="0" fontId="18" numFmtId="0" xfId="0" applyAlignment="1" applyFont="1">
      <alignment shrinkToFit="0" wrapText="1"/>
    </xf>
    <xf borderId="1" fillId="5" fontId="19" numFmtId="0" xfId="0" applyBorder="1" applyFont="1"/>
    <xf borderId="0" fillId="0" fontId="20" numFmtId="0" xfId="0" applyAlignment="1" applyFont="1">
      <alignment shrinkToFit="0" wrapText="1"/>
    </xf>
    <xf borderId="0" fillId="0" fontId="12" numFmtId="0" xfId="0" applyFont="1"/>
    <xf borderId="1" fillId="4" fontId="21" numFmtId="0" xfId="0" applyBorder="1" applyFont="1"/>
    <xf borderId="0" fillId="0" fontId="22" numFmtId="0" xfId="0" applyFont="1"/>
    <xf borderId="0" fillId="0" fontId="3" numFmtId="0" xfId="0" applyFont="1"/>
    <xf borderId="0" fillId="0" fontId="23" numFmtId="0" xfId="0" applyAlignment="1" applyFont="1">
      <alignment horizontal="center"/>
    </xf>
    <xf borderId="0" fillId="0" fontId="10" numFmtId="0" xfId="0" applyFont="1"/>
    <xf borderId="3" fillId="0" fontId="3" numFmtId="0" xfId="0" applyBorder="1" applyFont="1"/>
    <xf borderId="3" fillId="0" fontId="23" numFmtId="0" xfId="0" applyAlignment="1" applyBorder="1" applyFont="1">
      <alignment horizontal="center"/>
    </xf>
    <xf borderId="3" fillId="0" fontId="23" numFmtId="0" xfId="0" applyAlignment="1" applyBorder="1" applyFont="1">
      <alignment horizontal="left"/>
    </xf>
    <xf borderId="3" fillId="0" fontId="10" numFmtId="0" xfId="0" applyBorder="1" applyFont="1"/>
    <xf borderId="3" fillId="0" fontId="12" numFmtId="0" xfId="0" applyBorder="1" applyFont="1"/>
    <xf borderId="3" fillId="0" fontId="24" numFmtId="0" xfId="0" applyBorder="1" applyFont="1"/>
    <xf borderId="0" fillId="0" fontId="25" numFmtId="0" xfId="0" applyAlignment="1" applyFont="1">
      <alignment horizontal="center"/>
    </xf>
    <xf borderId="2" fillId="0" fontId="10" numFmtId="0" xfId="0" applyBorder="1" applyFont="1"/>
    <xf borderId="2" fillId="0" fontId="12" numFmtId="0" xfId="0" applyBorder="1" applyFont="1"/>
    <xf borderId="4" fillId="7" fontId="12" numFmtId="0" xfId="0" applyBorder="1" applyFont="1"/>
    <xf borderId="0" fillId="0" fontId="26" numFmtId="0" xfId="0" applyAlignment="1" applyFont="1">
      <alignment horizontal="center" vertical="center"/>
    </xf>
    <xf borderId="4" fillId="2" fontId="27" numFmtId="0" xfId="0" applyAlignment="1" applyBorder="1" applyFont="1">
      <alignment horizontal="left" vertical="center"/>
    </xf>
    <xf borderId="5" fillId="7" fontId="28" numFmtId="0" xfId="0" applyAlignment="1" applyBorder="1" applyFont="1">
      <alignment horizontal="left" readingOrder="0"/>
    </xf>
    <xf borderId="5" fillId="7" fontId="28" numFmtId="0" xfId="0" applyAlignment="1" applyBorder="1" applyFont="1">
      <alignment horizontal="center"/>
    </xf>
    <xf borderId="4" fillId="2" fontId="23" numFmtId="0" xfId="0" applyBorder="1" applyFont="1"/>
    <xf borderId="4" fillId="2" fontId="10" numFmtId="0" xfId="0" applyBorder="1" applyFont="1"/>
    <xf borderId="4" fillId="2" fontId="12" numFmtId="0" xfId="0" applyBorder="1" applyFont="1"/>
    <xf borderId="6" fillId="0" fontId="29" numFmtId="0" xfId="0" applyAlignment="1" applyBorder="1" applyFont="1">
      <alignment horizontal="left" vertical="center"/>
    </xf>
    <xf borderId="6" fillId="0" fontId="30" numFmtId="0" xfId="0" applyAlignment="1" applyBorder="1" applyFont="1">
      <alignment vertical="center"/>
    </xf>
    <xf borderId="6" fillId="0" fontId="10" numFmtId="0" xfId="0" applyBorder="1" applyFont="1"/>
    <xf borderId="6" fillId="0" fontId="12" numFmtId="0" xfId="0" applyBorder="1" applyFont="1"/>
    <xf borderId="0" fillId="0" fontId="12" numFmtId="0" xfId="0" applyAlignment="1" applyFont="1">
      <alignment vertical="center"/>
    </xf>
    <xf borderId="5" fillId="7" fontId="28" numFmtId="0" xfId="0" applyAlignment="1" applyBorder="1" applyFont="1">
      <alignment horizontal="left"/>
    </xf>
    <xf borderId="5" fillId="7" fontId="28" numFmtId="0" xfId="0" applyAlignment="1" applyBorder="1" applyFont="1">
      <alignment horizontal="center" readingOrder="0"/>
    </xf>
    <xf borderId="6" fillId="0" fontId="31" numFmtId="0" xfId="0" applyAlignment="1" applyBorder="1" applyFont="1">
      <alignment horizontal="left" shrinkToFit="0" vertical="center" wrapText="1"/>
    </xf>
    <xf borderId="6" fillId="0" fontId="30" numFmtId="0" xfId="0" applyBorder="1" applyFont="1"/>
    <xf borderId="7" fillId="0" fontId="30" numFmtId="0" xfId="0" applyAlignment="1" applyBorder="1" applyFont="1">
      <alignment horizontal="left" shrinkToFit="0" vertical="center" wrapText="1"/>
    </xf>
    <xf borderId="6" fillId="0" fontId="32" numFmtId="0" xfId="0" applyBorder="1" applyFont="1"/>
    <xf borderId="5" fillId="0" fontId="30" numFmtId="0" xfId="0" applyAlignment="1" applyBorder="1" applyFont="1">
      <alignment horizontal="center"/>
    </xf>
    <xf borderId="0" fillId="0" fontId="30" numFmtId="0" xfId="0" applyFont="1"/>
    <xf borderId="6" fillId="0" fontId="33" numFmtId="0" xfId="0" applyBorder="1" applyFont="1"/>
    <xf borderId="6" fillId="0" fontId="34" numFmtId="0" xfId="0" applyAlignment="1" applyBorder="1" applyFont="1">
      <alignment horizontal="left" vertical="center"/>
    </xf>
    <xf borderId="0" fillId="0" fontId="24" numFmtId="0" xfId="0" applyFont="1"/>
    <xf borderId="5" fillId="7" fontId="11" numFmtId="0" xfId="0" applyAlignment="1" applyBorder="1" applyFont="1">
      <alignment horizontal="center"/>
    </xf>
    <xf borderId="0" fillId="0" fontId="10" numFmtId="0" xfId="0" applyAlignment="1" applyFont="1">
      <alignment horizontal="left"/>
    </xf>
    <xf borderId="0" fillId="0" fontId="10" numFmtId="0" xfId="0" applyAlignment="1" applyFont="1">
      <alignment horizontal="center"/>
    </xf>
    <xf borderId="0" fillId="0" fontId="35" numFmtId="0" xfId="0" applyFont="1"/>
    <xf borderId="0" fillId="0" fontId="36" numFmtId="0" xfId="0" applyAlignment="1" applyFont="1">
      <alignment horizontal="left"/>
    </xf>
    <xf borderId="0" fillId="0" fontId="37" numFmtId="0" xfId="0" applyAlignment="1" applyFont="1">
      <alignment horizontal="left"/>
    </xf>
    <xf borderId="0" fillId="0" fontId="38" numFmtId="0" xfId="0" applyFont="1"/>
    <xf borderId="0" fillId="0" fontId="39" numFmtId="0" xfId="0" applyFont="1"/>
    <xf borderId="0" fillId="0" fontId="40" numFmtId="0" xfId="0" applyFont="1"/>
    <xf borderId="0" fillId="0" fontId="41" numFmtId="0" xfId="0" applyAlignment="1" applyFont="1">
      <alignment horizontal="center"/>
    </xf>
    <xf borderId="8" fillId="7" fontId="42" numFmtId="0" xfId="0" applyAlignment="1" applyBorder="1" applyFont="1">
      <alignment horizontal="center" readingOrder="0"/>
    </xf>
    <xf borderId="9" fillId="0" fontId="32" numFmtId="0" xfId="0" applyBorder="1" applyFont="1"/>
    <xf borderId="10" fillId="0" fontId="32" numFmtId="0" xfId="0" applyBorder="1" applyFont="1"/>
    <xf borderId="0" fillId="0" fontId="30" numFmtId="0" xfId="0" applyAlignment="1" applyFont="1">
      <alignment horizontal="left"/>
    </xf>
    <xf borderId="5" fillId="7" fontId="43" numFmtId="0" xfId="0" applyAlignment="1" applyBorder="1" applyFont="1">
      <alignment horizontal="center"/>
    </xf>
    <xf borderId="0" fillId="0" fontId="10" numFmtId="165" xfId="0" applyFont="1" applyNumberFormat="1"/>
    <xf borderId="0" fillId="0" fontId="24" numFmtId="166" xfId="0" applyAlignment="1" applyFont="1" applyNumberFormat="1">
      <alignment horizontal="center"/>
    </xf>
    <xf borderId="3" fillId="0" fontId="24" numFmtId="0" xfId="0" applyAlignment="1" applyBorder="1" applyFont="1">
      <alignment horizontal="center"/>
    </xf>
    <xf borderId="3" fillId="0" fontId="32" numFmtId="0" xfId="0" applyBorder="1" applyFont="1"/>
    <xf borderId="8" fillId="7" fontId="11" numFmtId="0" xfId="0" applyAlignment="1" applyBorder="1" applyFont="1">
      <alignment horizontal="left"/>
    </xf>
    <xf borderId="11" fillId="7" fontId="11" numFmtId="167" xfId="0" applyAlignment="1" applyBorder="1" applyFont="1" applyNumberFormat="1">
      <alignment horizontal="center" shrinkToFit="0" wrapText="1"/>
    </xf>
    <xf borderId="8" fillId="7" fontId="10" numFmtId="0" xfId="0" applyAlignment="1" applyBorder="1" applyFont="1">
      <alignment horizontal="left" shrinkToFit="0" wrapText="1"/>
    </xf>
    <xf borderId="12" fillId="7" fontId="11" numFmtId="0" xfId="0" applyAlignment="1" applyBorder="1" applyFont="1">
      <alignment horizontal="left"/>
    </xf>
    <xf borderId="13" fillId="0" fontId="32" numFmtId="0" xfId="0" applyBorder="1" applyFont="1"/>
    <xf borderId="12" fillId="7" fontId="10" numFmtId="0" xfId="0" applyAlignment="1" applyBorder="1" applyFont="1">
      <alignment horizontal="left" shrinkToFit="0" wrapText="1"/>
    </xf>
    <xf borderId="3" fillId="0" fontId="24" numFmtId="0" xfId="0" applyAlignment="1" applyBorder="1" applyFont="1">
      <alignment shrinkToFit="0" wrapText="1"/>
    </xf>
    <xf borderId="8" fillId="7" fontId="28" numFmtId="0" xfId="0" applyAlignment="1" applyBorder="1" applyFont="1">
      <alignment horizontal="left"/>
    </xf>
    <xf borderId="12" fillId="7" fontId="28" numFmtId="0" xfId="0" applyAlignment="1" applyBorder="1" applyFont="1">
      <alignment horizontal="left"/>
    </xf>
    <xf borderId="5" fillId="3" fontId="44" numFmtId="0" xfId="0" applyBorder="1" applyFont="1"/>
    <xf borderId="1" fillId="3" fontId="45" numFmtId="0" xfId="0" applyBorder="1" applyFont="1"/>
    <xf borderId="0" fillId="0" fontId="23" numFmtId="0" xfId="0" applyFont="1"/>
    <xf borderId="0" fillId="0" fontId="46" numFmtId="0" xfId="0" applyFont="1"/>
    <xf borderId="1" fillId="4" fontId="47" numFmtId="0" xfId="0" applyBorder="1" applyFont="1"/>
    <xf borderId="1" fillId="4" fontId="24" numFmtId="0" xfId="0" applyBorder="1" applyFont="1"/>
    <xf borderId="0" fillId="0" fontId="48" numFmtId="0" xfId="0" applyFont="1"/>
    <xf borderId="0" fillId="0" fontId="24" numFmtId="0" xfId="0" applyAlignment="1" applyFont="1">
      <alignment horizontal="center"/>
    </xf>
    <xf borderId="14" fillId="6" fontId="24" numFmtId="168" xfId="0" applyAlignment="1" applyBorder="1" applyFont="1" applyNumberFormat="1">
      <alignment horizontal="right"/>
    </xf>
    <xf borderId="15" fillId="6" fontId="24" numFmtId="168" xfId="0" applyAlignment="1" applyBorder="1" applyFont="1" applyNumberFormat="1">
      <alignment horizontal="right"/>
    </xf>
    <xf borderId="16" fillId="6" fontId="24" numFmtId="168" xfId="0" applyAlignment="1" applyBorder="1" applyFont="1" applyNumberFormat="1">
      <alignment horizontal="right"/>
    </xf>
    <xf borderId="14" fillId="6" fontId="24" numFmtId="0" xfId="0" applyAlignment="1" applyBorder="1" applyFont="1">
      <alignment horizontal="right"/>
    </xf>
    <xf borderId="17" fillId="6" fontId="24" numFmtId="0" xfId="0" applyAlignment="1" applyBorder="1" applyFont="1">
      <alignment horizontal="right"/>
    </xf>
    <xf borderId="18" fillId="6" fontId="24" numFmtId="0" xfId="0" applyAlignment="1" applyBorder="1" applyFont="1">
      <alignment horizontal="right"/>
    </xf>
    <xf borderId="19" fillId="6" fontId="24" numFmtId="0" xfId="0" applyAlignment="1" applyBorder="1" applyFont="1">
      <alignment horizontal="right"/>
    </xf>
    <xf borderId="1" fillId="2" fontId="10" numFmtId="0" xfId="0" applyBorder="1" applyFont="1"/>
    <xf borderId="20" fillId="6" fontId="24" numFmtId="0" xfId="0" applyAlignment="1" applyBorder="1" applyFont="1">
      <alignment horizontal="right"/>
    </xf>
    <xf borderId="21" fillId="6" fontId="24" numFmtId="0" xfId="0" applyAlignment="1" applyBorder="1" applyFont="1">
      <alignment horizontal="right"/>
    </xf>
    <xf borderId="20" fillId="2" fontId="24" numFmtId="0" xfId="0" applyBorder="1" applyFont="1"/>
    <xf borderId="0" fillId="0" fontId="49" numFmtId="0" xfId="0" applyAlignment="1" applyFont="1">
      <alignment horizontal="center"/>
    </xf>
    <xf borderId="22" fillId="0" fontId="10" numFmtId="1" xfId="0" applyAlignment="1" applyBorder="1" applyFont="1" applyNumberFormat="1">
      <alignment horizontal="left"/>
    </xf>
    <xf borderId="0" fillId="0" fontId="10" numFmtId="169" xfId="0" applyAlignment="1" applyFont="1" applyNumberFormat="1">
      <alignment horizontal="center"/>
    </xf>
    <xf borderId="0" fillId="0" fontId="10" numFmtId="170" xfId="0" applyAlignment="1" applyFont="1" applyNumberFormat="1">
      <alignment horizontal="center"/>
    </xf>
    <xf borderId="0" fillId="0" fontId="10" numFmtId="164" xfId="0" applyAlignment="1" applyFont="1" applyNumberFormat="1">
      <alignment horizontal="right"/>
    </xf>
    <xf borderId="11" fillId="7" fontId="10" numFmtId="0" xfId="0" applyBorder="1" applyFont="1"/>
    <xf borderId="0" fillId="0" fontId="10" numFmtId="1" xfId="0" applyAlignment="1" applyFont="1" applyNumberFormat="1">
      <alignment horizontal="left"/>
    </xf>
    <xf borderId="0" fillId="0" fontId="10" numFmtId="171" xfId="0" applyAlignment="1" applyFont="1" applyNumberFormat="1">
      <alignment horizontal="right"/>
    </xf>
    <xf borderId="4" fillId="7" fontId="10" numFmtId="0" xfId="0" applyBorder="1" applyFont="1"/>
    <xf quotePrefix="1" borderId="4" fillId="7" fontId="10" numFmtId="0" xfId="0" applyBorder="1" applyFont="1"/>
    <xf borderId="0" fillId="0" fontId="10" numFmtId="172" xfId="0" applyAlignment="1" applyFont="1" applyNumberFormat="1">
      <alignment horizontal="right"/>
    </xf>
    <xf borderId="20" fillId="9" fontId="50" numFmtId="0" xfId="0" applyBorder="1" applyFill="1" applyFont="1"/>
    <xf borderId="20" fillId="9" fontId="47" numFmtId="173" xfId="0" applyAlignment="1" applyBorder="1" applyFont="1" applyNumberFormat="1">
      <alignment horizontal="center" vertical="top"/>
    </xf>
    <xf quotePrefix="1" borderId="20" fillId="9" fontId="47" numFmtId="173" xfId="0" applyAlignment="1" applyBorder="1" applyFont="1" applyNumberFormat="1">
      <alignment horizontal="center" vertical="top"/>
    </xf>
    <xf borderId="20" fillId="9" fontId="47" numFmtId="168" xfId="0" applyAlignment="1" applyBorder="1" applyFont="1" applyNumberFormat="1">
      <alignment horizontal="right"/>
    </xf>
    <xf borderId="0" fillId="0" fontId="10" numFmtId="173" xfId="0" applyAlignment="1" applyFont="1" applyNumberFormat="1">
      <alignment horizontal="center" vertical="top"/>
    </xf>
    <xf borderId="0" fillId="0" fontId="10" numFmtId="174" xfId="0" applyAlignment="1" applyFont="1" applyNumberFormat="1">
      <alignment horizontal="center" vertical="top"/>
    </xf>
    <xf borderId="0" fillId="0" fontId="10" numFmtId="175" xfId="0" applyAlignment="1" applyFont="1" applyNumberFormat="1">
      <alignment horizontal="center" vertical="top"/>
    </xf>
    <xf borderId="0" fillId="0" fontId="10" numFmtId="174" xfId="0" applyAlignment="1" applyFont="1" applyNumberFormat="1">
      <alignment horizontal="right" vertical="top"/>
    </xf>
    <xf borderId="0" fillId="0" fontId="10" numFmtId="176" xfId="0" applyAlignment="1" applyFont="1" applyNumberFormat="1">
      <alignment horizontal="center" vertical="top"/>
    </xf>
    <xf borderId="0" fillId="0" fontId="10" numFmtId="164" xfId="0" applyAlignment="1" applyFont="1" applyNumberFormat="1">
      <alignment horizontal="center" vertical="top"/>
    </xf>
    <xf borderId="0" fillId="0" fontId="10" numFmtId="177" xfId="0" applyAlignment="1" applyFont="1" applyNumberFormat="1">
      <alignment horizontal="center" vertical="top"/>
    </xf>
    <xf borderId="0" fillId="0" fontId="10" numFmtId="164" xfId="0" applyAlignment="1" applyFont="1" applyNumberFormat="1">
      <alignment horizontal="right" vertical="top"/>
    </xf>
    <xf borderId="0" fillId="10" fontId="51" numFmtId="164" xfId="0" applyAlignment="1" applyFill="1" applyFont="1" applyNumberFormat="1">
      <alignment readingOrder="0"/>
    </xf>
    <xf borderId="23" fillId="0" fontId="24" numFmtId="0" xfId="0" applyBorder="1" applyFont="1"/>
    <xf borderId="23" fillId="0" fontId="24" numFmtId="174" xfId="0" applyAlignment="1" applyBorder="1" applyFont="1" applyNumberFormat="1">
      <alignment horizontal="center" vertical="top"/>
    </xf>
    <xf borderId="23" fillId="0" fontId="24" numFmtId="175" xfId="0" applyAlignment="1" applyBorder="1" applyFont="1" applyNumberFormat="1">
      <alignment horizontal="center" vertical="top"/>
    </xf>
    <xf borderId="23" fillId="0" fontId="24" numFmtId="174" xfId="0" applyAlignment="1" applyBorder="1" applyFont="1" applyNumberFormat="1">
      <alignment horizontal="right" vertical="top"/>
    </xf>
    <xf borderId="23" fillId="0" fontId="24" numFmtId="176" xfId="0" applyAlignment="1" applyBorder="1" applyFont="1" applyNumberFormat="1">
      <alignment horizontal="center" vertical="top"/>
    </xf>
    <xf borderId="0" fillId="0" fontId="10" numFmtId="174" xfId="0" applyFont="1" applyNumberFormat="1"/>
    <xf borderId="0" fillId="0" fontId="10" numFmtId="178" xfId="0" applyFont="1" applyNumberFormat="1"/>
    <xf borderId="0" fillId="0" fontId="10" numFmtId="174" xfId="0" applyAlignment="1" applyFont="1" applyNumberFormat="1">
      <alignment horizontal="right"/>
    </xf>
    <xf borderId="0" fillId="0" fontId="10" numFmtId="178" xfId="0" applyAlignment="1" applyFont="1" applyNumberFormat="1">
      <alignment horizontal="right"/>
    </xf>
    <xf borderId="0" fillId="0" fontId="35" numFmtId="174" xfId="0" applyAlignment="1" applyFont="1" applyNumberFormat="1">
      <alignment horizontal="right"/>
    </xf>
    <xf borderId="0" fillId="0" fontId="35" numFmtId="176" xfId="0" applyAlignment="1" applyFont="1" applyNumberFormat="1">
      <alignment horizontal="center" vertical="top"/>
    </xf>
    <xf borderId="0" fillId="0" fontId="35" numFmtId="175" xfId="0" applyAlignment="1" applyFont="1" applyNumberFormat="1">
      <alignment horizontal="center" vertical="top"/>
    </xf>
    <xf borderId="0" fillId="0" fontId="35" numFmtId="174" xfId="0" applyAlignment="1" applyFont="1" applyNumberFormat="1">
      <alignment horizontal="right" vertical="top"/>
    </xf>
    <xf borderId="0" fillId="0" fontId="35" numFmtId="175" xfId="0" applyFont="1" applyNumberFormat="1"/>
    <xf borderId="20" fillId="11" fontId="50" numFmtId="0" xfId="0" applyBorder="1" applyFill="1" applyFont="1"/>
    <xf borderId="20" fillId="11" fontId="47" numFmtId="173" xfId="0" applyAlignment="1" applyBorder="1" applyFont="1" applyNumberFormat="1">
      <alignment horizontal="center" vertical="top"/>
    </xf>
    <xf borderId="20" fillId="11" fontId="47" numFmtId="178" xfId="0" applyBorder="1" applyFont="1" applyNumberFormat="1"/>
    <xf borderId="20" fillId="11" fontId="47" numFmtId="168" xfId="0" applyAlignment="1" applyBorder="1" applyFont="1" applyNumberFormat="1">
      <alignment horizontal="right"/>
    </xf>
    <xf borderId="0" fillId="0" fontId="10" numFmtId="178" xfId="0" applyAlignment="1" applyFont="1" applyNumberFormat="1">
      <alignment horizontal="center" vertical="top"/>
    </xf>
    <xf borderId="0" fillId="0" fontId="24" numFmtId="178" xfId="0" applyAlignment="1" applyFont="1" applyNumberFormat="1">
      <alignment horizontal="center" vertical="top"/>
    </xf>
    <xf borderId="0" fillId="0" fontId="24" numFmtId="175" xfId="0" applyAlignment="1" applyFont="1" applyNumberFormat="1">
      <alignment horizontal="center" vertical="top"/>
    </xf>
    <xf borderId="0" fillId="0" fontId="24" numFmtId="178" xfId="0" applyAlignment="1" applyFont="1" applyNumberFormat="1">
      <alignment horizontal="right" vertical="top"/>
    </xf>
    <xf borderId="24" fillId="9" fontId="24" numFmtId="0" xfId="0" applyAlignment="1" applyBorder="1" applyFont="1">
      <alignment horizontal="left"/>
    </xf>
    <xf borderId="25" fillId="9" fontId="24" numFmtId="174" xfId="0" applyAlignment="1" applyBorder="1" applyFont="1" applyNumberFormat="1">
      <alignment horizontal="center"/>
    </xf>
    <xf borderId="25" fillId="9" fontId="24" numFmtId="175" xfId="0" applyAlignment="1" applyBorder="1" applyFont="1" applyNumberFormat="1">
      <alignment horizontal="center"/>
    </xf>
    <xf borderId="25" fillId="9" fontId="24" numFmtId="174" xfId="0" applyAlignment="1" applyBorder="1" applyFont="1" applyNumberFormat="1">
      <alignment horizontal="right"/>
    </xf>
    <xf borderId="5" fillId="0" fontId="10" numFmtId="0" xfId="0" applyBorder="1" applyFont="1"/>
    <xf borderId="0" fillId="0" fontId="10" numFmtId="176" xfId="0" applyFont="1" applyNumberFormat="1"/>
    <xf borderId="0" fillId="0" fontId="10" numFmtId="179" xfId="0" applyFont="1" applyNumberFormat="1"/>
    <xf borderId="0" fillId="0" fontId="52" numFmtId="0" xfId="0" applyFont="1"/>
    <xf borderId="0" fillId="0" fontId="35" numFmtId="178" xfId="0" applyAlignment="1" applyFont="1" applyNumberFormat="1">
      <alignment horizontal="center"/>
    </xf>
    <xf borderId="0" fillId="0" fontId="52" numFmtId="174" xfId="0" applyAlignment="1" applyFont="1" applyNumberFormat="1">
      <alignment horizontal="right"/>
    </xf>
    <xf borderId="26" fillId="0" fontId="52" numFmtId="0" xfId="0" applyAlignment="1" applyBorder="1" applyFont="1">
      <alignment horizontal="left"/>
    </xf>
    <xf borderId="27" fillId="0" fontId="24" numFmtId="180" xfId="0" applyAlignment="1" applyBorder="1" applyFont="1" applyNumberFormat="1">
      <alignment horizontal="center"/>
    </xf>
    <xf borderId="27" fillId="0" fontId="24" numFmtId="175" xfId="0" applyAlignment="1" applyBorder="1" applyFont="1" applyNumberFormat="1">
      <alignment horizontal="center"/>
    </xf>
    <xf borderId="27" fillId="0" fontId="10" numFmtId="174" xfId="0" applyAlignment="1" applyBorder="1" applyFont="1" applyNumberFormat="1">
      <alignment horizontal="right"/>
    </xf>
    <xf borderId="0" fillId="0" fontId="52" numFmtId="178" xfId="0" applyAlignment="1" applyFont="1" applyNumberFormat="1">
      <alignment horizontal="center"/>
    </xf>
    <xf borderId="1" fillId="7" fontId="10" numFmtId="0" xfId="0" applyBorder="1" applyFont="1"/>
    <xf borderId="0" fillId="0" fontId="35" numFmtId="0" xfId="0" applyAlignment="1" applyFont="1">
      <alignment horizontal="left"/>
    </xf>
    <xf borderId="0" fillId="0" fontId="10" numFmtId="174" xfId="0" applyAlignment="1" applyFont="1" applyNumberFormat="1">
      <alignment horizontal="center"/>
    </xf>
    <xf borderId="0" fillId="0" fontId="24" numFmtId="174" xfId="0" applyAlignment="1" applyFont="1" applyNumberFormat="1">
      <alignment horizontal="center"/>
    </xf>
    <xf borderId="0" fillId="0" fontId="24" numFmtId="175" xfId="0" applyAlignment="1" applyFont="1" applyNumberFormat="1">
      <alignment horizontal="center"/>
    </xf>
    <xf borderId="1" fillId="7" fontId="11" numFmtId="174" xfId="0" applyAlignment="1" applyBorder="1" applyFont="1" applyNumberFormat="1">
      <alignment horizontal="right"/>
    </xf>
    <xf borderId="0" fillId="0" fontId="11" numFmtId="174" xfId="0" applyAlignment="1" applyFont="1" applyNumberFormat="1">
      <alignment horizontal="right"/>
    </xf>
    <xf borderId="0" fillId="0" fontId="20" numFmtId="174" xfId="0" applyAlignment="1" applyFont="1" applyNumberFormat="1">
      <alignment horizontal="right"/>
    </xf>
    <xf borderId="1" fillId="12" fontId="35" numFmtId="0" xfId="0" applyAlignment="1" applyBorder="1" applyFill="1" applyFont="1">
      <alignment horizontal="left"/>
    </xf>
    <xf borderId="1" fillId="12" fontId="10" numFmtId="174" xfId="0" applyAlignment="1" applyBorder="1" applyFont="1" applyNumberFormat="1">
      <alignment horizontal="center"/>
    </xf>
    <xf borderId="1" fillId="12" fontId="24" numFmtId="174" xfId="0" applyAlignment="1" applyBorder="1" applyFont="1" applyNumberFormat="1">
      <alignment horizontal="center"/>
    </xf>
    <xf borderId="14" fillId="7" fontId="11" numFmtId="174" xfId="0" applyAlignment="1" applyBorder="1" applyFont="1" applyNumberFormat="1">
      <alignment horizontal="right"/>
    </xf>
    <xf borderId="22" fillId="0" fontId="20" numFmtId="174" xfId="0" applyAlignment="1" applyBorder="1" applyFont="1" applyNumberFormat="1">
      <alignment horizontal="right"/>
    </xf>
    <xf borderId="1" fillId="7" fontId="11" numFmtId="177" xfId="0" applyAlignment="1" applyBorder="1" applyFont="1" applyNumberFormat="1">
      <alignment horizontal="right"/>
    </xf>
    <xf borderId="1" fillId="13" fontId="35" numFmtId="0" xfId="0" applyAlignment="1" applyBorder="1" applyFill="1" applyFont="1">
      <alignment horizontal="left"/>
    </xf>
    <xf borderId="1" fillId="13" fontId="10" numFmtId="174" xfId="0" applyAlignment="1" applyBorder="1" applyFont="1" applyNumberFormat="1">
      <alignment horizontal="center"/>
    </xf>
    <xf borderId="0" fillId="0" fontId="20" numFmtId="164" xfId="0" applyAlignment="1" applyFont="1" applyNumberFormat="1">
      <alignment horizontal="right"/>
    </xf>
    <xf borderId="1" fillId="7" fontId="53" numFmtId="0" xfId="0" applyAlignment="1" applyBorder="1" applyFont="1">
      <alignment horizontal="left"/>
    </xf>
    <xf borderId="1" fillId="7" fontId="11" numFmtId="174" xfId="0" applyAlignment="1" applyBorder="1" applyFont="1" applyNumberFormat="1">
      <alignment horizontal="center"/>
    </xf>
    <xf borderId="1" fillId="7" fontId="43" numFmtId="174" xfId="0" applyAlignment="1" applyBorder="1" applyFont="1" applyNumberFormat="1">
      <alignment horizontal="center"/>
    </xf>
    <xf borderId="0" fillId="0" fontId="43" numFmtId="175" xfId="0" applyAlignment="1" applyFont="1" applyNumberFormat="1">
      <alignment horizontal="center"/>
    </xf>
    <xf borderId="1" fillId="7" fontId="11" numFmtId="164" xfId="0" applyAlignment="1" applyBorder="1" applyFont="1" applyNumberFormat="1">
      <alignment horizontal="right"/>
    </xf>
    <xf borderId="23" fillId="0" fontId="52" numFmtId="0" xfId="0" applyAlignment="1" applyBorder="1" applyFont="1">
      <alignment horizontal="left"/>
    </xf>
    <xf borderId="23" fillId="0" fontId="24" numFmtId="174" xfId="0" applyAlignment="1" applyBorder="1" applyFont="1" applyNumberFormat="1">
      <alignment horizontal="center"/>
    </xf>
    <xf borderId="23" fillId="0" fontId="24" numFmtId="175" xfId="0" applyAlignment="1" applyBorder="1" applyFont="1" applyNumberFormat="1">
      <alignment horizontal="center"/>
    </xf>
    <xf borderId="23" fillId="0" fontId="24" numFmtId="174" xfId="0" applyAlignment="1" applyBorder="1" applyFont="1" applyNumberFormat="1">
      <alignment horizontal="right"/>
    </xf>
    <xf borderId="0" fillId="0" fontId="52" numFmtId="178" xfId="0" applyAlignment="1" applyFont="1" applyNumberFormat="1">
      <alignment horizontal="right"/>
    </xf>
    <xf borderId="0" fillId="0" fontId="54" numFmtId="0" xfId="0" applyFont="1"/>
    <xf borderId="0" fillId="0" fontId="24" numFmtId="164" xfId="0" applyAlignment="1" applyFont="1" applyNumberFormat="1">
      <alignment horizontal="center"/>
    </xf>
    <xf borderId="1" fillId="14" fontId="11" numFmtId="174" xfId="0" applyAlignment="1" applyBorder="1" applyFill="1" applyFont="1" applyNumberFormat="1">
      <alignment readingOrder="0"/>
    </xf>
    <xf borderId="0" fillId="0" fontId="24" numFmtId="181" xfId="0" applyAlignment="1" applyFont="1" applyNumberFormat="1">
      <alignment horizontal="center"/>
    </xf>
    <xf borderId="0" fillId="14" fontId="18" numFmtId="164" xfId="0" applyAlignment="1" applyFont="1" applyNumberFormat="1">
      <alignment horizontal="right" readingOrder="0" shrinkToFit="0" vertical="bottom" wrapText="0"/>
    </xf>
    <xf borderId="0" fillId="0" fontId="10" numFmtId="180" xfId="0" applyAlignment="1" applyFont="1" applyNumberFormat="1">
      <alignment horizontal="center"/>
    </xf>
    <xf borderId="0" fillId="0" fontId="10" numFmtId="14" xfId="0" applyFont="1" applyNumberFormat="1"/>
    <xf borderId="1" fillId="7" fontId="11" numFmtId="164" xfId="0" applyAlignment="1" applyBorder="1" applyFont="1" applyNumberFormat="1">
      <alignment readingOrder="0"/>
    </xf>
    <xf borderId="1" fillId="7" fontId="11" numFmtId="164" xfId="0" applyBorder="1" applyFont="1" applyNumberFormat="1"/>
    <xf borderId="0" fillId="0" fontId="24" numFmtId="0" xfId="0" applyAlignment="1" applyFont="1">
      <alignment horizontal="left"/>
    </xf>
    <xf borderId="22" fillId="0" fontId="55" numFmtId="174" xfId="0" applyBorder="1" applyFont="1" applyNumberFormat="1"/>
    <xf borderId="0" fillId="14" fontId="18" numFmtId="174" xfId="0" applyAlignment="1" applyFont="1" applyNumberFormat="1">
      <alignment horizontal="right" readingOrder="0" shrinkToFit="0" vertical="bottom" wrapText="0"/>
    </xf>
    <xf borderId="0" fillId="0" fontId="10" numFmtId="0" xfId="0" applyAlignment="1" applyFont="1">
      <alignment horizontal="right"/>
    </xf>
    <xf borderId="1" fillId="14" fontId="11" numFmtId="164" xfId="0" applyAlignment="1" applyBorder="1" applyFont="1" applyNumberFormat="1">
      <alignment readingOrder="0"/>
    </xf>
    <xf borderId="22" fillId="0" fontId="24" numFmtId="174" xfId="0" applyBorder="1" applyFont="1" applyNumberFormat="1"/>
    <xf borderId="0" fillId="0" fontId="24" numFmtId="182" xfId="0" applyFont="1" applyNumberFormat="1"/>
    <xf borderId="0" fillId="0" fontId="35" numFmtId="180" xfId="0" applyAlignment="1" applyFont="1" applyNumberFormat="1">
      <alignment horizontal="center"/>
    </xf>
    <xf borderId="0" fillId="0" fontId="52" numFmtId="181" xfId="0" applyAlignment="1" applyFont="1" applyNumberFormat="1">
      <alignment horizontal="right"/>
    </xf>
    <xf borderId="1" fillId="3" fontId="44" numFmtId="0" xfId="0" applyBorder="1" applyFont="1"/>
    <xf borderId="1" fillId="3" fontId="23" numFmtId="0" xfId="0" applyBorder="1" applyFont="1"/>
    <xf borderId="0" fillId="0" fontId="56" numFmtId="0" xfId="0" applyAlignment="1" applyFont="1">
      <alignment horizontal="center"/>
    </xf>
    <xf borderId="0" fillId="0" fontId="10" numFmtId="164" xfId="0" applyFont="1" applyNumberFormat="1"/>
    <xf borderId="1" fillId="4" fontId="23" numFmtId="0" xfId="0" applyBorder="1" applyFont="1"/>
    <xf borderId="0" fillId="0" fontId="57" numFmtId="0" xfId="0" applyFont="1"/>
    <xf borderId="0" fillId="0" fontId="57" numFmtId="0" xfId="0" applyAlignment="1" applyFont="1">
      <alignment horizontal="right" shrinkToFit="0" wrapText="1"/>
    </xf>
    <xf borderId="0" fillId="0" fontId="46" numFmtId="0" xfId="0" applyAlignment="1" applyFont="1">
      <alignment horizontal="center"/>
    </xf>
    <xf borderId="0" fillId="0" fontId="45" numFmtId="0" xfId="0" applyFont="1"/>
    <xf borderId="0" fillId="0" fontId="58" numFmtId="0" xfId="0" applyFont="1"/>
    <xf borderId="0" fillId="0" fontId="24" numFmtId="183" xfId="0" applyAlignment="1" applyFont="1" applyNumberFormat="1">
      <alignment horizontal="center"/>
    </xf>
    <xf borderId="0" fillId="0" fontId="59" numFmtId="10" xfId="0" applyAlignment="1" applyFont="1" applyNumberFormat="1">
      <alignment horizontal="center"/>
    </xf>
    <xf borderId="28" fillId="0" fontId="24" numFmtId="164" xfId="0" applyBorder="1" applyFont="1" applyNumberFormat="1"/>
    <xf borderId="22" fillId="0" fontId="24" numFmtId="164" xfId="0" applyAlignment="1" applyBorder="1" applyFont="1" applyNumberFormat="1">
      <alignment horizontal="center"/>
    </xf>
    <xf borderId="29" fillId="0" fontId="10" numFmtId="183" xfId="0" applyAlignment="1" applyBorder="1" applyFont="1" applyNumberFormat="1">
      <alignment horizontal="center"/>
    </xf>
    <xf borderId="30" fillId="0" fontId="46" numFmtId="183" xfId="0" applyBorder="1" applyFont="1" applyNumberFormat="1"/>
    <xf borderId="23" fillId="0" fontId="46" numFmtId="183" xfId="0" applyBorder="1" applyFont="1" applyNumberFormat="1"/>
    <xf borderId="15" fillId="15" fontId="46" numFmtId="0" xfId="0" applyAlignment="1" applyBorder="1" applyFill="1" applyFont="1">
      <alignment horizontal="center"/>
    </xf>
    <xf borderId="23" fillId="0" fontId="58" numFmtId="0" xfId="0" applyBorder="1" applyFont="1"/>
    <xf borderId="31" fillId="0" fontId="58" numFmtId="0" xfId="0" applyAlignment="1" applyBorder="1" applyFont="1">
      <alignment horizontal="center"/>
    </xf>
    <xf borderId="28" fillId="0" fontId="46" numFmtId="0" xfId="0" applyAlignment="1" applyBorder="1" applyFont="1">
      <alignment horizontal="center" shrinkToFit="0" wrapText="1"/>
    </xf>
    <xf borderId="22" fillId="0" fontId="46" numFmtId="0" xfId="0" applyAlignment="1" applyBorder="1" applyFont="1">
      <alignment horizontal="center" shrinkToFit="0" wrapText="1"/>
    </xf>
    <xf borderId="14" fillId="6" fontId="46" numFmtId="0" xfId="0" applyAlignment="1" applyBorder="1" applyFont="1">
      <alignment horizontal="center" shrinkToFit="0" wrapText="1"/>
    </xf>
    <xf borderId="14" fillId="6" fontId="58" numFmtId="183" xfId="0" applyAlignment="1" applyBorder="1" applyFont="1" applyNumberFormat="1">
      <alignment horizontal="center"/>
    </xf>
    <xf borderId="14" fillId="15" fontId="58" numFmtId="183" xfId="0" applyAlignment="1" applyBorder="1" applyFont="1" applyNumberFormat="1">
      <alignment horizontal="center"/>
    </xf>
    <xf borderId="32" fillId="6" fontId="58" numFmtId="183" xfId="0" applyAlignment="1" applyBorder="1" applyFont="1" applyNumberFormat="1">
      <alignment horizontal="center"/>
    </xf>
    <xf borderId="33" fillId="0" fontId="46" numFmtId="0" xfId="0" applyAlignment="1" applyBorder="1" applyFont="1">
      <alignment horizontal="center" shrinkToFit="0" wrapText="1"/>
    </xf>
    <xf quotePrefix="1" borderId="3" fillId="0" fontId="46" numFmtId="0" xfId="0" applyAlignment="1" applyBorder="1" applyFont="1">
      <alignment horizontal="center" shrinkToFit="0" wrapText="1"/>
    </xf>
    <xf borderId="20" fillId="6" fontId="46" numFmtId="0" xfId="0" applyAlignment="1" applyBorder="1" applyFont="1">
      <alignment horizontal="center" shrinkToFit="0" wrapText="1"/>
    </xf>
    <xf borderId="20" fillId="6" fontId="46" numFmtId="184" xfId="0" applyAlignment="1" applyBorder="1" applyFont="1" applyNumberFormat="1">
      <alignment horizontal="center"/>
    </xf>
    <xf borderId="20" fillId="15" fontId="46" numFmtId="184" xfId="0" applyAlignment="1" applyBorder="1" applyFont="1" applyNumberFormat="1">
      <alignment horizontal="center"/>
    </xf>
    <xf borderId="21" fillId="6" fontId="46" numFmtId="185" xfId="0" applyAlignment="1" applyBorder="1" applyFont="1" applyNumberFormat="1">
      <alignment horizontal="center"/>
    </xf>
    <xf borderId="0" fillId="0" fontId="46" numFmtId="0" xfId="0" applyAlignment="1" applyFont="1">
      <alignment horizontal="center" shrinkToFit="0" wrapText="1"/>
    </xf>
    <xf borderId="0" fillId="0" fontId="58" numFmtId="0" xfId="0" applyAlignment="1" applyFont="1">
      <alignment horizontal="center" shrinkToFit="0" wrapText="1"/>
    </xf>
    <xf borderId="0" fillId="0" fontId="58" numFmtId="164" xfId="0" applyAlignment="1" applyFont="1" applyNumberFormat="1">
      <alignment horizontal="center"/>
    </xf>
    <xf borderId="0" fillId="0" fontId="58" numFmtId="14" xfId="0" applyAlignment="1" applyFont="1" applyNumberFormat="1">
      <alignment horizontal="center"/>
    </xf>
    <xf quotePrefix="1" borderId="0" fillId="0" fontId="58" numFmtId="0" xfId="0" applyAlignment="1" applyFont="1">
      <alignment horizontal="center" shrinkToFit="0" wrapText="1"/>
    </xf>
    <xf borderId="0" fillId="0" fontId="58" numFmtId="186" xfId="0" applyAlignment="1" applyFont="1" applyNumberFormat="1">
      <alignment horizontal="center" shrinkToFit="0" wrapText="1"/>
    </xf>
    <xf borderId="15" fillId="9" fontId="46" numFmtId="0" xfId="0" applyBorder="1" applyFont="1"/>
    <xf borderId="34" fillId="9" fontId="46" numFmtId="0" xfId="0" applyAlignment="1" applyBorder="1" applyFont="1">
      <alignment horizontal="center" shrinkToFit="0" wrapText="1"/>
    </xf>
    <xf borderId="34" fillId="9" fontId="46" numFmtId="183" xfId="0" applyAlignment="1" applyBorder="1" applyFont="1" applyNumberFormat="1">
      <alignment horizontal="center"/>
    </xf>
    <xf borderId="35" fillId="0" fontId="58" numFmtId="0" xfId="0" applyBorder="1" applyFont="1"/>
    <xf borderId="36" fillId="0" fontId="58" numFmtId="174" xfId="0" applyBorder="1" applyFont="1" applyNumberFormat="1"/>
    <xf borderId="37" fillId="7" fontId="60" numFmtId="174" xfId="0" applyBorder="1" applyFont="1" applyNumberFormat="1"/>
    <xf borderId="37" fillId="7" fontId="60" numFmtId="174" xfId="0" applyAlignment="1" applyBorder="1" applyFont="1" applyNumberFormat="1">
      <alignment readingOrder="0"/>
    </xf>
    <xf borderId="38" fillId="0" fontId="58" numFmtId="0" xfId="0" applyBorder="1" applyFont="1"/>
    <xf borderId="5" fillId="0" fontId="58" numFmtId="164" xfId="0" applyBorder="1" applyFont="1" applyNumberFormat="1"/>
    <xf borderId="5" fillId="7" fontId="60" numFmtId="164" xfId="0" applyAlignment="1" applyBorder="1" applyFont="1" applyNumberFormat="1">
      <alignment readingOrder="0"/>
    </xf>
    <xf borderId="5" fillId="7" fontId="60" numFmtId="164" xfId="0" applyBorder="1" applyFont="1" applyNumberFormat="1"/>
    <xf borderId="5" fillId="16" fontId="60" numFmtId="164" xfId="0" applyBorder="1" applyFill="1" applyFont="1" applyNumberFormat="1"/>
    <xf borderId="4" fillId="17" fontId="35" numFmtId="0" xfId="0" applyBorder="1" applyFill="1" applyFont="1"/>
    <xf borderId="39" fillId="0" fontId="58" numFmtId="0" xfId="0" applyBorder="1" applyFont="1"/>
    <xf borderId="40" fillId="0" fontId="58" numFmtId="164" xfId="0" applyBorder="1" applyFont="1" applyNumberFormat="1"/>
    <xf borderId="41" fillId="0" fontId="58" numFmtId="164" xfId="0" applyBorder="1" applyFont="1" applyNumberFormat="1"/>
    <xf borderId="41" fillId="7" fontId="60" numFmtId="164" xfId="0" applyBorder="1" applyFont="1" applyNumberFormat="1"/>
    <xf borderId="41" fillId="16" fontId="60" numFmtId="164" xfId="0" applyBorder="1" applyFont="1" applyNumberFormat="1"/>
    <xf borderId="23" fillId="0" fontId="46" numFmtId="0" xfId="0" applyBorder="1" applyFont="1"/>
    <xf borderId="23" fillId="0" fontId="46" numFmtId="174" xfId="0" applyAlignment="1" applyBorder="1" applyFont="1" applyNumberFormat="1">
      <alignment horizontal="right"/>
    </xf>
    <xf borderId="23" fillId="0" fontId="46" numFmtId="164" xfId="0" applyBorder="1" applyFont="1" applyNumberFormat="1"/>
    <xf borderId="31" fillId="0" fontId="46" numFmtId="174" xfId="0" applyAlignment="1" applyBorder="1" applyFont="1" applyNumberFormat="1">
      <alignment horizontal="right"/>
    </xf>
    <xf borderId="0" fillId="0" fontId="61" numFmtId="174" xfId="0" applyFont="1" applyNumberFormat="1"/>
    <xf borderId="0" fillId="0" fontId="62" numFmtId="164" xfId="0" applyAlignment="1" applyFont="1" applyNumberFormat="1">
      <alignment horizontal="center"/>
    </xf>
    <xf borderId="0" fillId="0" fontId="58" numFmtId="38" xfId="0" applyFont="1" applyNumberFormat="1"/>
    <xf borderId="0" fillId="0" fontId="58" numFmtId="164" xfId="0" applyFont="1" applyNumberFormat="1"/>
    <xf borderId="0" fillId="0" fontId="46" numFmtId="9" xfId="0" applyFont="1" applyNumberFormat="1"/>
    <xf borderId="0" fillId="0" fontId="46" numFmtId="164" xfId="0" applyAlignment="1" applyFont="1" applyNumberFormat="1">
      <alignment horizontal="center"/>
    </xf>
    <xf borderId="0" fillId="0" fontId="46" numFmtId="175" xfId="0" applyFont="1" applyNumberFormat="1"/>
    <xf borderId="0" fillId="0" fontId="58" numFmtId="183" xfId="0" applyFont="1" applyNumberFormat="1"/>
    <xf borderId="0" fillId="0" fontId="58" numFmtId="183" xfId="0" applyAlignment="1" applyFont="1" applyNumberFormat="1">
      <alignment horizontal="right"/>
    </xf>
    <xf borderId="15" fillId="11" fontId="46" numFmtId="0" xfId="0" applyBorder="1" applyFont="1"/>
    <xf borderId="15" fillId="11" fontId="58" numFmtId="0" xfId="0" applyBorder="1" applyFont="1"/>
    <xf borderId="15" fillId="11" fontId="58" numFmtId="183" xfId="0" applyBorder="1" applyFont="1" applyNumberFormat="1"/>
    <xf borderId="42" fillId="0" fontId="58" numFmtId="0" xfId="0" applyBorder="1" applyFont="1"/>
    <xf borderId="42" fillId="0" fontId="58" numFmtId="174" xfId="0" applyBorder="1" applyFont="1" applyNumberFormat="1"/>
    <xf borderId="42" fillId="7" fontId="60" numFmtId="164" xfId="0" applyBorder="1" applyFont="1" applyNumberFormat="1"/>
    <xf borderId="42" fillId="7" fontId="60" numFmtId="164" xfId="0" applyAlignment="1" applyBorder="1" applyFont="1" applyNumberFormat="1">
      <alignment readingOrder="0"/>
    </xf>
    <xf borderId="42" fillId="12" fontId="60" numFmtId="164" xfId="0" applyBorder="1" applyFont="1" applyNumberFormat="1"/>
    <xf borderId="5" fillId="0" fontId="58" numFmtId="0" xfId="0" applyBorder="1" applyFont="1"/>
    <xf borderId="5" fillId="12" fontId="60" numFmtId="164" xfId="0" applyBorder="1" applyFont="1" applyNumberFormat="1"/>
    <xf borderId="40" fillId="0" fontId="58" numFmtId="0" xfId="0" applyBorder="1" applyFont="1"/>
    <xf borderId="43" fillId="7" fontId="60" numFmtId="164" xfId="0" applyAlignment="1" applyBorder="1" applyFont="1" applyNumberFormat="1">
      <alignment readingOrder="0"/>
    </xf>
    <xf borderId="43" fillId="12" fontId="60" numFmtId="164" xfId="0" applyBorder="1" applyFont="1" applyNumberFormat="1"/>
    <xf borderId="23" fillId="0" fontId="46" numFmtId="174" xfId="0" applyBorder="1" applyFont="1" applyNumberFormat="1"/>
    <xf borderId="44" fillId="0" fontId="24" numFmtId="0" xfId="0" applyBorder="1" applyFont="1"/>
    <xf borderId="33" fillId="0" fontId="10" numFmtId="164" xfId="0" applyAlignment="1" applyBorder="1" applyFont="1" applyNumberFormat="1">
      <alignment horizontal="right"/>
    </xf>
    <xf borderId="23" fillId="0" fontId="63" numFmtId="174" xfId="0" applyAlignment="1" applyBorder="1" applyFont="1" applyNumberFormat="1">
      <alignment horizontal="right"/>
    </xf>
    <xf borderId="23" fillId="0" fontId="24" numFmtId="174" xfId="0" applyBorder="1" applyFont="1" applyNumberFormat="1"/>
    <xf borderId="0" fillId="0" fontId="53" numFmtId="174" xfId="0" applyAlignment="1" applyFont="1" applyNumberFormat="1">
      <alignment horizontal="right"/>
    </xf>
    <xf borderId="0" fillId="0" fontId="24" numFmtId="174" xfId="0" applyAlignment="1" applyFont="1" applyNumberFormat="1">
      <alignment horizontal="right"/>
    </xf>
    <xf borderId="0" fillId="0" fontId="35" numFmtId="174" xfId="0" applyFont="1" applyNumberFormat="1"/>
    <xf borderId="22" fillId="0" fontId="64" numFmtId="0" xfId="0" applyBorder="1" applyFont="1"/>
    <xf borderId="22" fillId="0" fontId="23" numFmtId="164" xfId="0" applyAlignment="1" applyBorder="1" applyFont="1" applyNumberFormat="1">
      <alignment horizontal="right"/>
    </xf>
    <xf borderId="22" fillId="0" fontId="25" numFmtId="174" xfId="0" applyAlignment="1" applyBorder="1" applyFont="1" applyNumberFormat="1">
      <alignment horizontal="right"/>
    </xf>
    <xf borderId="22" fillId="0" fontId="64" numFmtId="174" xfId="0" applyBorder="1" applyFont="1" applyNumberFormat="1"/>
    <xf borderId="0" fillId="0" fontId="23" numFmtId="164" xfId="0" applyAlignment="1" applyFont="1" applyNumberFormat="1">
      <alignment horizontal="right"/>
    </xf>
    <xf borderId="0" fillId="0" fontId="25" numFmtId="174" xfId="0" applyAlignment="1" applyFont="1" applyNumberFormat="1">
      <alignment horizontal="right"/>
    </xf>
    <xf borderId="0" fillId="0" fontId="64" numFmtId="174" xfId="0" applyFont="1" applyNumberFormat="1"/>
    <xf borderId="0" fillId="0" fontId="58" numFmtId="9" xfId="0" applyFont="1" applyNumberFormat="1"/>
    <xf borderId="0" fillId="0" fontId="58" numFmtId="175" xfId="0" applyFont="1" applyNumberFormat="1"/>
    <xf borderId="0" fillId="0" fontId="58" numFmtId="171" xfId="0" applyFont="1" applyNumberFormat="1"/>
    <xf borderId="1" fillId="9" fontId="46" numFmtId="0" xfId="0" applyBorder="1" applyFont="1"/>
    <xf borderId="1" fillId="9" fontId="58" numFmtId="183" xfId="0" applyBorder="1" applyFont="1" applyNumberFormat="1"/>
    <xf borderId="1" fillId="9" fontId="58" numFmtId="171" xfId="0" applyBorder="1" applyFont="1" applyNumberFormat="1"/>
    <xf borderId="5" fillId="0" fontId="65" numFmtId="164" xfId="0" applyBorder="1" applyFont="1" applyNumberFormat="1"/>
    <xf borderId="5" fillId="0" fontId="58" numFmtId="174" xfId="0" applyBorder="1" applyFont="1" applyNumberFormat="1"/>
    <xf borderId="43" fillId="7" fontId="60" numFmtId="164" xfId="0" applyBorder="1" applyFont="1" applyNumberFormat="1"/>
    <xf borderId="42" fillId="0" fontId="65" numFmtId="164" xfId="0" applyBorder="1" applyFont="1" applyNumberFormat="1"/>
    <xf borderId="1" fillId="7" fontId="66" numFmtId="9" xfId="0" applyAlignment="1" applyBorder="1" applyFont="1" applyNumberFormat="1">
      <alignment readingOrder="0"/>
    </xf>
    <xf borderId="40" fillId="0" fontId="58" numFmtId="174" xfId="0" applyBorder="1" applyFont="1" applyNumberFormat="1"/>
    <xf borderId="45" fillId="0" fontId="46" numFmtId="164" xfId="0" applyBorder="1" applyFont="1" applyNumberFormat="1"/>
    <xf borderId="0" fillId="0" fontId="58" numFmtId="174" xfId="0" applyFont="1" applyNumberFormat="1"/>
    <xf borderId="22" fillId="0" fontId="46" numFmtId="174" xfId="0" applyBorder="1" applyFont="1" applyNumberFormat="1"/>
    <xf borderId="14" fillId="16" fontId="46" numFmtId="174" xfId="0" applyBorder="1" applyFont="1" applyNumberFormat="1"/>
    <xf borderId="3" fillId="0" fontId="58" numFmtId="183" xfId="0" applyBorder="1" applyFont="1" applyNumberFormat="1"/>
    <xf borderId="3" fillId="0" fontId="58" numFmtId="164" xfId="0" applyBorder="1" applyFont="1" applyNumberFormat="1"/>
    <xf borderId="1" fillId="18" fontId="46" numFmtId="0" xfId="0" applyBorder="1" applyFill="1" applyFont="1"/>
    <xf borderId="1" fillId="18" fontId="46" numFmtId="183" xfId="0" applyBorder="1" applyFont="1" applyNumberFormat="1"/>
    <xf borderId="1" fillId="18" fontId="46" numFmtId="175" xfId="0" applyBorder="1" applyFont="1" applyNumberFormat="1"/>
    <xf borderId="1" fillId="12" fontId="46" numFmtId="175" xfId="0" applyBorder="1" applyFont="1" applyNumberFormat="1"/>
    <xf borderId="0" fillId="0" fontId="46" numFmtId="183" xfId="0" applyFont="1" applyNumberFormat="1"/>
    <xf borderId="1" fillId="2" fontId="45" numFmtId="0" xfId="0" applyBorder="1" applyFont="1"/>
    <xf borderId="1" fillId="9" fontId="46" numFmtId="0" xfId="0" applyAlignment="1" applyBorder="1" applyFont="1">
      <alignment horizontal="center" shrinkToFit="0" wrapText="1"/>
    </xf>
    <xf borderId="1" fillId="9" fontId="46" numFmtId="183" xfId="0" applyAlignment="1" applyBorder="1" applyFont="1" applyNumberFormat="1">
      <alignment horizontal="center"/>
    </xf>
    <xf borderId="5" fillId="0" fontId="58" numFmtId="175" xfId="0" applyBorder="1" applyFont="1" applyNumberFormat="1"/>
    <xf borderId="40" fillId="0" fontId="58" numFmtId="175" xfId="0" applyBorder="1" applyFont="1" applyNumberFormat="1"/>
    <xf borderId="42" fillId="0" fontId="58" numFmtId="175" xfId="0" applyAlignment="1" applyBorder="1" applyFont="1" applyNumberFormat="1">
      <alignment horizontal="right"/>
    </xf>
    <xf borderId="1" fillId="11" fontId="46" numFmtId="0" xfId="0" applyBorder="1" applyFont="1"/>
    <xf borderId="1" fillId="11" fontId="58" numFmtId="183" xfId="0" applyBorder="1" applyFont="1" applyNumberFormat="1"/>
    <xf borderId="36" fillId="0" fontId="58" numFmtId="175" xfId="0" applyBorder="1" applyFont="1" applyNumberFormat="1"/>
    <xf borderId="23" fillId="0" fontId="58" numFmtId="175" xfId="0" applyBorder="1" applyFont="1" applyNumberFormat="1"/>
    <xf borderId="36" fillId="0" fontId="58" numFmtId="38" xfId="0" applyBorder="1" applyFont="1" applyNumberFormat="1"/>
    <xf borderId="41" fillId="0" fontId="58" numFmtId="38" xfId="0" applyBorder="1" applyFont="1" applyNumberFormat="1"/>
    <xf borderId="41" fillId="0" fontId="58" numFmtId="175" xfId="0" applyBorder="1" applyFont="1" applyNumberFormat="1"/>
    <xf borderId="5" fillId="0" fontId="58" numFmtId="38" xfId="0" applyBorder="1" applyFont="1" applyNumberFormat="1"/>
    <xf borderId="5" fillId="7" fontId="58" numFmtId="174" xfId="0" applyAlignment="1" applyBorder="1" applyFont="1" applyNumberFormat="1">
      <alignment readingOrder="0"/>
    </xf>
    <xf borderId="40" fillId="0" fontId="58" numFmtId="38" xfId="0" applyBorder="1" applyFont="1" applyNumberFormat="1"/>
    <xf borderId="42" fillId="0" fontId="46" numFmtId="38" xfId="0" applyBorder="1" applyFont="1" applyNumberFormat="1"/>
    <xf borderId="42" fillId="0" fontId="46" numFmtId="164" xfId="0" applyBorder="1" applyFont="1" applyNumberFormat="1"/>
    <xf borderId="0" fillId="0" fontId="10" numFmtId="175" xfId="0" applyFont="1" applyNumberFormat="1"/>
    <xf quotePrefix="1" borderId="0" fillId="0" fontId="10" numFmtId="0" xfId="0" applyFont="1"/>
    <xf borderId="0" fillId="0" fontId="5" numFmtId="0" xfId="0" applyFont="1"/>
    <xf borderId="46" fillId="6" fontId="24" numFmtId="0" xfId="0" applyAlignment="1" applyBorder="1" applyFont="1">
      <alignment horizontal="right"/>
    </xf>
    <xf borderId="47" fillId="6" fontId="24" numFmtId="0" xfId="0" applyAlignment="1" applyBorder="1" applyFont="1">
      <alignment horizontal="right"/>
    </xf>
    <xf borderId="44" fillId="0" fontId="24" numFmtId="0" xfId="0" applyAlignment="1" applyBorder="1" applyFont="1">
      <alignment horizontal="center"/>
    </xf>
    <xf borderId="48" fillId="6" fontId="24" numFmtId="0" xfId="0" applyAlignment="1" applyBorder="1" applyFont="1">
      <alignment horizontal="right"/>
    </xf>
    <xf borderId="0" fillId="0" fontId="10" numFmtId="169" xfId="0" applyAlignment="1" applyFont="1" applyNumberFormat="1">
      <alignment horizontal="center" readingOrder="0"/>
    </xf>
    <xf borderId="0" fillId="0" fontId="10" numFmtId="164" xfId="0" applyAlignment="1" applyFont="1" applyNumberFormat="1">
      <alignment horizontal="right" readingOrder="0"/>
    </xf>
    <xf borderId="0" fillId="0" fontId="10" numFmtId="171" xfId="0" applyAlignment="1" applyFont="1" applyNumberFormat="1">
      <alignment horizontal="right" readingOrder="0"/>
    </xf>
    <xf borderId="0" fillId="0" fontId="10" numFmtId="187" xfId="0" applyAlignment="1" applyFont="1" applyNumberFormat="1">
      <alignment horizontal="right" readingOrder="0"/>
    </xf>
    <xf borderId="0" fillId="0" fontId="10" numFmtId="187" xfId="0" applyAlignment="1" applyFont="1" applyNumberFormat="1">
      <alignment horizontal="right"/>
    </xf>
    <xf borderId="0" fillId="0" fontId="10" numFmtId="188" xfId="0" applyAlignment="1" applyFont="1" applyNumberFormat="1">
      <alignment horizontal="right"/>
    </xf>
    <xf borderId="20" fillId="18" fontId="50" numFmtId="0" xfId="0" applyBorder="1" applyFont="1"/>
    <xf borderId="20" fillId="18" fontId="67" numFmtId="0" xfId="0" applyBorder="1" applyFont="1"/>
    <xf borderId="20" fillId="18" fontId="47" numFmtId="168" xfId="0" applyBorder="1" applyFont="1" applyNumberFormat="1"/>
    <xf borderId="22" fillId="0" fontId="10" numFmtId="0" xfId="0" applyBorder="1" applyFont="1"/>
    <xf borderId="22" fillId="0" fontId="24" numFmtId="164" xfId="0" applyAlignment="1" applyBorder="1" applyFont="1" applyNumberFormat="1">
      <alignment horizontal="right"/>
    </xf>
    <xf borderId="22" fillId="0" fontId="24" numFmtId="189" xfId="0" applyAlignment="1" applyBorder="1" applyFont="1" applyNumberFormat="1">
      <alignment horizontal="right"/>
    </xf>
    <xf borderId="0" fillId="0" fontId="24" numFmtId="181" xfId="0" applyAlignment="1" applyFont="1" applyNumberFormat="1">
      <alignment horizontal="right"/>
    </xf>
    <xf borderId="0" fillId="0" fontId="24" numFmtId="175" xfId="0" applyAlignment="1" applyFont="1" applyNumberFormat="1">
      <alignment horizontal="right"/>
    </xf>
    <xf borderId="22" fillId="0" fontId="10" numFmtId="180" xfId="0" applyAlignment="1" applyBorder="1" applyFont="1" applyNumberFormat="1">
      <alignment horizontal="center"/>
    </xf>
    <xf borderId="22" fillId="0" fontId="10" numFmtId="174" xfId="0" applyAlignment="1" applyBorder="1" applyFont="1" applyNumberFormat="1">
      <alignment horizontal="right"/>
    </xf>
    <xf borderId="0" fillId="0" fontId="10" numFmtId="180" xfId="0" applyAlignment="1" applyFont="1" applyNumberFormat="1">
      <alignment horizontal="right"/>
    </xf>
    <xf borderId="0" fillId="0" fontId="10" numFmtId="175" xfId="0" applyAlignment="1" applyFont="1" applyNumberFormat="1">
      <alignment horizontal="right"/>
    </xf>
    <xf borderId="22" fillId="0" fontId="24" numFmtId="1" xfId="0" applyAlignment="1" applyBorder="1" applyFont="1" applyNumberFormat="1">
      <alignment horizontal="left"/>
    </xf>
    <xf borderId="22" fillId="0" fontId="10" numFmtId="190" xfId="0" applyAlignment="1" applyBorder="1" applyFont="1" applyNumberFormat="1">
      <alignment horizontal="center"/>
    </xf>
    <xf borderId="22" fillId="0" fontId="10" numFmtId="191" xfId="0" applyAlignment="1" applyBorder="1" applyFont="1" applyNumberFormat="1">
      <alignment horizontal="center"/>
    </xf>
    <xf borderId="22" fillId="0" fontId="10" numFmtId="164" xfId="0" applyAlignment="1" applyBorder="1" applyFont="1" applyNumberFormat="1">
      <alignment horizontal="center"/>
    </xf>
    <xf borderId="22" fillId="0" fontId="10" numFmtId="164" xfId="0" applyAlignment="1" applyBorder="1" applyFont="1" applyNumberFormat="1">
      <alignment horizontal="right"/>
    </xf>
    <xf borderId="0" fillId="0" fontId="24" numFmtId="1" xfId="0" applyAlignment="1" applyFont="1" applyNumberFormat="1">
      <alignment horizontal="left"/>
    </xf>
    <xf borderId="3" fillId="0" fontId="10" numFmtId="190" xfId="0" applyAlignment="1" applyBorder="1" applyFont="1" applyNumberFormat="1">
      <alignment horizontal="center"/>
    </xf>
    <xf borderId="0" fillId="0" fontId="10" numFmtId="191" xfId="0" applyAlignment="1" applyFont="1" applyNumberFormat="1">
      <alignment horizontal="center"/>
    </xf>
    <xf borderId="0" fillId="0" fontId="10" numFmtId="164" xfId="0" applyAlignment="1" applyFont="1" applyNumberFormat="1">
      <alignment horizontal="center"/>
    </xf>
    <xf borderId="0" fillId="0" fontId="24" numFmtId="171" xfId="0" applyAlignment="1" applyFont="1" applyNumberFormat="1">
      <alignment horizontal="right" vertical="top"/>
    </xf>
    <xf borderId="0" fillId="0" fontId="10" numFmtId="190" xfId="0" applyAlignment="1" applyFont="1" applyNumberFormat="1">
      <alignment horizontal="center"/>
    </xf>
    <xf borderId="0" fillId="0" fontId="35" numFmtId="1" xfId="0" applyAlignment="1" applyFont="1" applyNumberFormat="1">
      <alignment horizontal="left"/>
    </xf>
    <xf borderId="23" fillId="0" fontId="10" numFmtId="1" xfId="0" applyAlignment="1" applyBorder="1" applyFont="1" applyNumberFormat="1">
      <alignment horizontal="left"/>
    </xf>
    <xf borderId="23" fillId="0" fontId="10" numFmtId="190" xfId="0" applyAlignment="1" applyBorder="1" applyFont="1" applyNumberFormat="1">
      <alignment horizontal="center"/>
    </xf>
    <xf borderId="23" fillId="0" fontId="10" numFmtId="164" xfId="0" applyAlignment="1" applyBorder="1" applyFont="1" applyNumberFormat="1">
      <alignment horizontal="center"/>
    </xf>
    <xf borderId="0" fillId="0" fontId="24" numFmtId="164" xfId="0" applyAlignment="1" applyFont="1" applyNumberFormat="1">
      <alignment horizontal="right"/>
    </xf>
    <xf borderId="0" fillId="0" fontId="10" numFmtId="192" xfId="0" applyAlignment="1" applyFont="1" applyNumberFormat="1">
      <alignment horizontal="center" vertical="top"/>
    </xf>
    <xf borderId="0" fillId="0" fontId="10" numFmtId="1" xfId="0" applyAlignment="1" applyFont="1" applyNumberFormat="1">
      <alignment horizontal="center" vertical="top"/>
    </xf>
    <xf borderId="0" fillId="0" fontId="10" numFmtId="3" xfId="0" applyAlignment="1" applyFont="1" applyNumberFormat="1">
      <alignment horizontal="center" vertical="top"/>
    </xf>
    <xf borderId="0" fillId="0" fontId="10" numFmtId="193" xfId="0" applyAlignment="1" applyFont="1" applyNumberFormat="1">
      <alignment horizontal="right" vertical="top"/>
    </xf>
    <xf borderId="22" fillId="0" fontId="10" numFmtId="193" xfId="0" applyAlignment="1" applyBorder="1" applyFont="1" applyNumberFormat="1">
      <alignment horizontal="left"/>
    </xf>
    <xf borderId="22" fillId="0" fontId="10" numFmtId="192" xfId="0" applyAlignment="1" applyBorder="1" applyFont="1" applyNumberFormat="1">
      <alignment horizontal="center" vertical="top"/>
    </xf>
    <xf borderId="22" fillId="0" fontId="10" numFmtId="3" xfId="0" applyAlignment="1" applyBorder="1" applyFont="1" applyNumberFormat="1">
      <alignment horizontal="center" vertical="top"/>
    </xf>
    <xf borderId="22" fillId="0" fontId="10" numFmtId="193" xfId="0" applyAlignment="1" applyBorder="1" applyFont="1" applyNumberFormat="1">
      <alignment horizontal="right" vertical="top"/>
    </xf>
    <xf borderId="22" fillId="0" fontId="10" numFmtId="174" xfId="0" applyAlignment="1" applyBorder="1" applyFont="1" applyNumberFormat="1">
      <alignment horizontal="right" vertical="top"/>
    </xf>
    <xf borderId="0" fillId="0" fontId="10" numFmtId="194" xfId="0" applyAlignment="1" applyFont="1" applyNumberFormat="1">
      <alignment horizontal="center" vertical="top"/>
    </xf>
    <xf borderId="15" fillId="2" fontId="50" numFmtId="0" xfId="0" applyBorder="1" applyFont="1"/>
    <xf borderId="15" fillId="2" fontId="67" numFmtId="0" xfId="0" applyBorder="1" applyFont="1"/>
    <xf borderId="15" fillId="2" fontId="47" numFmtId="168" xfId="0" applyBorder="1" applyFont="1" applyNumberFormat="1"/>
    <xf borderId="15" fillId="9" fontId="68" numFmtId="0" xfId="0" applyBorder="1" applyFont="1"/>
    <xf borderId="15" fillId="9" fontId="67" numFmtId="173" xfId="0" applyAlignment="1" applyBorder="1" applyFont="1" applyNumberFormat="1">
      <alignment horizontal="center" vertical="top"/>
    </xf>
    <xf borderId="15" fillId="9" fontId="67" numFmtId="173" xfId="0" applyAlignment="1" applyBorder="1" applyFont="1" applyNumberFormat="1">
      <alignment horizontal="right" vertical="top"/>
    </xf>
    <xf borderId="0" fillId="0" fontId="10" numFmtId="175" xfId="0" applyAlignment="1" applyFont="1" applyNumberFormat="1">
      <alignment horizontal="right" vertical="top"/>
    </xf>
    <xf borderId="23" fillId="0" fontId="24" numFmtId="175" xfId="0" applyAlignment="1" applyBorder="1" applyFont="1" applyNumberFormat="1">
      <alignment horizontal="right" vertical="top"/>
    </xf>
    <xf borderId="1" fillId="11" fontId="68" numFmtId="0" xfId="0" applyBorder="1" applyFont="1"/>
    <xf borderId="1" fillId="11" fontId="67" numFmtId="178" xfId="0" applyBorder="1" applyFont="1" applyNumberFormat="1"/>
    <xf borderId="15" fillId="11" fontId="47" numFmtId="168" xfId="0" applyBorder="1" applyFont="1" applyNumberFormat="1"/>
    <xf borderId="0" fillId="0" fontId="24" numFmtId="175" xfId="0" applyAlignment="1" applyFont="1" applyNumberFormat="1">
      <alignment horizontal="right" vertical="top"/>
    </xf>
    <xf borderId="0" fillId="0" fontId="24" numFmtId="9" xfId="0" applyAlignment="1" applyFont="1" applyNumberFormat="1">
      <alignment horizontal="center" readingOrder="0" vertical="top"/>
    </xf>
    <xf borderId="0" fillId="0" fontId="10" numFmtId="9" xfId="0" applyAlignment="1" applyFont="1" applyNumberFormat="1">
      <alignment horizontal="right" readingOrder="0" vertical="top"/>
    </xf>
    <xf borderId="49" fillId="0" fontId="24" numFmtId="0" xfId="0" applyBorder="1" applyFont="1"/>
    <xf borderId="26" fillId="0" fontId="24" numFmtId="0" xfId="0" applyAlignment="1" applyBorder="1" applyFont="1">
      <alignment horizontal="left"/>
    </xf>
    <xf borderId="27" fillId="0" fontId="24" numFmtId="175" xfId="0" applyAlignment="1" applyBorder="1" applyFont="1" applyNumberFormat="1">
      <alignment horizontal="right"/>
    </xf>
    <xf borderId="0" fillId="0" fontId="35" numFmtId="174" xfId="0" applyAlignment="1" applyFont="1" applyNumberFormat="1">
      <alignment horizontal="center"/>
    </xf>
    <xf borderId="15" fillId="2" fontId="47" numFmtId="168" xfId="0" applyAlignment="1" applyBorder="1" applyFont="1" applyNumberFormat="1">
      <alignment horizontal="right"/>
    </xf>
    <xf borderId="1" fillId="9" fontId="68" numFmtId="0" xfId="0" applyBorder="1" applyFont="1"/>
    <xf borderId="1" fillId="9" fontId="68" numFmtId="173" xfId="0" applyAlignment="1" applyBorder="1" applyFont="1" applyNumberFormat="1">
      <alignment horizontal="center" vertical="top"/>
    </xf>
    <xf borderId="1" fillId="9" fontId="67" numFmtId="173" xfId="0" applyAlignment="1" applyBorder="1" applyFont="1" applyNumberFormat="1">
      <alignment horizontal="center" vertical="top"/>
    </xf>
    <xf borderId="1" fillId="9" fontId="67" numFmtId="173" xfId="0" applyAlignment="1" applyBorder="1" applyFont="1" applyNumberFormat="1">
      <alignment horizontal="right" vertical="top"/>
    </xf>
    <xf borderId="0" fillId="0" fontId="10" numFmtId="164" xfId="0" applyAlignment="1" applyFont="1" applyNumberFormat="1">
      <alignment horizontal="center" readingOrder="0" vertical="top"/>
    </xf>
    <xf borderId="0" fillId="0" fontId="10" numFmtId="164" xfId="0" applyAlignment="1" applyFont="1" applyNumberFormat="1">
      <alignment horizontal="right" readingOrder="0" vertical="top"/>
    </xf>
    <xf borderId="27" fillId="0" fontId="24" numFmtId="195" xfId="0" applyAlignment="1" applyBorder="1" applyFont="1" applyNumberFormat="1">
      <alignment horizontal="center"/>
    </xf>
    <xf borderId="27" fillId="0" fontId="24" numFmtId="196" xfId="0" applyAlignment="1" applyBorder="1" applyFont="1" applyNumberFormat="1">
      <alignment horizontal="center"/>
    </xf>
    <xf borderId="27" fillId="0" fontId="24" numFmtId="196" xfId="0" applyAlignment="1" applyBorder="1" applyFont="1" applyNumberFormat="1">
      <alignment horizontal="right"/>
    </xf>
    <xf borderId="27" fillId="0" fontId="24" numFmtId="197" xfId="0" applyAlignment="1" applyBorder="1" applyFont="1" applyNumberFormat="1">
      <alignment horizontal="right"/>
    </xf>
    <xf borderId="0" fillId="0" fontId="35" numFmtId="178" xfId="0" applyAlignment="1" applyFont="1" applyNumberFormat="1">
      <alignment horizontal="right"/>
    </xf>
    <xf quotePrefix="1" borderId="0" fillId="0" fontId="52" numFmtId="0" xfId="0" applyFont="1"/>
    <xf borderId="0" fillId="0" fontId="52" numFmtId="175" xfId="0" applyAlignment="1" applyFont="1" applyNumberFormat="1">
      <alignment horizontal="right"/>
    </xf>
    <xf quotePrefix="1" borderId="1" fillId="3" fontId="69" numFmtId="0" xfId="0" applyBorder="1" applyFont="1"/>
    <xf borderId="9" fillId="0" fontId="55" numFmtId="164" xfId="0" applyAlignment="1" applyBorder="1" applyFont="1" applyNumberFormat="1">
      <alignment horizontal="left"/>
    </xf>
    <xf borderId="9" fillId="0" fontId="55" numFmtId="164" xfId="0" applyAlignment="1" applyBorder="1" applyFont="1" applyNumberFormat="1">
      <alignment horizontal="center"/>
    </xf>
    <xf borderId="0" fillId="0" fontId="55" numFmtId="164" xfId="0" applyAlignment="1" applyFont="1" applyNumberFormat="1">
      <alignment horizontal="center"/>
    </xf>
    <xf borderId="23" fillId="0" fontId="55" numFmtId="164" xfId="0" applyAlignment="1" applyBorder="1" applyFont="1" applyNumberFormat="1">
      <alignment horizontal="left"/>
    </xf>
    <xf borderId="23" fillId="0" fontId="55" numFmtId="164" xfId="0" applyAlignment="1" applyBorder="1" applyFont="1" applyNumberFormat="1">
      <alignment horizontal="center"/>
    </xf>
    <xf borderId="50" fillId="6" fontId="24" numFmtId="0" xfId="0" applyAlignment="1" applyBorder="1" applyFont="1">
      <alignment horizontal="right"/>
    </xf>
    <xf borderId="32" fillId="6" fontId="24" numFmtId="168" xfId="0" applyAlignment="1" applyBorder="1" applyFont="1" applyNumberFormat="1">
      <alignment horizontal="right"/>
    </xf>
    <xf borderId="32" fillId="6" fontId="24" numFmtId="0" xfId="0" applyAlignment="1" applyBorder="1" applyFont="1">
      <alignment horizontal="right"/>
    </xf>
    <xf borderId="0" fillId="0" fontId="23" numFmtId="0" xfId="0" applyAlignment="1" applyFont="1">
      <alignment horizontal="center" vertical="top"/>
    </xf>
    <xf borderId="0" fillId="0" fontId="23" numFmtId="166" xfId="0" applyAlignment="1" applyFont="1" applyNumberFormat="1">
      <alignment horizontal="center" vertical="top"/>
    </xf>
    <xf borderId="3" fillId="0" fontId="23" numFmtId="0" xfId="0" applyAlignment="1" applyBorder="1" applyFont="1">
      <alignment horizontal="center" vertical="top"/>
    </xf>
    <xf borderId="1" fillId="9" fontId="10" numFmtId="0" xfId="0" applyBorder="1" applyFont="1"/>
    <xf borderId="51" fillId="0" fontId="20" numFmtId="164" xfId="0" applyAlignment="1" applyBorder="1" applyFont="1" applyNumberFormat="1">
      <alignment horizontal="center" vertical="top"/>
    </xf>
    <xf borderId="52" fillId="0" fontId="20" numFmtId="164" xfId="0" applyAlignment="1" applyBorder="1" applyFont="1" applyNumberFormat="1">
      <alignment horizontal="center" vertical="top"/>
    </xf>
    <xf borderId="53" fillId="0" fontId="20" numFmtId="164" xfId="0" applyAlignment="1" applyBorder="1" applyFont="1" applyNumberFormat="1">
      <alignment horizontal="center" vertical="top"/>
    </xf>
    <xf borderId="0" fillId="0" fontId="20" numFmtId="0" xfId="0" applyAlignment="1" applyFont="1">
      <alignment horizontal="center" vertical="top"/>
    </xf>
    <xf borderId="20" fillId="9" fontId="10" numFmtId="0" xfId="0" applyBorder="1" applyFont="1"/>
    <xf borderId="54" fillId="7" fontId="20" numFmtId="164" xfId="0" applyAlignment="1" applyBorder="1" applyFont="1" applyNumberFormat="1">
      <alignment horizontal="center" vertical="top"/>
    </xf>
    <xf borderId="54" fillId="0" fontId="20" numFmtId="164" xfId="0" applyAlignment="1" applyBorder="1" applyFont="1" applyNumberFormat="1">
      <alignment horizontal="center" vertical="top"/>
    </xf>
    <xf borderId="55" fillId="0" fontId="20" numFmtId="164" xfId="0" applyAlignment="1" applyBorder="1" applyFont="1" applyNumberFormat="1">
      <alignment horizontal="center" vertical="top"/>
    </xf>
    <xf borderId="56" fillId="0" fontId="20" numFmtId="164" xfId="0" applyAlignment="1" applyBorder="1" applyFont="1" applyNumberFormat="1">
      <alignment horizontal="center" vertical="top"/>
    </xf>
    <xf borderId="1" fillId="10" fontId="10" numFmtId="0" xfId="0" applyBorder="1" applyFont="1"/>
    <xf borderId="22" fillId="0" fontId="10" numFmtId="0" xfId="0" applyAlignment="1" applyBorder="1" applyFont="1">
      <alignment horizontal="center" vertical="top"/>
    </xf>
    <xf borderId="0" fillId="0" fontId="10" numFmtId="0" xfId="0" applyAlignment="1" applyFont="1">
      <alignment horizontal="center" vertical="top"/>
    </xf>
    <xf borderId="57" fillId="10" fontId="10" numFmtId="0" xfId="0" applyBorder="1" applyFont="1"/>
    <xf borderId="58" fillId="10" fontId="10" numFmtId="0" xfId="0" applyBorder="1" applyFont="1"/>
    <xf borderId="42" fillId="0" fontId="10" numFmtId="164" xfId="0" applyAlignment="1" applyBorder="1" applyFont="1" applyNumberFormat="1">
      <alignment horizontal="center" vertical="top"/>
    </xf>
    <xf borderId="4" fillId="10" fontId="10" numFmtId="0" xfId="0" applyBorder="1" applyFont="1"/>
    <xf borderId="59" fillId="10" fontId="10" numFmtId="0" xfId="0" applyBorder="1" applyFont="1"/>
    <xf borderId="5" fillId="0" fontId="10" numFmtId="164" xfId="0" applyAlignment="1" applyBorder="1" applyFont="1" applyNumberFormat="1">
      <alignment horizontal="center" vertical="top"/>
    </xf>
    <xf borderId="60" fillId="10" fontId="10" numFmtId="0" xfId="0" applyBorder="1" applyFont="1"/>
    <xf borderId="61" fillId="10" fontId="10" numFmtId="0" xfId="0" applyBorder="1" applyFont="1"/>
    <xf borderId="41" fillId="0" fontId="10" numFmtId="164" xfId="0" applyAlignment="1" applyBorder="1" applyFont="1" applyNumberFormat="1">
      <alignment horizontal="center" vertical="top"/>
    </xf>
    <xf borderId="14" fillId="10" fontId="24" numFmtId="0" xfId="0" applyBorder="1" applyFont="1"/>
    <xf borderId="1" fillId="10" fontId="24" numFmtId="164" xfId="0" applyAlignment="1" applyBorder="1" applyFont="1" applyNumberFormat="1">
      <alignment horizontal="center"/>
    </xf>
    <xf borderId="1" fillId="10" fontId="10" numFmtId="164" xfId="0" applyAlignment="1" applyBorder="1" applyFont="1" applyNumberFormat="1">
      <alignment horizontal="center" vertical="top"/>
    </xf>
    <xf borderId="1" fillId="10" fontId="10" numFmtId="175" xfId="0" applyAlignment="1" applyBorder="1" applyFont="1" applyNumberFormat="1">
      <alignment horizontal="center" vertical="top"/>
    </xf>
    <xf borderId="1" fillId="10" fontId="35" numFmtId="0" xfId="0" applyBorder="1" applyFont="1"/>
    <xf borderId="1" fillId="10" fontId="24" numFmtId="0" xfId="0" applyBorder="1" applyFont="1"/>
    <xf borderId="1" fillId="10" fontId="24" numFmtId="0" xfId="0" applyAlignment="1" applyBorder="1" applyFont="1">
      <alignment horizontal="right"/>
    </xf>
    <xf borderId="1" fillId="10" fontId="24" numFmtId="0" xfId="0" applyAlignment="1" applyBorder="1" applyFont="1">
      <alignment horizontal="center"/>
    </xf>
    <xf borderId="0" fillId="0" fontId="23" numFmtId="0" xfId="0" applyAlignment="1" applyFont="1">
      <alignment horizontal="left"/>
    </xf>
    <xf borderId="28" fillId="0" fontId="10" numFmtId="0" xfId="0" applyAlignment="1" applyBorder="1" applyFont="1">
      <alignment horizontal="left"/>
    </xf>
    <xf borderId="62" fillId="9" fontId="24" numFmtId="0" xfId="0" applyAlignment="1" applyBorder="1" applyFont="1">
      <alignment shrinkToFit="0" wrapText="1"/>
    </xf>
    <xf borderId="63" fillId="0" fontId="32" numFmtId="0" xfId="0" applyBorder="1" applyFont="1"/>
    <xf borderId="14" fillId="9" fontId="24" numFmtId="0" xfId="0" applyAlignment="1" applyBorder="1" applyFont="1">
      <alignment shrinkToFit="0" wrapText="1"/>
    </xf>
    <xf borderId="14" fillId="9" fontId="24" numFmtId="0" xfId="0" applyAlignment="1" applyBorder="1" applyFont="1">
      <alignment horizontal="right" shrinkToFit="0" wrapText="1"/>
    </xf>
    <xf borderId="14" fillId="9" fontId="24" numFmtId="0" xfId="0" applyAlignment="1" applyBorder="1" applyFont="1">
      <alignment horizontal="right"/>
    </xf>
    <xf borderId="14" fillId="9" fontId="24" numFmtId="0" xfId="0" applyAlignment="1" applyBorder="1" applyFont="1">
      <alignment horizontal="center" shrinkToFit="0" wrapText="1"/>
    </xf>
    <xf borderId="32" fillId="9" fontId="24" numFmtId="0" xfId="0" applyAlignment="1" applyBorder="1" applyFont="1">
      <alignment horizontal="center" shrinkToFit="0" wrapText="1"/>
    </xf>
    <xf borderId="0" fillId="0" fontId="24" numFmtId="0" xfId="0" applyAlignment="1" applyFont="1">
      <alignment horizontal="center" shrinkToFit="0" wrapText="1"/>
    </xf>
    <xf borderId="4" fillId="7" fontId="10" numFmtId="0" xfId="0" applyAlignment="1" applyBorder="1" applyFont="1">
      <alignment shrinkToFit="0" wrapText="1"/>
    </xf>
    <xf borderId="64" fillId="0" fontId="49" numFmtId="0" xfId="0" applyAlignment="1" applyBorder="1" applyFont="1">
      <alignment horizontal="left"/>
    </xf>
    <xf borderId="8" fillId="17" fontId="55" numFmtId="0" xfId="0" applyBorder="1" applyFont="1"/>
    <xf borderId="57" fillId="17" fontId="20" numFmtId="0" xfId="0" applyAlignment="1" applyBorder="1" applyFont="1">
      <alignment horizontal="center"/>
    </xf>
    <xf borderId="57" fillId="17" fontId="20" numFmtId="49" xfId="0" applyAlignment="1" applyBorder="1" applyFont="1" applyNumberFormat="1">
      <alignment horizontal="center"/>
    </xf>
    <xf borderId="57" fillId="17" fontId="20" numFmtId="164" xfId="0" applyBorder="1" applyFont="1" applyNumberFormat="1"/>
    <xf borderId="65" fillId="17" fontId="20" numFmtId="198" xfId="0" applyAlignment="1" applyBorder="1" applyFont="1" applyNumberFormat="1">
      <alignment horizontal="center"/>
    </xf>
    <xf borderId="66" fillId="0" fontId="49" numFmtId="0" xfId="0" applyAlignment="1" applyBorder="1" applyFont="1">
      <alignment horizontal="left"/>
    </xf>
    <xf borderId="12" fillId="7" fontId="11" numFmtId="0" xfId="0" applyAlignment="1" applyBorder="1" applyFont="1">
      <alignment readingOrder="0"/>
    </xf>
    <xf borderId="4" fillId="7" fontId="11" numFmtId="0" xfId="0" applyAlignment="1" applyBorder="1" applyFont="1">
      <alignment horizontal="center" readingOrder="0"/>
    </xf>
    <xf borderId="4" fillId="7" fontId="11" numFmtId="0" xfId="0" applyAlignment="1" applyBorder="1" applyFont="1">
      <alignment horizontal="center"/>
    </xf>
    <xf borderId="4" fillId="7" fontId="11" numFmtId="49" xfId="0" applyAlignment="1" applyBorder="1" applyFont="1" applyNumberFormat="1">
      <alignment horizontal="center"/>
    </xf>
    <xf borderId="4" fillId="7" fontId="11" numFmtId="164" xfId="0" applyAlignment="1" applyBorder="1" applyFont="1" applyNumberFormat="1">
      <alignment readingOrder="0"/>
    </xf>
    <xf borderId="67" fillId="7" fontId="11" numFmtId="171" xfId="0" applyAlignment="1" applyBorder="1" applyFont="1" applyNumberFormat="1">
      <alignment horizontal="center"/>
    </xf>
    <xf borderId="12" fillId="7" fontId="11" numFmtId="0" xfId="0" applyBorder="1" applyFont="1"/>
    <xf borderId="4" fillId="7" fontId="11" numFmtId="164" xfId="0" applyBorder="1" applyFont="1" applyNumberFormat="1"/>
    <xf borderId="4" fillId="7" fontId="10" numFmtId="0" xfId="0" applyAlignment="1" applyBorder="1" applyFont="1">
      <alignment readingOrder="0"/>
    </xf>
    <xf borderId="4" fillId="7" fontId="11" numFmtId="0" xfId="0" applyBorder="1" applyFont="1"/>
    <xf borderId="4" fillId="17" fontId="55" numFmtId="0" xfId="0" applyBorder="1" applyFont="1"/>
    <xf borderId="4" fillId="17" fontId="20" numFmtId="0" xfId="0" applyBorder="1" applyFont="1"/>
    <xf borderId="4" fillId="17" fontId="20" numFmtId="0" xfId="0" applyAlignment="1" applyBorder="1" applyFont="1">
      <alignment horizontal="center"/>
    </xf>
    <xf borderId="4" fillId="17" fontId="20" numFmtId="49" xfId="0" applyAlignment="1" applyBorder="1" applyFont="1" applyNumberFormat="1">
      <alignment horizontal="center"/>
    </xf>
    <xf borderId="4" fillId="17" fontId="20" numFmtId="164" xfId="0" applyBorder="1" applyFont="1" applyNumberFormat="1"/>
    <xf borderId="67" fillId="17" fontId="20" numFmtId="171" xfId="0" applyAlignment="1" applyBorder="1" applyFont="1" applyNumberFormat="1">
      <alignment horizontal="center"/>
    </xf>
    <xf borderId="68" fillId="0" fontId="49" numFmtId="0" xfId="0" applyAlignment="1" applyBorder="1" applyFont="1">
      <alignment horizontal="left"/>
    </xf>
    <xf borderId="69" fillId="7" fontId="11" numFmtId="0" xfId="0" applyBorder="1" applyFont="1"/>
    <xf borderId="69" fillId="7" fontId="11" numFmtId="0" xfId="0" applyAlignment="1" applyBorder="1" applyFont="1">
      <alignment horizontal="center"/>
    </xf>
    <xf borderId="69" fillId="7" fontId="11" numFmtId="49" xfId="0" applyAlignment="1" applyBorder="1" applyFont="1" applyNumberFormat="1">
      <alignment horizontal="center"/>
    </xf>
    <xf borderId="69" fillId="7" fontId="11" numFmtId="164" xfId="0" applyBorder="1" applyFont="1" applyNumberFormat="1"/>
    <xf borderId="70" fillId="7" fontId="11" numFmtId="171" xfId="0" applyAlignment="1" applyBorder="1" applyFont="1" applyNumberFormat="1">
      <alignment horizontal="center"/>
    </xf>
    <xf borderId="71" fillId="0" fontId="49" numFmtId="0" xfId="0" applyAlignment="1" applyBorder="1" applyFont="1">
      <alignment horizontal="left"/>
    </xf>
    <xf borderId="72" fillId="7" fontId="11" numFmtId="171" xfId="0" applyAlignment="1" applyBorder="1" applyFont="1" applyNumberFormat="1">
      <alignment horizontal="center"/>
    </xf>
    <xf borderId="14" fillId="10" fontId="10" numFmtId="0" xfId="0" applyBorder="1" applyFont="1"/>
    <xf borderId="14" fillId="10" fontId="10" numFmtId="164" xfId="0" applyBorder="1" applyFont="1" applyNumberFormat="1"/>
    <xf borderId="14" fillId="10" fontId="10" numFmtId="198" xfId="0" applyAlignment="1" applyBorder="1" applyFont="1" applyNumberFormat="1">
      <alignment horizontal="center"/>
    </xf>
    <xf borderId="0" fillId="0" fontId="24" numFmtId="164" xfId="0" applyAlignment="1" applyFont="1" applyNumberFormat="1">
      <alignment horizontal="center" shrinkToFit="0" wrapText="1"/>
    </xf>
    <xf borderId="1" fillId="7" fontId="10" numFmtId="164" xfId="0" applyBorder="1" applyFont="1" applyNumberFormat="1"/>
    <xf borderId="1" fillId="7" fontId="10" numFmtId="198" xfId="0" applyAlignment="1" applyBorder="1" applyFont="1" applyNumberFormat="1">
      <alignment horizontal="center"/>
    </xf>
    <xf borderId="1" fillId="10" fontId="10" numFmtId="164" xfId="0" applyBorder="1" applyFont="1" applyNumberFormat="1"/>
    <xf borderId="1" fillId="10" fontId="10" numFmtId="198" xfId="0" applyAlignment="1" applyBorder="1" applyFont="1" applyNumberFormat="1">
      <alignment horizontal="center"/>
    </xf>
    <xf borderId="1" fillId="10" fontId="70" numFmtId="0" xfId="0" applyBorder="1" applyFont="1"/>
    <xf borderId="20" fillId="10" fontId="24" numFmtId="0" xfId="0" applyBorder="1" applyFont="1"/>
    <xf borderId="20" fillId="10" fontId="10" numFmtId="0" xfId="0" applyBorder="1" applyFont="1"/>
    <xf borderId="20" fillId="10" fontId="24" numFmtId="0" xfId="0" applyAlignment="1" applyBorder="1" applyFont="1">
      <alignment horizontal="right"/>
    </xf>
    <xf borderId="20" fillId="10" fontId="24" numFmtId="0" xfId="0" applyAlignment="1" applyBorder="1" applyFont="1">
      <alignment horizontal="center"/>
    </xf>
    <xf borderId="15" fillId="9" fontId="24" numFmtId="0" xfId="0" applyAlignment="1" applyBorder="1" applyFont="1">
      <alignment shrinkToFit="0" wrapText="1"/>
    </xf>
    <xf borderId="15" fillId="9" fontId="24" numFmtId="0" xfId="0" applyAlignment="1" applyBorder="1" applyFont="1">
      <alignment horizontal="center" shrinkToFit="0" wrapText="1"/>
    </xf>
    <xf borderId="15" fillId="9" fontId="24" numFmtId="0" xfId="0" applyAlignment="1" applyBorder="1" applyFont="1">
      <alignment horizontal="right"/>
    </xf>
    <xf borderId="15" fillId="9" fontId="24" numFmtId="0" xfId="0" applyAlignment="1" applyBorder="1" applyFont="1">
      <alignment horizontal="right" shrinkToFit="0" wrapText="1"/>
    </xf>
    <xf borderId="73" fillId="0" fontId="49" numFmtId="0" xfId="0" applyAlignment="1" applyBorder="1" applyFont="1">
      <alignment horizontal="left"/>
    </xf>
    <xf borderId="74" fillId="7" fontId="11" numFmtId="0" xfId="0" applyBorder="1" applyFont="1"/>
    <xf borderId="75" fillId="0" fontId="32" numFmtId="0" xfId="0" applyBorder="1" applyFont="1"/>
    <xf borderId="76" fillId="0" fontId="32" numFmtId="0" xfId="0" applyBorder="1" applyFont="1"/>
    <xf borderId="0" fillId="0" fontId="24" numFmtId="0" xfId="0" applyAlignment="1" applyFont="1">
      <alignment horizontal="right"/>
    </xf>
    <xf borderId="0" fillId="0" fontId="71" numFmtId="0" xfId="0" applyAlignment="1" applyFont="1">
      <alignment horizontal="center" vertical="top"/>
    </xf>
    <xf borderId="46" fillId="6" fontId="24" numFmtId="199" xfId="0" applyAlignment="1" applyBorder="1" applyFont="1" applyNumberFormat="1">
      <alignment horizontal="right"/>
    </xf>
    <xf borderId="22" fillId="0" fontId="45" numFmtId="0" xfId="0" applyAlignment="1" applyBorder="1" applyFont="1">
      <alignment horizontal="left" shrinkToFit="0" wrapText="1"/>
    </xf>
    <xf borderId="22" fillId="0" fontId="23" numFmtId="0" xfId="0" applyAlignment="1" applyBorder="1" applyFont="1">
      <alignment horizontal="center" vertical="top"/>
    </xf>
    <xf borderId="22" fillId="0" fontId="30" numFmtId="0" xfId="0" applyAlignment="1" applyBorder="1" applyFont="1">
      <alignment horizontal="center" vertical="top"/>
    </xf>
    <xf borderId="29" fillId="0" fontId="30" numFmtId="0" xfId="0" applyAlignment="1" applyBorder="1" applyFont="1">
      <alignment horizontal="center" vertical="top"/>
    </xf>
    <xf borderId="15" fillId="10" fontId="72" numFmtId="0" xfId="0" applyBorder="1" applyFont="1"/>
    <xf borderId="23" fillId="0" fontId="10" numFmtId="0" xfId="0" applyBorder="1" applyFont="1"/>
    <xf borderId="23" fillId="0" fontId="30" numFmtId="0" xfId="0" applyAlignment="1" applyBorder="1" applyFont="1">
      <alignment horizontal="center" vertical="top"/>
    </xf>
    <xf borderId="22" fillId="0" fontId="30" numFmtId="164" xfId="0" applyAlignment="1" applyBorder="1" applyFont="1" applyNumberFormat="1">
      <alignment horizontal="center" readingOrder="0" vertical="top"/>
    </xf>
    <xf borderId="22" fillId="0" fontId="23" numFmtId="164" xfId="0" applyAlignment="1" applyBorder="1" applyFont="1" applyNumberFormat="1">
      <alignment horizontal="right" vertical="top"/>
    </xf>
    <xf borderId="0" fillId="0" fontId="30" numFmtId="0" xfId="0" applyAlignment="1" applyFont="1">
      <alignment horizontal="center" vertical="top"/>
    </xf>
    <xf borderId="15" fillId="9" fontId="24" numFmtId="0" xfId="0" applyBorder="1" applyFont="1"/>
    <xf borderId="15" fillId="9" fontId="10" numFmtId="0" xfId="0" applyBorder="1" applyFont="1"/>
    <xf borderId="15" fillId="9" fontId="30" numFmtId="0" xfId="0" applyAlignment="1" applyBorder="1" applyFont="1">
      <alignment horizontal="center" vertical="top"/>
    </xf>
    <xf borderId="15" fillId="9" fontId="23" numFmtId="0" xfId="0" applyAlignment="1" applyBorder="1" applyFont="1">
      <alignment horizontal="center" vertical="top"/>
    </xf>
    <xf borderId="1" fillId="9" fontId="24" numFmtId="0" xfId="0" applyBorder="1" applyFont="1"/>
    <xf borderId="1" fillId="9" fontId="30" numFmtId="0" xfId="0" applyAlignment="1" applyBorder="1" applyFont="1">
      <alignment horizontal="center" vertical="top"/>
    </xf>
    <xf borderId="1" fillId="9" fontId="23" numFmtId="0" xfId="0" applyAlignment="1" applyBorder="1" applyFont="1">
      <alignment horizontal="center" vertical="top"/>
    </xf>
    <xf borderId="9" fillId="0" fontId="10" numFmtId="0" xfId="0" applyBorder="1" applyFont="1"/>
    <xf borderId="42" fillId="14" fontId="20" numFmtId="0" xfId="0" applyAlignment="1" applyBorder="1" applyFont="1">
      <alignment horizontal="center" readingOrder="0" vertical="top"/>
    </xf>
    <xf borderId="42" fillId="0" fontId="20" numFmtId="164" xfId="0" applyAlignment="1" applyBorder="1" applyFont="1" applyNumberFormat="1">
      <alignment horizontal="right" vertical="top"/>
    </xf>
    <xf borderId="5" fillId="14" fontId="20" numFmtId="0" xfId="0" applyAlignment="1" applyBorder="1" applyFont="1">
      <alignment horizontal="center" readingOrder="0" vertical="top"/>
    </xf>
    <xf borderId="37" fillId="14" fontId="11" numFmtId="164" xfId="0" applyAlignment="1" applyBorder="1" applyFont="1" applyNumberFormat="1">
      <alignment horizontal="right" readingOrder="0" vertical="top"/>
    </xf>
    <xf borderId="5" fillId="0" fontId="20" numFmtId="164" xfId="0" applyAlignment="1" applyBorder="1" applyFont="1" applyNumberFormat="1">
      <alignment horizontal="right" vertical="top"/>
    </xf>
    <xf borderId="1" fillId="14" fontId="11" numFmtId="164" xfId="0" applyAlignment="1" applyBorder="1" applyFont="1" applyNumberFormat="1">
      <alignment horizontal="right" readingOrder="0" vertical="top"/>
    </xf>
    <xf borderId="1" fillId="14" fontId="43" numFmtId="164" xfId="0" applyAlignment="1" applyBorder="1" applyFont="1" applyNumberFormat="1">
      <alignment horizontal="right" readingOrder="0" vertical="top"/>
    </xf>
    <xf borderId="77" fillId="0" fontId="10" numFmtId="0" xfId="0" applyBorder="1" applyFont="1"/>
    <xf borderId="41" fillId="14" fontId="10" numFmtId="164" xfId="0" applyAlignment="1" applyBorder="1" applyFont="1" applyNumberFormat="1">
      <alignment horizontal="center" readingOrder="0" vertical="top"/>
    </xf>
    <xf borderId="41" fillId="14" fontId="24" numFmtId="164" xfId="0" applyAlignment="1" applyBorder="1" applyFont="1" applyNumberFormat="1">
      <alignment horizontal="right" readingOrder="0" vertical="top"/>
    </xf>
    <xf borderId="42" fillId="14" fontId="11" numFmtId="0" xfId="0" applyAlignment="1" applyBorder="1" applyFont="1">
      <alignment horizontal="center" readingOrder="0" vertical="top"/>
    </xf>
    <xf borderId="42" fillId="14" fontId="11" numFmtId="164" xfId="0" applyAlignment="1" applyBorder="1" applyFont="1" applyNumberFormat="1">
      <alignment horizontal="right" readingOrder="0" vertical="top"/>
    </xf>
    <xf borderId="5" fillId="14" fontId="11" numFmtId="0" xfId="0" applyAlignment="1" applyBorder="1" applyFont="1">
      <alignment horizontal="center" readingOrder="0" vertical="top"/>
    </xf>
    <xf borderId="5" fillId="14" fontId="11" numFmtId="164" xfId="0" applyAlignment="1" applyBorder="1" applyFont="1" applyNumberFormat="1">
      <alignment horizontal="right" readingOrder="0" vertical="top"/>
    </xf>
    <xf borderId="69" fillId="10" fontId="10" numFmtId="0" xfId="0" applyBorder="1" applyFont="1"/>
    <xf borderId="78" fillId="0" fontId="10" numFmtId="0" xfId="0" applyBorder="1" applyFont="1"/>
    <xf borderId="43" fillId="14" fontId="11" numFmtId="1" xfId="0" applyAlignment="1" applyBorder="1" applyFont="1" applyNumberFormat="1">
      <alignment horizontal="center" readingOrder="0" vertical="top"/>
    </xf>
    <xf borderId="43" fillId="14" fontId="11" numFmtId="164" xfId="0" applyAlignment="1" applyBorder="1" applyFont="1" applyNumberFormat="1">
      <alignment horizontal="right" readingOrder="0" vertical="top"/>
    </xf>
    <xf borderId="42" fillId="14" fontId="11" numFmtId="1" xfId="0" applyAlignment="1" applyBorder="1" applyFont="1" applyNumberFormat="1">
      <alignment horizontal="center" readingOrder="0" vertical="top"/>
    </xf>
    <xf borderId="5" fillId="14" fontId="11" numFmtId="1" xfId="0" applyAlignment="1" applyBorder="1" applyFont="1" applyNumberFormat="1">
      <alignment horizontal="center" readingOrder="0" vertical="top"/>
    </xf>
    <xf borderId="41" fillId="14" fontId="11" numFmtId="1" xfId="0" applyAlignment="1" applyBorder="1" applyFont="1" applyNumberFormat="1">
      <alignment horizontal="center" readingOrder="0" vertical="top"/>
    </xf>
    <xf borderId="41" fillId="14" fontId="11" numFmtId="164" xfId="0" applyAlignment="1" applyBorder="1" applyFont="1" applyNumberFormat="1">
      <alignment horizontal="right" readingOrder="0" vertical="top"/>
    </xf>
    <xf borderId="14" fillId="10" fontId="24" numFmtId="164" xfId="0" applyAlignment="1" applyBorder="1" applyFont="1" applyNumberFormat="1">
      <alignment horizontal="center" readingOrder="0"/>
    </xf>
    <xf borderId="14" fillId="14" fontId="24" numFmtId="164" xfId="0" applyAlignment="1" applyBorder="1" applyFont="1" applyNumberFormat="1">
      <alignment horizontal="right"/>
    </xf>
    <xf borderId="14" fillId="14" fontId="11" numFmtId="164" xfId="0" applyAlignment="1" applyBorder="1" applyFont="1" applyNumberFormat="1">
      <alignment horizontal="right" readingOrder="0"/>
    </xf>
    <xf quotePrefix="1" borderId="1" fillId="10" fontId="10" numFmtId="0" xfId="0" applyBorder="1" applyFont="1"/>
    <xf borderId="1" fillId="10" fontId="24" numFmtId="175" xfId="0" applyAlignment="1" applyBorder="1" applyFont="1" applyNumberFormat="1">
      <alignment horizontal="center"/>
    </xf>
    <xf borderId="1" fillId="14" fontId="24" numFmtId="175" xfId="0" applyAlignment="1" applyBorder="1" applyFont="1" applyNumberFormat="1">
      <alignment horizontal="right"/>
    </xf>
    <xf borderId="1" fillId="10" fontId="24" numFmtId="175" xfId="0" applyAlignment="1" applyBorder="1" applyFont="1" applyNumberFormat="1">
      <alignment horizontal="right"/>
    </xf>
    <xf borderId="1" fillId="10" fontId="10" numFmtId="175" xfId="0" applyAlignment="1" applyBorder="1" applyFont="1" applyNumberFormat="1">
      <alignment horizontal="right"/>
    </xf>
    <xf borderId="14" fillId="10" fontId="24" numFmtId="175" xfId="0" applyAlignment="1" applyBorder="1" applyFont="1" applyNumberFormat="1">
      <alignment horizontal="right"/>
    </xf>
    <xf borderId="14" fillId="10" fontId="24" numFmtId="175" xfId="0" applyAlignment="1" applyBorder="1" applyFont="1" applyNumberFormat="1">
      <alignment horizontal="right" readingOrder="0"/>
    </xf>
    <xf borderId="20" fillId="10" fontId="24" numFmtId="164" xfId="0" applyAlignment="1" applyBorder="1" applyFont="1" applyNumberFormat="1">
      <alignment horizontal="center"/>
    </xf>
    <xf borderId="20" fillId="10" fontId="24" numFmtId="175" xfId="0" applyAlignment="1" applyBorder="1" applyFont="1" applyNumberFormat="1">
      <alignment horizontal="right"/>
    </xf>
    <xf borderId="5" fillId="14" fontId="43" numFmtId="164" xfId="0" applyAlignment="1" applyBorder="1" applyFont="1" applyNumberFormat="1">
      <alignment horizontal="right" readingOrder="0" vertical="top"/>
    </xf>
    <xf borderId="1" fillId="10" fontId="52" numFmtId="0" xfId="0" applyBorder="1" applyFont="1"/>
    <xf borderId="5" fillId="14" fontId="43" numFmtId="9" xfId="0" applyAlignment="1" applyBorder="1" applyFont="1" applyNumberFormat="1">
      <alignment horizontal="right" vertical="top"/>
    </xf>
    <xf borderId="1" fillId="10" fontId="10" numFmtId="200" xfId="0" applyAlignment="1" applyBorder="1" applyFont="1" applyNumberFormat="1">
      <alignment horizontal="right"/>
    </xf>
    <xf borderId="1" fillId="10" fontId="10" numFmtId="0" xfId="0" applyAlignment="1" applyBorder="1" applyFont="1">
      <alignment horizontal="right"/>
    </xf>
    <xf quotePrefix="1" borderId="20" fillId="9" fontId="24" numFmtId="0" xfId="0" applyBorder="1" applyFont="1"/>
    <xf borderId="20" fillId="9" fontId="10" numFmtId="0" xfId="0" applyAlignment="1" applyBorder="1" applyFont="1">
      <alignment horizontal="center"/>
    </xf>
    <xf borderId="20" fillId="9" fontId="24" numFmtId="0" xfId="0" applyAlignment="1" applyBorder="1" applyFont="1">
      <alignment horizontal="right"/>
    </xf>
    <xf borderId="9" fillId="0" fontId="35" numFmtId="0" xfId="0" applyBorder="1" applyFont="1"/>
    <xf borderId="9" fillId="0" fontId="10" numFmtId="0" xfId="0" applyAlignment="1" applyBorder="1" applyFont="1">
      <alignment horizontal="right"/>
    </xf>
    <xf borderId="9" fillId="0" fontId="10" numFmtId="0" xfId="0" applyAlignment="1" applyBorder="1" applyFont="1">
      <alignment horizontal="center"/>
    </xf>
    <xf borderId="42" fillId="0" fontId="10" numFmtId="0" xfId="0" applyBorder="1" applyFont="1"/>
    <xf borderId="6" fillId="0" fontId="10" numFmtId="201" xfId="0" applyBorder="1" applyFont="1" applyNumberFormat="1"/>
    <xf borderId="4" fillId="14" fontId="11" numFmtId="201" xfId="0" applyBorder="1" applyFont="1" applyNumberFormat="1"/>
    <xf borderId="5" fillId="0" fontId="53" numFmtId="164" xfId="0" applyAlignment="1" applyBorder="1" applyFont="1" applyNumberFormat="1">
      <alignment horizontal="right" vertical="top"/>
    </xf>
    <xf borderId="4" fillId="14" fontId="11" numFmtId="9" xfId="0" applyAlignment="1" applyBorder="1" applyFont="1" applyNumberFormat="1">
      <alignment readingOrder="0"/>
    </xf>
    <xf borderId="5" fillId="0" fontId="53" numFmtId="164" xfId="0" applyAlignment="1" applyBorder="1" applyFont="1" applyNumberFormat="1">
      <alignment horizontal="right" readingOrder="0" vertical="top"/>
    </xf>
    <xf borderId="6" fillId="14" fontId="11" numFmtId="9" xfId="0" applyAlignment="1" applyBorder="1" applyFont="1" applyNumberFormat="1">
      <alignment readingOrder="0"/>
    </xf>
    <xf borderId="77" fillId="0" fontId="10" numFmtId="201" xfId="0" applyBorder="1" applyFont="1" applyNumberFormat="1"/>
    <xf borderId="78" fillId="0" fontId="10" numFmtId="201" xfId="0" applyBorder="1" applyFont="1" applyNumberFormat="1"/>
    <xf borderId="40" fillId="0" fontId="73" numFmtId="164" xfId="0" applyAlignment="1" applyBorder="1" applyFont="1" applyNumberFormat="1">
      <alignment horizontal="right" vertical="top"/>
    </xf>
    <xf borderId="22" fillId="0" fontId="10" numFmtId="201" xfId="0" applyBorder="1" applyFont="1" applyNumberFormat="1"/>
    <xf borderId="22" fillId="0" fontId="24" numFmtId="201" xfId="0" applyBorder="1" applyFont="1" applyNumberFormat="1"/>
    <xf borderId="22" fillId="0" fontId="74" numFmtId="164" xfId="0" applyAlignment="1" applyBorder="1" applyFont="1" applyNumberFormat="1">
      <alignment vertical="top"/>
    </xf>
    <xf borderId="0" fillId="0" fontId="75" numFmtId="164" xfId="0" applyAlignment="1" applyFont="1" applyNumberFormat="1">
      <alignment horizontal="center" vertical="top"/>
    </xf>
    <xf borderId="0" fillId="0" fontId="76" numFmtId="164" xfId="0" applyAlignment="1" applyFont="1" applyNumberFormat="1">
      <alignment horizontal="right" vertical="top"/>
    </xf>
    <xf borderId="20" fillId="9" fontId="24" numFmtId="0" xfId="0" applyBorder="1" applyFont="1"/>
    <xf quotePrefix="1" borderId="0" fillId="0" fontId="10" numFmtId="0" xfId="0" applyAlignment="1" applyFont="1">
      <alignment horizontal="left"/>
    </xf>
    <xf quotePrefix="1" borderId="0" fillId="0" fontId="10" numFmtId="0" xfId="0" applyAlignment="1" applyFont="1">
      <alignment horizontal="center"/>
    </xf>
    <xf borderId="9" fillId="14" fontId="10" numFmtId="0" xfId="0" applyBorder="1" applyFont="1"/>
    <xf borderId="42" fillId="7" fontId="10" numFmtId="0" xfId="0" applyBorder="1" applyFont="1"/>
    <xf borderId="6" fillId="14" fontId="20" numFmtId="9" xfId="0" applyAlignment="1" applyBorder="1" applyFont="1" applyNumberFormat="1">
      <alignment horizontal="center" readingOrder="0"/>
    </xf>
    <xf borderId="6" fillId="0" fontId="20" numFmtId="177" xfId="0" applyAlignment="1" applyBorder="1" applyFont="1" applyNumberFormat="1">
      <alignment horizontal="center"/>
    </xf>
    <xf borderId="5" fillId="14" fontId="77" numFmtId="164" xfId="0" applyAlignment="1" applyBorder="1" applyFont="1" applyNumberFormat="1">
      <alignment horizontal="right" readingOrder="0" vertical="top"/>
    </xf>
    <xf borderId="6" fillId="14" fontId="20" numFmtId="201" xfId="0" applyAlignment="1" applyBorder="1" applyFont="1" applyNumberFormat="1">
      <alignment horizontal="center" readingOrder="0"/>
    </xf>
    <xf borderId="5" fillId="14" fontId="75" numFmtId="164" xfId="0" applyAlignment="1" applyBorder="1" applyFont="1" applyNumberFormat="1">
      <alignment horizontal="right" readingOrder="0" vertical="top"/>
    </xf>
    <xf borderId="6" fillId="14" fontId="20" numFmtId="201" xfId="0" applyAlignment="1" applyBorder="1" applyFont="1" applyNumberFormat="1">
      <alignment horizontal="center"/>
    </xf>
    <xf borderId="5" fillId="14" fontId="77" numFmtId="164" xfId="0" applyAlignment="1" applyBorder="1" applyFont="1" applyNumberFormat="1">
      <alignment horizontal="center" readingOrder="0" vertical="top"/>
    </xf>
    <xf borderId="5" fillId="14" fontId="77" numFmtId="164" xfId="0" applyAlignment="1" applyBorder="1" applyFont="1" applyNumberFormat="1">
      <alignment horizontal="right" vertical="top"/>
    </xf>
    <xf borderId="78" fillId="14" fontId="11" numFmtId="10" xfId="0" applyAlignment="1" applyBorder="1" applyFont="1" applyNumberFormat="1">
      <alignment horizontal="center" readingOrder="0"/>
    </xf>
    <xf borderId="78" fillId="0" fontId="20" numFmtId="201" xfId="0" applyAlignment="1" applyBorder="1" applyFont="1" applyNumberFormat="1">
      <alignment horizontal="center"/>
    </xf>
    <xf borderId="78" fillId="0" fontId="20" numFmtId="177" xfId="0" applyAlignment="1" applyBorder="1" applyFont="1" applyNumberFormat="1">
      <alignment horizontal="center"/>
    </xf>
    <xf borderId="43" fillId="14" fontId="77" numFmtId="49" xfId="0" applyAlignment="1" applyBorder="1" applyFont="1" applyNumberFormat="1">
      <alignment horizontal="center" readingOrder="0" vertical="top"/>
    </xf>
    <xf borderId="43" fillId="14" fontId="77" numFmtId="164" xfId="0" applyAlignment="1" applyBorder="1" applyFont="1" applyNumberFormat="1">
      <alignment horizontal="right" vertical="top"/>
    </xf>
    <xf borderId="43" fillId="14" fontId="77" numFmtId="164" xfId="0" applyAlignment="1" applyBorder="1" applyFont="1" applyNumberFormat="1">
      <alignment horizontal="right" readingOrder="0" vertical="top"/>
    </xf>
    <xf borderId="22" fillId="0" fontId="10" numFmtId="201" xfId="0" applyAlignment="1" applyBorder="1" applyFont="1" applyNumberFormat="1">
      <alignment horizontal="center"/>
    </xf>
    <xf borderId="22" fillId="0" fontId="24" numFmtId="201" xfId="0" applyAlignment="1" applyBorder="1" applyFont="1" applyNumberFormat="1">
      <alignment horizontal="center"/>
    </xf>
    <xf borderId="22" fillId="0" fontId="55" numFmtId="164" xfId="0" applyAlignment="1" applyBorder="1" applyFont="1" applyNumberFormat="1">
      <alignment horizontal="center" vertical="top"/>
    </xf>
    <xf borderId="22" fillId="0" fontId="55" numFmtId="164" xfId="0" applyAlignment="1" applyBorder="1" applyFont="1" applyNumberFormat="1">
      <alignment vertical="top"/>
    </xf>
    <xf borderId="0" fillId="0" fontId="10" numFmtId="201" xfId="0" applyFont="1" applyNumberFormat="1"/>
    <xf borderId="0" fillId="0" fontId="24" numFmtId="201" xfId="0" applyFont="1" applyNumberFormat="1"/>
    <xf borderId="0" fillId="0" fontId="55" numFmtId="164" xfId="0" applyAlignment="1" applyFont="1" applyNumberFormat="1">
      <alignment horizontal="center" vertical="top"/>
    </xf>
    <xf borderId="0" fillId="0" fontId="55" numFmtId="164" xfId="0" applyAlignment="1" applyFont="1" applyNumberFormat="1">
      <alignment vertical="top"/>
    </xf>
    <xf borderId="0" fillId="0" fontId="55" numFmtId="175" xfId="0" applyAlignment="1" applyFont="1" applyNumberFormat="1">
      <alignment horizontal="center" vertical="top"/>
    </xf>
    <xf borderId="0" fillId="0" fontId="55" numFmtId="175" xfId="0" applyAlignment="1" applyFont="1" applyNumberFormat="1">
      <alignment vertical="top"/>
    </xf>
    <xf borderId="0" fillId="0" fontId="75" numFmtId="164" xfId="0" applyAlignment="1" applyFont="1" applyNumberFormat="1">
      <alignment vertical="top"/>
    </xf>
    <xf borderId="79" fillId="7" fontId="24" numFmtId="0" xfId="0" applyAlignment="1" applyBorder="1" applyFont="1">
      <alignment horizontal="left"/>
    </xf>
    <xf borderId="0" fillId="0" fontId="78" numFmtId="0" xfId="0" applyFont="1"/>
    <xf borderId="0" fillId="0" fontId="24" numFmtId="9" xfId="0" applyAlignment="1" applyFont="1" applyNumberFormat="1">
      <alignment horizontal="center" vertical="top"/>
    </xf>
    <xf borderId="0" fillId="0" fontId="43" numFmtId="164" xfId="0" applyAlignment="1" applyFont="1" applyNumberFormat="1">
      <alignment vertical="top"/>
    </xf>
    <xf borderId="20" fillId="9" fontId="10" numFmtId="0" xfId="0" applyAlignment="1" applyBorder="1" applyFont="1">
      <alignment horizontal="right"/>
    </xf>
    <xf borderId="20" fillId="9" fontId="24" numFmtId="9" xfId="0" applyAlignment="1" applyBorder="1" applyFont="1" applyNumberFormat="1">
      <alignment horizontal="center" vertical="top"/>
    </xf>
    <xf borderId="20" fillId="9" fontId="43" numFmtId="164" xfId="0" applyAlignment="1" applyBorder="1" applyFont="1" applyNumberFormat="1">
      <alignment vertical="top"/>
    </xf>
    <xf borderId="0" fillId="0" fontId="79" numFmtId="201" xfId="0" applyFont="1" applyNumberFormat="1"/>
    <xf borderId="0" fillId="0" fontId="20" numFmtId="174" xfId="0" applyAlignment="1" applyFont="1" applyNumberFormat="1">
      <alignment vertical="top"/>
    </xf>
    <xf borderId="0" fillId="0" fontId="20" numFmtId="164" xfId="0" applyAlignment="1" applyFont="1" applyNumberFormat="1">
      <alignment vertical="top"/>
    </xf>
    <xf borderId="6" fillId="0" fontId="10" numFmtId="174" xfId="0" applyBorder="1" applyFont="1" applyNumberFormat="1"/>
    <xf borderId="6" fillId="0" fontId="20" numFmtId="164" xfId="0" applyAlignment="1" applyBorder="1" applyFont="1" applyNumberFormat="1">
      <alignment readingOrder="0" vertical="top"/>
    </xf>
    <xf borderId="0" fillId="0" fontId="24" numFmtId="174" xfId="0" applyFont="1" applyNumberFormat="1"/>
    <xf borderId="6" fillId="0" fontId="20" numFmtId="174" xfId="0" applyAlignment="1" applyBorder="1" applyFont="1" applyNumberFormat="1">
      <alignment vertical="top"/>
    </xf>
    <xf borderId="20" fillId="9" fontId="10" numFmtId="175" xfId="0" applyBorder="1" applyFont="1" applyNumberFormat="1"/>
    <xf borderId="36" fillId="0" fontId="20" numFmtId="9" xfId="0" applyAlignment="1" applyBorder="1" applyFont="1" applyNumberFormat="1">
      <alignment horizontal="right" readingOrder="0" vertical="top"/>
    </xf>
    <xf borderId="36" fillId="0" fontId="20" numFmtId="175" xfId="0" applyAlignment="1" applyBorder="1" applyFont="1" applyNumberFormat="1">
      <alignment horizontal="right" vertical="top"/>
    </xf>
    <xf borderId="5" fillId="0" fontId="20" numFmtId="9" xfId="0" applyAlignment="1" applyBorder="1" applyFont="1" applyNumberFormat="1">
      <alignment horizontal="right" readingOrder="0" vertical="top"/>
    </xf>
    <xf borderId="5" fillId="0" fontId="20" numFmtId="175" xfId="0" applyAlignment="1" applyBorder="1" applyFont="1" applyNumberFormat="1">
      <alignment horizontal="right" vertical="top"/>
    </xf>
    <xf borderId="40" fillId="0" fontId="20" numFmtId="9" xfId="0" applyAlignment="1" applyBorder="1" applyFont="1" applyNumberFormat="1">
      <alignment horizontal="right" readingOrder="0" vertical="top"/>
    </xf>
    <xf borderId="40" fillId="0" fontId="20" numFmtId="175" xfId="0" applyAlignment="1" applyBorder="1" applyFont="1" applyNumberFormat="1">
      <alignment horizontal="right" vertical="top"/>
    </xf>
    <xf borderId="42" fillId="0" fontId="10" numFmtId="164" xfId="0" applyAlignment="1" applyBorder="1" applyFont="1" applyNumberFormat="1">
      <alignment horizontal="right" vertical="top"/>
    </xf>
    <xf borderId="20" fillId="10" fontId="10" numFmtId="0" xfId="0" applyAlignment="1" applyBorder="1" applyFont="1">
      <alignment shrinkToFit="0" vertical="center" wrapText="1"/>
    </xf>
    <xf borderId="20" fillId="10" fontId="10" numFmtId="0" xfId="0" applyAlignment="1" applyBorder="1" applyFont="1">
      <alignment vertical="center"/>
    </xf>
    <xf borderId="20" fillId="10" fontId="10" numFmtId="0" xfId="0" applyAlignment="1" applyBorder="1" applyFont="1">
      <alignment horizontal="center" vertical="top"/>
    </xf>
    <xf borderId="1" fillId="10" fontId="10" numFmtId="0" xfId="0" applyAlignment="1" applyBorder="1" applyFont="1">
      <alignment horizontal="center" vertical="top"/>
    </xf>
    <xf borderId="37" fillId="14" fontId="11" numFmtId="9" xfId="0" applyAlignment="1" applyBorder="1" applyFont="1" applyNumberFormat="1">
      <alignment horizontal="center" readingOrder="0" vertical="top"/>
    </xf>
    <xf borderId="5" fillId="0" fontId="20" numFmtId="177" xfId="0" applyAlignment="1" applyBorder="1" applyFont="1" applyNumberFormat="1">
      <alignment horizontal="center" vertical="top"/>
    </xf>
    <xf borderId="1" fillId="10" fontId="10" numFmtId="0" xfId="0" applyAlignment="1" applyBorder="1" applyFont="1">
      <alignment horizontal="center"/>
    </xf>
    <xf borderId="5" fillId="14" fontId="11" numFmtId="173" xfId="0" applyAlignment="1" applyBorder="1" applyFont="1" applyNumberFormat="1">
      <alignment horizontal="center" readingOrder="0" vertical="top"/>
    </xf>
    <xf borderId="1" fillId="10" fontId="10" numFmtId="0" xfId="0" applyAlignment="1" applyBorder="1" applyFont="1">
      <alignment horizontal="left"/>
    </xf>
    <xf borderId="1" fillId="10" fontId="10" numFmtId="9" xfId="0" applyAlignment="1" applyBorder="1" applyFont="1" applyNumberFormat="1">
      <alignment horizontal="center" vertical="top"/>
    </xf>
    <xf borderId="5" fillId="0" fontId="20" numFmtId="173" xfId="0" applyAlignment="1" applyBorder="1" applyFont="1" applyNumberFormat="1">
      <alignment horizontal="center" readingOrder="0" vertical="top"/>
    </xf>
    <xf borderId="5" fillId="0" fontId="20" numFmtId="178" xfId="0" applyAlignment="1" applyBorder="1" applyFont="1" applyNumberFormat="1">
      <alignment horizontal="center" readingOrder="0" vertical="top"/>
    </xf>
    <xf borderId="40" fillId="0" fontId="10" numFmtId="178" xfId="0" applyAlignment="1" applyBorder="1" applyFont="1" applyNumberFormat="1">
      <alignment horizontal="center" vertical="top"/>
    </xf>
    <xf borderId="22" fillId="0" fontId="24" numFmtId="0" xfId="0" applyBorder="1" applyFont="1"/>
    <xf borderId="22" fillId="0" fontId="10" numFmtId="164" xfId="0" applyBorder="1" applyFont="1" applyNumberFormat="1"/>
    <xf borderId="0" fillId="0" fontId="10" numFmtId="164" xfId="0" applyAlignment="1" applyFont="1" applyNumberFormat="1">
      <alignment readingOrder="0"/>
    </xf>
    <xf borderId="1" fillId="9" fontId="24" numFmtId="9" xfId="0" applyAlignment="1" applyBorder="1" applyFont="1" applyNumberFormat="1">
      <alignment horizontal="center" vertical="top"/>
    </xf>
    <xf borderId="1" fillId="9" fontId="10" numFmtId="164" xfId="0" applyBorder="1" applyFont="1" applyNumberFormat="1"/>
    <xf borderId="22" fillId="0" fontId="10" numFmtId="164" xfId="0" applyAlignment="1" applyBorder="1" applyFont="1" applyNumberFormat="1">
      <alignment horizontal="right" vertical="top"/>
    </xf>
    <xf borderId="22" fillId="0" fontId="20" numFmtId="174" xfId="0" applyAlignment="1" applyBorder="1" applyFont="1" applyNumberFormat="1">
      <alignment vertical="top"/>
    </xf>
    <xf borderId="0" fillId="0" fontId="10" numFmtId="174" xfId="0" applyAlignment="1" applyFont="1" applyNumberFormat="1">
      <alignment vertical="top"/>
    </xf>
    <xf borderId="22" fillId="0" fontId="10" numFmtId="174" xfId="0" applyAlignment="1" applyBorder="1" applyFont="1" applyNumberFormat="1">
      <alignment vertical="top"/>
    </xf>
    <xf borderId="22" fillId="0" fontId="10" numFmtId="174" xfId="0" applyBorder="1" applyFont="1" applyNumberFormat="1"/>
    <xf borderId="5" fillId="0" fontId="10" numFmtId="164" xfId="0" applyAlignment="1" applyBorder="1" applyFont="1" applyNumberFormat="1">
      <alignment horizontal="center" readingOrder="0" vertical="top"/>
    </xf>
    <xf borderId="5" fillId="0" fontId="10" numFmtId="164" xfId="0" applyAlignment="1" applyBorder="1" applyFont="1" applyNumberFormat="1">
      <alignment horizontal="right" vertical="top"/>
    </xf>
    <xf borderId="0" fillId="0" fontId="49" numFmtId="0" xfId="0" applyAlignment="1" applyFont="1">
      <alignment horizontal="center" vertical="center"/>
    </xf>
    <xf borderId="0" fillId="0" fontId="10" numFmtId="0" xfId="0" applyAlignment="1" applyFont="1">
      <alignment shrinkToFit="0" wrapText="1"/>
    </xf>
    <xf borderId="5" fillId="7" fontId="20" numFmtId="174" xfId="0" applyAlignment="1" applyBorder="1" applyFont="1" applyNumberFormat="1">
      <alignment horizontal="right" vertical="center"/>
    </xf>
    <xf borderId="5" fillId="7" fontId="11" numFmtId="174" xfId="0" applyAlignment="1" applyBorder="1" applyFont="1" applyNumberFormat="1">
      <alignment horizontal="right" vertical="center"/>
    </xf>
    <xf borderId="5" fillId="7" fontId="11" numFmtId="164" xfId="0" applyAlignment="1" applyBorder="1" applyFont="1" applyNumberFormat="1">
      <alignment horizontal="right" readingOrder="0" vertical="top"/>
    </xf>
    <xf borderId="5" fillId="7" fontId="11" numFmtId="164" xfId="0" applyAlignment="1" applyBorder="1" applyFont="1" applyNumberFormat="1">
      <alignment horizontal="right" vertical="top"/>
    </xf>
    <xf borderId="5" fillId="7" fontId="20" numFmtId="164" xfId="0" applyAlignment="1" applyBorder="1" applyFont="1" applyNumberFormat="1">
      <alignment horizontal="right" vertical="top"/>
    </xf>
    <xf borderId="5" fillId="7" fontId="20" numFmtId="164" xfId="0" applyAlignment="1" applyBorder="1" applyFont="1" applyNumberFormat="1">
      <alignment horizontal="right" readingOrder="0" vertical="top"/>
    </xf>
    <xf borderId="5" fillId="14" fontId="20" numFmtId="164" xfId="0" applyAlignment="1" applyBorder="1" applyFont="1" applyNumberFormat="1">
      <alignment horizontal="right" readingOrder="0" vertical="top"/>
    </xf>
    <xf borderId="14" fillId="9" fontId="24" numFmtId="0" xfId="0" applyBorder="1" applyFont="1"/>
    <xf borderId="14" fillId="9" fontId="23" numFmtId="174" xfId="0" applyBorder="1" applyFont="1" applyNumberFormat="1"/>
    <xf borderId="14" fillId="9" fontId="30" numFmtId="174" xfId="0" applyBorder="1" applyFont="1" applyNumberFormat="1"/>
    <xf borderId="14" fillId="9" fontId="24" numFmtId="202" xfId="0" applyAlignment="1" applyBorder="1" applyFont="1" applyNumberFormat="1">
      <alignment horizontal="center" vertical="top"/>
    </xf>
    <xf borderId="22" fillId="0" fontId="23" numFmtId="174" xfId="0" applyBorder="1" applyFont="1" applyNumberFormat="1"/>
    <xf borderId="22" fillId="0" fontId="30" numFmtId="174" xfId="0" applyBorder="1" applyFont="1" applyNumberFormat="1"/>
    <xf borderId="22" fillId="0" fontId="52" numFmtId="202" xfId="0" applyAlignment="1" applyBorder="1" applyFont="1" applyNumberFormat="1">
      <alignment horizontal="center" vertical="top"/>
    </xf>
    <xf borderId="0" fillId="0" fontId="52" numFmtId="202" xfId="0" applyAlignment="1" applyFont="1" applyNumberFormat="1">
      <alignment horizontal="center" vertical="top"/>
    </xf>
    <xf borderId="22" fillId="0" fontId="10" numFmtId="202" xfId="0" applyBorder="1" applyFont="1" applyNumberFormat="1"/>
    <xf borderId="1" fillId="3" fontId="47" numFmtId="0" xfId="0" applyBorder="1" applyFont="1"/>
    <xf borderId="3" fillId="0" fontId="24" numFmtId="0" xfId="0" applyAlignment="1" applyBorder="1" applyFont="1">
      <alignment readingOrder="0"/>
    </xf>
    <xf borderId="22" fillId="0" fontId="55" numFmtId="0" xfId="0" applyAlignment="1" applyBorder="1" applyFont="1">
      <alignment horizontal="left"/>
    </xf>
    <xf borderId="22" fillId="0" fontId="32" numFmtId="0" xfId="0" applyBorder="1" applyFont="1"/>
    <xf borderId="23" fillId="0" fontId="55" numFmtId="0" xfId="0" applyAlignment="1" applyBorder="1" applyFont="1">
      <alignment horizontal="left"/>
    </xf>
    <xf borderId="23" fillId="0" fontId="32" numFmtId="0" xfId="0" applyBorder="1" applyFont="1"/>
    <xf borderId="80" fillId="6" fontId="24" numFmtId="0" xfId="0" applyBorder="1" applyFont="1"/>
    <xf borderId="81" fillId="6" fontId="24" numFmtId="0" xfId="0" applyBorder="1" applyFont="1"/>
    <xf borderId="82" fillId="6" fontId="24" numFmtId="0" xfId="0" applyBorder="1" applyFont="1"/>
    <xf borderId="83" fillId="6" fontId="24" numFmtId="0" xfId="0" applyBorder="1" applyFont="1"/>
    <xf borderId="84" fillId="7" fontId="11" numFmtId="3" xfId="0" applyAlignment="1" applyBorder="1" applyFont="1" applyNumberFormat="1">
      <alignment horizontal="center" readingOrder="0"/>
    </xf>
    <xf borderId="85" fillId="6" fontId="24" numFmtId="0" xfId="0" applyBorder="1" applyFont="1"/>
    <xf borderId="20" fillId="2" fontId="10" numFmtId="0" xfId="0" applyBorder="1" applyFont="1"/>
    <xf borderId="30" fillId="0" fontId="24" numFmtId="0" xfId="0" applyAlignment="1" applyBorder="1" applyFont="1">
      <alignment horizontal="center"/>
    </xf>
    <xf borderId="23" fillId="0" fontId="10" numFmtId="203" xfId="0" applyAlignment="1" applyBorder="1" applyFont="1" applyNumberFormat="1">
      <alignment horizontal="right"/>
    </xf>
    <xf borderId="31" fillId="0" fontId="10" numFmtId="203" xfId="0" applyAlignment="1" applyBorder="1" applyFont="1" applyNumberFormat="1">
      <alignment horizontal="right"/>
    </xf>
    <xf borderId="0" fillId="0" fontId="24" numFmtId="188" xfId="0" applyAlignment="1" applyFont="1" applyNumberFormat="1">
      <alignment horizontal="right"/>
    </xf>
    <xf borderId="5" fillId="7" fontId="43" numFmtId="204" xfId="0" applyAlignment="1" applyBorder="1" applyFont="1" applyNumberFormat="1">
      <alignment horizontal="right" readingOrder="0"/>
    </xf>
    <xf borderId="5" fillId="7" fontId="43" numFmtId="204" xfId="0" applyAlignment="1" applyBorder="1" applyFont="1" applyNumberFormat="1">
      <alignment horizontal="right"/>
    </xf>
    <xf borderId="5" fillId="7" fontId="43" numFmtId="205" xfId="0" applyAlignment="1" applyBorder="1" applyFont="1" applyNumberFormat="1">
      <alignment horizontal="right"/>
    </xf>
    <xf borderId="5" fillId="0" fontId="20" numFmtId="206" xfId="0" applyAlignment="1" applyBorder="1" applyFont="1" applyNumberFormat="1">
      <alignment horizontal="right"/>
    </xf>
    <xf borderId="5" fillId="0" fontId="20" numFmtId="207" xfId="0" applyAlignment="1" applyBorder="1" applyFont="1" applyNumberFormat="1">
      <alignment horizontal="right"/>
    </xf>
    <xf borderId="5" fillId="16" fontId="11" numFmtId="175" xfId="0" applyAlignment="1" applyBorder="1" applyFont="1" applyNumberFormat="1">
      <alignment horizontal="right"/>
    </xf>
    <xf borderId="5" fillId="7" fontId="11" numFmtId="175" xfId="0" applyAlignment="1" applyBorder="1" applyFont="1" applyNumberFormat="1">
      <alignment horizontal="right"/>
    </xf>
    <xf borderId="5" fillId="0" fontId="20" numFmtId="208" xfId="0" applyAlignment="1" applyBorder="1" applyFont="1" applyNumberFormat="1">
      <alignment horizontal="right"/>
    </xf>
    <xf borderId="22" fillId="0" fontId="24" numFmtId="0" xfId="0" applyAlignment="1" applyBorder="1" applyFont="1">
      <alignment horizontal="left" shrinkToFit="0" wrapText="1"/>
    </xf>
    <xf borderId="22" fillId="0" fontId="24" numFmtId="0" xfId="0" applyAlignment="1" applyBorder="1" applyFont="1">
      <alignment horizontal="center"/>
    </xf>
    <xf borderId="22" fillId="0" fontId="10" numFmtId="174" xfId="0" applyAlignment="1" applyBorder="1" applyFont="1" applyNumberFormat="1">
      <alignment horizontal="right" shrinkToFit="0" wrapText="1"/>
    </xf>
    <xf borderId="42" fillId="7" fontId="43" numFmtId="174" xfId="0" applyAlignment="1" applyBorder="1" applyFont="1" applyNumberFormat="1">
      <alignment horizontal="right" readingOrder="0" shrinkToFit="0" wrapText="1"/>
    </xf>
    <xf borderId="0" fillId="0" fontId="10" numFmtId="0" xfId="0" applyAlignment="1" applyFont="1">
      <alignment horizontal="left" shrinkToFit="0" wrapText="1"/>
    </xf>
    <xf borderId="0" fillId="0" fontId="10" numFmtId="174" xfId="0" applyAlignment="1" applyFont="1" applyNumberFormat="1">
      <alignment horizontal="right" shrinkToFit="0" wrapText="1"/>
    </xf>
    <xf borderId="5" fillId="7" fontId="11" numFmtId="209" xfId="0" applyAlignment="1" applyBorder="1" applyFont="1" applyNumberFormat="1">
      <alignment horizontal="center" readingOrder="0"/>
    </xf>
    <xf borderId="0" fillId="0" fontId="10" numFmtId="164" xfId="0" applyAlignment="1" applyFont="1" applyNumberFormat="1">
      <alignment horizontal="right" shrinkToFit="0" wrapText="1"/>
    </xf>
    <xf borderId="5" fillId="7" fontId="11" numFmtId="164" xfId="0" applyAlignment="1" applyBorder="1" applyFont="1" applyNumberFormat="1">
      <alignment horizontal="right" shrinkToFit="0" wrapText="1"/>
    </xf>
    <xf borderId="5" fillId="7" fontId="11" numFmtId="174" xfId="0" applyAlignment="1" applyBorder="1" applyFont="1" applyNumberFormat="1">
      <alignment horizontal="right"/>
    </xf>
    <xf borderId="37" fillId="7" fontId="11" numFmtId="209" xfId="0" applyAlignment="1" applyBorder="1" applyFont="1" applyNumberFormat="1">
      <alignment horizontal="center" readingOrder="0"/>
    </xf>
    <xf borderId="5" fillId="7" fontId="11" numFmtId="164" xfId="0" applyAlignment="1" applyBorder="1" applyFont="1" applyNumberFormat="1">
      <alignment horizontal="right" readingOrder="0" shrinkToFit="0" wrapText="1"/>
    </xf>
    <xf borderId="5" fillId="7" fontId="11" numFmtId="164" xfId="0" applyAlignment="1" applyBorder="1" applyFont="1" applyNumberFormat="1">
      <alignment horizontal="right"/>
    </xf>
    <xf borderId="1" fillId="10" fontId="10" numFmtId="210" xfId="0" applyBorder="1" applyFont="1" applyNumberFormat="1"/>
    <xf borderId="5" fillId="7" fontId="11" numFmtId="209" xfId="0" applyAlignment="1" applyBorder="1" applyFont="1" applyNumberFormat="1">
      <alignment horizontal="center"/>
    </xf>
    <xf borderId="43" fillId="7" fontId="11" numFmtId="164" xfId="0" applyAlignment="1" applyBorder="1" applyFont="1" applyNumberFormat="1">
      <alignment horizontal="right" shrinkToFit="0" wrapText="1"/>
    </xf>
    <xf borderId="41" fillId="7" fontId="11" numFmtId="164" xfId="0" applyAlignment="1" applyBorder="1" applyFont="1" applyNumberFormat="1">
      <alignment horizontal="right"/>
    </xf>
    <xf borderId="86" fillId="7" fontId="11" numFmtId="177" xfId="0" applyAlignment="1" applyBorder="1" applyFont="1" applyNumberFormat="1">
      <alignment horizontal="center"/>
    </xf>
    <xf quotePrefix="1" borderId="22" fillId="0" fontId="10" numFmtId="0" xfId="0" applyBorder="1" applyFont="1"/>
    <xf borderId="22" fillId="0" fontId="10" numFmtId="164" xfId="0" applyAlignment="1" applyBorder="1" applyFont="1" applyNumberFormat="1">
      <alignment horizontal="right" shrinkToFit="0" wrapText="1"/>
    </xf>
    <xf borderId="42" fillId="7" fontId="10" numFmtId="164" xfId="0" applyAlignment="1" applyBorder="1" applyFont="1" applyNumberFormat="1">
      <alignment horizontal="right"/>
    </xf>
    <xf borderId="0" fillId="0" fontId="80" numFmtId="0" xfId="0" applyAlignment="1" applyFont="1">
      <alignment horizontal="left"/>
    </xf>
    <xf borderId="0" fillId="0" fontId="11" numFmtId="164" xfId="0" applyAlignment="1" applyFont="1" applyNumberFormat="1">
      <alignment horizontal="center"/>
    </xf>
    <xf borderId="5" fillId="12" fontId="11" numFmtId="164" xfId="0" applyAlignment="1" applyBorder="1" applyFont="1" applyNumberFormat="1">
      <alignment horizontal="right" shrinkToFit="0" wrapText="1"/>
    </xf>
    <xf borderId="5" fillId="12" fontId="11" numFmtId="164" xfId="0" applyAlignment="1" applyBorder="1" applyFont="1" applyNumberFormat="1">
      <alignment horizontal="right"/>
    </xf>
    <xf borderId="1" fillId="7" fontId="11" numFmtId="164" xfId="0" applyAlignment="1" applyBorder="1" applyFont="1" applyNumberFormat="1">
      <alignment horizontal="right" shrinkToFit="0" wrapText="1"/>
    </xf>
    <xf borderId="23" fillId="0" fontId="24" numFmtId="174" xfId="0" applyAlignment="1" applyBorder="1" applyFont="1" applyNumberFormat="1">
      <alignment horizontal="right" shrinkToFit="0" wrapText="1"/>
    </xf>
    <xf borderId="0" fillId="0" fontId="24" numFmtId="174" xfId="0" applyAlignment="1" applyFont="1" applyNumberFormat="1">
      <alignment horizontal="right" shrinkToFit="0" wrapText="1"/>
    </xf>
    <xf borderId="0" fillId="0" fontId="24" numFmtId="0" xfId="0" applyAlignment="1" applyFont="1">
      <alignment horizontal="left" shrinkToFit="0" wrapText="1"/>
    </xf>
    <xf borderId="0" fillId="0" fontId="24" numFmtId="180" xfId="0" applyAlignment="1" applyFont="1" applyNumberFormat="1">
      <alignment horizontal="center" shrinkToFit="0" wrapText="1"/>
    </xf>
    <xf borderId="20" fillId="2" fontId="24" numFmtId="3" xfId="0" applyAlignment="1" applyBorder="1" applyFont="1" applyNumberFormat="1">
      <alignment horizontal="center"/>
    </xf>
    <xf borderId="87" fillId="7" fontId="11" numFmtId="211" xfId="0" applyAlignment="1" applyBorder="1" applyFont="1" applyNumberFormat="1">
      <alignment horizontal="center" readingOrder="0"/>
    </xf>
    <xf borderId="87" fillId="7" fontId="11" numFmtId="177" xfId="0" applyAlignment="1" applyBorder="1" applyFont="1" applyNumberFormat="1">
      <alignment horizontal="center"/>
    </xf>
    <xf borderId="0" fillId="0" fontId="10" numFmtId="210" xfId="0" applyFont="1" applyNumberFormat="1"/>
    <xf borderId="87" fillId="7" fontId="11" numFmtId="212" xfId="0" applyAlignment="1" applyBorder="1" applyFont="1" applyNumberFormat="1">
      <alignment horizontal="center"/>
    </xf>
    <xf borderId="87" fillId="7" fontId="11" numFmtId="213" xfId="0" applyAlignment="1" applyBorder="1" applyFont="1" applyNumberFormat="1">
      <alignment horizontal="center"/>
    </xf>
    <xf borderId="0" fillId="0" fontId="20" numFmtId="174" xfId="0" applyAlignment="1" applyFont="1" applyNumberFormat="1">
      <alignment horizontal="center"/>
    </xf>
    <xf borderId="0" fillId="0" fontId="24" numFmtId="210" xfId="0" applyFont="1" applyNumberFormat="1"/>
    <xf borderId="0" fillId="0" fontId="11" numFmtId="164" xfId="0" applyAlignment="1" applyFont="1" applyNumberFormat="1">
      <alignment horizontal="right"/>
    </xf>
    <xf borderId="0" fillId="0" fontId="20" numFmtId="164" xfId="0" applyFont="1" applyNumberFormat="1"/>
    <xf borderId="0" fillId="0" fontId="11" numFmtId="164" xfId="0" applyFont="1" applyNumberFormat="1"/>
    <xf borderId="14" fillId="4" fontId="24" numFmtId="164" xfId="0" applyAlignment="1" applyBorder="1" applyFont="1" applyNumberFormat="1">
      <alignment horizontal="center"/>
    </xf>
    <xf borderId="1" fillId="4" fontId="24" numFmtId="164" xfId="0" applyAlignment="1" applyBorder="1" applyFont="1" applyNumberFormat="1">
      <alignment horizontal="center"/>
    </xf>
    <xf borderId="9" fillId="0" fontId="24" numFmtId="0" xfId="0" applyBorder="1" applyFont="1"/>
    <xf borderId="9" fillId="0" fontId="10" numFmtId="174" xfId="0" applyAlignment="1" applyBorder="1" applyFont="1" applyNumberFormat="1">
      <alignment horizontal="right"/>
    </xf>
    <xf borderId="9" fillId="0" fontId="24" numFmtId="193" xfId="0" applyAlignment="1" applyBorder="1" applyFont="1" applyNumberFormat="1">
      <alignment horizontal="right"/>
    </xf>
    <xf borderId="78" fillId="0" fontId="24" numFmtId="0" xfId="0" applyBorder="1" applyFont="1"/>
    <xf borderId="78" fillId="0" fontId="10" numFmtId="174" xfId="0" applyAlignment="1" applyBorder="1" applyFont="1" applyNumberFormat="1">
      <alignment horizontal="right"/>
    </xf>
    <xf borderId="78" fillId="0" fontId="24" numFmtId="193" xfId="0" applyAlignment="1" applyBorder="1" applyFont="1" applyNumberFormat="1">
      <alignment horizontal="right"/>
    </xf>
    <xf borderId="9" fillId="0" fontId="24" numFmtId="174" xfId="0" applyAlignment="1" applyBorder="1" applyFont="1" applyNumberFormat="1">
      <alignment horizontal="right"/>
    </xf>
    <xf borderId="0" fillId="0" fontId="10" numFmtId="193" xfId="0" applyAlignment="1" applyFont="1" applyNumberFormat="1">
      <alignment horizontal="right"/>
    </xf>
    <xf borderId="0" fillId="0" fontId="10" numFmtId="193" xfId="0" applyAlignment="1" applyFont="1" applyNumberFormat="1">
      <alignment horizontal="center"/>
    </xf>
    <xf borderId="3" fillId="0" fontId="24" numFmtId="199" xfId="0" applyAlignment="1" applyBorder="1" applyFont="1" applyNumberFormat="1">
      <alignment horizontal="center"/>
    </xf>
    <xf borderId="3" fillId="0" fontId="24" numFmtId="168" xfId="0" applyAlignment="1" applyBorder="1" applyFont="1" applyNumberFormat="1">
      <alignment horizontal="right"/>
    </xf>
    <xf borderId="88" fillId="6" fontId="30" numFmtId="0" xfId="0" applyAlignment="1" applyBorder="1" applyFont="1">
      <alignment horizontal="right" vertical="top"/>
    </xf>
    <xf borderId="89" fillId="6" fontId="30" numFmtId="0" xfId="0" applyAlignment="1" applyBorder="1" applyFont="1">
      <alignment horizontal="right" vertical="top"/>
    </xf>
    <xf borderId="90" fillId="6" fontId="30" numFmtId="0" xfId="0" applyAlignment="1" applyBorder="1" applyFont="1">
      <alignment horizontal="right" vertical="top"/>
    </xf>
    <xf borderId="91" fillId="6" fontId="30" numFmtId="0" xfId="0" applyAlignment="1" applyBorder="1" applyFont="1">
      <alignment horizontal="right" vertical="top"/>
    </xf>
    <xf borderId="92" fillId="0" fontId="23" numFmtId="0" xfId="0" applyAlignment="1" applyBorder="1" applyFont="1">
      <alignment horizontal="right" vertical="top"/>
    </xf>
    <xf borderId="92" fillId="6" fontId="23" numFmtId="0" xfId="0" applyAlignment="1" applyBorder="1" applyFont="1">
      <alignment horizontal="right" vertical="top"/>
    </xf>
    <xf borderId="54" fillId="6" fontId="23" numFmtId="0" xfId="0" applyAlignment="1" applyBorder="1" applyFont="1">
      <alignment horizontal="right" vertical="top"/>
    </xf>
    <xf borderId="55" fillId="6" fontId="23" numFmtId="0" xfId="0" applyAlignment="1" applyBorder="1" applyFont="1">
      <alignment horizontal="right" vertical="top"/>
    </xf>
    <xf borderId="56" fillId="6" fontId="23" numFmtId="0" xfId="0" applyAlignment="1" applyBorder="1" applyFont="1">
      <alignment horizontal="right" vertical="top"/>
    </xf>
    <xf borderId="0" fillId="0" fontId="23" numFmtId="0" xfId="0" applyAlignment="1" applyFont="1">
      <alignment horizontal="left" vertical="top"/>
    </xf>
    <xf borderId="0" fillId="0" fontId="23" numFmtId="214" xfId="0" applyAlignment="1" applyFont="1" applyNumberFormat="1">
      <alignment horizontal="right" vertical="top"/>
    </xf>
    <xf borderId="0" fillId="0" fontId="23" numFmtId="214" xfId="0" applyAlignment="1" applyFont="1" applyNumberFormat="1">
      <alignment horizontal="center" vertical="top"/>
    </xf>
    <xf borderId="0" fillId="0" fontId="30" numFmtId="0" xfId="0" applyAlignment="1" applyFont="1">
      <alignment horizontal="left" vertical="top"/>
    </xf>
    <xf borderId="0" fillId="0" fontId="30" numFmtId="164" xfId="0" applyAlignment="1" applyFont="1" applyNumberFormat="1">
      <alignment horizontal="right" vertical="top"/>
    </xf>
    <xf borderId="3" fillId="0" fontId="10" numFmtId="0" xfId="0" applyAlignment="1" applyBorder="1" applyFont="1">
      <alignment horizontal="right"/>
    </xf>
    <xf borderId="0" fillId="0" fontId="81" numFmtId="0" xfId="0" applyFont="1"/>
    <xf borderId="0" fillId="0" fontId="49" numFmtId="0" xfId="0" applyAlignment="1" applyFont="1">
      <alignment horizontal="left"/>
    </xf>
    <xf borderId="0" fillId="0" fontId="71" numFmtId="0" xfId="0" applyAlignment="1" applyFont="1">
      <alignment horizontal="right" vertical="top"/>
    </xf>
    <xf borderId="0" fillId="0" fontId="10" numFmtId="199" xfId="0" applyAlignment="1" applyFont="1" applyNumberFormat="1">
      <alignment horizontal="right"/>
    </xf>
    <xf borderId="0" fillId="0" fontId="10" numFmtId="168" xfId="0" applyAlignment="1" applyFont="1" applyNumberFormat="1">
      <alignment horizontal="right"/>
    </xf>
    <xf borderId="0" fillId="0" fontId="82" numFmtId="0" xfId="0" applyFont="1"/>
    <xf borderId="0" fillId="0" fontId="10" numFmtId="202" xfId="0" applyAlignment="1" applyFont="1" applyNumberFormat="1">
      <alignment horizontal="center" vertical="top"/>
    </xf>
    <xf borderId="0" fillId="0" fontId="24" numFmtId="168" xfId="0" applyAlignment="1" applyFont="1" applyNumberFormat="1">
      <alignment horizontal="right"/>
    </xf>
    <xf borderId="20" fillId="11" fontId="45" numFmtId="0" xfId="0" applyBorder="1" applyFont="1"/>
    <xf borderId="20" fillId="11" fontId="24" numFmtId="0" xfId="0" applyBorder="1" applyFont="1"/>
    <xf borderId="20" fillId="11" fontId="24" numFmtId="0" xfId="0" applyAlignment="1" applyBorder="1" applyFont="1">
      <alignment horizontal="right"/>
    </xf>
    <xf borderId="3" fillId="0" fontId="45" numFmtId="0" xfId="0" applyBorder="1" applyFont="1"/>
    <xf borderId="3" fillId="0" fontId="68" numFmtId="166" xfId="0" applyBorder="1" applyFont="1" applyNumberFormat="1"/>
    <xf borderId="0" fillId="0" fontId="30" numFmtId="171" xfId="0" applyAlignment="1" applyFont="1" applyNumberFormat="1">
      <alignment horizontal="right" vertical="top"/>
    </xf>
    <xf borderId="22" fillId="0" fontId="23" numFmtId="0" xfId="0" applyBorder="1" applyFont="1"/>
    <xf borderId="22" fillId="0" fontId="23" numFmtId="171" xfId="0" applyAlignment="1" applyBorder="1" applyFont="1" applyNumberFormat="1">
      <alignment horizontal="right" vertical="top"/>
    </xf>
    <xf borderId="0" fillId="0" fontId="30" numFmtId="173" xfId="0" applyAlignment="1" applyFont="1" applyNumberFormat="1">
      <alignment horizontal="center"/>
    </xf>
    <xf borderId="22" fillId="0" fontId="30" numFmtId="0" xfId="0" applyBorder="1" applyFont="1"/>
    <xf borderId="22" fillId="0" fontId="30" numFmtId="182" xfId="0" applyBorder="1" applyFont="1" applyNumberFormat="1"/>
    <xf borderId="22" fillId="0" fontId="23" numFmtId="182" xfId="0" applyBorder="1" applyFont="1" applyNumberFormat="1"/>
    <xf borderId="0" fillId="0" fontId="10" numFmtId="173" xfId="0" applyAlignment="1" applyFont="1" applyNumberFormat="1">
      <alignment horizontal="center"/>
    </xf>
    <xf borderId="20" fillId="6" fontId="45" numFmtId="0" xfId="0" applyBorder="1" applyFont="1"/>
    <xf borderId="20" fillId="6" fontId="10" numFmtId="215" xfId="0" applyBorder="1" applyFont="1" applyNumberFormat="1"/>
    <xf borderId="20" fillId="6" fontId="24" numFmtId="216" xfId="0" applyBorder="1" applyFont="1" applyNumberFormat="1"/>
    <xf borderId="20" fillId="6" fontId="24" numFmtId="216" xfId="0" applyAlignment="1" applyBorder="1" applyFont="1" applyNumberFormat="1">
      <alignment horizontal="center"/>
    </xf>
    <xf borderId="0" fillId="0" fontId="83" numFmtId="0" xfId="0" applyFont="1"/>
    <xf borderId="0" fillId="0" fontId="10" numFmtId="215" xfId="0" applyFont="1" applyNumberFormat="1"/>
    <xf borderId="0" fillId="0" fontId="24" numFmtId="216" xfId="0" applyFont="1" applyNumberFormat="1"/>
    <xf borderId="0" fillId="0" fontId="24" numFmtId="216" xfId="0" applyAlignment="1" applyFont="1" applyNumberFormat="1">
      <alignment horizontal="center"/>
    </xf>
    <xf borderId="22" fillId="0" fontId="83" numFmtId="0" xfId="0" applyBorder="1" applyFont="1"/>
    <xf borderId="22" fillId="0" fontId="10" numFmtId="215" xfId="0" applyBorder="1" applyFont="1" applyNumberFormat="1"/>
    <xf borderId="22" fillId="0" fontId="24" numFmtId="216" xfId="0" applyBorder="1" applyFont="1" applyNumberFormat="1"/>
    <xf borderId="22" fillId="0" fontId="24" numFmtId="216" xfId="0" applyAlignment="1" applyBorder="1" applyFont="1" applyNumberFormat="1">
      <alignment horizontal="center"/>
    </xf>
    <xf borderId="3" fillId="0" fontId="10" numFmtId="215" xfId="0" applyBorder="1" applyFont="1" applyNumberFormat="1"/>
    <xf borderId="3" fillId="0" fontId="24" numFmtId="216" xfId="0" applyBorder="1" applyFont="1" applyNumberFormat="1"/>
    <xf borderId="3" fillId="0" fontId="10" numFmtId="174" xfId="0" applyBorder="1" applyFont="1" applyNumberFormat="1"/>
    <xf borderId="3" fillId="0" fontId="24" numFmtId="174" xfId="0" applyBorder="1" applyFont="1" applyNumberFormat="1"/>
    <xf borderId="3" fillId="0" fontId="10" numFmtId="174" xfId="0" applyAlignment="1" applyBorder="1" applyFont="1" applyNumberFormat="1">
      <alignment horizontal="right"/>
    </xf>
    <xf borderId="3" fillId="0" fontId="24" numFmtId="174" xfId="0" applyAlignment="1" applyBorder="1" applyFont="1" applyNumberFormat="1">
      <alignment horizontal="right"/>
    </xf>
    <xf borderId="9" fillId="0" fontId="10" numFmtId="215" xfId="0" applyBorder="1" applyFont="1" applyNumberFormat="1"/>
    <xf borderId="6" fillId="0" fontId="10" numFmtId="215" xfId="0" applyBorder="1" applyFont="1" applyNumberFormat="1"/>
    <xf borderId="6" fillId="0" fontId="10" numFmtId="164" xfId="0" applyAlignment="1" applyBorder="1" applyFont="1" applyNumberFormat="1">
      <alignment horizontal="right"/>
    </xf>
    <xf borderId="1" fillId="11" fontId="24" numFmtId="0" xfId="0" applyBorder="1" applyFont="1"/>
    <xf borderId="1" fillId="11" fontId="24" numFmtId="199" xfId="0" applyAlignment="1" applyBorder="1" applyFont="1" applyNumberFormat="1">
      <alignment horizontal="right"/>
    </xf>
    <xf borderId="1" fillId="11" fontId="24" numFmtId="168" xfId="0" applyAlignment="1" applyBorder="1" applyFont="1" applyNumberFormat="1">
      <alignment horizontal="right"/>
    </xf>
    <xf borderId="93" fillId="8" fontId="24" numFmtId="0" xfId="0" applyAlignment="1" applyBorder="1" applyFont="1">
      <alignment horizontal="right"/>
    </xf>
    <xf borderId="94" fillId="8" fontId="24" numFmtId="0" xfId="0" applyAlignment="1" applyBorder="1" applyFont="1">
      <alignment horizontal="right"/>
    </xf>
    <xf borderId="95" fillId="10" fontId="10" numFmtId="0" xfId="0" applyBorder="1" applyFont="1"/>
    <xf borderId="96" fillId="0" fontId="10" numFmtId="10" xfId="0" applyAlignment="1" applyBorder="1" applyFont="1" applyNumberFormat="1">
      <alignment horizontal="left" vertical="top"/>
    </xf>
    <xf borderId="1" fillId="10" fontId="24" numFmtId="9" xfId="0" applyAlignment="1" applyBorder="1" applyFont="1" applyNumberFormat="1">
      <alignment horizontal="center" vertical="top"/>
    </xf>
    <xf borderId="1" fillId="10" fontId="10" numFmtId="10" xfId="0" applyAlignment="1" applyBorder="1" applyFont="1" applyNumberFormat="1">
      <alignment horizontal="left" vertical="top"/>
    </xf>
    <xf borderId="0" fillId="0" fontId="10" numFmtId="10" xfId="0" applyAlignment="1" applyFont="1" applyNumberFormat="1">
      <alignment horizontal="left" vertical="top"/>
    </xf>
    <xf borderId="5" fillId="14" fontId="11" numFmtId="174" xfId="0" applyAlignment="1" applyBorder="1" applyFont="1" applyNumberFormat="1">
      <alignment horizontal="center" readingOrder="0" vertical="top"/>
    </xf>
    <xf borderId="12" fillId="7" fontId="84" numFmtId="10" xfId="0" applyAlignment="1" applyBorder="1" applyFont="1" applyNumberFormat="1">
      <alignment horizontal="left" vertical="top"/>
    </xf>
    <xf borderId="5" fillId="14" fontId="11" numFmtId="9" xfId="0" applyAlignment="1" applyBorder="1" applyFont="1" applyNumberFormat="1">
      <alignment horizontal="center" readingOrder="0" vertical="top"/>
    </xf>
    <xf borderId="1" fillId="10" fontId="24" numFmtId="174" xfId="0" applyAlignment="1" applyBorder="1" applyFont="1" applyNumberFormat="1">
      <alignment horizontal="center" vertical="top"/>
    </xf>
    <xf quotePrefix="1" borderId="1" fillId="10" fontId="10" numFmtId="10" xfId="0" applyAlignment="1" applyBorder="1" applyFont="1" applyNumberFormat="1">
      <alignment horizontal="left" vertical="top"/>
    </xf>
    <xf borderId="5" fillId="14" fontId="11" numFmtId="10" xfId="0" applyAlignment="1" applyBorder="1" applyFont="1" applyNumberFormat="1">
      <alignment horizontal="center" vertical="top"/>
    </xf>
    <xf borderId="5" fillId="14" fontId="11" numFmtId="10" xfId="0" applyAlignment="1" applyBorder="1" applyFont="1" applyNumberFormat="1">
      <alignment horizontal="center" readingOrder="0" vertical="top"/>
    </xf>
    <xf borderId="5" fillId="7" fontId="11" numFmtId="174" xfId="0" applyAlignment="1" applyBorder="1" applyFont="1" applyNumberFormat="1">
      <alignment horizontal="center" vertical="top"/>
    </xf>
    <xf borderId="1" fillId="10" fontId="10" numFmtId="10" xfId="0" applyAlignment="1" applyBorder="1" applyFont="1" applyNumberFormat="1">
      <alignment horizontal="center" vertical="top"/>
    </xf>
    <xf quotePrefix="1" borderId="1" fillId="10" fontId="10" numFmtId="10" xfId="0" applyAlignment="1" applyBorder="1" applyFont="1" applyNumberFormat="1">
      <alignment horizontal="center" vertical="top"/>
    </xf>
    <xf borderId="5" fillId="0" fontId="20" numFmtId="10" xfId="0" applyAlignment="1" applyBorder="1" applyFont="1" applyNumberFormat="1">
      <alignment horizontal="center" vertical="top"/>
    </xf>
    <xf borderId="5" fillId="14" fontId="11" numFmtId="164" xfId="0" applyAlignment="1" applyBorder="1" applyFont="1" applyNumberFormat="1">
      <alignment horizontal="center" readingOrder="0"/>
    </xf>
    <xf borderId="5" fillId="7" fontId="11" numFmtId="164" xfId="0" applyAlignment="1" applyBorder="1" applyFont="1" applyNumberFormat="1">
      <alignment horizontal="center" vertical="top"/>
    </xf>
    <xf borderId="5" fillId="7" fontId="11" numFmtId="202" xfId="0" applyAlignment="1" applyBorder="1" applyFont="1" applyNumberFormat="1">
      <alignment horizontal="center" vertical="top"/>
    </xf>
    <xf borderId="0" fillId="0" fontId="49" numFmtId="0" xfId="0" applyAlignment="1" applyFont="1">
      <alignment horizontal="left" vertical="center"/>
    </xf>
    <xf borderId="3" fillId="0" fontId="24" numFmtId="0" xfId="0" applyAlignment="1" applyBorder="1" applyFont="1">
      <alignment horizontal="right"/>
    </xf>
    <xf borderId="3" fillId="0" fontId="10" numFmtId="0" xfId="0" applyAlignment="1" applyBorder="1" applyFont="1">
      <alignment horizontal="center" shrinkToFit="0" wrapText="1"/>
    </xf>
    <xf borderId="0" fillId="0" fontId="10" numFmtId="0" xfId="0" applyAlignment="1" applyFont="1">
      <alignment horizontal="center" shrinkToFit="0" wrapText="1"/>
    </xf>
    <xf borderId="1" fillId="2" fontId="24" numFmtId="0" xfId="0" applyAlignment="1" applyBorder="1" applyFont="1">
      <alignment horizontal="left"/>
    </xf>
    <xf borderId="1" fillId="2" fontId="24" numFmtId="0" xfId="0" applyAlignment="1" applyBorder="1" applyFont="1">
      <alignment horizontal="center"/>
    </xf>
    <xf borderId="1" fillId="2" fontId="10" numFmtId="0" xfId="0" applyAlignment="1" applyBorder="1" applyFont="1">
      <alignment horizontal="center" shrinkToFit="0" wrapText="1"/>
    </xf>
    <xf borderId="14" fillId="2" fontId="10" numFmtId="0" xfId="0" applyAlignment="1" applyBorder="1" applyFont="1">
      <alignment horizontal="center" shrinkToFit="0" wrapText="1"/>
    </xf>
    <xf borderId="14" fillId="2" fontId="24" numFmtId="0" xfId="0" applyBorder="1" applyFont="1"/>
    <xf borderId="14" fillId="2" fontId="10" numFmtId="0" xfId="0" applyBorder="1" applyFont="1"/>
    <xf quotePrefix="1" borderId="6" fillId="0" fontId="10" numFmtId="0" xfId="0" applyBorder="1" applyFont="1"/>
    <xf borderId="37" fillId="14" fontId="11" numFmtId="0" xfId="0" applyBorder="1" applyFont="1"/>
    <xf borderId="37" fillId="14" fontId="11" numFmtId="1" xfId="0" applyAlignment="1" applyBorder="1" applyFont="1" applyNumberFormat="1">
      <alignment horizontal="center" readingOrder="0"/>
    </xf>
    <xf borderId="37" fillId="14" fontId="11" numFmtId="202" xfId="0" applyAlignment="1" applyBorder="1" applyFont="1" applyNumberFormat="1">
      <alignment horizontal="center" readingOrder="0"/>
    </xf>
    <xf borderId="0" fillId="0" fontId="11" numFmtId="202" xfId="0" applyAlignment="1" applyFont="1" applyNumberFormat="1">
      <alignment horizontal="center"/>
    </xf>
    <xf borderId="42" fillId="7" fontId="10" numFmtId="171" xfId="0" applyAlignment="1" applyBorder="1" applyFont="1" applyNumberFormat="1">
      <alignment horizontal="center" vertical="top"/>
    </xf>
    <xf borderId="5" fillId="14" fontId="11" numFmtId="0" xfId="0" applyBorder="1" applyFont="1"/>
    <xf borderId="5" fillId="14" fontId="11" numFmtId="1" xfId="0" applyAlignment="1" applyBorder="1" applyFont="1" applyNumberFormat="1">
      <alignment horizontal="center" readingOrder="0"/>
    </xf>
    <xf borderId="5" fillId="14" fontId="11" numFmtId="164" xfId="0" applyAlignment="1" applyBorder="1" applyFont="1" applyNumberFormat="1">
      <alignment horizontal="right" readingOrder="0"/>
    </xf>
    <xf borderId="5" fillId="7" fontId="10" numFmtId="171" xfId="0" applyAlignment="1" applyBorder="1" applyFont="1" applyNumberFormat="1">
      <alignment horizontal="center" vertical="top"/>
    </xf>
    <xf borderId="5" fillId="14" fontId="11" numFmtId="0" xfId="0" applyAlignment="1" applyBorder="1" applyFont="1">
      <alignment readingOrder="0"/>
    </xf>
    <xf borderId="5" fillId="7" fontId="11" numFmtId="0" xfId="0" applyBorder="1" applyFont="1"/>
    <xf borderId="5" fillId="7" fontId="11" numFmtId="1" xfId="0" applyAlignment="1" applyBorder="1" applyFont="1" applyNumberFormat="1">
      <alignment horizontal="center"/>
    </xf>
    <xf borderId="0" fillId="0" fontId="10" numFmtId="1" xfId="0" applyAlignment="1" applyFont="1" applyNumberFormat="1">
      <alignment horizontal="center"/>
    </xf>
    <xf borderId="0" fillId="0" fontId="10" numFmtId="202" xfId="0" applyAlignment="1" applyFont="1" applyNumberFormat="1">
      <alignment horizontal="center"/>
    </xf>
    <xf borderId="22" fillId="0" fontId="10" numFmtId="202" xfId="0" applyAlignment="1" applyBorder="1" applyFont="1" applyNumberFormat="1">
      <alignment horizontal="center"/>
    </xf>
    <xf borderId="22" fillId="0" fontId="24" numFmtId="171" xfId="0" applyAlignment="1" applyBorder="1" applyFont="1" applyNumberFormat="1">
      <alignment horizontal="center" vertical="top"/>
    </xf>
    <xf borderId="1" fillId="2" fontId="10" numFmtId="202" xfId="0" applyAlignment="1" applyBorder="1" applyFont="1" applyNumberFormat="1">
      <alignment horizontal="center"/>
    </xf>
    <xf borderId="1" fillId="2" fontId="10" numFmtId="173" xfId="0" applyAlignment="1" applyBorder="1" applyFont="1" applyNumberFormat="1">
      <alignment horizontal="center"/>
    </xf>
    <xf borderId="1" fillId="2" fontId="10" numFmtId="164" xfId="0" applyAlignment="1" applyBorder="1" applyFont="1" applyNumberFormat="1">
      <alignment horizontal="center" vertical="top"/>
    </xf>
    <xf borderId="3" fillId="0" fontId="10" numFmtId="202" xfId="0" applyAlignment="1" applyBorder="1" applyFont="1" applyNumberFormat="1">
      <alignment horizontal="center"/>
    </xf>
    <xf borderId="3" fillId="0" fontId="10" numFmtId="173" xfId="0" applyAlignment="1" applyBorder="1" applyFont="1" applyNumberFormat="1">
      <alignment horizontal="center"/>
    </xf>
    <xf borderId="3" fillId="0" fontId="10" numFmtId="164" xfId="0" applyAlignment="1" applyBorder="1" applyFont="1" applyNumberFormat="1">
      <alignment horizontal="center" vertical="top"/>
    </xf>
    <xf borderId="37" fillId="14" fontId="11" numFmtId="0" xfId="0" applyAlignment="1" applyBorder="1" applyFont="1">
      <alignment readingOrder="0"/>
    </xf>
    <xf borderId="0" fillId="0" fontId="10" numFmtId="202" xfId="0" applyFont="1" applyNumberFormat="1"/>
    <xf borderId="1" fillId="2" fontId="10" numFmtId="202" xfId="0" applyBorder="1" applyFont="1" applyNumberFormat="1"/>
    <xf borderId="97" fillId="14" fontId="11" numFmtId="0" xfId="0" applyAlignment="1" applyBorder="1" applyFont="1">
      <alignment readingOrder="0"/>
    </xf>
    <xf borderId="97" fillId="14" fontId="11" numFmtId="1" xfId="0" applyAlignment="1" applyBorder="1" applyFont="1" applyNumberFormat="1">
      <alignment horizontal="center" readingOrder="0"/>
    </xf>
    <xf borderId="97" fillId="14" fontId="11" numFmtId="202" xfId="0" applyAlignment="1" applyBorder="1" applyFont="1" applyNumberFormat="1">
      <alignment horizontal="center" readingOrder="0"/>
    </xf>
    <xf borderId="87" fillId="14" fontId="11" numFmtId="0" xfId="0" applyAlignment="1" applyBorder="1" applyFont="1">
      <alignment readingOrder="0"/>
    </xf>
    <xf borderId="87" fillId="14" fontId="11" numFmtId="1" xfId="0" applyAlignment="1" applyBorder="1" applyFont="1" applyNumberFormat="1">
      <alignment horizontal="center" readingOrder="0"/>
    </xf>
    <xf borderId="87" fillId="14" fontId="11" numFmtId="164" xfId="0" applyAlignment="1" applyBorder="1" applyFont="1" applyNumberFormat="1">
      <alignment horizontal="right" readingOrder="0"/>
    </xf>
    <xf borderId="87" fillId="7" fontId="11" numFmtId="0" xfId="0" applyBorder="1" applyFont="1"/>
    <xf borderId="87" fillId="7" fontId="11" numFmtId="1" xfId="0" applyAlignment="1" applyBorder="1" applyFont="1" applyNumberFormat="1">
      <alignment horizontal="center"/>
    </xf>
    <xf borderId="87" fillId="7" fontId="11" numFmtId="164" xfId="0" applyAlignment="1" applyBorder="1" applyFont="1" applyNumberFormat="1">
      <alignment horizontal="right"/>
    </xf>
    <xf borderId="41" fillId="7" fontId="10" numFmtId="171" xfId="0" applyAlignment="1" applyBorder="1" applyFont="1" applyNumberFormat="1">
      <alignment horizontal="center" vertical="top"/>
    </xf>
    <xf borderId="22" fillId="0" fontId="24" numFmtId="171" xfId="0" applyAlignment="1" applyBorder="1" applyFont="1" applyNumberFormat="1">
      <alignment horizontal="center"/>
    </xf>
    <xf borderId="0" fillId="0" fontId="10" numFmtId="164" xfId="0" applyAlignment="1" applyFont="1" applyNumberFormat="1">
      <alignment horizontal="center" readingOrder="0"/>
    </xf>
    <xf borderId="0" fillId="0" fontId="24" numFmtId="0" xfId="0" applyAlignment="1" applyFont="1">
      <alignment readingOrder="0"/>
    </xf>
    <xf borderId="1" fillId="2" fontId="24" numFmtId="0" xfId="0" applyBorder="1" applyFont="1"/>
    <xf borderId="1" fillId="2" fontId="24" numFmtId="164" xfId="0" applyAlignment="1" applyBorder="1" applyFont="1" applyNumberFormat="1">
      <alignment horizontal="center" vertical="top"/>
    </xf>
    <xf borderId="3" fillId="0" fontId="23" numFmtId="0" xfId="0" applyBorder="1" applyFont="1"/>
    <xf borderId="97" fillId="7" fontId="11" numFmtId="0" xfId="0" applyBorder="1" applyFont="1"/>
    <xf borderId="22" fillId="0" fontId="24" numFmtId="164" xfId="0" applyAlignment="1" applyBorder="1" applyFont="1" applyNumberFormat="1">
      <alignment horizontal="center" vertical="top"/>
    </xf>
    <xf borderId="97" fillId="14" fontId="11" numFmtId="0" xfId="0" applyBorder="1" applyFont="1"/>
    <xf borderId="87" fillId="14" fontId="11" numFmtId="0" xfId="0" applyBorder="1" applyFont="1"/>
    <xf borderId="87" fillId="14" fontId="11" numFmtId="164" xfId="0" applyAlignment="1" applyBorder="1" applyFont="1" applyNumberFormat="1">
      <alignment horizontal="right"/>
    </xf>
    <xf borderId="0" fillId="0" fontId="10" numFmtId="0" xfId="0" applyAlignment="1" applyFont="1">
      <alignment horizontal="center" readingOrder="0" shrinkToFit="0" wrapText="1"/>
    </xf>
    <xf borderId="5" fillId="7" fontId="11" numFmtId="1" xfId="0" applyAlignment="1" applyBorder="1" applyFont="1" applyNumberFormat="1">
      <alignment horizontal="left"/>
    </xf>
    <xf borderId="5" fillId="7" fontId="11" numFmtId="174" xfId="0" applyAlignment="1" applyBorder="1" applyFont="1" applyNumberFormat="1">
      <alignment horizontal="center"/>
    </xf>
    <xf borderId="0" fillId="0" fontId="11" numFmtId="0" xfId="0" applyAlignment="1" applyFont="1">
      <alignment horizontal="left"/>
    </xf>
    <xf borderId="0" fillId="0" fontId="11" numFmtId="0" xfId="0" applyAlignment="1" applyFont="1">
      <alignment horizontal="center"/>
    </xf>
    <xf borderId="0" fillId="0" fontId="11" numFmtId="1" xfId="0" applyAlignment="1" applyFont="1" applyNumberFormat="1">
      <alignment horizontal="right"/>
    </xf>
    <xf borderId="0" fillId="0" fontId="11" numFmtId="1" xfId="0" applyAlignment="1" applyFont="1" applyNumberFormat="1">
      <alignment horizontal="center"/>
    </xf>
    <xf borderId="5" fillId="14" fontId="11" numFmtId="1" xfId="0" applyAlignment="1" applyBorder="1" applyFont="1" applyNumberFormat="1">
      <alignment horizontal="left"/>
    </xf>
    <xf borderId="5" fillId="14" fontId="11" numFmtId="1" xfId="0" applyAlignment="1" applyBorder="1" applyFont="1" applyNumberFormat="1">
      <alignment horizontal="center"/>
    </xf>
    <xf borderId="5" fillId="14" fontId="11" numFmtId="174" xfId="0" applyAlignment="1" applyBorder="1" applyFont="1" applyNumberFormat="1">
      <alignment horizontal="right" readingOrder="0"/>
    </xf>
    <xf borderId="5" fillId="14" fontId="11" numFmtId="174" xfId="0" applyAlignment="1" applyBorder="1" applyFont="1" applyNumberFormat="1">
      <alignment horizontal="center"/>
    </xf>
    <xf borderId="5" fillId="14" fontId="10" numFmtId="171" xfId="0" applyAlignment="1" applyBorder="1" applyFont="1" applyNumberFormat="1">
      <alignment horizontal="center" readingOrder="0" vertical="top"/>
    </xf>
    <xf borderId="0" fillId="0" fontId="11" numFmtId="174" xfId="0" applyAlignment="1" applyFont="1" applyNumberFormat="1">
      <alignment horizontal="center"/>
    </xf>
    <xf borderId="0" fillId="0" fontId="11" numFmtId="0" xfId="0" applyFont="1"/>
    <xf borderId="5" fillId="14" fontId="11" numFmtId="178" xfId="0" applyAlignment="1" applyBorder="1" applyFont="1" applyNumberFormat="1">
      <alignment horizontal="right" readingOrder="0"/>
    </xf>
    <xf borderId="0" fillId="0" fontId="10" numFmtId="0" xfId="0" applyAlignment="1" applyFont="1">
      <alignment readingOrder="0"/>
    </xf>
    <xf borderId="5" fillId="7" fontId="11" numFmtId="1" xfId="0" applyAlignment="1" applyBorder="1" applyFont="1" applyNumberFormat="1">
      <alignment horizontal="center" readingOrder="0"/>
    </xf>
    <xf borderId="5" fillId="7" fontId="11" numFmtId="174" xfId="0" applyAlignment="1" applyBorder="1" applyFont="1" applyNumberFormat="1">
      <alignment horizontal="right" readingOrder="0"/>
    </xf>
    <xf borderId="5" fillId="7" fontId="10" numFmtId="171" xfId="0" applyAlignment="1" applyBorder="1" applyFont="1" applyNumberFormat="1">
      <alignment horizontal="center" readingOrder="0" vertical="top"/>
    </xf>
    <xf borderId="5" fillId="7" fontId="11" numFmtId="178" xfId="0" applyAlignment="1" applyBorder="1" applyFont="1" applyNumberFormat="1">
      <alignment horizontal="right" readingOrder="0"/>
    </xf>
    <xf borderId="1" fillId="10" fontId="24" numFmtId="1" xfId="0" applyAlignment="1" applyBorder="1" applyFont="1" applyNumberFormat="1">
      <alignment horizontal="center"/>
    </xf>
    <xf borderId="1" fillId="10" fontId="24" numFmtId="173" xfId="0" applyAlignment="1" applyBorder="1" applyFont="1" applyNumberFormat="1">
      <alignment horizontal="center"/>
    </xf>
    <xf borderId="5" fillId="14" fontId="20" numFmtId="171" xfId="0" applyAlignment="1" applyBorder="1" applyFont="1" applyNumberFormat="1">
      <alignment horizontal="center" vertical="top"/>
    </xf>
    <xf borderId="0" fillId="0" fontId="11" numFmtId="174" xfId="0" applyFont="1" applyNumberFormat="1"/>
    <xf borderId="5" fillId="14" fontId="11" numFmtId="1" xfId="0" applyAlignment="1" applyBorder="1" applyFont="1" applyNumberFormat="1">
      <alignment horizontal="left" readingOrder="0"/>
    </xf>
    <xf borderId="5" fillId="14" fontId="10" numFmtId="171" xfId="0" applyAlignment="1" applyBorder="1" applyFont="1" applyNumberFormat="1">
      <alignment horizontal="center" vertical="top"/>
    </xf>
    <xf borderId="5" fillId="14" fontId="11" numFmtId="174" xfId="0" applyAlignment="1" applyBorder="1" applyFont="1" applyNumberFormat="1">
      <alignment horizontal="center" readingOrder="0"/>
    </xf>
    <xf borderId="5" fillId="14" fontId="11" numFmtId="174" xfId="0" applyAlignment="1" applyBorder="1" applyFont="1" applyNumberFormat="1">
      <alignment horizontal="right"/>
    </xf>
    <xf borderId="0" fillId="0" fontId="24" numFmtId="1" xfId="0" applyAlignment="1" applyFont="1" applyNumberFormat="1">
      <alignment horizontal="center"/>
    </xf>
    <xf borderId="0" fillId="0" fontId="24" numFmtId="173" xfId="0" applyAlignment="1" applyFont="1" applyNumberFormat="1">
      <alignment horizontal="center"/>
    </xf>
    <xf borderId="22" fillId="0" fontId="24" numFmtId="1" xfId="0" applyAlignment="1" applyBorder="1" applyFont="1" applyNumberFormat="1">
      <alignment horizontal="center"/>
    </xf>
    <xf borderId="1" fillId="2" fontId="23" numFmtId="0" xfId="0" applyBorder="1" applyFont="1"/>
    <xf borderId="1" fillId="2" fontId="23" numFmtId="173" xfId="0" applyAlignment="1" applyBorder="1" applyFont="1" applyNumberFormat="1">
      <alignment horizontal="center"/>
    </xf>
    <xf borderId="1" fillId="2" fontId="23" numFmtId="164" xfId="0" applyAlignment="1" applyBorder="1" applyFont="1" applyNumberFormat="1">
      <alignment horizontal="center"/>
    </xf>
    <xf borderId="42" fillId="7" fontId="11" numFmtId="164" xfId="0" applyAlignment="1" applyBorder="1" applyFont="1" applyNumberFormat="1">
      <alignment horizontal="right"/>
    </xf>
    <xf borderId="3" fillId="0" fontId="10" numFmtId="164" xfId="0" applyAlignment="1" applyBorder="1" applyFont="1" applyNumberFormat="1">
      <alignment horizontal="right"/>
    </xf>
    <xf borderId="3" fillId="0" fontId="10" numFmtId="164" xfId="0" applyAlignment="1" applyBorder="1" applyFont="1" applyNumberFormat="1">
      <alignment horizontal="center"/>
    </xf>
    <xf borderId="22" fillId="14" fontId="10" numFmtId="164" xfId="0" applyAlignment="1" applyBorder="1" applyFont="1" applyNumberFormat="1">
      <alignment horizontal="right"/>
    </xf>
    <xf borderId="14" fillId="17" fontId="24" numFmtId="0" xfId="0" applyBorder="1" applyFont="1"/>
    <xf borderId="14" fillId="17" fontId="10" numFmtId="164" xfId="0" applyAlignment="1" applyBorder="1" applyFont="1" applyNumberFormat="1">
      <alignment horizontal="right"/>
    </xf>
    <xf borderId="14" fillId="17" fontId="10" numFmtId="164" xfId="0" applyAlignment="1" applyBorder="1" applyFont="1" applyNumberFormat="1">
      <alignment horizontal="center"/>
    </xf>
    <xf borderId="14" fillId="17" fontId="24" numFmtId="164" xfId="0" applyAlignment="1" applyBorder="1" applyFont="1" applyNumberFormat="1">
      <alignment horizontal="right"/>
    </xf>
    <xf borderId="0" fillId="0" fontId="10" numFmtId="164" xfId="0" applyAlignment="1" applyFont="1" applyNumberFormat="1">
      <alignment horizontal="left"/>
    </xf>
    <xf borderId="14" fillId="17" fontId="24" numFmtId="174" xfId="0" applyAlignment="1" applyBorder="1" applyFont="1" applyNumberFormat="1">
      <alignment horizontal="right"/>
    </xf>
    <xf borderId="14" fillId="17" fontId="24" numFmtId="164" xfId="0" applyAlignment="1" applyBorder="1" applyFont="1" applyNumberFormat="1">
      <alignment horizontal="center"/>
    </xf>
    <xf borderId="14" fillId="17" fontId="24" numFmtId="164" xfId="0" applyAlignment="1" applyBorder="1" applyFont="1" applyNumberFormat="1">
      <alignment horizontal="left"/>
    </xf>
    <xf borderId="43" fillId="7" fontId="11" numFmtId="164" xfId="0" applyAlignment="1" applyBorder="1" applyFont="1" applyNumberFormat="1">
      <alignment horizontal="right"/>
    </xf>
    <xf borderId="14" fillId="17" fontId="23" numFmtId="0" xfId="0" applyBorder="1" applyFont="1"/>
    <xf borderId="14" fillId="17" fontId="23" numFmtId="174" xfId="0" applyAlignment="1" applyBorder="1" applyFont="1" applyNumberFormat="1">
      <alignment horizontal="right"/>
    </xf>
    <xf borderId="1" fillId="17" fontId="24" numFmtId="0" xfId="0" applyBorder="1" applyFont="1"/>
    <xf borderId="1" fillId="17" fontId="10" numFmtId="164" xfId="0" applyAlignment="1" applyBorder="1" applyFont="1" applyNumberFormat="1">
      <alignment horizontal="right"/>
    </xf>
    <xf borderId="1" fillId="17" fontId="10" numFmtId="164" xfId="0" applyAlignment="1" applyBorder="1" applyFont="1" applyNumberFormat="1">
      <alignment horizontal="center"/>
    </xf>
    <xf borderId="1" fillId="17" fontId="23" numFmtId="0" xfId="0" applyBorder="1" applyFont="1"/>
    <xf borderId="1" fillId="17" fontId="23" numFmtId="174" xfId="0" applyAlignment="1" applyBorder="1" applyFont="1" applyNumberFormat="1">
      <alignment horizontal="right"/>
    </xf>
    <xf borderId="24" fillId="17" fontId="24" numFmtId="0" xfId="0" applyBorder="1" applyFont="1"/>
    <xf borderId="25" fillId="17" fontId="24" numFmtId="174" xfId="0" applyAlignment="1" applyBorder="1" applyFont="1" applyNumberFormat="1">
      <alignment horizontal="right"/>
    </xf>
    <xf borderId="25" fillId="17" fontId="24" numFmtId="164" xfId="0" applyAlignment="1" applyBorder="1" applyFont="1" applyNumberFormat="1">
      <alignment horizontal="center"/>
    </xf>
    <xf borderId="0" fillId="0" fontId="10" numFmtId="173" xfId="0" applyAlignment="1" applyFont="1" applyNumberFormat="1">
      <alignment horizontal="right"/>
    </xf>
    <xf borderId="1" fillId="19" fontId="23" numFmtId="0" xfId="0" applyBorder="1" applyFill="1" applyFont="1"/>
    <xf borderId="1" fillId="19" fontId="23" numFmtId="174" xfId="0" applyAlignment="1" applyBorder="1" applyFont="1" applyNumberFormat="1">
      <alignment horizontal="right"/>
    </xf>
    <xf borderId="1" fillId="19" fontId="23" numFmtId="0" xfId="0" applyAlignment="1" applyBorder="1" applyFont="1">
      <alignment horizontal="right"/>
    </xf>
    <xf borderId="1" fillId="19" fontId="23" numFmtId="173" xfId="0" applyAlignment="1" applyBorder="1" applyFont="1" applyNumberFormat="1">
      <alignment horizontal="right"/>
    </xf>
    <xf borderId="0" fillId="0" fontId="23" numFmtId="164" xfId="0" applyAlignment="1" applyFont="1" applyNumberFormat="1">
      <alignment horizontal="center"/>
    </xf>
    <xf borderId="1" fillId="17" fontId="23" numFmtId="0" xfId="0" applyAlignment="1" applyBorder="1" applyFont="1">
      <alignment horizontal="right"/>
    </xf>
    <xf borderId="1" fillId="17" fontId="23" numFmtId="173" xfId="0" applyAlignment="1" applyBorder="1" applyFont="1" applyNumberFormat="1">
      <alignment horizontal="right"/>
    </xf>
    <xf borderId="22" fillId="0" fontId="24" numFmtId="174" xfId="0" applyAlignment="1" applyBorder="1" applyFont="1" applyNumberFormat="1">
      <alignment horizontal="right"/>
    </xf>
    <xf borderId="22" fillId="14" fontId="24" numFmtId="164" xfId="0" applyAlignment="1" applyBorder="1" applyFont="1" applyNumberFormat="1">
      <alignment horizontal="right" readingOrder="0"/>
    </xf>
    <xf borderId="22" fillId="0" fontId="24" numFmtId="164" xfId="0" applyAlignment="1" applyBorder="1" applyFont="1" applyNumberFormat="1">
      <alignment horizontal="right" readingOrder="0"/>
    </xf>
    <xf borderId="22" fillId="14" fontId="24" numFmtId="164" xfId="0" applyAlignment="1" applyBorder="1" applyFont="1" applyNumberFormat="1">
      <alignment horizontal="right"/>
    </xf>
    <xf borderId="0" fillId="0" fontId="10" numFmtId="217" xfId="0" applyAlignment="1" applyFont="1" applyNumberFormat="1">
      <alignment horizontal="right"/>
    </xf>
    <xf borderId="20" fillId="17" fontId="24" numFmtId="0" xfId="0" applyBorder="1" applyFont="1"/>
    <xf borderId="20" fillId="17" fontId="10" numFmtId="174" xfId="0" applyAlignment="1" applyBorder="1" applyFont="1" applyNumberFormat="1">
      <alignment horizontal="right"/>
    </xf>
    <xf borderId="20" fillId="17" fontId="10" numFmtId="0" xfId="0" applyBorder="1" applyFont="1"/>
    <xf borderId="20" fillId="17" fontId="10" numFmtId="164" xfId="0" applyBorder="1" applyFont="1" applyNumberFormat="1"/>
    <xf borderId="87" fillId="7" fontId="43" numFmtId="217" xfId="0" applyAlignment="1" applyBorder="1" applyFont="1" applyNumberFormat="1">
      <alignment horizontal="center"/>
    </xf>
    <xf borderId="87" fillId="7" fontId="43" numFmtId="174" xfId="0" applyAlignment="1" applyBorder="1" applyFont="1" applyNumberFormat="1">
      <alignment horizontal="right"/>
    </xf>
    <xf borderId="0" fillId="0" fontId="24" numFmtId="3" xfId="0" applyAlignment="1" applyFont="1" applyNumberFormat="1">
      <alignment horizontal="center"/>
    </xf>
    <xf borderId="87" fillId="7" fontId="43" numFmtId="217" xfId="0" applyAlignment="1" applyBorder="1" applyFont="1" applyNumberFormat="1">
      <alignment horizontal="right"/>
    </xf>
    <xf borderId="0" fillId="0" fontId="10" numFmtId="201" xfId="0" applyAlignment="1" applyFont="1" applyNumberFormat="1">
      <alignment horizontal="right"/>
    </xf>
    <xf borderId="25" fillId="17" fontId="24" numFmtId="0" xfId="0" applyBorder="1" applyFont="1"/>
    <xf borderId="22" fillId="0" fontId="52" numFmtId="0" xfId="0" applyBorder="1" applyFont="1"/>
    <xf borderId="22" fillId="0" fontId="24" numFmtId="182" xfId="0" applyAlignment="1" applyBorder="1" applyFont="1" applyNumberFormat="1">
      <alignment horizontal="right"/>
    </xf>
    <xf borderId="25" fillId="17" fontId="10" numFmtId="0" xfId="0" applyBorder="1" applyFont="1"/>
    <xf borderId="25" fillId="17" fontId="24" numFmtId="174" xfId="0" applyAlignment="1" applyBorder="1" applyFont="1" applyNumberFormat="1">
      <alignment horizontal="right" readingOrder="0"/>
    </xf>
    <xf borderId="24" fillId="11" fontId="24" numFmtId="0" xfId="0" applyBorder="1" applyFont="1"/>
    <xf borderId="25" fillId="11" fontId="24" numFmtId="174" xfId="0" applyAlignment="1" applyBorder="1" applyFont="1" applyNumberFormat="1">
      <alignment horizontal="right"/>
    </xf>
    <xf borderId="25" fillId="11" fontId="24" numFmtId="0" xfId="0" applyBorder="1" applyFont="1"/>
    <xf borderId="22" fillId="0" fontId="24" numFmtId="171" xfId="0" applyBorder="1" applyFont="1" applyNumberFormat="1"/>
    <xf borderId="22" fillId="0" fontId="24" numFmtId="164" xfId="0" applyBorder="1" applyFont="1" applyNumberFormat="1"/>
    <xf borderId="23" fillId="0" fontId="10" numFmtId="164" xfId="0" applyBorder="1" applyFont="1" applyNumberFormat="1"/>
    <xf quotePrefix="1" borderId="1" fillId="3" fontId="85" numFmtId="0" xfId="0" applyBorder="1" applyFont="1"/>
    <xf borderId="1" fillId="4" fontId="86" numFmtId="0" xfId="0" applyBorder="1" applyFont="1"/>
    <xf borderId="0" fillId="0" fontId="59" numFmtId="164" xfId="0" applyAlignment="1" applyFont="1" applyNumberFormat="1">
      <alignment horizontal="center"/>
    </xf>
    <xf borderId="98" fillId="6" fontId="46" numFmtId="218" xfId="0" applyAlignment="1" applyBorder="1" applyFont="1" applyNumberFormat="1">
      <alignment horizontal="center"/>
    </xf>
    <xf borderId="1" fillId="13" fontId="5" numFmtId="164" xfId="0" applyBorder="1" applyFont="1" applyNumberFormat="1"/>
    <xf borderId="88" fillId="6" fontId="46" numFmtId="218" xfId="0" applyAlignment="1" applyBorder="1" applyFont="1" applyNumberFormat="1">
      <alignment horizontal="center"/>
    </xf>
    <xf borderId="0" fillId="0" fontId="10" numFmtId="0" xfId="0" applyAlignment="1" applyFont="1">
      <alignment vertical="center"/>
    </xf>
    <xf borderId="30" fillId="11" fontId="55" numFmtId="0" xfId="0" applyAlignment="1" applyBorder="1" applyFont="1">
      <alignment horizontal="center" shrinkToFit="0" vertical="center" wrapText="1"/>
    </xf>
    <xf borderId="31" fillId="0" fontId="32" numFmtId="0" xfId="0" applyBorder="1" applyFont="1"/>
    <xf borderId="0" fillId="0" fontId="87" numFmtId="164" xfId="0" applyAlignment="1" applyFont="1" applyNumberFormat="1">
      <alignment horizontal="center"/>
    </xf>
    <xf borderId="99" fillId="7" fontId="11" numFmtId="0" xfId="0" applyBorder="1" applyFont="1"/>
    <xf borderId="100" fillId="7" fontId="11" numFmtId="164" xfId="0" applyBorder="1" applyFont="1" applyNumberFormat="1"/>
    <xf borderId="0" fillId="0" fontId="88" numFmtId="164" xfId="0" applyFont="1" applyNumberFormat="1"/>
    <xf borderId="101" fillId="7" fontId="11" numFmtId="0" xfId="0" applyBorder="1" applyFont="1"/>
    <xf borderId="101" fillId="7" fontId="11" numFmtId="174" xfId="0" applyBorder="1" applyFont="1" applyNumberFormat="1"/>
    <xf borderId="101" fillId="7" fontId="11" numFmtId="164" xfId="0" applyBorder="1" applyFont="1" applyNumberFormat="1"/>
    <xf quotePrefix="1" borderId="101" fillId="7" fontId="11" numFmtId="0" xfId="0" applyBorder="1" applyFont="1"/>
    <xf borderId="102" fillId="7" fontId="11" numFmtId="0" xfId="0" applyBorder="1" applyFont="1"/>
    <xf borderId="103" fillId="7" fontId="11" numFmtId="0" xfId="0" applyBorder="1" applyFont="1"/>
    <xf borderId="104" fillId="0" fontId="32" numFmtId="0" xfId="0" applyBorder="1" applyFont="1"/>
    <xf borderId="105" fillId="0" fontId="32" numFmtId="0" xfId="0" applyBorder="1" applyFont="1"/>
    <xf borderId="22" fillId="0" fontId="55" numFmtId="0" xfId="0" applyBorder="1" applyFont="1"/>
    <xf borderId="22" fillId="0" fontId="10" numFmtId="216" xfId="0" applyBorder="1" applyFont="1" applyNumberFormat="1"/>
    <xf borderId="0" fillId="0" fontId="5" numFmtId="174" xfId="0" applyFont="1" applyNumberFormat="1"/>
    <xf borderId="0" fillId="0" fontId="55" numFmtId="0" xfId="0" applyFont="1"/>
    <xf borderId="0" fillId="0" fontId="10" numFmtId="216" xfId="0" applyFont="1" applyNumberFormat="1"/>
    <xf borderId="3" fillId="0" fontId="57" numFmtId="0" xfId="0" applyAlignment="1" applyBorder="1" applyFont="1">
      <alignment horizontal="right" shrinkToFit="0" wrapText="1"/>
    </xf>
    <xf borderId="44" fillId="0" fontId="32" numFmtId="0" xfId="0" applyBorder="1" applyFont="1"/>
    <xf borderId="30" fillId="0" fontId="23" numFmtId="0" xfId="0" applyAlignment="1" applyBorder="1" applyFont="1">
      <alignment horizontal="center" vertical="top"/>
    </xf>
    <xf borderId="22" fillId="0" fontId="30" numFmtId="0" xfId="0" applyAlignment="1" applyBorder="1" applyFont="1">
      <alignment horizontal="right" vertical="top"/>
    </xf>
    <xf borderId="22" fillId="0" fontId="23" numFmtId="0" xfId="0" applyAlignment="1" applyBorder="1" applyFont="1">
      <alignment horizontal="right" vertical="top"/>
    </xf>
    <xf borderId="20" fillId="9" fontId="30" numFmtId="0" xfId="0" applyAlignment="1" applyBorder="1" applyFont="1">
      <alignment horizontal="right" vertical="top"/>
    </xf>
    <xf borderId="20" fillId="9" fontId="23" numFmtId="0" xfId="0" applyAlignment="1" applyBorder="1" applyFont="1">
      <alignment horizontal="right" vertical="top"/>
    </xf>
    <xf borderId="0" fillId="0" fontId="30" numFmtId="0" xfId="0" applyAlignment="1" applyFont="1">
      <alignment horizontal="right" vertical="top"/>
    </xf>
    <xf borderId="0" fillId="0" fontId="23" numFmtId="0" xfId="0" applyAlignment="1" applyFont="1">
      <alignment horizontal="right" vertical="top"/>
    </xf>
    <xf borderId="9" fillId="0" fontId="20" numFmtId="164" xfId="0" applyAlignment="1" applyBorder="1" applyFont="1" applyNumberFormat="1">
      <alignment horizontal="right" vertical="top"/>
    </xf>
    <xf borderId="9" fillId="0" fontId="55" numFmtId="164" xfId="0" applyAlignment="1" applyBorder="1" applyFont="1" applyNumberFormat="1">
      <alignment horizontal="right" vertical="top"/>
    </xf>
    <xf borderId="77" fillId="0" fontId="11" numFmtId="164" xfId="0" applyAlignment="1" applyBorder="1" applyFont="1" applyNumberFormat="1">
      <alignment horizontal="right" vertical="top"/>
    </xf>
    <xf borderId="77" fillId="0" fontId="20" numFmtId="164" xfId="0" applyAlignment="1" applyBorder="1" applyFont="1" applyNumberFormat="1">
      <alignment horizontal="right" vertical="top"/>
    </xf>
    <xf borderId="15" fillId="10" fontId="10" numFmtId="0" xfId="0" applyBorder="1" applyFont="1"/>
    <xf borderId="3" fillId="0" fontId="10" numFmtId="164" xfId="0" applyAlignment="1" applyBorder="1" applyFont="1" applyNumberFormat="1">
      <alignment horizontal="right" vertical="top"/>
    </xf>
    <xf borderId="14" fillId="16" fontId="10" numFmtId="0" xfId="0" applyBorder="1" applyFont="1"/>
    <xf borderId="1" fillId="16" fontId="10" numFmtId="0" xfId="0" applyBorder="1" applyFont="1"/>
    <xf borderId="106" fillId="16" fontId="11" numFmtId="164" xfId="0" applyAlignment="1" applyBorder="1" applyFont="1" applyNumberFormat="1">
      <alignment horizontal="right" vertical="top"/>
    </xf>
    <xf borderId="4" fillId="16" fontId="10" numFmtId="0" xfId="0" applyBorder="1" applyFont="1"/>
    <xf borderId="107" fillId="16" fontId="11" numFmtId="164" xfId="0" applyAlignment="1" applyBorder="1" applyFont="1" applyNumberFormat="1">
      <alignment horizontal="right" vertical="top"/>
    </xf>
    <xf borderId="108" fillId="16" fontId="11" numFmtId="164" xfId="0" applyAlignment="1" applyBorder="1" applyFont="1" applyNumberFormat="1">
      <alignment horizontal="right" vertical="top"/>
    </xf>
    <xf borderId="107" fillId="16" fontId="20" numFmtId="164" xfId="0" applyAlignment="1" applyBorder="1" applyFont="1" applyNumberFormat="1">
      <alignment horizontal="right" vertical="top"/>
    </xf>
    <xf borderId="108" fillId="16" fontId="20" numFmtId="164" xfId="0" applyAlignment="1" applyBorder="1" applyFont="1" applyNumberFormat="1">
      <alignment horizontal="right" vertical="top"/>
    </xf>
    <xf borderId="87" fillId="16" fontId="20" numFmtId="164" xfId="0" applyAlignment="1" applyBorder="1" applyFont="1" applyNumberFormat="1">
      <alignment horizontal="right" vertical="top"/>
    </xf>
    <xf borderId="109" fillId="16" fontId="20" numFmtId="164" xfId="0" applyAlignment="1" applyBorder="1" applyFont="1" applyNumberFormat="1">
      <alignment horizontal="right" vertical="top"/>
    </xf>
    <xf borderId="110" fillId="16" fontId="20" numFmtId="164" xfId="0" applyAlignment="1" applyBorder="1" applyFont="1" applyNumberFormat="1">
      <alignment horizontal="right" vertical="top"/>
    </xf>
    <xf borderId="6" fillId="0" fontId="24" numFmtId="0" xfId="0" applyBorder="1" applyFont="1"/>
    <xf borderId="9" fillId="0" fontId="30" numFmtId="174" xfId="0" applyBorder="1" applyFont="1" applyNumberFormat="1"/>
    <xf borderId="6" fillId="0" fontId="24" numFmtId="219" xfId="0" applyAlignment="1" applyBorder="1" applyFont="1" applyNumberFormat="1">
      <alignment horizontal="right" vertical="top"/>
    </xf>
    <xf borderId="78" fillId="0" fontId="20" numFmtId="164" xfId="0" applyAlignment="1" applyBorder="1" applyFont="1" applyNumberFormat="1">
      <alignment horizontal="right" vertical="top"/>
    </xf>
    <xf borderId="6" fillId="0" fontId="35" numFmtId="0" xfId="0" applyBorder="1" applyFont="1"/>
    <xf borderId="6" fillId="0" fontId="20" numFmtId="9" xfId="0" applyAlignment="1" applyBorder="1" applyFont="1" applyNumberFormat="1">
      <alignment horizontal="right" vertical="top"/>
    </xf>
    <xf borderId="6" fillId="0" fontId="20" numFmtId="0" xfId="0" applyAlignment="1" applyBorder="1" applyFont="1">
      <alignment horizontal="right"/>
    </xf>
    <xf borderId="6" fillId="0" fontId="20" numFmtId="174" xfId="0" applyAlignment="1" applyBorder="1" applyFont="1" applyNumberFormat="1">
      <alignment horizontal="right"/>
    </xf>
    <xf borderId="6" fillId="0" fontId="20" numFmtId="164" xfId="0" applyAlignment="1" applyBorder="1" applyFont="1" applyNumberFormat="1">
      <alignment horizontal="right" vertical="top"/>
    </xf>
    <xf borderId="6" fillId="0" fontId="10" numFmtId="174" xfId="0" applyAlignment="1" applyBorder="1" applyFont="1" applyNumberFormat="1">
      <alignment horizontal="right" vertical="top"/>
    </xf>
    <xf borderId="6" fillId="0" fontId="11" numFmtId="164" xfId="0" applyAlignment="1" applyBorder="1" applyFont="1" applyNumberFormat="1">
      <alignment horizontal="right" vertical="top"/>
    </xf>
    <xf borderId="2" fillId="0" fontId="20" numFmtId="164" xfId="0" applyAlignment="1" applyBorder="1" applyFont="1" applyNumberFormat="1">
      <alignment horizontal="right" vertical="top"/>
    </xf>
    <xf borderId="78" fillId="0" fontId="10" numFmtId="0" xfId="0" applyAlignment="1" applyBorder="1" applyFont="1">
      <alignment horizontal="right"/>
    </xf>
    <xf borderId="78" fillId="0" fontId="10" numFmtId="9" xfId="0" applyAlignment="1" applyBorder="1" applyFont="1" applyNumberFormat="1">
      <alignment horizontal="right" vertical="top"/>
    </xf>
    <xf borderId="9" fillId="0" fontId="10" numFmtId="174" xfId="0" applyAlignment="1" applyBorder="1" applyFont="1" applyNumberFormat="1">
      <alignment horizontal="right" vertical="top"/>
    </xf>
    <xf borderId="9" fillId="0" fontId="10" numFmtId="164" xfId="0" applyAlignment="1" applyBorder="1" applyFont="1" applyNumberFormat="1">
      <alignment horizontal="right" vertical="top"/>
    </xf>
    <xf borderId="6" fillId="0" fontId="30" numFmtId="174" xfId="0" applyBorder="1" applyFont="1" applyNumberFormat="1"/>
    <xf borderId="6" fillId="0" fontId="10" numFmtId="164" xfId="0" applyAlignment="1" applyBorder="1" applyFont="1" applyNumberFormat="1">
      <alignment horizontal="right" vertical="top"/>
    </xf>
    <xf borderId="20" fillId="10" fontId="10" numFmtId="164" xfId="0" applyAlignment="1" applyBorder="1" applyFont="1" applyNumberFormat="1">
      <alignment horizontal="right" vertical="top"/>
    </xf>
    <xf borderId="1" fillId="10" fontId="10" numFmtId="164" xfId="0" applyAlignment="1" applyBorder="1" applyFont="1" applyNumberFormat="1">
      <alignment horizontal="right" vertical="top"/>
    </xf>
    <xf borderId="4" fillId="10" fontId="24" numFmtId="0" xfId="0" applyBorder="1" applyFont="1"/>
    <xf borderId="4" fillId="10" fontId="10" numFmtId="164" xfId="0" applyAlignment="1" applyBorder="1" applyFont="1" applyNumberFormat="1">
      <alignment horizontal="right" vertical="top"/>
    </xf>
    <xf borderId="22" fillId="0" fontId="24" numFmtId="164" xfId="0" applyAlignment="1" applyBorder="1" applyFont="1" applyNumberFormat="1">
      <alignment horizontal="right" vertical="top"/>
    </xf>
    <xf borderId="1" fillId="11" fontId="24" numFmtId="174" xfId="0" applyAlignment="1" applyBorder="1" applyFont="1" applyNumberFormat="1">
      <alignment horizontal="right"/>
    </xf>
    <xf borderId="1" fillId="11" fontId="24" numFmtId="0" xfId="0" applyAlignment="1" applyBorder="1" applyFont="1">
      <alignment horizontal="center"/>
    </xf>
    <xf borderId="0" fillId="0" fontId="35" numFmtId="0" xfId="0" applyAlignment="1" applyFont="1">
      <alignment horizontal="center"/>
    </xf>
    <xf borderId="87" fillId="7" fontId="11" numFmtId="207" xfId="0" applyAlignment="1" applyBorder="1" applyFont="1" applyNumberFormat="1">
      <alignment horizontal="right" readingOrder="0"/>
    </xf>
    <xf borderId="4" fillId="7" fontId="11" numFmtId="174" xfId="0" applyAlignment="1" applyBorder="1" applyFont="1" applyNumberFormat="1">
      <alignment horizontal="center" vertical="top"/>
    </xf>
    <xf borderId="4" fillId="7" fontId="10" numFmtId="174" xfId="0" applyAlignment="1" applyBorder="1" applyFont="1" applyNumberFormat="1">
      <alignment horizontal="right" vertical="top"/>
    </xf>
    <xf borderId="4" fillId="7" fontId="11" numFmtId="164" xfId="0" applyAlignment="1" applyBorder="1" applyFont="1" applyNumberFormat="1">
      <alignment horizontal="center" vertical="top"/>
    </xf>
    <xf borderId="4" fillId="7" fontId="10" numFmtId="164" xfId="0" applyAlignment="1" applyBorder="1" applyFont="1" applyNumberFormat="1">
      <alignment horizontal="right" vertical="top"/>
    </xf>
    <xf borderId="87" fillId="0" fontId="10" numFmtId="207" xfId="0" applyAlignment="1" applyBorder="1" applyFont="1" applyNumberFormat="1">
      <alignment horizontal="right"/>
    </xf>
    <xf borderId="87" fillId="7" fontId="11" numFmtId="207" xfId="0" applyAlignment="1" applyBorder="1" applyFont="1" applyNumberFormat="1">
      <alignment horizontal="right"/>
    </xf>
    <xf borderId="87" fillId="7" fontId="11" numFmtId="174" xfId="0" applyAlignment="1" applyBorder="1" applyFont="1" applyNumberFormat="1">
      <alignment horizontal="right"/>
    </xf>
    <xf borderId="4" fillId="7" fontId="11" numFmtId="164" xfId="0" applyAlignment="1" applyBorder="1" applyFont="1" applyNumberFormat="1">
      <alignment horizontal="right" vertical="top"/>
    </xf>
    <xf borderId="1" fillId="7" fontId="10" numFmtId="164" xfId="0" applyAlignment="1" applyBorder="1" applyFont="1" applyNumberFormat="1">
      <alignment horizontal="right" vertical="top"/>
    </xf>
    <xf borderId="4" fillId="7" fontId="11" numFmtId="164" xfId="0" applyAlignment="1" applyBorder="1" applyFont="1" applyNumberFormat="1">
      <alignment horizontal="right" readingOrder="0" vertical="top"/>
    </xf>
    <xf borderId="4" fillId="7" fontId="11" numFmtId="220" xfId="0" applyAlignment="1" applyBorder="1" applyFont="1" applyNumberFormat="1">
      <alignment horizontal="right" readingOrder="0" vertical="top"/>
    </xf>
    <xf borderId="3" fillId="0" fontId="10" numFmtId="178" xfId="0" applyAlignment="1" applyBorder="1" applyFont="1" applyNumberFormat="1">
      <alignment horizontal="center" vertical="top"/>
    </xf>
    <xf borderId="111" fillId="17" fontId="24" numFmtId="0" xfId="0" applyBorder="1" applyFont="1"/>
    <xf borderId="111" fillId="17" fontId="24" numFmtId="174" xfId="0" applyAlignment="1" applyBorder="1" applyFont="1" applyNumberFormat="1">
      <alignment horizontal="right"/>
    </xf>
    <xf borderId="111" fillId="17" fontId="24" numFmtId="221" xfId="0" applyAlignment="1" applyBorder="1" applyFont="1" applyNumberFormat="1">
      <alignment horizontal="right"/>
    </xf>
    <xf borderId="5" fillId="7" fontId="11" numFmtId="174" xfId="0" applyAlignment="1" applyBorder="1" applyFont="1" applyNumberFormat="1">
      <alignment horizontal="right" readingOrder="0" vertical="top"/>
    </xf>
    <xf borderId="5" fillId="7" fontId="11" numFmtId="174" xfId="0" applyAlignment="1" applyBorder="1" applyFont="1" applyNumberFormat="1">
      <alignment horizontal="right" vertical="top"/>
    </xf>
    <xf borderId="5" fillId="8" fontId="11" numFmtId="174" xfId="0" applyAlignment="1" applyBorder="1" applyFont="1" applyNumberFormat="1">
      <alignment horizontal="right" vertical="top"/>
    </xf>
    <xf borderId="4" fillId="7" fontId="11" numFmtId="0" xfId="0" applyAlignment="1" applyBorder="1" applyFont="1">
      <alignment readingOrder="0"/>
    </xf>
    <xf borderId="3" fillId="0" fontId="10" numFmtId="174" xfId="0" applyAlignment="1" applyBorder="1" applyFont="1" applyNumberFormat="1">
      <alignment horizontal="right" vertical="top"/>
    </xf>
    <xf borderId="5" fillId="7" fontId="11" numFmtId="207" xfId="0" applyAlignment="1" applyBorder="1" applyFont="1" applyNumberFormat="1">
      <alignment horizontal="center"/>
    </xf>
    <xf borderId="0" fillId="0" fontId="10" numFmtId="207" xfId="0" applyAlignment="1" applyFont="1" applyNumberFormat="1">
      <alignment horizontal="center"/>
    </xf>
    <xf borderId="5" fillId="7" fontId="11" numFmtId="207" xfId="0" applyAlignment="1" applyBorder="1" applyFont="1" applyNumberFormat="1">
      <alignment horizontal="center" shrinkToFit="0" wrapText="1"/>
    </xf>
    <xf borderId="0" fillId="0" fontId="10" numFmtId="207" xfId="0" applyAlignment="1" applyFont="1" applyNumberFormat="1">
      <alignment horizontal="center" shrinkToFit="0" wrapText="1"/>
    </xf>
    <xf borderId="0" fillId="0" fontId="10" numFmtId="174" xfId="0" applyAlignment="1" applyFont="1" applyNumberFormat="1">
      <alignment horizontal="right" shrinkToFit="0" vertical="top" wrapText="1"/>
    </xf>
    <xf borderId="1" fillId="10" fontId="10" numFmtId="174" xfId="0" applyAlignment="1" applyBorder="1" applyFont="1" applyNumberFormat="1">
      <alignment horizontal="right"/>
    </xf>
    <xf borderId="4" fillId="7" fontId="11" numFmtId="174" xfId="0" applyAlignment="1" applyBorder="1" applyFont="1" applyNumberFormat="1">
      <alignment horizontal="right" vertical="top"/>
    </xf>
    <xf borderId="4" fillId="7" fontId="11" numFmtId="174" xfId="0" applyAlignment="1" applyBorder="1" applyFont="1" applyNumberFormat="1">
      <alignment horizontal="right" readingOrder="0" vertical="top"/>
    </xf>
    <xf borderId="5" fillId="7" fontId="11" numFmtId="9" xfId="0" applyAlignment="1" applyBorder="1" applyFont="1" applyNumberFormat="1">
      <alignment horizontal="center" readingOrder="0"/>
    </xf>
    <xf borderId="5" fillId="7" fontId="11" numFmtId="177" xfId="0" applyAlignment="1" applyBorder="1" applyFont="1" applyNumberFormat="1">
      <alignment horizontal="center" readingOrder="0"/>
    </xf>
    <xf borderId="5" fillId="7" fontId="11" numFmtId="164" xfId="0" applyAlignment="1" applyBorder="1" applyFont="1" applyNumberFormat="1">
      <alignment horizontal="center" readingOrder="0" vertical="top"/>
    </xf>
    <xf borderId="1" fillId="10" fontId="10" numFmtId="10" xfId="0" applyAlignment="1" applyBorder="1" applyFont="1" applyNumberFormat="1">
      <alignment horizontal="center"/>
    </xf>
    <xf borderId="5" fillId="7" fontId="11" numFmtId="174" xfId="0" applyAlignment="1" applyBorder="1" applyFont="1" applyNumberFormat="1">
      <alignment horizontal="center" readingOrder="0" vertical="top"/>
    </xf>
    <xf borderId="5" fillId="7" fontId="43" numFmtId="164" xfId="0" applyAlignment="1" applyBorder="1" applyFont="1" applyNumberFormat="1">
      <alignment horizontal="center" readingOrder="0" vertical="top"/>
    </xf>
    <xf borderId="4" fillId="10" fontId="10" numFmtId="164" xfId="0" applyAlignment="1" applyBorder="1" applyFont="1" applyNumberFormat="1">
      <alignment horizontal="center" vertical="top"/>
    </xf>
    <xf borderId="5" fillId="7" fontId="43" numFmtId="171" xfId="0" applyAlignment="1" applyBorder="1" applyFont="1" applyNumberFormat="1">
      <alignment horizontal="center" readingOrder="0" vertical="top"/>
    </xf>
    <xf borderId="5" fillId="7" fontId="43" numFmtId="222" xfId="0" applyAlignment="1" applyBorder="1" applyFont="1" applyNumberFormat="1">
      <alignment horizontal="center" readingOrder="0" vertical="top"/>
    </xf>
    <xf borderId="4" fillId="10" fontId="10" numFmtId="207" xfId="0" applyAlignment="1" applyBorder="1" applyFont="1" applyNumberFormat="1">
      <alignment horizontal="center" vertical="top"/>
    </xf>
    <xf borderId="5" fillId="7" fontId="43" numFmtId="207" xfId="0" applyAlignment="1" applyBorder="1" applyFont="1" applyNumberFormat="1">
      <alignment horizontal="center" readingOrder="0" vertical="top"/>
    </xf>
    <xf borderId="4" fillId="10" fontId="10" numFmtId="174" xfId="0" applyAlignment="1" applyBorder="1" applyFont="1" applyNumberFormat="1">
      <alignment horizontal="center"/>
    </xf>
    <xf borderId="5" fillId="7" fontId="43" numFmtId="174" xfId="0" applyAlignment="1" applyBorder="1" applyFont="1" applyNumberFormat="1">
      <alignment horizontal="center" readingOrder="0" vertical="top"/>
    </xf>
    <xf borderId="3" fillId="0" fontId="10" numFmtId="0" xfId="0" applyAlignment="1" applyBorder="1" applyFont="1">
      <alignment horizontal="center"/>
    </xf>
    <xf borderId="0" fillId="0" fontId="10" numFmtId="178" xfId="0" applyAlignment="1" applyFont="1" applyNumberFormat="1">
      <alignment horizontal="center"/>
    </xf>
    <xf borderId="0" fillId="0" fontId="10" numFmtId="221" xfId="0" applyAlignment="1" applyFont="1" applyNumberFormat="1">
      <alignment horizontal="center"/>
    </xf>
    <xf borderId="26" fillId="0" fontId="24" numFmtId="0" xfId="0" applyBorder="1" applyFont="1"/>
    <xf borderId="27" fillId="0" fontId="24" numFmtId="174" xfId="0" applyAlignment="1" applyBorder="1" applyFont="1" applyNumberFormat="1">
      <alignment horizontal="right"/>
    </xf>
    <xf borderId="27" fillId="0" fontId="24" numFmtId="0" xfId="0" applyBorder="1" applyFont="1"/>
    <xf borderId="0" fillId="0" fontId="24" numFmtId="174" xfId="0" applyAlignment="1" applyFont="1" applyNumberFormat="1">
      <alignment readingOrder="0"/>
    </xf>
    <xf borderId="4" fillId="7" fontId="35" numFmtId="0" xfId="0" applyBorder="1" applyFont="1"/>
    <xf borderId="11" fillId="7" fontId="11" numFmtId="0" xfId="0" applyBorder="1" applyFont="1"/>
    <xf borderId="22" fillId="0" fontId="20" numFmtId="174" xfId="0" applyAlignment="1" applyBorder="1" applyFont="1" applyNumberFormat="1">
      <alignment horizontal="center"/>
    </xf>
    <xf borderId="1" fillId="7" fontId="11" numFmtId="174" xfId="0" applyAlignment="1" applyBorder="1" applyFont="1" applyNumberFormat="1">
      <alignment horizontal="right" vertical="top"/>
    </xf>
    <xf borderId="1" fillId="7" fontId="10" numFmtId="175" xfId="0" applyAlignment="1" applyBorder="1" applyFont="1" applyNumberFormat="1">
      <alignment horizontal="right"/>
    </xf>
    <xf borderId="0" fillId="0" fontId="10" numFmtId="178" xfId="0" applyAlignment="1" applyFont="1" applyNumberFormat="1">
      <alignment horizontal="right" vertical="top"/>
    </xf>
    <xf borderId="27" fillId="0" fontId="10" numFmtId="0" xfId="0" applyBorder="1" applyFont="1"/>
    <xf borderId="24" fillId="8" fontId="24" numFmtId="0" xfId="0" applyBorder="1" applyFont="1"/>
    <xf borderId="25" fillId="8" fontId="24" numFmtId="174" xfId="0" applyAlignment="1" applyBorder="1" applyFont="1" applyNumberFormat="1">
      <alignment horizontal="right"/>
    </xf>
    <xf borderId="25" fillId="8" fontId="24" numFmtId="0" xfId="0" applyBorder="1" applyFont="1"/>
    <xf borderId="112" fillId="3" fontId="44" numFmtId="0" xfId="0" applyAlignment="1" applyBorder="1" applyFont="1">
      <alignment shrinkToFit="0" wrapText="1"/>
    </xf>
    <xf borderId="113" fillId="0" fontId="32" numFmtId="0" xfId="0" applyBorder="1" applyFont="1"/>
    <xf borderId="1" fillId="4" fontId="68" numFmtId="0" xfId="0" applyBorder="1" applyFont="1"/>
    <xf borderId="14" fillId="6" fontId="24" numFmtId="168" xfId="0" applyAlignment="1" applyBorder="1" applyFont="1" applyNumberFormat="1">
      <alignment horizontal="center"/>
    </xf>
    <xf borderId="32" fillId="6" fontId="24" numFmtId="168" xfId="0" applyAlignment="1" applyBorder="1" applyFont="1" applyNumberFormat="1">
      <alignment horizontal="center"/>
    </xf>
    <xf borderId="47" fillId="6" fontId="24" numFmtId="0" xfId="0" applyAlignment="1" applyBorder="1" applyFont="1">
      <alignment horizontal="center"/>
    </xf>
    <xf borderId="18" fillId="6" fontId="24" numFmtId="0" xfId="0" applyAlignment="1" applyBorder="1" applyFont="1">
      <alignment horizontal="center"/>
    </xf>
    <xf borderId="19" fillId="6" fontId="24" numFmtId="0" xfId="0" applyAlignment="1" applyBorder="1" applyFont="1">
      <alignment horizontal="center"/>
    </xf>
    <xf borderId="48" fillId="6" fontId="24" numFmtId="0" xfId="0" applyAlignment="1" applyBorder="1" applyFont="1">
      <alignment horizontal="center"/>
    </xf>
    <xf borderId="20" fillId="6" fontId="24" numFmtId="0" xfId="0" applyAlignment="1" applyBorder="1" applyFont="1">
      <alignment horizontal="center"/>
    </xf>
    <xf borderId="21" fillId="6" fontId="24" numFmtId="0" xfId="0" applyAlignment="1" applyBorder="1" applyFont="1">
      <alignment horizontal="center"/>
    </xf>
    <xf borderId="1" fillId="6" fontId="24" numFmtId="0" xfId="0" applyBorder="1" applyFont="1"/>
    <xf borderId="1" fillId="10" fontId="10" numFmtId="173" xfId="0" applyBorder="1" applyFont="1" applyNumberFormat="1"/>
    <xf quotePrefix="1" borderId="0" fillId="0" fontId="35" numFmtId="0" xfId="0" applyAlignment="1" applyFont="1">
      <alignment horizontal="center"/>
    </xf>
    <xf borderId="0" fillId="0" fontId="24" numFmtId="173" xfId="0" applyAlignment="1" applyFont="1" applyNumberFormat="1">
      <alignment horizontal="left"/>
    </xf>
    <xf borderId="5" fillId="14" fontId="11" numFmtId="209" xfId="0" applyAlignment="1" applyBorder="1" applyFont="1" applyNumberFormat="1">
      <alignment horizontal="center" readingOrder="0"/>
    </xf>
    <xf borderId="5" fillId="14" fontId="11" numFmtId="164" xfId="0" applyAlignment="1" applyBorder="1" applyFont="1" applyNumberFormat="1">
      <alignment horizontal="center" readingOrder="0" vertical="top"/>
    </xf>
    <xf borderId="5" fillId="14" fontId="11" numFmtId="164" xfId="0" applyAlignment="1" applyBorder="1" applyFont="1" applyNumberFormat="1">
      <alignment horizontal="center" vertical="top"/>
    </xf>
    <xf borderId="0" fillId="0" fontId="11" numFmtId="173" xfId="0" applyAlignment="1" applyFont="1" applyNumberFormat="1">
      <alignment horizontal="center"/>
    </xf>
    <xf borderId="26" fillId="0" fontId="24" numFmtId="0" xfId="0" applyAlignment="1" applyBorder="1" applyFont="1">
      <alignment shrinkToFit="0" wrapText="1"/>
    </xf>
    <xf borderId="27" fillId="0" fontId="24" numFmtId="193" xfId="0" applyBorder="1" applyFont="1" applyNumberFormat="1"/>
    <xf borderId="27" fillId="0" fontId="24" numFmtId="193" xfId="0" applyAlignment="1" applyBorder="1" applyFont="1" applyNumberFormat="1">
      <alignment horizontal="center"/>
    </xf>
    <xf borderId="4" fillId="7" fontId="10" numFmtId="164" xfId="0" applyBorder="1" applyFont="1" applyNumberFormat="1"/>
    <xf borderId="50" fillId="6" fontId="24" numFmtId="199" xfId="0" applyAlignment="1" applyBorder="1" applyFont="1" applyNumberFormat="1">
      <alignment horizontal="center"/>
    </xf>
    <xf borderId="50" fillId="6" fontId="23" numFmtId="0" xfId="0" applyBorder="1" applyFont="1"/>
    <xf borderId="14" fillId="6" fontId="24" numFmtId="0" xfId="0" applyAlignment="1" applyBorder="1" applyFont="1">
      <alignment horizontal="center"/>
    </xf>
    <xf borderId="92" fillId="6" fontId="24" numFmtId="0" xfId="0" applyAlignment="1" applyBorder="1" applyFont="1">
      <alignment horizontal="center"/>
    </xf>
    <xf borderId="16" fillId="6" fontId="24" numFmtId="166" xfId="0" applyAlignment="1" applyBorder="1" applyFont="1" applyNumberFormat="1">
      <alignment horizontal="center"/>
    </xf>
    <xf borderId="114" fillId="6" fontId="23" numFmtId="0" xfId="0" applyBorder="1" applyFont="1"/>
    <xf borderId="1" fillId="6" fontId="24" numFmtId="0" xfId="0" applyAlignment="1" applyBorder="1" applyFont="1">
      <alignment horizontal="center"/>
    </xf>
    <xf borderId="21" fillId="6" fontId="24" numFmtId="166" xfId="0" applyAlignment="1" applyBorder="1" applyFont="1" applyNumberFormat="1">
      <alignment horizontal="center"/>
    </xf>
    <xf borderId="48" fillId="6" fontId="23" numFmtId="0" xfId="0" applyBorder="1" applyFont="1"/>
    <xf quotePrefix="1" borderId="88" fillId="6" fontId="24" numFmtId="0" xfId="0" applyAlignment="1" applyBorder="1" applyFont="1">
      <alignment horizontal="center"/>
    </xf>
    <xf borderId="0" fillId="0" fontId="79" numFmtId="0" xfId="0" applyAlignment="1" applyFont="1">
      <alignment horizontal="center"/>
    </xf>
    <xf borderId="2" fillId="0" fontId="11" numFmtId="0" xfId="0" applyBorder="1" applyFont="1"/>
    <xf borderId="2" fillId="0" fontId="11" numFmtId="174" xfId="0" applyBorder="1" applyFont="1" applyNumberFormat="1"/>
    <xf borderId="38" fillId="0" fontId="20" numFmtId="174" xfId="0" applyBorder="1" applyFont="1" applyNumberFormat="1"/>
    <xf borderId="5" fillId="0" fontId="20" numFmtId="174" xfId="0" applyBorder="1" applyFont="1" applyNumberFormat="1"/>
    <xf borderId="77" fillId="0" fontId="55" numFmtId="0" xfId="0" applyBorder="1" applyFont="1"/>
    <xf borderId="77" fillId="0" fontId="11" numFmtId="164" xfId="0" applyBorder="1" applyFont="1" applyNumberFormat="1"/>
    <xf borderId="39" fillId="0" fontId="20" numFmtId="164" xfId="0" applyBorder="1" applyFont="1" applyNumberFormat="1"/>
    <xf borderId="40" fillId="0" fontId="20" numFmtId="164" xfId="0" applyBorder="1" applyFont="1" applyNumberFormat="1"/>
    <xf borderId="2" fillId="0" fontId="20" numFmtId="0" xfId="0" applyAlignment="1" applyBorder="1" applyFont="1">
      <alignment vertical="center"/>
    </xf>
    <xf borderId="2" fillId="0" fontId="20" numFmtId="174" xfId="0" applyBorder="1" applyFont="1" applyNumberFormat="1"/>
    <xf borderId="11" fillId="7" fontId="11" numFmtId="174" xfId="0" applyBorder="1" applyFont="1" applyNumberFormat="1"/>
    <xf borderId="9" fillId="0" fontId="10" numFmtId="174" xfId="0" applyBorder="1" applyFont="1" applyNumberFormat="1"/>
    <xf borderId="115" fillId="7" fontId="11" numFmtId="174" xfId="0" applyBorder="1" applyFont="1" applyNumberFormat="1"/>
    <xf borderId="58" fillId="7" fontId="11" numFmtId="174" xfId="0" applyBorder="1" applyFont="1" applyNumberFormat="1"/>
    <xf borderId="42" fillId="7" fontId="11" numFmtId="174" xfId="0" applyBorder="1" applyFont="1" applyNumberFormat="1"/>
    <xf borderId="0" fillId="0" fontId="79" numFmtId="0" xfId="0" applyAlignment="1" applyFont="1">
      <alignment horizontal="center" vertical="center"/>
    </xf>
    <xf borderId="6" fillId="0" fontId="20" numFmtId="0" xfId="0" applyAlignment="1" applyBorder="1" applyFont="1">
      <alignment shrinkToFit="0" wrapText="1"/>
    </xf>
    <xf borderId="6" fillId="0" fontId="20" numFmtId="174" xfId="0" applyBorder="1" applyFont="1" applyNumberFormat="1"/>
    <xf borderId="4" fillId="14" fontId="11" numFmtId="164" xfId="0" applyAlignment="1" applyBorder="1" applyFont="1" applyNumberFormat="1">
      <alignment readingOrder="0"/>
    </xf>
    <xf borderId="6" fillId="0" fontId="10" numFmtId="164" xfId="0" applyBorder="1" applyFont="1" applyNumberFormat="1"/>
    <xf borderId="59" fillId="7" fontId="11" numFmtId="164" xfId="0" applyBorder="1" applyFont="1" applyNumberFormat="1"/>
    <xf borderId="5" fillId="7" fontId="11" numFmtId="164" xfId="0" applyBorder="1" applyFont="1" applyNumberFormat="1"/>
    <xf borderId="6" fillId="0" fontId="20" numFmtId="0" xfId="0" applyBorder="1" applyFont="1"/>
    <xf borderId="6" fillId="0" fontId="20" numFmtId="164" xfId="0" applyBorder="1" applyFont="1" applyNumberFormat="1"/>
    <xf borderId="6" fillId="0" fontId="20" numFmtId="0" xfId="0" applyAlignment="1" applyBorder="1" applyFont="1">
      <alignment vertical="center"/>
    </xf>
    <xf borderId="116" fillId="7" fontId="11" numFmtId="164" xfId="0" applyBorder="1" applyFont="1" applyNumberFormat="1"/>
    <xf borderId="6" fillId="0" fontId="11" numFmtId="0" xfId="0" applyAlignment="1" applyBorder="1" applyFont="1">
      <alignment vertical="center"/>
    </xf>
    <xf borderId="6" fillId="0" fontId="11" numFmtId="164" xfId="0" applyBorder="1" applyFont="1" applyNumberFormat="1"/>
    <xf borderId="116" fillId="0" fontId="11" numFmtId="164" xfId="0" applyBorder="1" applyFont="1" applyNumberFormat="1"/>
    <xf borderId="38" fillId="0" fontId="11" numFmtId="164" xfId="0" applyBorder="1" applyFont="1" applyNumberFormat="1"/>
    <xf borderId="5" fillId="0" fontId="11" numFmtId="164" xfId="0" applyBorder="1" applyFont="1" applyNumberFormat="1"/>
    <xf borderId="78" fillId="0" fontId="11" numFmtId="164" xfId="0" applyBorder="1" applyFont="1" applyNumberFormat="1"/>
    <xf borderId="78" fillId="0" fontId="10" numFmtId="164" xfId="0" applyBorder="1" applyFont="1" applyNumberFormat="1"/>
    <xf borderId="117" fillId="0" fontId="11" numFmtId="164" xfId="0" applyBorder="1" applyFont="1" applyNumberFormat="1"/>
    <xf borderId="39" fillId="0" fontId="11" numFmtId="164" xfId="0" applyBorder="1" applyFont="1" applyNumberFormat="1"/>
    <xf borderId="40" fillId="0" fontId="11" numFmtId="164" xfId="0" applyBorder="1" applyFont="1" applyNumberFormat="1"/>
    <xf borderId="78" fillId="0" fontId="20" numFmtId="0" xfId="0" applyAlignment="1" applyBorder="1" applyFont="1">
      <alignment vertical="center"/>
    </xf>
    <xf borderId="78" fillId="0" fontId="11" numFmtId="0" xfId="0" applyAlignment="1" applyBorder="1" applyFont="1">
      <alignment vertical="center"/>
    </xf>
    <xf borderId="77" fillId="0" fontId="55" numFmtId="0" xfId="0" applyAlignment="1" applyBorder="1" applyFont="1">
      <alignment vertical="center"/>
    </xf>
    <xf borderId="11" fillId="14" fontId="11" numFmtId="164" xfId="0" applyAlignment="1" applyBorder="1" applyFont="1" applyNumberFormat="1">
      <alignment readingOrder="0"/>
    </xf>
    <xf borderId="9" fillId="0" fontId="10" numFmtId="164" xfId="0" applyBorder="1" applyFont="1" applyNumberFormat="1"/>
    <xf borderId="115" fillId="7" fontId="11" numFmtId="164" xfId="0" applyBorder="1" applyFont="1" applyNumberFormat="1"/>
    <xf borderId="58" fillId="7" fontId="11" numFmtId="164" xfId="0" applyBorder="1" applyFont="1" applyNumberFormat="1"/>
    <xf borderId="42" fillId="7" fontId="11" numFmtId="164" xfId="0" applyBorder="1" applyFont="1" applyNumberFormat="1"/>
    <xf borderId="4" fillId="7" fontId="11" numFmtId="0" xfId="0" applyAlignment="1" applyBorder="1" applyFont="1">
      <alignment vertical="center"/>
    </xf>
    <xf quotePrefix="1" borderId="4" fillId="7" fontId="11" numFmtId="0" xfId="0" applyAlignment="1" applyBorder="1" applyFont="1">
      <alignment vertical="center"/>
    </xf>
    <xf borderId="116" fillId="7" fontId="11" numFmtId="164" xfId="0" applyAlignment="1" applyBorder="1" applyFont="1" applyNumberFormat="1">
      <alignment readingOrder="0"/>
    </xf>
    <xf borderId="4" fillId="7" fontId="72" numFmtId="0" xfId="0" applyBorder="1" applyFont="1"/>
    <xf borderId="69" fillId="16" fontId="11" numFmtId="164" xfId="0" applyBorder="1" applyFont="1" applyNumberFormat="1"/>
    <xf borderId="116" fillId="16" fontId="11" numFmtId="164" xfId="0" applyAlignment="1" applyBorder="1" applyFont="1" applyNumberFormat="1">
      <alignment horizontal="right"/>
    </xf>
    <xf borderId="59" fillId="16" fontId="11" numFmtId="164" xfId="0" applyAlignment="1" applyBorder="1" applyFont="1" applyNumberFormat="1">
      <alignment horizontal="right"/>
    </xf>
    <xf borderId="5" fillId="16" fontId="11" numFmtId="164" xfId="0" applyAlignment="1" applyBorder="1" applyFont="1" applyNumberFormat="1">
      <alignment horizontal="right"/>
    </xf>
    <xf borderId="69" fillId="7" fontId="72" numFmtId="0" xfId="0" applyBorder="1" applyFont="1"/>
    <xf borderId="118" fillId="16" fontId="11" numFmtId="164" xfId="0" applyAlignment="1" applyBorder="1" applyFont="1" applyNumberFormat="1">
      <alignment horizontal="right"/>
    </xf>
    <xf borderId="119" fillId="16" fontId="11" numFmtId="164" xfId="0" applyAlignment="1" applyBorder="1" applyFont="1" applyNumberFormat="1">
      <alignment horizontal="right"/>
    </xf>
    <xf borderId="43" fillId="16" fontId="11" numFmtId="164" xfId="0" applyAlignment="1" applyBorder="1" applyFont="1" applyNumberFormat="1">
      <alignment horizontal="right"/>
    </xf>
    <xf borderId="22" fillId="0" fontId="20" numFmtId="0" xfId="0" applyBorder="1" applyFont="1"/>
    <xf borderId="22" fillId="0" fontId="11" numFmtId="164" xfId="0" applyBorder="1" applyFont="1" applyNumberFormat="1"/>
    <xf borderId="35" fillId="0" fontId="20" numFmtId="164" xfId="0" applyBorder="1" applyFont="1" applyNumberFormat="1"/>
    <xf borderId="42" fillId="0" fontId="20" numFmtId="164" xfId="0" applyBorder="1" applyFont="1" applyNumberFormat="1"/>
    <xf borderId="0" fillId="0" fontId="20" numFmtId="0" xfId="0" applyFont="1"/>
    <xf borderId="60" fillId="7" fontId="11" numFmtId="201" xfId="0" applyBorder="1" applyFont="1" applyNumberFormat="1"/>
    <xf borderId="77" fillId="0" fontId="10" numFmtId="164" xfId="0" applyBorder="1" applyFont="1" applyNumberFormat="1"/>
    <xf borderId="14" fillId="6" fontId="23" numFmtId="174" xfId="0" applyBorder="1" applyFont="1" applyNumberFormat="1"/>
    <xf quotePrefix="1" borderId="112" fillId="3" fontId="69" numFmtId="0" xfId="0" applyAlignment="1" applyBorder="1" applyFont="1">
      <alignment shrinkToFit="0" wrapText="1"/>
    </xf>
    <xf borderId="120" fillId="0" fontId="32" numFmtId="0" xfId="0" applyBorder="1" applyFont="1"/>
    <xf borderId="50" fillId="6" fontId="24" numFmtId="0" xfId="0" applyBorder="1" applyFont="1"/>
    <xf borderId="14" fillId="6" fontId="10" numFmtId="0" xfId="0" applyBorder="1" applyFont="1"/>
    <xf borderId="32" fillId="6" fontId="10" numFmtId="0" xfId="0" applyBorder="1" applyFont="1"/>
    <xf borderId="46" fillId="6" fontId="24" numFmtId="0" xfId="0" applyAlignment="1" applyBorder="1" applyFont="1">
      <alignment horizontal="center"/>
    </xf>
    <xf borderId="15" fillId="6" fontId="24" numFmtId="0" xfId="0" applyAlignment="1" applyBorder="1" applyFont="1">
      <alignment horizontal="center"/>
    </xf>
    <xf borderId="16" fillId="6" fontId="24" numFmtId="0" xfId="0" applyAlignment="1" applyBorder="1" applyFont="1">
      <alignment horizontal="center"/>
    </xf>
    <xf borderId="89" fillId="6" fontId="23" numFmtId="0" xfId="0" applyAlignment="1" applyBorder="1" applyFont="1">
      <alignment horizontal="center" vertical="top"/>
    </xf>
    <xf borderId="90" fillId="6" fontId="23" numFmtId="0" xfId="0" applyAlignment="1" applyBorder="1" applyFont="1">
      <alignment horizontal="center" vertical="top"/>
    </xf>
    <xf borderId="91" fillId="6" fontId="23" numFmtId="0" xfId="0" applyAlignment="1" applyBorder="1" applyFont="1">
      <alignment horizontal="center" vertical="top"/>
    </xf>
    <xf borderId="54" fillId="6" fontId="23" numFmtId="0" xfId="0" applyAlignment="1" applyBorder="1" applyFont="1">
      <alignment horizontal="center" vertical="top"/>
    </xf>
    <xf borderId="55" fillId="6" fontId="23" numFmtId="0" xfId="0" applyAlignment="1" applyBorder="1" applyFont="1">
      <alignment horizontal="center" vertical="top"/>
    </xf>
    <xf borderId="56" fillId="6" fontId="23" numFmtId="0" xfId="0" applyAlignment="1" applyBorder="1" applyFont="1">
      <alignment horizontal="center" vertical="top"/>
    </xf>
    <xf borderId="0" fillId="0" fontId="89" numFmtId="0" xfId="0" applyAlignment="1" applyFont="1">
      <alignment shrinkToFit="0" wrapText="1"/>
    </xf>
    <xf borderId="42" fillId="14" fontId="10" numFmtId="164" xfId="0" applyAlignment="1" applyBorder="1" applyFont="1" applyNumberFormat="1">
      <alignment horizontal="center" readingOrder="0" vertical="top"/>
    </xf>
    <xf borderId="5" fillId="0" fontId="20" numFmtId="164" xfId="0" applyAlignment="1" applyBorder="1" applyFont="1" applyNumberFormat="1">
      <alignment horizontal="center" vertical="top"/>
    </xf>
    <xf borderId="3" fillId="0" fontId="10" numFmtId="173" xfId="0" applyAlignment="1" applyBorder="1" applyFont="1" applyNumberFormat="1">
      <alignment horizontal="center" vertical="top"/>
    </xf>
    <xf borderId="5" fillId="14" fontId="10" numFmtId="164" xfId="0" applyAlignment="1" applyBorder="1" applyFont="1" applyNumberFormat="1">
      <alignment horizontal="center" readingOrder="0" vertical="top"/>
    </xf>
    <xf borderId="15" fillId="10" fontId="10" numFmtId="173" xfId="0" applyAlignment="1" applyBorder="1" applyFont="1" applyNumberFormat="1">
      <alignment horizontal="center" vertical="top"/>
    </xf>
    <xf borderId="23" fillId="0" fontId="10" numFmtId="0" xfId="0" applyAlignment="1" applyBorder="1" applyFont="1">
      <alignment horizontal="center" vertical="top"/>
    </xf>
    <xf borderId="23" fillId="14" fontId="10" numFmtId="0" xfId="0" applyAlignment="1" applyBorder="1" applyFont="1">
      <alignment horizontal="center" vertical="top"/>
    </xf>
    <xf borderId="1" fillId="10" fontId="10" numFmtId="173" xfId="0" applyAlignment="1" applyBorder="1" applyFont="1" applyNumberFormat="1">
      <alignment horizontal="center" vertical="top"/>
    </xf>
    <xf borderId="42" fillId="14" fontId="10" numFmtId="0" xfId="0" applyAlignment="1" applyBorder="1" applyFont="1">
      <alignment horizontal="center" readingOrder="0" vertical="top"/>
    </xf>
    <xf borderId="4" fillId="10" fontId="10" numFmtId="173" xfId="0" applyAlignment="1" applyBorder="1" applyFont="1" applyNumberFormat="1">
      <alignment horizontal="center" vertical="top"/>
    </xf>
    <xf borderId="5" fillId="14" fontId="10" numFmtId="0" xfId="0" applyAlignment="1" applyBorder="1" applyFont="1">
      <alignment horizontal="center" readingOrder="0" vertical="top"/>
    </xf>
    <xf borderId="41" fillId="14" fontId="10" numFmtId="0" xfId="0" applyAlignment="1" applyBorder="1" applyFont="1">
      <alignment horizontal="center" readingOrder="0" vertical="top"/>
    </xf>
    <xf borderId="14" fillId="10" fontId="24" numFmtId="0" xfId="0" applyAlignment="1" applyBorder="1" applyFont="1">
      <alignment horizontal="center"/>
    </xf>
    <xf borderId="1" fillId="10" fontId="10" numFmtId="49" xfId="0" applyAlignment="1" applyBorder="1" applyFont="1" applyNumberFormat="1">
      <alignment horizontal="center" readingOrder="0" vertical="top"/>
    </xf>
    <xf borderId="112" fillId="6" fontId="45" numFmtId="0" xfId="0" applyAlignment="1" applyBorder="1" applyFont="1">
      <alignment horizontal="left"/>
    </xf>
    <xf borderId="1" fillId="6" fontId="10" numFmtId="0" xfId="0" applyBorder="1" applyFont="1"/>
    <xf borderId="1" fillId="6" fontId="24" numFmtId="199" xfId="0" applyAlignment="1" applyBorder="1" applyFont="1" applyNumberFormat="1">
      <alignment horizontal="center"/>
    </xf>
    <xf borderId="1" fillId="6" fontId="24" numFmtId="0" xfId="0" applyAlignment="1" applyBorder="1" applyFont="1">
      <alignment horizontal="right" shrinkToFit="0" wrapText="1"/>
    </xf>
    <xf borderId="1" fillId="6" fontId="24" numFmtId="166" xfId="0" applyAlignment="1" applyBorder="1" applyFont="1" applyNumberFormat="1">
      <alignment horizontal="center" shrinkToFit="0" wrapText="1"/>
    </xf>
    <xf borderId="14" fillId="7" fontId="11" numFmtId="0" xfId="0" applyBorder="1" applyFont="1"/>
    <xf borderId="22" fillId="0" fontId="20" numFmtId="174" xfId="0" applyBorder="1" applyFont="1" applyNumberFormat="1"/>
    <xf borderId="14" fillId="7" fontId="11" numFmtId="174" xfId="0" applyBorder="1" applyFont="1" applyNumberFormat="1"/>
    <xf borderId="4" fillId="14" fontId="11" numFmtId="0" xfId="0" applyAlignment="1" applyBorder="1" applyFont="1">
      <alignment readingOrder="0"/>
    </xf>
    <xf borderId="20" fillId="7" fontId="11" numFmtId="0" xfId="0" applyBorder="1" applyFont="1"/>
    <xf borderId="3" fillId="0" fontId="20" numFmtId="164" xfId="0" applyBorder="1" applyFont="1" applyNumberFormat="1"/>
    <xf borderId="20" fillId="7" fontId="10" numFmtId="164" xfId="0" applyBorder="1" applyFont="1" applyNumberFormat="1"/>
    <xf borderId="0" fillId="0" fontId="10" numFmtId="183" xfId="0" applyFont="1" applyNumberFormat="1"/>
    <xf borderId="0" fillId="0" fontId="10" numFmtId="167" xfId="0" applyAlignment="1" applyFont="1" applyNumberFormat="1">
      <alignment horizontal="center" shrinkToFit="0" wrapText="1"/>
    </xf>
    <xf borderId="0" fillId="0" fontId="24" numFmtId="0" xfId="0" applyAlignment="1" applyFont="1">
      <alignment horizontal="center" vertical="top"/>
    </xf>
    <xf borderId="15" fillId="6" fontId="24" numFmtId="0" xfId="0" applyAlignment="1" applyBorder="1" applyFont="1">
      <alignment horizontal="right"/>
    </xf>
    <xf borderId="16" fillId="6" fontId="24" numFmtId="0" xfId="0" applyAlignment="1" applyBorder="1" applyFont="1">
      <alignment horizontal="right"/>
    </xf>
    <xf borderId="114" fillId="6" fontId="23" numFmtId="0" xfId="0" applyAlignment="1" applyBorder="1" applyFont="1">
      <alignment horizontal="right" vertical="top"/>
    </xf>
    <xf borderId="1" fillId="6" fontId="23" numFmtId="0" xfId="0" applyAlignment="1" applyBorder="1" applyFont="1">
      <alignment horizontal="right" vertical="top"/>
    </xf>
    <xf borderId="121" fillId="6" fontId="23" numFmtId="0" xfId="0" applyAlignment="1" applyBorder="1" applyFont="1">
      <alignment horizontal="right" vertical="top"/>
    </xf>
    <xf borderId="48" fillId="6" fontId="23" numFmtId="0" xfId="0" applyAlignment="1" applyBorder="1" applyFont="1">
      <alignment horizontal="right" vertical="top"/>
    </xf>
    <xf borderId="20" fillId="6" fontId="23" numFmtId="0" xfId="0" applyAlignment="1" applyBorder="1" applyFont="1">
      <alignment horizontal="right" vertical="top"/>
    </xf>
    <xf borderId="21" fillId="6" fontId="23" numFmtId="0" xfId="0" applyAlignment="1" applyBorder="1" applyFont="1">
      <alignment horizontal="right" vertical="top"/>
    </xf>
    <xf borderId="78" fillId="0" fontId="23" numFmtId="0" xfId="0" applyBorder="1" applyFont="1"/>
    <xf borderId="78" fillId="0" fontId="57" numFmtId="0" xfId="0" applyAlignment="1" applyBorder="1" applyFont="1">
      <alignment horizontal="right" shrinkToFit="0" wrapText="1"/>
    </xf>
    <xf borderId="78" fillId="0" fontId="30" numFmtId="0" xfId="0" applyAlignment="1" applyBorder="1" applyFont="1">
      <alignment horizontal="center" vertical="top"/>
    </xf>
    <xf borderId="0" fillId="0" fontId="30" numFmtId="203" xfId="0" applyAlignment="1" applyFont="1" applyNumberFormat="1">
      <alignment horizontal="right" vertical="top"/>
    </xf>
    <xf borderId="9" fillId="0" fontId="57" numFmtId="0" xfId="0" applyAlignment="1" applyBorder="1" applyFont="1">
      <alignment horizontal="right" shrinkToFit="0" wrapText="1"/>
    </xf>
    <xf borderId="9" fillId="0" fontId="30" numFmtId="174" xfId="0" applyAlignment="1" applyBorder="1" applyFont="1" applyNumberFormat="1">
      <alignment horizontal="center" vertical="top"/>
    </xf>
    <xf borderId="9" fillId="0" fontId="30" numFmtId="0" xfId="0" applyAlignment="1" applyBorder="1" applyFont="1">
      <alignment horizontal="right" vertical="top"/>
    </xf>
    <xf borderId="9" fillId="0" fontId="30" numFmtId="164" xfId="0" applyAlignment="1" applyBorder="1" applyFont="1" applyNumberFormat="1">
      <alignment horizontal="right" vertical="top"/>
    </xf>
    <xf borderId="6" fillId="0" fontId="57" numFmtId="0" xfId="0" applyAlignment="1" applyBorder="1" applyFont="1">
      <alignment horizontal="right" shrinkToFit="0" wrapText="1"/>
    </xf>
    <xf borderId="6" fillId="0" fontId="30" numFmtId="174" xfId="0" applyAlignment="1" applyBorder="1" applyFont="1" applyNumberFormat="1">
      <alignment horizontal="center" vertical="top"/>
    </xf>
    <xf borderId="6" fillId="0" fontId="30" numFmtId="174" xfId="0" applyAlignment="1" applyBorder="1" applyFont="1" applyNumberFormat="1">
      <alignment horizontal="right" vertical="top"/>
    </xf>
    <xf borderId="6" fillId="0" fontId="30" numFmtId="164" xfId="0" applyAlignment="1" applyBorder="1" applyFont="1" applyNumberFormat="1">
      <alignment horizontal="right" vertical="top"/>
    </xf>
    <xf borderId="4" fillId="10" fontId="30" numFmtId="0" xfId="0" applyBorder="1" applyFont="1"/>
    <xf borderId="4" fillId="18" fontId="24" numFmtId="0" xfId="0" applyAlignment="1" applyBorder="1" applyFont="1">
      <alignment horizontal="center" readingOrder="0" vertical="top"/>
    </xf>
    <xf borderId="6" fillId="0" fontId="10" numFmtId="0" xfId="0" applyAlignment="1" applyBorder="1" applyFont="1">
      <alignment horizontal="right" vertical="top"/>
    </xf>
    <xf borderId="6" fillId="0" fontId="24" numFmtId="164" xfId="0" applyAlignment="1" applyBorder="1" applyFont="1" applyNumberFormat="1">
      <alignment horizontal="right" vertical="top"/>
    </xf>
    <xf borderId="1" fillId="10" fontId="30" numFmtId="0" xfId="0" applyBorder="1" applyFont="1"/>
    <xf borderId="5" fillId="7" fontId="10" numFmtId="0" xfId="0" applyAlignment="1" applyBorder="1" applyFont="1">
      <alignment horizontal="center" readingOrder="0" vertical="top"/>
    </xf>
    <xf borderId="0" fillId="0" fontId="10" numFmtId="0" xfId="0" applyAlignment="1" applyFont="1">
      <alignment horizontal="right" vertical="top"/>
    </xf>
    <xf borderId="0" fillId="0" fontId="24" numFmtId="164" xfId="0" applyAlignment="1" applyFont="1" applyNumberFormat="1">
      <alignment horizontal="right" vertical="top"/>
    </xf>
    <xf quotePrefix="1" borderId="0" fillId="0" fontId="10" numFmtId="0" xfId="0" applyAlignment="1" applyFont="1">
      <alignment horizontal="right" vertical="top"/>
    </xf>
    <xf borderId="20" fillId="10" fontId="10" numFmtId="0" xfId="0" applyAlignment="1" applyBorder="1" applyFont="1">
      <alignment shrinkToFit="0" wrapText="1"/>
    </xf>
    <xf borderId="3" fillId="0" fontId="10" numFmtId="0" xfId="0" applyAlignment="1" applyBorder="1" applyFont="1">
      <alignment horizontal="center" vertical="top"/>
    </xf>
    <xf borderId="3" fillId="0" fontId="10" numFmtId="0" xfId="0" applyAlignment="1" applyBorder="1" applyFont="1">
      <alignment horizontal="right" vertical="top"/>
    </xf>
    <xf borderId="42" fillId="7" fontId="72" numFmtId="0" xfId="0" applyBorder="1" applyFont="1"/>
    <xf borderId="42" fillId="0" fontId="10" numFmtId="174" xfId="0" applyAlignment="1" applyBorder="1" applyFont="1" applyNumberFormat="1">
      <alignment horizontal="right" vertical="top"/>
    </xf>
    <xf borderId="42" fillId="7" fontId="11" numFmtId="164" xfId="0" applyAlignment="1" applyBorder="1" applyFont="1" applyNumberFormat="1">
      <alignment horizontal="right" vertical="top"/>
    </xf>
    <xf borderId="5" fillId="7" fontId="11" numFmtId="174" xfId="0" applyBorder="1" applyFont="1" applyNumberFormat="1"/>
    <xf borderId="5" fillId="0" fontId="10" numFmtId="174" xfId="0" applyAlignment="1" applyBorder="1" applyFont="1" applyNumberFormat="1">
      <alignment horizontal="right" vertical="top"/>
    </xf>
    <xf borderId="5" fillId="7" fontId="11" numFmtId="175" xfId="0" applyBorder="1" applyFont="1" applyNumberFormat="1"/>
    <xf borderId="41" fillId="7" fontId="11" numFmtId="0" xfId="0" applyBorder="1" applyFont="1"/>
    <xf borderId="41" fillId="7" fontId="11" numFmtId="175" xfId="0" applyBorder="1" applyFont="1" applyNumberFormat="1"/>
    <xf borderId="41" fillId="0" fontId="10" numFmtId="174" xfId="0" applyAlignment="1" applyBorder="1" applyFont="1" applyNumberFormat="1">
      <alignment horizontal="right" vertical="top"/>
    </xf>
    <xf borderId="41" fillId="7" fontId="11" numFmtId="164" xfId="0" applyAlignment="1" applyBorder="1" applyFont="1" applyNumberFormat="1">
      <alignment horizontal="right" vertical="top"/>
    </xf>
    <xf borderId="0" fillId="0" fontId="11" numFmtId="175" xfId="0" applyFont="1" applyNumberFormat="1"/>
    <xf borderId="1" fillId="10" fontId="24" numFmtId="174" xfId="0" applyAlignment="1" applyBorder="1" applyFont="1" applyNumberFormat="1">
      <alignment horizontal="right"/>
    </xf>
    <xf quotePrefix="1" borderId="0" fillId="0" fontId="20" numFmtId="0" xfId="0" applyFont="1"/>
    <xf quotePrefix="1" borderId="0" fillId="0" fontId="24" numFmtId="0" xfId="0" applyAlignment="1" applyFont="1">
      <alignment horizontal="center"/>
    </xf>
    <xf borderId="3" fillId="0" fontId="71" numFmtId="0" xfId="0" applyBorder="1" applyFont="1"/>
    <xf borderId="1" fillId="10" fontId="10" numFmtId="0" xfId="0" applyAlignment="1" applyBorder="1" applyFont="1">
      <alignment shrinkToFit="0" wrapText="1"/>
    </xf>
    <xf borderId="37" fillId="7" fontId="11" numFmtId="0" xfId="0" applyAlignment="1" applyBorder="1" applyFont="1">
      <alignment horizontal="center" vertical="center"/>
    </xf>
    <xf borderId="122" fillId="7" fontId="11" numFmtId="164" xfId="0" applyAlignment="1" applyBorder="1" applyFont="1" applyNumberFormat="1">
      <alignment horizontal="center" vertical="center"/>
    </xf>
    <xf borderId="115" fillId="7" fontId="11" numFmtId="0" xfId="0" applyAlignment="1" applyBorder="1" applyFont="1">
      <alignment horizontal="center" vertical="center"/>
    </xf>
    <xf borderId="42" fillId="7" fontId="11" numFmtId="0" xfId="0" applyAlignment="1" applyBorder="1" applyFont="1">
      <alignment horizontal="center" vertical="center"/>
    </xf>
    <xf borderId="123" fillId="7" fontId="11" numFmtId="164" xfId="0" applyAlignment="1" applyBorder="1" applyFont="1" applyNumberFormat="1">
      <alignment horizontal="center" vertical="center"/>
    </xf>
    <xf borderId="124" fillId="7" fontId="11" numFmtId="0" xfId="0" applyAlignment="1" applyBorder="1" applyFont="1">
      <alignment horizontal="center" vertical="center"/>
    </xf>
    <xf borderId="5" fillId="7" fontId="11" numFmtId="0" xfId="0" applyAlignment="1" applyBorder="1" applyFont="1">
      <alignment horizontal="center" vertical="center"/>
    </xf>
    <xf borderId="116" fillId="7" fontId="11" numFmtId="0" xfId="0" applyAlignment="1" applyBorder="1" applyFont="1">
      <alignment horizontal="center" vertical="center"/>
    </xf>
    <xf borderId="125" fillId="7" fontId="11" numFmtId="164" xfId="0" applyAlignment="1" applyBorder="1" applyFont="1" applyNumberFormat="1">
      <alignment horizontal="center" vertical="center"/>
    </xf>
    <xf borderId="126" fillId="7" fontId="11" numFmtId="164" xfId="0" applyAlignment="1" applyBorder="1" applyFont="1" applyNumberFormat="1">
      <alignment horizontal="center" vertical="center"/>
    </xf>
    <xf borderId="118" fillId="7" fontId="11" numFmtId="0" xfId="0" applyAlignment="1" applyBorder="1" applyFont="1">
      <alignment horizontal="center" vertical="center"/>
    </xf>
    <xf borderId="41" fillId="7" fontId="11" numFmtId="0" xfId="0" applyAlignment="1" applyBorder="1" applyFont="1">
      <alignment horizontal="center" vertical="center"/>
    </xf>
    <xf borderId="1" fillId="7" fontId="90" numFmtId="0" xfId="0" applyBorder="1" applyFont="1"/>
    <xf borderId="1" fillId="7" fontId="12" numFmtId="0" xfId="0" applyBorder="1" applyFont="1"/>
    <xf borderId="0" fillId="0" fontId="90" numFmtId="0" xfId="0" applyFont="1"/>
    <xf borderId="112" fillId="4" fontId="3" numFmtId="0" xfId="0" applyBorder="1" applyFont="1"/>
    <xf borderId="0" fillId="0" fontId="91" numFmtId="164" xfId="0" applyFont="1" applyNumberFormat="1"/>
    <xf borderId="0" fillId="0" fontId="92" numFmtId="164" xfId="0" applyFont="1" applyNumberFormat="1"/>
    <xf borderId="0" fillId="0" fontId="93" numFmtId="0" xfId="0" applyFont="1"/>
    <xf borderId="6" fillId="0" fontId="94" numFmtId="0" xfId="0" applyAlignment="1" applyBorder="1" applyFont="1">
      <alignment horizontal="left"/>
    </xf>
    <xf borderId="0" fillId="0" fontId="12" numFmtId="217" xfId="0" applyFont="1" applyNumberFormat="1"/>
    <xf borderId="0" fillId="0" fontId="95" numFmtId="0" xfId="0" applyFont="1"/>
    <xf borderId="0" fillId="0" fontId="10" numFmtId="217" xfId="0" applyFont="1" applyNumberFormat="1"/>
    <xf borderId="20" fillId="18" fontId="96" numFmtId="0" xfId="0" applyBorder="1" applyFont="1"/>
    <xf borderId="20" fillId="18" fontId="97" numFmtId="0" xfId="0" applyBorder="1" applyFont="1"/>
    <xf borderId="0" fillId="0" fontId="97" numFmtId="0" xfId="0" applyFont="1"/>
    <xf borderId="0" fillId="0" fontId="96" numFmtId="0" xfId="0" applyFont="1"/>
    <xf borderId="1" fillId="9" fontId="98" numFmtId="0" xfId="0" applyBorder="1" applyFont="1"/>
    <xf borderId="1" fillId="9" fontId="96" numFmtId="0" xfId="0" applyBorder="1" applyFont="1"/>
    <xf borderId="1" fillId="9" fontId="12" numFmtId="0" xfId="0" applyBorder="1" applyFont="1"/>
    <xf borderId="3" fillId="0" fontId="96" numFmtId="0" xfId="0" applyBorder="1" applyFont="1"/>
    <xf borderId="3" fillId="0" fontId="15" numFmtId="0" xfId="0" applyAlignment="1" applyBorder="1" applyFont="1">
      <alignment horizontal="right"/>
    </xf>
    <xf borderId="1" fillId="8" fontId="12" numFmtId="174" xfId="0" applyBorder="1" applyFont="1" applyNumberFormat="1"/>
    <xf borderId="1" fillId="9" fontId="12" numFmtId="174" xfId="0" applyBorder="1" applyFont="1" applyNumberFormat="1"/>
    <xf borderId="6" fillId="0" fontId="97" numFmtId="0" xfId="0" applyBorder="1" applyFont="1"/>
    <xf borderId="4" fillId="8" fontId="12" numFmtId="164" xfId="0" applyBorder="1" applyFont="1" applyNumberFormat="1"/>
    <xf borderId="4" fillId="9" fontId="12" numFmtId="164" xfId="0" applyBorder="1" applyFont="1" applyNumberFormat="1"/>
    <xf borderId="4" fillId="8" fontId="12" numFmtId="174" xfId="0" applyBorder="1" applyFont="1" applyNumberFormat="1"/>
    <xf borderId="4" fillId="9" fontId="12" numFmtId="174" xfId="0" applyBorder="1" applyFont="1" applyNumberFormat="1"/>
    <xf borderId="1" fillId="17" fontId="97" numFmtId="0" xfId="0" applyBorder="1" applyFont="1"/>
    <xf borderId="1" fillId="17" fontId="12" numFmtId="0" xfId="0" applyBorder="1" applyFont="1"/>
    <xf borderId="1" fillId="7" fontId="99" numFmtId="0" xfId="0" applyBorder="1" applyFont="1"/>
    <xf borderId="1" fillId="7" fontId="96" numFmtId="0" xfId="0" applyBorder="1" applyFont="1"/>
    <xf borderId="1" fillId="7" fontId="15" numFmtId="0" xfId="0" applyBorder="1" applyFont="1"/>
    <xf borderId="1" fillId="9" fontId="97" numFmtId="0" xfId="0" applyBorder="1" applyFont="1"/>
    <xf borderId="1" fillId="7" fontId="97" numFmtId="174" xfId="0" applyAlignment="1" applyBorder="1" applyFont="1" applyNumberFormat="1">
      <alignment horizontal="right"/>
    </xf>
    <xf borderId="4" fillId="9" fontId="97" numFmtId="0" xfId="0" applyBorder="1" applyFont="1"/>
    <xf borderId="4" fillId="9" fontId="97" numFmtId="175" xfId="0" applyBorder="1" applyFont="1" applyNumberFormat="1"/>
    <xf borderId="0" fillId="0" fontId="14" numFmtId="0" xfId="0" applyFont="1"/>
    <xf borderId="0" fillId="0" fontId="100" numFmtId="0" xfId="0" applyFont="1"/>
    <xf borderId="0" fillId="0" fontId="101" numFmtId="0" xfId="0" applyAlignment="1" applyFont="1">
      <alignment horizontal="center"/>
    </xf>
    <xf borderId="1" fillId="6" fontId="96" numFmtId="0" xfId="0" applyBorder="1" applyFont="1"/>
    <xf borderId="1" fillId="6" fontId="97" numFmtId="0" xfId="0" applyBorder="1" applyFont="1"/>
    <xf borderId="1" fillId="6" fontId="12" numFmtId="0" xfId="0" applyBorder="1" applyFont="1"/>
    <xf borderId="0" fillId="0" fontId="102" numFmtId="0" xfId="0" applyAlignment="1" applyFont="1">
      <alignment horizontal="center"/>
    </xf>
    <xf borderId="0" fillId="0" fontId="103" numFmtId="0" xfId="0" applyAlignment="1" applyFont="1">
      <alignment horizontal="center"/>
    </xf>
    <xf borderId="0" fillId="0" fontId="103" numFmtId="223" xfId="0" applyAlignment="1" applyFont="1" applyNumberFormat="1">
      <alignment horizontal="center"/>
    </xf>
    <xf borderId="20" fillId="17" fontId="96" numFmtId="0" xfId="0" applyBorder="1" applyFont="1"/>
    <xf borderId="20" fillId="17" fontId="97" numFmtId="0" xfId="0" applyBorder="1" applyFont="1"/>
    <xf borderId="20" fillId="17" fontId="12" numFmtId="0" xfId="0" applyBorder="1" applyFont="1"/>
    <xf borderId="0" fillId="0" fontId="3" numFmtId="0" xfId="0" applyAlignment="1" applyFont="1">
      <alignment horizontal="center"/>
    </xf>
    <xf borderId="0" fillId="0" fontId="96" numFmtId="0" xfId="0" applyAlignment="1" applyFont="1">
      <alignment horizontal="center"/>
    </xf>
    <xf borderId="1" fillId="7" fontId="104" numFmtId="175" xfId="0" applyBorder="1" applyFont="1" applyNumberFormat="1"/>
    <xf borderId="1" fillId="7" fontId="104" numFmtId="0" xfId="0" applyBorder="1" applyFont="1"/>
    <xf borderId="0" fillId="0" fontId="105" numFmtId="0" xfId="0" applyAlignment="1" applyFont="1">
      <alignment horizontal="center"/>
    </xf>
    <xf borderId="6" fillId="0" fontId="96" numFmtId="0" xfId="0" applyBorder="1" applyFont="1"/>
    <xf borderId="6" fillId="0" fontId="97" numFmtId="174" xfId="0" applyAlignment="1" applyBorder="1" applyFont="1" applyNumberFormat="1">
      <alignment horizontal="right"/>
    </xf>
    <xf borderId="0" fillId="0" fontId="97" numFmtId="174" xfId="0" applyAlignment="1" applyFont="1" applyNumberFormat="1">
      <alignment horizontal="right"/>
    </xf>
    <xf borderId="0" fillId="0" fontId="104" numFmtId="0" xfId="0" applyFont="1"/>
    <xf quotePrefix="1" borderId="3" fillId="0" fontId="15" numFmtId="0" xfId="0" applyAlignment="1" applyBorder="1" applyFont="1">
      <alignment horizontal="right"/>
    </xf>
    <xf borderId="1" fillId="8" fontId="97" numFmtId="0" xfId="0" applyBorder="1" applyFont="1"/>
    <xf borderId="0" fillId="0" fontId="12" numFmtId="177" xfId="0" applyFont="1" applyNumberFormat="1"/>
    <xf borderId="4" fillId="8" fontId="97" numFmtId="0" xfId="0" applyBorder="1" applyFont="1"/>
    <xf borderId="3" fillId="0" fontId="15" numFmtId="0" xfId="0" applyAlignment="1" applyBorder="1" applyFont="1">
      <alignment horizontal="right" shrinkToFit="0" wrapText="1"/>
    </xf>
    <xf borderId="0" fillId="0" fontId="12" numFmtId="174" xfId="0" applyFont="1" applyNumberFormat="1"/>
    <xf borderId="6" fillId="0" fontId="12" numFmtId="164" xfId="0" applyBorder="1" applyFont="1" applyNumberFormat="1"/>
    <xf borderId="77" fillId="0" fontId="97" numFmtId="0" xfId="0" applyBorder="1" applyFont="1"/>
    <xf borderId="77" fillId="0" fontId="12" numFmtId="164" xfId="0" applyBorder="1" applyFont="1" applyNumberFormat="1"/>
    <xf borderId="60" fillId="9" fontId="12" numFmtId="164" xfId="0" applyBorder="1" applyFont="1" applyNumberFormat="1"/>
    <xf borderId="3" fillId="0" fontId="12" numFmtId="177" xfId="0" applyBorder="1" applyFont="1" applyNumberFormat="1"/>
    <xf borderId="1" fillId="7" fontId="97" numFmtId="177" xfId="0" applyAlignment="1" applyBorder="1" applyFont="1" applyNumberFormat="1">
      <alignment horizontal="right"/>
    </xf>
    <xf borderId="1" fillId="7" fontId="97" numFmtId="175" xfId="0" applyAlignment="1" applyBorder="1" applyFont="1" applyNumberFormat="1">
      <alignment horizontal="right"/>
    </xf>
    <xf borderId="0" fillId="0" fontId="12" numFmtId="207" xfId="0" applyFont="1" applyNumberFormat="1"/>
    <xf borderId="0" fillId="0" fontId="12" numFmtId="210" xfId="0" applyFont="1" applyNumberFormat="1"/>
    <xf quotePrefix="1" borderId="0" fillId="0" fontId="12" numFmtId="0" xfId="0" applyFont="1"/>
    <xf borderId="0" fillId="0" fontId="106" numFmtId="0" xfId="0" applyFont="1"/>
    <xf borderId="22" fillId="0" fontId="23" numFmtId="0" xfId="0" applyAlignment="1" applyBorder="1" applyFont="1">
      <alignment horizontal="left"/>
    </xf>
    <xf borderId="22" fillId="0" fontId="30" numFmtId="217" xfId="0" applyBorder="1" applyFont="1" applyNumberFormat="1"/>
    <xf borderId="22" fillId="0" fontId="30" numFmtId="164" xfId="0" applyAlignment="1" applyBorder="1" applyFont="1" applyNumberFormat="1">
      <alignment horizontal="center"/>
    </xf>
    <xf borderId="22" fillId="0" fontId="97" numFmtId="217" xfId="0" applyBorder="1" applyFont="1" applyNumberFormat="1"/>
    <xf borderId="22" fillId="0" fontId="97" numFmtId="0" xfId="0" applyBorder="1" applyFont="1"/>
    <xf borderId="0" fillId="0" fontId="107" numFmtId="0" xfId="0" applyFont="1"/>
    <xf borderId="0" fillId="0" fontId="107" numFmtId="0" xfId="0" applyAlignment="1" applyFont="1">
      <alignment horizontal="center"/>
    </xf>
    <xf borderId="0" fillId="0" fontId="103" numFmtId="0" xfId="0" applyAlignment="1" applyFont="1">
      <alignment horizontal="center" vertical="center"/>
    </xf>
    <xf borderId="0" fillId="0" fontId="30" numFmtId="0" xfId="0" applyAlignment="1" applyFont="1">
      <alignment horizontal="right"/>
    </xf>
    <xf borderId="0" fillId="0" fontId="30" numFmtId="217" xfId="0" applyFont="1" applyNumberFormat="1"/>
    <xf borderId="0" fillId="0" fontId="30" numFmtId="164" xfId="0" applyAlignment="1" applyFont="1" applyNumberFormat="1">
      <alignment horizontal="center"/>
    </xf>
    <xf borderId="37" fillId="9" fontId="97" numFmtId="0" xfId="0" applyBorder="1" applyFont="1"/>
    <xf borderId="37" fillId="11" fontId="97" numFmtId="164" xfId="0" applyBorder="1" applyFont="1" applyNumberFormat="1"/>
    <xf borderId="1" fillId="11" fontId="15" numFmtId="0" xfId="0" applyBorder="1" applyFont="1"/>
    <xf borderId="43" fillId="9" fontId="97" numFmtId="0" xfId="0" applyBorder="1" applyFont="1"/>
    <xf borderId="43" fillId="11" fontId="97" numFmtId="164" xfId="0" applyBorder="1" applyFont="1" applyNumberFormat="1"/>
    <xf borderId="22" fillId="0" fontId="12" numFmtId="0" xfId="0" applyBorder="1" applyFont="1"/>
    <xf borderId="22" fillId="0" fontId="12" numFmtId="164" xfId="0" applyBorder="1" applyFont="1" applyNumberFormat="1"/>
    <xf borderId="3" fillId="0" fontId="21" numFmtId="0" xfId="0" applyAlignment="1" applyBorder="1" applyFont="1">
      <alignment horizontal="center"/>
    </xf>
    <xf borderId="0" fillId="0" fontId="107" numFmtId="0" xfId="0" applyAlignment="1" applyFont="1">
      <alignment horizontal="left"/>
    </xf>
    <xf borderId="0" fillId="0" fontId="21" numFmtId="0" xfId="0" applyAlignment="1" applyFont="1">
      <alignment horizontal="center"/>
    </xf>
    <xf borderId="0" fillId="0" fontId="21" numFmtId="0" xfId="0" applyFont="1"/>
    <xf borderId="5" fillId="7" fontId="21" numFmtId="0" xfId="0" applyAlignment="1" applyBorder="1" applyFont="1">
      <alignment horizontal="center"/>
    </xf>
    <xf borderId="1" fillId="7" fontId="21" numFmtId="0" xfId="0" applyAlignment="1" applyBorder="1" applyFont="1">
      <alignment horizontal="center"/>
    </xf>
    <xf borderId="1" fillId="11" fontId="12" numFmtId="0" xfId="0" applyBorder="1" applyFont="1"/>
    <xf borderId="3" fillId="0" fontId="21" numFmtId="0" xfId="0" applyBorder="1" applyFont="1"/>
    <xf borderId="3" fillId="0" fontId="107" numFmtId="0" xfId="0" applyBorder="1" applyFont="1"/>
    <xf borderId="3" fillId="0" fontId="107" numFmtId="0" xfId="0" applyAlignment="1" applyBorder="1" applyFont="1">
      <alignment horizontal="center"/>
    </xf>
    <xf borderId="92" fillId="7" fontId="108" numFmtId="0" xfId="0" applyAlignment="1" applyBorder="1" applyFont="1">
      <alignment horizontal="center"/>
    </xf>
    <xf borderId="92" fillId="7" fontId="109" numFmtId="0" xfId="0" applyAlignment="1" applyBorder="1" applyFont="1">
      <alignment horizontal="center" vertical="center"/>
    </xf>
    <xf borderId="0" fillId="0" fontId="12" numFmtId="9" xfId="0" applyFont="1" applyNumberFormat="1"/>
    <xf borderId="1" fillId="7" fontId="12" numFmtId="9" xfId="0" applyBorder="1" applyFont="1" applyNumberFormat="1"/>
    <xf borderId="0" fillId="0" fontId="12" numFmtId="0" xfId="0" applyAlignment="1" applyFont="1">
      <alignment horizontal="left"/>
    </xf>
    <xf borderId="0" fillId="0" fontId="110" numFmtId="0" xfId="0" applyAlignment="1" applyFont="1">
      <alignment horizontal="center"/>
    </xf>
    <xf borderId="3" fillId="0" fontId="103" numFmtId="0" xfId="0" applyAlignment="1" applyBorder="1" applyFont="1">
      <alignment horizontal="center" vertical="center"/>
    </xf>
    <xf borderId="3" fillId="0" fontId="21" numFmtId="0" xfId="0" applyAlignment="1" applyBorder="1" applyFont="1">
      <alignment horizontal="left"/>
    </xf>
    <xf borderId="3" fillId="0" fontId="15" numFmtId="0" xfId="0" applyAlignment="1" applyBorder="1" applyFont="1">
      <alignment horizontal="center"/>
    </xf>
    <xf borderId="1" fillId="18" fontId="1" numFmtId="0" xfId="0" applyAlignment="1" applyBorder="1" applyFont="1">
      <alignment horizontal="center"/>
    </xf>
    <xf borderId="92" fillId="9" fontId="21" numFmtId="164" xfId="0" applyAlignment="1" applyBorder="1" applyFont="1" applyNumberFormat="1">
      <alignment horizontal="center"/>
    </xf>
    <xf borderId="0" fillId="0" fontId="111" numFmtId="164" xfId="0" applyAlignment="1" applyFont="1" applyNumberFormat="1">
      <alignment horizontal="center"/>
    </xf>
    <xf borderId="0" fillId="0" fontId="107" numFmtId="175" xfId="0" applyAlignment="1" applyFont="1" applyNumberFormat="1">
      <alignment horizontal="center"/>
    </xf>
    <xf borderId="0" fillId="0" fontId="20" numFmtId="175" xfId="0" applyAlignment="1" applyFont="1" applyNumberFormat="1">
      <alignment horizontal="center"/>
    </xf>
    <xf borderId="22" fillId="0" fontId="107" numFmtId="175" xfId="0" applyAlignment="1" applyBorder="1" applyFont="1" applyNumberFormat="1">
      <alignment horizontal="center"/>
    </xf>
    <xf borderId="0" fillId="0" fontId="21" numFmtId="175" xfId="0" applyAlignment="1" applyFont="1" applyNumberFormat="1">
      <alignment horizontal="center"/>
    </xf>
    <xf borderId="0" fillId="0" fontId="15" numFmtId="0" xfId="0" applyAlignment="1" applyFont="1">
      <alignment horizontal="center"/>
    </xf>
    <xf borderId="0" fillId="0" fontId="21" numFmtId="164" xfId="0" applyAlignment="1" applyFont="1" applyNumberFormat="1">
      <alignment horizontal="center"/>
    </xf>
    <xf borderId="0" fillId="0" fontId="21" numFmtId="175" xfId="0" applyAlignment="1" applyFont="1" applyNumberFormat="1">
      <alignment horizontal="left"/>
    </xf>
    <xf borderId="1" fillId="7" fontId="12" numFmtId="0" xfId="0" applyAlignment="1" applyBorder="1" applyFont="1">
      <alignment horizontal="center"/>
    </xf>
    <xf borderId="42" fillId="0" fontId="34" numFmtId="164" xfId="0" applyAlignment="1" applyBorder="1" applyFont="1" applyNumberFormat="1">
      <alignment horizontal="right"/>
    </xf>
    <xf borderId="127" fillId="0" fontId="34" numFmtId="164" xfId="0" applyAlignment="1" applyBorder="1" applyFont="1" applyNumberFormat="1">
      <alignment horizontal="right"/>
    </xf>
    <xf borderId="116" fillId="0" fontId="30" numFmtId="164" xfId="0" applyAlignment="1" applyBorder="1" applyFont="1" applyNumberFormat="1">
      <alignment horizontal="right"/>
    </xf>
    <xf borderId="4" fillId="7" fontId="12" numFmtId="0" xfId="0" applyAlignment="1" applyBorder="1" applyFont="1">
      <alignment horizontal="center"/>
    </xf>
    <xf borderId="5" fillId="0" fontId="34" numFmtId="164" xfId="0" applyAlignment="1" applyBorder="1" applyFont="1" applyNumberFormat="1">
      <alignment horizontal="right"/>
    </xf>
    <xf borderId="7" fillId="0" fontId="34" numFmtId="164" xfId="0" applyAlignment="1" applyBorder="1" applyFont="1" applyNumberFormat="1">
      <alignment horizontal="right"/>
    </xf>
    <xf borderId="40" fillId="0" fontId="34" numFmtId="164" xfId="0" applyAlignment="1" applyBorder="1" applyFont="1" applyNumberFormat="1">
      <alignment horizontal="right"/>
    </xf>
    <xf borderId="128" fillId="0" fontId="34" numFmtId="164" xfId="0" applyAlignment="1" applyBorder="1" applyFont="1" applyNumberFormat="1">
      <alignment horizontal="right"/>
    </xf>
    <xf borderId="41" fillId="0" fontId="34" numFmtId="164" xfId="0" applyAlignment="1" applyBorder="1" applyFont="1" applyNumberFormat="1">
      <alignment horizontal="right"/>
    </xf>
    <xf borderId="129" fillId="0" fontId="34" numFmtId="164" xfId="0" applyAlignment="1" applyBorder="1" applyFont="1" applyNumberFormat="1">
      <alignment horizontal="right"/>
    </xf>
    <xf borderId="118" fillId="0" fontId="30" numFmtId="164" xfId="0" applyAlignment="1" applyBorder="1" applyFont="1" applyNumberFormat="1">
      <alignment horizontal="right"/>
    </xf>
    <xf borderId="14" fillId="6" fontId="12" numFmtId="0" xfId="0" applyBorder="1" applyFont="1"/>
    <xf borderId="14" fillId="7" fontId="12" numFmtId="0" xfId="0" applyAlignment="1" applyBorder="1" applyFont="1">
      <alignment horizontal="center"/>
    </xf>
    <xf borderId="130" fillId="0" fontId="15" numFmtId="174" xfId="0" applyBorder="1" applyFont="1" applyNumberFormat="1"/>
    <xf borderId="34" fillId="0" fontId="112" numFmtId="164" xfId="0" applyAlignment="1" applyBorder="1" applyFont="1" applyNumberFormat="1">
      <alignment horizontal="right"/>
    </xf>
    <xf borderId="131" fillId="0" fontId="112" numFmtId="164" xfId="0" applyAlignment="1" applyBorder="1" applyFont="1" applyNumberFormat="1">
      <alignment horizontal="right"/>
    </xf>
    <xf borderId="132" fillId="0" fontId="30" numFmtId="164" xfId="0" applyAlignment="1" applyBorder="1" applyFont="1" applyNumberFormat="1">
      <alignment horizontal="right"/>
    </xf>
    <xf borderId="0" fillId="0" fontId="113" numFmtId="0" xfId="0" applyAlignment="1" applyFont="1">
      <alignment horizontal="center"/>
    </xf>
    <xf borderId="22" fillId="0" fontId="30" numFmtId="174" xfId="0" applyAlignment="1" applyBorder="1" applyFont="1" applyNumberFormat="1">
      <alignment horizontal="right"/>
    </xf>
    <xf borderId="22" fillId="0" fontId="23" numFmtId="174" xfId="0" applyAlignment="1" applyBorder="1" applyFont="1" applyNumberFormat="1">
      <alignment horizontal="right"/>
    </xf>
    <xf borderId="0" fillId="0" fontId="34" numFmtId="174" xfId="0" applyAlignment="1" applyFont="1" applyNumberFormat="1">
      <alignment horizontal="right"/>
    </xf>
    <xf borderId="0" fillId="0" fontId="34" numFmtId="175" xfId="0" applyAlignment="1" applyFont="1" applyNumberFormat="1">
      <alignment horizontal="right"/>
    </xf>
    <xf borderId="1" fillId="2" fontId="1" numFmtId="0" xfId="0" applyAlignment="1" applyBorder="1" applyFont="1">
      <alignment horizontal="center"/>
    </xf>
    <xf borderId="3" fillId="0" fontId="15" numFmtId="0" xfId="0" applyBorder="1" applyFont="1"/>
    <xf borderId="1" fillId="6" fontId="12" numFmtId="174" xfId="0" applyBorder="1" applyFont="1" applyNumberFormat="1"/>
    <xf borderId="42" fillId="0" fontId="112" numFmtId="164" xfId="0" applyAlignment="1" applyBorder="1" applyFont="1" applyNumberFormat="1">
      <alignment horizontal="right"/>
    </xf>
    <xf borderId="127" fillId="0" fontId="112" numFmtId="164" xfId="0" applyAlignment="1" applyBorder="1" applyFont="1" applyNumberFormat="1">
      <alignment horizontal="right"/>
    </xf>
    <xf borderId="133" fillId="0" fontId="30" numFmtId="164" xfId="0" applyAlignment="1" applyBorder="1" applyFont="1" applyNumberFormat="1">
      <alignment horizontal="right"/>
    </xf>
    <xf borderId="4" fillId="6" fontId="12" numFmtId="0" xfId="0" applyBorder="1" applyFont="1"/>
    <xf borderId="4" fillId="6" fontId="12" numFmtId="164" xfId="0" applyBorder="1" applyFont="1" applyNumberFormat="1"/>
    <xf borderId="5" fillId="0" fontId="112" numFmtId="164" xfId="0" applyAlignment="1" applyBorder="1" applyFont="1" applyNumberFormat="1">
      <alignment horizontal="right"/>
    </xf>
    <xf borderId="7" fillId="0" fontId="112" numFmtId="164" xfId="0" applyAlignment="1" applyBorder="1" applyFont="1" applyNumberFormat="1">
      <alignment horizontal="right"/>
    </xf>
    <xf borderId="40" fillId="0" fontId="112" numFmtId="164" xfId="0" applyAlignment="1" applyBorder="1" applyFont="1" applyNumberFormat="1">
      <alignment horizontal="right"/>
    </xf>
    <xf borderId="128" fillId="0" fontId="112" numFmtId="164" xfId="0" applyAlignment="1" applyBorder="1" applyFont="1" applyNumberFormat="1">
      <alignment horizontal="right"/>
    </xf>
    <xf borderId="41" fillId="0" fontId="112" numFmtId="164" xfId="0" applyAlignment="1" applyBorder="1" applyFont="1" applyNumberFormat="1">
      <alignment horizontal="right"/>
    </xf>
    <xf borderId="129" fillId="0" fontId="112" numFmtId="164" xfId="0" applyAlignment="1" applyBorder="1" applyFont="1" applyNumberFormat="1">
      <alignment horizontal="right"/>
    </xf>
    <xf borderId="134" fillId="6" fontId="15" numFmtId="174" xfId="0" applyBorder="1" applyFont="1" applyNumberFormat="1"/>
    <xf borderId="1" fillId="7" fontId="15" numFmtId="174" xfId="0" applyBorder="1" applyFont="1" applyNumberFormat="1"/>
    <xf borderId="92" fillId="0" fontId="114" numFmtId="0" xfId="0" applyAlignment="1" applyBorder="1" applyFont="1">
      <alignment shrinkToFit="0" vertical="center" wrapText="1"/>
    </xf>
    <xf borderId="20" fillId="2" fontId="15" numFmtId="0" xfId="0" applyBorder="1" applyFont="1"/>
    <xf borderId="20" fillId="2" fontId="12" numFmtId="164" xfId="0" applyBorder="1" applyFont="1" applyNumberFormat="1"/>
    <xf borderId="20" fillId="2" fontId="12" numFmtId="0" xfId="0" applyBorder="1" applyFont="1"/>
    <xf borderId="20" fillId="2" fontId="30" numFmtId="217" xfId="0" applyBorder="1" applyFont="1" applyNumberFormat="1"/>
    <xf borderId="20" fillId="17" fontId="15" numFmtId="0" xfId="0" applyBorder="1" applyFont="1"/>
    <xf borderId="20" fillId="17" fontId="30" numFmtId="217" xfId="0" applyBorder="1" applyFont="1" applyNumberFormat="1"/>
    <xf borderId="3" fillId="0" fontId="30" numFmtId="217" xfId="0" applyBorder="1" applyFont="1" applyNumberFormat="1"/>
    <xf borderId="5" fillId="7" fontId="112" numFmtId="164" xfId="0" applyAlignment="1" applyBorder="1" applyFont="1" applyNumberFormat="1">
      <alignment horizontal="right"/>
    </xf>
    <xf borderId="42" fillId="0" fontId="20" numFmtId="164" xfId="0" applyAlignment="1" applyBorder="1" applyFont="1" applyNumberFormat="1">
      <alignment horizontal="right"/>
    </xf>
    <xf borderId="5" fillId="0" fontId="30" numFmtId="164" xfId="0" applyAlignment="1" applyBorder="1" applyFont="1" applyNumberFormat="1">
      <alignment horizontal="right"/>
    </xf>
    <xf borderId="43" fillId="7" fontId="112" numFmtId="164" xfId="0" applyAlignment="1" applyBorder="1" applyFont="1" applyNumberFormat="1">
      <alignment horizontal="right"/>
    </xf>
    <xf borderId="40" fillId="0" fontId="30" numFmtId="164" xfId="0" applyAlignment="1" applyBorder="1" applyFont="1" applyNumberFormat="1">
      <alignment horizontal="right"/>
    </xf>
    <xf borderId="22" fillId="0" fontId="15" numFmtId="0" xfId="0" applyBorder="1" applyFont="1"/>
    <xf borderId="22" fillId="0" fontId="30" numFmtId="164" xfId="0" applyAlignment="1" applyBorder="1" applyFont="1" applyNumberFormat="1">
      <alignment horizontal="right"/>
    </xf>
    <xf borderId="23" fillId="0" fontId="12" numFmtId="0" xfId="0" applyBorder="1" applyFont="1"/>
    <xf borderId="23" fillId="0" fontId="15" numFmtId="175" xfId="0" applyBorder="1" applyFont="1" applyNumberFormat="1"/>
    <xf borderId="1" fillId="6" fontId="15" numFmtId="175" xfId="0" applyAlignment="1" applyBorder="1" applyFont="1" applyNumberFormat="1">
      <alignment horizontal="right"/>
    </xf>
    <xf borderId="1" fillId="8" fontId="20" numFmtId="0" xfId="0" applyBorder="1" applyFont="1"/>
    <xf borderId="42" fillId="7" fontId="20" numFmtId="164" xfId="0" applyBorder="1" applyFont="1" applyNumberFormat="1"/>
    <xf borderId="5" fillId="7" fontId="20" numFmtId="164" xfId="0" applyBorder="1" applyFont="1" applyNumberFormat="1"/>
    <xf borderId="43" fillId="7" fontId="20" numFmtId="164" xfId="0" applyBorder="1" applyFont="1" applyNumberFormat="1"/>
    <xf borderId="22" fillId="0" fontId="20" numFmtId="164" xfId="0" applyBorder="1" applyFont="1" applyNumberFormat="1"/>
    <xf borderId="23" fillId="0" fontId="15" numFmtId="0" xfId="0" applyAlignment="1" applyBorder="1" applyFont="1">
      <alignment horizontal="right"/>
    </xf>
    <xf borderId="42" fillId="8" fontId="20" numFmtId="164" xfId="0" applyBorder="1" applyFont="1" applyNumberFormat="1"/>
    <xf borderId="5" fillId="8" fontId="20" numFmtId="164" xfId="0" applyBorder="1" applyFont="1" applyNumberFormat="1"/>
    <xf borderId="43" fillId="8" fontId="20" numFmtId="164" xfId="0" applyBorder="1" applyFont="1" applyNumberFormat="1"/>
    <xf borderId="5" fillId="7" fontId="30" numFmtId="164" xfId="0" applyAlignment="1" applyBorder="1" applyFont="1" applyNumberFormat="1">
      <alignment horizontal="right"/>
    </xf>
    <xf borderId="43" fillId="7" fontId="30" numFmtId="164" xfId="0" applyAlignment="1" applyBorder="1" applyFont="1" applyNumberFormat="1">
      <alignment horizontal="right"/>
    </xf>
    <xf borderId="0" fillId="0" fontId="15" numFmtId="164" xfId="0" applyAlignment="1" applyFont="1" applyNumberFormat="1">
      <alignment horizontal="right"/>
    </xf>
    <xf borderId="42" fillId="0" fontId="20" numFmtId="0" xfId="0" applyAlignment="1" applyBorder="1" applyFont="1">
      <alignment horizontal="right"/>
    </xf>
    <xf borderId="14" fillId="8" fontId="20" numFmtId="164" xfId="0" applyBorder="1" applyFont="1" applyNumberFormat="1"/>
    <xf borderId="20" fillId="20" fontId="15" numFmtId="0" xfId="0" applyBorder="1" applyFill="1" applyFont="1"/>
    <xf borderId="20" fillId="20" fontId="12" numFmtId="0" xfId="0" applyBorder="1" applyFont="1"/>
    <xf borderId="5" fillId="0" fontId="30" numFmtId="174" xfId="0" applyAlignment="1" applyBorder="1" applyFont="1" applyNumberFormat="1">
      <alignment horizontal="right"/>
    </xf>
    <xf borderId="42" fillId="0" fontId="20" numFmtId="174" xfId="0" applyAlignment="1" applyBorder="1" applyFont="1" applyNumberFormat="1">
      <alignment horizontal="right"/>
    </xf>
    <xf borderId="23" fillId="0" fontId="12" numFmtId="175" xfId="0" applyBorder="1" applyFont="1" applyNumberFormat="1"/>
    <xf borderId="0" fillId="0" fontId="15" numFmtId="175" xfId="0" applyAlignment="1" applyFont="1" applyNumberFormat="1">
      <alignment horizontal="right"/>
    </xf>
    <xf borderId="42" fillId="0" fontId="20" numFmtId="174" xfId="0" applyBorder="1" applyFont="1" applyNumberFormat="1"/>
    <xf borderId="5" fillId="0" fontId="20" numFmtId="164" xfId="0" applyBorder="1" applyFont="1" applyNumberFormat="1"/>
    <xf borderId="14" fillId="8" fontId="20" numFmtId="174" xfId="0" applyBorder="1" applyFont="1" applyNumberFormat="1"/>
    <xf borderId="42" fillId="8" fontId="20" numFmtId="174" xfId="0" applyBorder="1" applyFont="1" applyNumberFormat="1"/>
    <xf borderId="0" fillId="0" fontId="20" numFmtId="174" xfId="0" applyFont="1" applyNumberFormat="1"/>
    <xf borderId="0" fillId="0" fontId="97" numFmtId="217" xfId="0" applyFont="1" applyNumberFormat="1"/>
    <xf borderId="0" fillId="0" fontId="15" numFmtId="0" xfId="0" applyAlignment="1" applyFont="1">
      <alignment horizontal="right"/>
    </xf>
    <xf borderId="0" fillId="0" fontId="15" numFmtId="224" xfId="0" applyAlignment="1" applyFont="1" applyNumberFormat="1">
      <alignment horizontal="right"/>
    </xf>
    <xf borderId="0" fillId="0" fontId="15" numFmtId="225" xfId="0" applyAlignment="1" applyFont="1" applyNumberFormat="1">
      <alignment horizontal="right"/>
    </xf>
    <xf borderId="0" fillId="0" fontId="114" numFmtId="0" xfId="0" applyAlignment="1" applyFont="1">
      <alignment shrinkToFit="0" vertical="center" wrapText="1"/>
    </xf>
    <xf borderId="20" fillId="8" fontId="15" numFmtId="0" xfId="0" applyBorder="1" applyFont="1"/>
    <xf borderId="20" fillId="8" fontId="12" numFmtId="0" xfId="0" applyBorder="1" applyFont="1"/>
    <xf borderId="0" fillId="0" fontId="97" numFmtId="174" xfId="0" applyFont="1" applyNumberFormat="1"/>
    <xf borderId="1" fillId="16" fontId="96" numFmtId="0" xfId="0" applyBorder="1" applyFont="1"/>
    <xf borderId="1" fillId="16" fontId="12" numFmtId="0" xfId="0" applyBorder="1" applyFont="1"/>
    <xf borderId="1" fillId="16" fontId="97" numFmtId="0" xfId="0" applyBorder="1" applyFont="1"/>
    <xf borderId="3" fillId="0" fontId="97" numFmtId="0" xfId="0" applyBorder="1" applyFont="1"/>
    <xf borderId="1" fillId="16" fontId="97" numFmtId="174" xfId="0" applyBorder="1" applyFont="1" applyNumberFormat="1"/>
    <xf borderId="1" fillId="16" fontId="97" numFmtId="164" xfId="0" applyBorder="1" applyFont="1" applyNumberFormat="1"/>
    <xf borderId="0" fillId="0" fontId="97" numFmtId="164" xfId="0" applyFont="1" applyNumberFormat="1"/>
    <xf borderId="1" fillId="9" fontId="12" numFmtId="164" xfId="0" applyBorder="1" applyFont="1" applyNumberFormat="1"/>
    <xf borderId="1" fillId="16" fontId="97" numFmtId="164" xfId="0" applyAlignment="1" applyBorder="1" applyFont="1" applyNumberFormat="1">
      <alignment horizontal="right"/>
    </xf>
    <xf borderId="1" fillId="9" fontId="97" numFmtId="174" xfId="0" applyAlignment="1" applyBorder="1" applyFont="1" applyNumberFormat="1">
      <alignment horizontal="right"/>
    </xf>
    <xf borderId="1" fillId="9" fontId="12" numFmtId="0" xfId="0" applyAlignment="1" applyBorder="1" applyFont="1">
      <alignment horizontal="right"/>
    </xf>
    <xf borderId="20" fillId="2" fontId="96" numFmtId="0" xfId="0" applyAlignment="1" applyBorder="1" applyFont="1">
      <alignment readingOrder="0"/>
    </xf>
    <xf borderId="20" fillId="2" fontId="96" numFmtId="0" xfId="0" applyBorder="1" applyFont="1"/>
    <xf borderId="20" fillId="2" fontId="97" numFmtId="0" xfId="0" applyBorder="1" applyFont="1"/>
    <xf borderId="0" fillId="0" fontId="115" numFmtId="0" xfId="0" applyFont="1"/>
    <xf borderId="0" fillId="0" fontId="30" numFmtId="0" xfId="0" applyAlignment="1" applyFont="1">
      <alignment horizontal="center"/>
    </xf>
    <xf borderId="0" fillId="0" fontId="36" numFmtId="0" xfId="0" applyFont="1"/>
    <xf borderId="1" fillId="3" fontId="2" numFmtId="0" xfId="0" applyAlignment="1" applyBorder="1" applyFont="1">
      <alignment horizontal="left" vertical="top"/>
    </xf>
    <xf borderId="0" fillId="0" fontId="58" numFmtId="0" xfId="0" applyAlignment="1" applyFont="1">
      <alignment horizontal="left" vertical="top"/>
    </xf>
    <xf borderId="1" fillId="4" fontId="3" numFmtId="0" xfId="0" applyAlignment="1" applyBorder="1" applyFont="1">
      <alignment horizontal="left" vertical="top"/>
    </xf>
    <xf borderId="89" fillId="6" fontId="30" numFmtId="0" xfId="0" applyAlignment="1" applyBorder="1" applyFont="1">
      <alignment horizontal="center" vertical="top"/>
    </xf>
    <xf borderId="90" fillId="6" fontId="30" numFmtId="0" xfId="0" applyAlignment="1" applyBorder="1" applyFont="1">
      <alignment horizontal="center" vertical="top"/>
    </xf>
    <xf borderId="91" fillId="6" fontId="30" numFmtId="0" xfId="0" applyAlignment="1" applyBorder="1" applyFont="1">
      <alignment horizontal="center" vertical="top"/>
    </xf>
    <xf borderId="0" fillId="0" fontId="38" numFmtId="0" xfId="0" applyAlignment="1" applyFont="1">
      <alignment horizontal="left" vertical="top"/>
    </xf>
    <xf borderId="0" fillId="0" fontId="39" numFmtId="0" xfId="0" applyAlignment="1" applyFont="1">
      <alignment horizontal="left" vertical="top"/>
    </xf>
    <xf borderId="0" fillId="0" fontId="116" numFmtId="0" xfId="0" applyAlignment="1" applyFont="1">
      <alignment horizontal="left" vertical="top"/>
    </xf>
    <xf borderId="1" fillId="19" fontId="45" numFmtId="0" xfId="0" applyAlignment="1" applyBorder="1" applyFont="1">
      <alignment horizontal="left" vertical="top"/>
    </xf>
    <xf borderId="1" fillId="19" fontId="103" numFmtId="0" xfId="0" applyAlignment="1" applyBorder="1" applyFont="1">
      <alignment horizontal="left" shrinkToFit="0" vertical="top" wrapText="1"/>
    </xf>
    <xf borderId="0" fillId="0" fontId="103" numFmtId="0" xfId="0" applyAlignment="1" applyFont="1">
      <alignment horizontal="left" shrinkToFit="0" vertical="top" wrapText="1"/>
    </xf>
    <xf borderId="135" fillId="2" fontId="3" numFmtId="0" xfId="0" applyAlignment="1" applyBorder="1" applyFont="1">
      <alignment horizontal="left" shrinkToFit="0" vertical="top" wrapText="1"/>
    </xf>
    <xf borderId="136" fillId="2" fontId="3" numFmtId="0" xfId="0" applyAlignment="1" applyBorder="1" applyFont="1">
      <alignment horizontal="center" shrinkToFit="0" vertical="top" wrapText="1"/>
    </xf>
    <xf borderId="137" fillId="2" fontId="3" numFmtId="0" xfId="0" applyAlignment="1" applyBorder="1" applyFont="1">
      <alignment horizontal="center" shrinkToFit="0" vertical="top" wrapText="1"/>
    </xf>
    <xf borderId="138" fillId="2" fontId="3" numFmtId="0" xfId="0" applyAlignment="1" applyBorder="1" applyFont="1">
      <alignment horizontal="center" shrinkToFit="0" vertical="top" wrapText="1"/>
    </xf>
    <xf borderId="139" fillId="2" fontId="3" numFmtId="0" xfId="0" applyAlignment="1" applyBorder="1" applyFont="1">
      <alignment horizontal="center" shrinkToFit="0" vertical="top" wrapText="1"/>
    </xf>
    <xf borderId="140" fillId="0" fontId="32" numFmtId="0" xfId="0" applyBorder="1" applyFont="1"/>
    <xf borderId="141" fillId="0" fontId="24" numFmtId="0" xfId="0" applyAlignment="1" applyBorder="1" applyFont="1">
      <alignment horizontal="left" shrinkToFit="0" vertical="center" wrapText="1"/>
    </xf>
    <xf borderId="142" fillId="8" fontId="10" numFmtId="0" xfId="0" applyAlignment="1" applyBorder="1" applyFont="1">
      <alignment shrinkToFit="0" vertical="center" wrapText="1"/>
    </xf>
    <xf borderId="143" fillId="8" fontId="10" numFmtId="0" xfId="0" applyAlignment="1" applyBorder="1" applyFont="1">
      <alignment shrinkToFit="0" vertical="center" wrapText="1"/>
    </xf>
    <xf borderId="144" fillId="0" fontId="10" numFmtId="0" xfId="0" applyAlignment="1" applyBorder="1" applyFont="1">
      <alignment shrinkToFit="0" vertical="center" wrapText="1"/>
    </xf>
    <xf borderId="145" fillId="7" fontId="11" numFmtId="0" xfId="0" applyAlignment="1" applyBorder="1" applyFont="1">
      <alignment horizontal="right" shrinkToFit="0" vertical="center" wrapText="1"/>
    </xf>
    <xf borderId="146" fillId="0" fontId="10" numFmtId="0" xfId="0" applyAlignment="1" applyBorder="1" applyFont="1">
      <alignment horizontal="left" vertical="center"/>
    </xf>
    <xf borderId="147" fillId="0" fontId="10" numFmtId="0" xfId="0" applyAlignment="1" applyBorder="1" applyFont="1">
      <alignment horizontal="right" shrinkToFit="0" vertical="center" wrapText="1"/>
    </xf>
    <xf borderId="145" fillId="7" fontId="11" numFmtId="164" xfId="0" applyAlignment="1" applyBorder="1" applyFont="1" applyNumberFormat="1">
      <alignment horizontal="right" shrinkToFit="0" vertical="center" wrapText="1"/>
    </xf>
    <xf borderId="141" fillId="0" fontId="10" numFmtId="0" xfId="0" applyAlignment="1" applyBorder="1" applyFont="1">
      <alignment horizontal="left" shrinkToFit="0" vertical="center" wrapText="1"/>
    </xf>
    <xf borderId="145" fillId="8" fontId="10" numFmtId="0" xfId="0" applyAlignment="1" applyBorder="1" applyFont="1">
      <alignment shrinkToFit="0" vertical="center" wrapText="1"/>
    </xf>
    <xf borderId="148" fillId="8" fontId="10" numFmtId="0" xfId="0" applyAlignment="1" applyBorder="1" applyFont="1">
      <alignment shrinkToFit="0" vertical="center" wrapText="1"/>
    </xf>
    <xf borderId="147" fillId="0" fontId="10" numFmtId="0" xfId="0" applyAlignment="1" applyBorder="1" applyFont="1">
      <alignment shrinkToFit="0" vertical="center" wrapText="1"/>
    </xf>
    <xf borderId="145" fillId="0" fontId="10" numFmtId="0" xfId="0" applyAlignment="1" applyBorder="1" applyFont="1">
      <alignment horizontal="right" shrinkToFit="0" vertical="center" wrapText="1"/>
    </xf>
    <xf borderId="123" fillId="0" fontId="10" numFmtId="0" xfId="0" applyAlignment="1" applyBorder="1" applyFont="1">
      <alignment horizontal="left" vertical="center"/>
    </xf>
    <xf borderId="116" fillId="0" fontId="10" numFmtId="0" xfId="0" applyAlignment="1" applyBorder="1" applyFont="1">
      <alignment horizontal="right" shrinkToFit="0" vertical="center" wrapText="1"/>
    </xf>
    <xf borderId="123" fillId="0" fontId="10" numFmtId="0" xfId="0" applyAlignment="1" applyBorder="1" applyFont="1">
      <alignment horizontal="right" shrinkToFit="0" vertical="center" wrapText="1"/>
    </xf>
    <xf borderId="116" fillId="7" fontId="11" numFmtId="0" xfId="0" applyAlignment="1" applyBorder="1" applyFont="1">
      <alignment horizontal="right" shrinkToFit="0" vertical="center" wrapText="1"/>
    </xf>
    <xf borderId="116" fillId="7" fontId="11" numFmtId="164" xfId="0" applyAlignment="1" applyBorder="1" applyFont="1" applyNumberFormat="1">
      <alignment horizontal="right" shrinkToFit="0" vertical="center" wrapText="1"/>
    </xf>
    <xf borderId="148" fillId="8" fontId="10" numFmtId="204" xfId="0" applyAlignment="1" applyBorder="1" applyFont="1" applyNumberFormat="1">
      <alignment shrinkToFit="0" vertical="center" wrapText="1"/>
    </xf>
    <xf borderId="147" fillId="7" fontId="10" numFmtId="204" xfId="0" applyAlignment="1" applyBorder="1" applyFont="1" applyNumberFormat="1">
      <alignment shrinkToFit="0" vertical="center" wrapText="1"/>
    </xf>
    <xf borderId="145" fillId="7" fontId="11" numFmtId="226" xfId="0" applyAlignment="1" applyBorder="1" applyFont="1" applyNumberFormat="1">
      <alignment horizontal="right" shrinkToFit="0" vertical="center" wrapText="1"/>
    </xf>
    <xf borderId="123" fillId="0" fontId="10" numFmtId="164" xfId="0" applyAlignment="1" applyBorder="1" applyFont="1" applyNumberFormat="1">
      <alignment horizontal="right" vertical="center"/>
    </xf>
    <xf borderId="116" fillId="7" fontId="11" numFmtId="226" xfId="0" applyAlignment="1" applyBorder="1" applyFont="1" applyNumberFormat="1">
      <alignment horizontal="right" shrinkToFit="0" vertical="center" wrapText="1"/>
    </xf>
    <xf borderId="147" fillId="0" fontId="10" numFmtId="164" xfId="0" applyAlignment="1" applyBorder="1" applyFont="1" applyNumberFormat="1">
      <alignment shrinkToFit="0" vertical="center" wrapText="1"/>
    </xf>
    <xf borderId="145" fillId="0" fontId="11" numFmtId="0" xfId="0" applyAlignment="1" applyBorder="1" applyFont="1">
      <alignment horizontal="right" shrinkToFit="0" vertical="center" wrapText="1"/>
    </xf>
    <xf borderId="148" fillId="8" fontId="10" numFmtId="164" xfId="0" applyAlignment="1" applyBorder="1" applyFont="1" applyNumberFormat="1">
      <alignment shrinkToFit="0" vertical="center" wrapText="1"/>
    </xf>
    <xf borderId="147" fillId="7" fontId="20" numFmtId="164" xfId="0" applyAlignment="1" applyBorder="1" applyFont="1" applyNumberFormat="1">
      <alignment shrinkToFit="0" vertical="center" wrapText="1"/>
    </xf>
    <xf borderId="147" fillId="0" fontId="10" numFmtId="204" xfId="0" applyAlignment="1" applyBorder="1" applyFont="1" applyNumberFormat="1">
      <alignment horizontal="right" shrinkToFit="0" vertical="center" wrapText="1"/>
    </xf>
    <xf borderId="145" fillId="0" fontId="10" numFmtId="164" xfId="0" applyAlignment="1" applyBorder="1" applyFont="1" applyNumberFormat="1">
      <alignment horizontal="right" shrinkToFit="0" vertical="center" wrapText="1"/>
    </xf>
    <xf borderId="147" fillId="0" fontId="10" numFmtId="164" xfId="0" applyAlignment="1" applyBorder="1" applyFont="1" applyNumberFormat="1">
      <alignment horizontal="right" shrinkToFit="0" vertical="center" wrapText="1"/>
    </xf>
    <xf borderId="145" fillId="7" fontId="11" numFmtId="171" xfId="0" applyAlignment="1" applyBorder="1" applyFont="1" applyNumberFormat="1">
      <alignment horizontal="right" shrinkToFit="0" vertical="center" wrapText="1"/>
    </xf>
    <xf borderId="145" fillId="7" fontId="11" numFmtId="0" xfId="0" applyAlignment="1" applyBorder="1" applyFont="1">
      <alignment shrinkToFit="0" vertical="center" wrapText="1"/>
    </xf>
    <xf quotePrefix="1" borderId="147" fillId="0" fontId="20" numFmtId="164" xfId="0" applyAlignment="1" applyBorder="1" applyFont="1" applyNumberFormat="1">
      <alignment shrinkToFit="0" vertical="center" wrapText="1"/>
    </xf>
    <xf borderId="145" fillId="7" fontId="11" numFmtId="227" xfId="0" applyAlignment="1" applyBorder="1" applyFont="1" applyNumberFormat="1">
      <alignment shrinkToFit="0" vertical="center" wrapText="1"/>
    </xf>
    <xf borderId="149" fillId="0" fontId="10" numFmtId="0" xfId="0" applyAlignment="1" applyBorder="1" applyFont="1">
      <alignment horizontal="left" shrinkToFit="0" vertical="center" wrapText="1"/>
    </xf>
    <xf borderId="150" fillId="8" fontId="10" numFmtId="0" xfId="0" applyAlignment="1" applyBorder="1" applyFont="1">
      <alignment shrinkToFit="0" vertical="center" wrapText="1"/>
    </xf>
    <xf borderId="151" fillId="8" fontId="10" numFmtId="164" xfId="0" applyAlignment="1" applyBorder="1" applyFont="1" applyNumberFormat="1">
      <alignment shrinkToFit="0" vertical="center" wrapText="1"/>
    </xf>
    <xf borderId="152" fillId="7" fontId="20" numFmtId="164" xfId="0" applyAlignment="1" applyBorder="1" applyFont="1" applyNumberFormat="1">
      <alignment shrinkToFit="0" vertical="center" wrapText="1"/>
    </xf>
    <xf borderId="153" fillId="7" fontId="11" numFmtId="0" xfId="0" applyAlignment="1" applyBorder="1" applyFont="1">
      <alignment shrinkToFit="0" vertical="center" wrapText="1"/>
    </xf>
    <xf borderId="154" fillId="0" fontId="10" numFmtId="164" xfId="0" applyAlignment="1" applyBorder="1" applyFont="1" applyNumberFormat="1">
      <alignment horizontal="right" shrinkToFit="0" vertical="center" wrapText="1"/>
    </xf>
    <xf borderId="153" fillId="7" fontId="11" numFmtId="0" xfId="0" applyAlignment="1" applyBorder="1" applyFont="1">
      <alignment horizontal="right" shrinkToFit="0" vertical="center" wrapText="1"/>
    </xf>
    <xf borderId="153" fillId="7" fontId="11" numFmtId="171" xfId="0" applyAlignment="1" applyBorder="1" applyFont="1" applyNumberFormat="1">
      <alignment horizontal="right" shrinkToFit="0" vertical="center" wrapText="1"/>
    </xf>
    <xf borderId="22" fillId="0" fontId="10" numFmtId="0" xfId="0" applyAlignment="1" applyBorder="1" applyFont="1">
      <alignment horizontal="left" shrinkToFit="0" vertical="top" wrapText="1"/>
    </xf>
    <xf borderId="28" fillId="0" fontId="10" numFmtId="0" xfId="0" applyAlignment="1" applyBorder="1" applyFont="1">
      <alignment shrinkToFit="0" vertical="top" wrapText="1"/>
    </xf>
    <xf borderId="22" fillId="0" fontId="10" numFmtId="164" xfId="0" applyAlignment="1" applyBorder="1" applyFont="1" applyNumberFormat="1">
      <alignment shrinkToFit="0" vertical="top" wrapText="1"/>
    </xf>
    <xf borderId="29" fillId="0" fontId="10" numFmtId="0" xfId="0" applyAlignment="1" applyBorder="1" applyFont="1">
      <alignment shrinkToFit="0" vertical="top" wrapText="1"/>
    </xf>
    <xf borderId="22" fillId="0" fontId="10" numFmtId="0" xfId="0" applyAlignment="1" applyBorder="1" applyFont="1">
      <alignment shrinkToFit="0" vertical="top" wrapText="1"/>
    </xf>
    <xf borderId="22" fillId="0" fontId="10" numFmtId="164" xfId="0" applyAlignment="1" applyBorder="1" applyFont="1" applyNumberFormat="1">
      <alignment horizontal="right" shrinkToFit="0" vertical="top" wrapText="1"/>
    </xf>
    <xf borderId="22" fillId="0" fontId="10" numFmtId="0" xfId="0" applyAlignment="1" applyBorder="1" applyFont="1">
      <alignment horizontal="right" shrinkToFit="0" vertical="top" wrapText="1"/>
    </xf>
    <xf borderId="3" fillId="0" fontId="10" numFmtId="0" xfId="0" applyAlignment="1" applyBorder="1" applyFont="1">
      <alignment horizontal="left" shrinkToFit="0" vertical="top" wrapText="1"/>
    </xf>
    <xf quotePrefix="1" borderId="33" fillId="0" fontId="10" numFmtId="0" xfId="0" applyAlignment="1" applyBorder="1" applyFont="1">
      <alignment shrinkToFit="0" vertical="top" wrapText="1"/>
    </xf>
    <xf borderId="3" fillId="0" fontId="10" numFmtId="164" xfId="0" applyAlignment="1" applyBorder="1" applyFont="1" applyNumberFormat="1">
      <alignment shrinkToFit="0" vertical="top" wrapText="1"/>
    </xf>
    <xf borderId="21" fillId="7" fontId="11" numFmtId="175" xfId="0" applyAlignment="1" applyBorder="1" applyFont="1" applyNumberFormat="1">
      <alignment shrinkToFit="0" vertical="top" wrapText="1"/>
    </xf>
    <xf borderId="3" fillId="0" fontId="10" numFmtId="0" xfId="0" applyAlignment="1" applyBorder="1" applyFont="1">
      <alignment shrinkToFit="0" vertical="top" wrapText="1"/>
    </xf>
    <xf borderId="3" fillId="0" fontId="10" numFmtId="164" xfId="0" applyAlignment="1" applyBorder="1" applyFont="1" applyNumberFormat="1">
      <alignment horizontal="right" shrinkToFit="0" vertical="top" wrapText="1"/>
    </xf>
    <xf borderId="3" fillId="0" fontId="10" numFmtId="0" xfId="0" applyAlignment="1" applyBorder="1" applyFont="1">
      <alignment horizontal="right" shrinkToFit="0" vertical="top" wrapText="1"/>
    </xf>
    <xf borderId="155" fillId="0" fontId="10" numFmtId="0" xfId="0" applyAlignment="1" applyBorder="1" applyFont="1">
      <alignment horizontal="left" shrinkToFit="0" vertical="top" wrapText="1"/>
    </xf>
    <xf borderId="156" fillId="0" fontId="10" numFmtId="0" xfId="0" applyAlignment="1" applyBorder="1" applyFont="1">
      <alignment shrinkToFit="0" vertical="top" wrapText="1"/>
    </xf>
    <xf borderId="0" fillId="0" fontId="107" numFmtId="0" xfId="0" applyAlignment="1" applyFont="1">
      <alignment shrinkToFit="0" vertical="top" wrapText="1"/>
    </xf>
    <xf borderId="157" fillId="0" fontId="55" numFmtId="204" xfId="0" applyAlignment="1" applyBorder="1" applyFont="1" applyNumberFormat="1">
      <alignment horizontal="right" shrinkToFit="0" vertical="top" wrapText="1"/>
    </xf>
    <xf borderId="158" fillId="0" fontId="55" numFmtId="0" xfId="0" applyAlignment="1" applyBorder="1" applyFont="1">
      <alignment horizontal="left" shrinkToFit="0" vertical="top" wrapText="1"/>
    </xf>
    <xf borderId="159" fillId="0" fontId="10" numFmtId="0" xfId="0" applyAlignment="1" applyBorder="1" applyFont="1">
      <alignment horizontal="left" shrinkToFit="0" vertical="top" wrapText="1"/>
    </xf>
    <xf borderId="160" fillId="0" fontId="10" numFmtId="0" xfId="0" applyAlignment="1" applyBorder="1" applyFont="1">
      <alignment shrinkToFit="0" vertical="top" wrapText="1"/>
    </xf>
    <xf borderId="161" fillId="0" fontId="20" numFmtId="228" xfId="0" applyAlignment="1" applyBorder="1" applyFont="1" applyNumberFormat="1">
      <alignment horizontal="right" shrinkToFit="0" vertical="top" wrapText="1"/>
    </xf>
    <xf borderId="162" fillId="0" fontId="20" numFmtId="0" xfId="0" applyAlignment="1" applyBorder="1" applyFont="1">
      <alignment horizontal="left" shrinkToFit="0" vertical="top" wrapText="1"/>
    </xf>
    <xf borderId="1" fillId="7" fontId="30" numFmtId="207" xfId="0" applyAlignment="1" applyBorder="1" applyFont="1" applyNumberFormat="1">
      <alignment horizontal="right" vertical="top"/>
    </xf>
    <xf borderId="0" fillId="0" fontId="30" numFmtId="174" xfId="0" applyAlignment="1" applyFont="1" applyNumberFormat="1">
      <alignment horizontal="right" vertical="top"/>
    </xf>
    <xf quotePrefix="1" borderId="0" fillId="0" fontId="30" numFmtId="0" xfId="0" applyAlignment="1" applyFont="1">
      <alignment horizontal="left" vertical="top"/>
    </xf>
    <xf borderId="0" fillId="0" fontId="58" numFmtId="174" xfId="0" applyAlignment="1" applyFont="1" applyNumberFormat="1">
      <alignment horizontal="right" vertical="top"/>
    </xf>
    <xf borderId="3" fillId="0" fontId="58" numFmtId="0" xfId="0" applyAlignment="1" applyBorder="1" applyFont="1">
      <alignment horizontal="left" vertical="top"/>
    </xf>
    <xf borderId="1" fillId="4" fontId="93" numFmtId="0" xfId="0" applyBorder="1" applyFont="1"/>
    <xf quotePrefix="1" borderId="0" fillId="0" fontId="5" numFmtId="0" xfId="0" applyFont="1"/>
    <xf borderId="0" fillId="0" fontId="5" numFmtId="164" xfId="0" applyAlignment="1" applyFont="1" applyNumberFormat="1">
      <alignment horizontal="left"/>
    </xf>
    <xf quotePrefix="1" borderId="0" fillId="0" fontId="5" numFmtId="164" xfId="0" applyFont="1" applyNumberFormat="1"/>
    <xf borderId="1" fillId="2" fontId="3" numFmtId="0" xfId="0" applyBorder="1" applyFont="1"/>
    <xf borderId="22" fillId="0" fontId="5" numFmtId="164" xfId="0" applyBorder="1" applyFont="1" applyNumberFormat="1"/>
    <xf borderId="22" fillId="0" fontId="93" numFmtId="164" xfId="0" applyAlignment="1" applyBorder="1" applyFont="1" applyNumberFormat="1">
      <alignment horizontal="center"/>
    </xf>
    <xf borderId="3" fillId="0" fontId="5" numFmtId="0" xfId="0" applyBorder="1" applyFont="1"/>
    <xf borderId="3" fillId="0" fontId="5" numFmtId="164" xfId="0" applyBorder="1" applyFont="1" applyNumberFormat="1"/>
    <xf borderId="3" fillId="0" fontId="93" numFmtId="164" xfId="0" applyAlignment="1" applyBorder="1" applyFont="1" applyNumberFormat="1">
      <alignment horizontal="center"/>
    </xf>
    <xf borderId="3" fillId="0" fontId="93" numFmtId="164" xfId="0" applyBorder="1" applyFont="1" applyNumberFormat="1"/>
    <xf borderId="2" fillId="0" fontId="5" numFmtId="164" xfId="0" applyBorder="1" applyFont="1" applyNumberFormat="1"/>
    <xf borderId="36" fillId="0" fontId="5" numFmtId="164" xfId="0" applyBorder="1" applyFont="1" applyNumberFormat="1"/>
    <xf borderId="6" fillId="0" fontId="5" numFmtId="164" xfId="0" applyBorder="1" applyFont="1" applyNumberFormat="1"/>
    <xf borderId="5" fillId="0" fontId="5" numFmtId="164" xfId="0" applyBorder="1" applyFont="1" applyNumberFormat="1"/>
    <xf quotePrefix="1" borderId="6" fillId="0" fontId="5" numFmtId="164" xfId="0" applyBorder="1" applyFont="1" applyNumberFormat="1"/>
    <xf borderId="46" fillId="6" fontId="24" numFmtId="168" xfId="0" applyAlignment="1" applyBorder="1" applyFont="1" applyNumberFormat="1">
      <alignment horizontal="right"/>
    </xf>
    <xf borderId="0" fillId="0" fontId="93" numFmtId="164" xfId="0" applyAlignment="1" applyFont="1" applyNumberFormat="1">
      <alignment horizontal="left"/>
    </xf>
    <xf borderId="1" fillId="7" fontId="5" numFmtId="174" xfId="0" applyBorder="1" applyFont="1" applyNumberFormat="1"/>
    <xf borderId="0" fillId="0" fontId="93" numFmtId="164" xfId="0" applyFont="1" applyNumberFormat="1"/>
    <xf borderId="22" fillId="0" fontId="93" numFmtId="174" xfId="0" applyBorder="1" applyFont="1" applyNumberFormat="1"/>
    <xf borderId="46" fillId="6" fontId="24" numFmtId="199" xfId="0" applyAlignment="1" applyBorder="1" applyFont="1" applyNumberFormat="1">
      <alignment horizontal="center"/>
    </xf>
    <xf borderId="15" fillId="6" fontId="24" numFmtId="168" xfId="0" applyAlignment="1" applyBorder="1" applyFont="1" applyNumberFormat="1">
      <alignment horizontal="center"/>
    </xf>
    <xf borderId="16" fillId="6" fontId="24" numFmtId="168" xfId="0" applyAlignment="1" applyBorder="1" applyFont="1" applyNumberFormat="1">
      <alignment horizontal="center"/>
    </xf>
    <xf borderId="92" fillId="6" fontId="30" numFmtId="0" xfId="0" applyAlignment="1" applyBorder="1" applyFont="1">
      <alignment horizontal="center" vertical="top"/>
    </xf>
    <xf borderId="92" fillId="0" fontId="23" numFmtId="0" xfId="0" applyAlignment="1" applyBorder="1" applyFont="1">
      <alignment horizontal="center" vertical="top"/>
    </xf>
    <xf borderId="92" fillId="0" fontId="30" numFmtId="0" xfId="0" applyAlignment="1" applyBorder="1" applyFont="1">
      <alignment horizontal="center" vertical="top"/>
    </xf>
    <xf borderId="92" fillId="6" fontId="23" numFmtId="0" xfId="0" applyAlignment="1" applyBorder="1" applyFont="1">
      <alignment horizontal="center" vertical="top"/>
    </xf>
    <xf borderId="0" fillId="0" fontId="12" numFmtId="0" xfId="0" applyAlignment="1" applyFont="1">
      <alignment horizontal="left" shrinkToFit="0" wrapText="1"/>
    </xf>
    <xf borderId="0" fillId="0" fontId="18" numFmtId="174" xfId="0" applyFont="1" applyNumberFormat="1"/>
  </cellXfs>
  <cellStyles count="1">
    <cellStyle xfId="0" name="Normal" builtinId="0"/>
  </cellStyles>
  <dxfs count="8">
    <dxf>
      <font/>
      <fill>
        <patternFill patternType="solid">
          <fgColor rgb="FFC0C0C0"/>
          <bgColor rgb="FFC0C0C0"/>
        </patternFill>
      </fill>
      <border/>
    </dxf>
    <dxf>
      <font/>
      <fill>
        <patternFill patternType="solid">
          <fgColor rgb="FFCCCCCC"/>
          <bgColor rgb="FFCCCCCC"/>
        </patternFill>
      </fill>
      <border/>
    </dxf>
    <dxf>
      <font/>
      <fill>
        <patternFill patternType="solid">
          <fgColor rgb="FFCCFFCC"/>
          <bgColor rgb="FFCCFFCC"/>
        </patternFill>
      </fill>
      <border/>
    </dxf>
    <dxf>
      <font/>
      <fill>
        <patternFill patternType="solid">
          <fgColor rgb="FFF0F0F0"/>
          <bgColor rgb="FFF0F0F0"/>
        </patternFill>
      </fill>
      <border/>
    </dxf>
    <dxf>
      <font>
        <b/>
      </font>
      <fill>
        <patternFill patternType="solid">
          <fgColor rgb="FFFF9999"/>
          <bgColor rgb="FFFF9999"/>
        </patternFill>
      </fill>
      <border/>
    </dxf>
    <dxf>
      <font>
        <b/>
      </font>
      <fill>
        <patternFill patternType="none"/>
      </fill>
      <border>
        <left style="thin">
          <color rgb="FF000000"/>
        </left>
        <right style="thin">
          <color rgb="FF000000"/>
        </right>
        <top style="thin">
          <color rgb="FF000000"/>
        </top>
        <bottom style="thin">
          <color rgb="FF000000"/>
        </bottom>
      </border>
    </dxf>
    <dxf>
      <font/>
      <fill>
        <patternFill patternType="solid">
          <fgColor rgb="FFFF0000"/>
          <bgColor rgb="FFFF0000"/>
        </patternFill>
      </fill>
      <border/>
    </dxf>
    <dxf>
      <font/>
      <fill>
        <patternFill patternType="none"/>
      </fill>
      <border/>
    </dxf>
  </dxfs>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13" Type="http://schemas.openxmlformats.org/officeDocument/2006/relationships/worksheet" Target="worksheets/sheet10.xml"/><Relationship Id="rId18" Type="http://schemas.openxmlformats.org/officeDocument/2006/relationships/worksheet" Target="worksheets/sheet15.xml"/><Relationship Id="rId21" Type="http://schemas.openxmlformats.org/officeDocument/2006/relationships/worksheet" Target="worksheets/sheet18.xml"/><Relationship Id="rId3" Type="http://schemas.openxmlformats.org/officeDocument/2006/relationships/sharedStrings" Target="sharedStrings.xml"/><Relationship Id="rId34" Type="http://schemas.openxmlformats.org/officeDocument/2006/relationships/customXml" Target="../customXml/item3.xml"/><Relationship Id="rId25" Type="http://schemas.openxmlformats.org/officeDocument/2006/relationships/worksheet" Target="worksheets/sheet22.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33" Type="http://schemas.openxmlformats.org/officeDocument/2006/relationships/customXml" Target="../customXml/item2.xml"/><Relationship Id="rId20" Type="http://schemas.openxmlformats.org/officeDocument/2006/relationships/worksheet" Target="worksheets/sheet17.xml"/><Relationship Id="rId2" Type="http://schemas.openxmlformats.org/officeDocument/2006/relationships/styles" Target="styles.xml"/><Relationship Id="rId29" Type="http://schemas.openxmlformats.org/officeDocument/2006/relationships/worksheet" Target="worksheets/sheet26.xml"/><Relationship Id="rId16" Type="http://schemas.openxmlformats.org/officeDocument/2006/relationships/worksheet" Target="worksheets/sheet13.xml"/><Relationship Id="rId24" Type="http://schemas.openxmlformats.org/officeDocument/2006/relationships/worksheet" Target="worksheets/sheet21.xml"/><Relationship Id="rId1" Type="http://schemas.openxmlformats.org/officeDocument/2006/relationships/theme" Target="theme/theme1.xml"/><Relationship Id="rId6" Type="http://schemas.openxmlformats.org/officeDocument/2006/relationships/worksheet" Target="worksheets/sheet3.xml"/><Relationship Id="rId11" Type="http://schemas.openxmlformats.org/officeDocument/2006/relationships/worksheet" Target="worksheets/sheet8.xml"/><Relationship Id="rId32" Type="http://schemas.openxmlformats.org/officeDocument/2006/relationships/customXml" Target="../customXml/item1.xml"/><Relationship Id="rId23" Type="http://schemas.openxmlformats.org/officeDocument/2006/relationships/worksheet" Target="worksheets/sheet20.xml"/><Relationship Id="rId28" Type="http://schemas.openxmlformats.org/officeDocument/2006/relationships/worksheet" Target="worksheets/sheet25.xml"/><Relationship Id="rId5" Type="http://schemas.openxmlformats.org/officeDocument/2006/relationships/worksheet" Target="worksheets/sheet2.xml"/><Relationship Id="rId15" Type="http://schemas.openxmlformats.org/officeDocument/2006/relationships/worksheet" Target="worksheets/sheet12.xml"/><Relationship Id="rId31" Type="http://schemas.openxmlformats.org/officeDocument/2006/relationships/worksheet" Target="worksheets/sheet28.xml"/><Relationship Id="rId10" Type="http://schemas.openxmlformats.org/officeDocument/2006/relationships/worksheet" Target="worksheets/sheet7.xml"/><Relationship Id="rId19" Type="http://schemas.openxmlformats.org/officeDocument/2006/relationships/worksheet" Target="worksheets/sheet16.xml"/><Relationship Id="rId22" Type="http://schemas.openxmlformats.org/officeDocument/2006/relationships/worksheet" Target="worksheets/sheet19.xml"/><Relationship Id="rId4" Type="http://schemas.openxmlformats.org/officeDocument/2006/relationships/worksheet" Target="worksheets/sheet1.xml"/><Relationship Id="rId9" Type="http://schemas.openxmlformats.org/officeDocument/2006/relationships/worksheet" Target="worksheets/sheet6.xml"/><Relationship Id="rId27" Type="http://schemas.openxmlformats.org/officeDocument/2006/relationships/worksheet" Target="worksheets/sheet24.xml"/><Relationship Id="rId30" Type="http://schemas.openxmlformats.org/officeDocument/2006/relationships/worksheet" Target="worksheets/sheet27.xml"/><Relationship Id="rId14" Type="http://schemas.openxmlformats.org/officeDocument/2006/relationships/worksheet" Target="worksheets/sheet11.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Distribution of Marketing Costs over Years</a:t>
            </a:r>
          </a:p>
        </c:rich>
      </c:tx>
      <c:overlay val="0"/>
    </c:title>
    <c:plotArea>
      <c:layout/>
      <c:barChart>
        <c:barDir val="col"/>
        <c:ser>
          <c:idx val="0"/>
          <c:order val="0"/>
          <c:spPr>
            <a:solidFill>
              <a:schemeClr val="accent1"/>
            </a:solidFill>
            <a:ln cmpd="sng">
              <a:solidFill>
                <a:srgbClr val="000000"/>
              </a:solidFill>
            </a:ln>
          </c:spPr>
          <c:cat>
            <c:strRef>
              <c:f>Marketing!$H$35:$N$35</c:f>
            </c:strRef>
          </c:cat>
          <c:val>
            <c:numRef>
              <c:f>Marketing!$H$45:$N$45</c:f>
              <c:numCache/>
            </c:numRef>
          </c:val>
        </c:ser>
        <c:axId val="1329155912"/>
        <c:axId val="673837631"/>
      </c:barChart>
      <c:catAx>
        <c:axId val="132915591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673837631"/>
      </c:catAx>
      <c:valAx>
        <c:axId val="6738376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329155912"/>
      </c:valAx>
    </c:plotArea>
    <c:plotVisOnly val="1"/>
  </c:chart>
</c:chartSpace>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xdr:colOff>
      <xdr:row>54</xdr:row>
      <xdr:rowOff>142875</xdr:rowOff>
    </xdr:from>
    <xdr:ext cx="6419850" cy="6315075"/>
    <xdr:sp>
      <xdr:nvSpPr>
        <xdr:cNvPr id="4" name="Shape 4"/>
        <xdr:cNvSpPr txBox="1"/>
      </xdr:nvSpPr>
      <xdr:spPr>
        <a:xfrm>
          <a:off x="2140838" y="627225"/>
          <a:ext cx="6410325" cy="63055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b="1" lang="en-US" sz="1100">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b="1" lang="en-US" sz="1100">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b="1" lang="en-US" sz="1100">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b="0" lang="en-US" sz="110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(4) </a:t>
          </a:r>
          <a:r>
            <a:rPr b="0" lang="en-US" sz="110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b="0" lang="en-US" sz="1100">
              <a:solidFill>
                <a:schemeClr val="dk1"/>
              </a:solidFill>
              <a:latin typeface="Times New Roman"/>
              <a:ea typeface="Times New Roman"/>
              <a:cs typeface="Times New Roman"/>
              <a:sym typeface="Times New Roman"/>
            </a:rPr>
            <a:t>without limitation, executive directors.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indent="0" lvl="0" marL="0" rtl="0" algn="l">
            <a:spcBef>
              <a:spcPts val="0"/>
            </a:spcBef>
            <a:spcAft>
              <a:spcPts val="0"/>
            </a:spcAft>
            <a:buNone/>
          </a:pPr>
          <a:r>
            <a:t/>
          </a:r>
          <a:endParaRPr sz="1100">
            <a:latin typeface="Times New Roman"/>
            <a:ea typeface="Times New Roman"/>
            <a:cs typeface="Times New Roman"/>
            <a:sym typeface="Times New Roman"/>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0</xdr:row>
      <xdr:rowOff>38100</xdr:rowOff>
    </xdr:from>
    <xdr:ext cx="6867525" cy="159067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114300</xdr:colOff>
      <xdr:row>16</xdr:row>
      <xdr:rowOff>0</xdr:rowOff>
    </xdr:from>
    <xdr:ext cx="295275" cy="1047750"/>
    <xdr:sp>
      <xdr:nvSpPr>
        <xdr:cNvPr id="5" name="Shape 5"/>
        <xdr:cNvSpPr/>
      </xdr:nvSpPr>
      <xdr:spPr>
        <a:xfrm>
          <a:off x="5203125" y="3260888"/>
          <a:ext cx="285750" cy="1038225"/>
        </a:xfrm>
        <a:prstGeom prst="rightBrace">
          <a:avLst>
            <a:gd fmla="val 0" name="adj1"/>
            <a:gd fmla="val 50000" name="adj2"/>
          </a:avLst>
        </a:prstGeom>
        <a:solidFill>
          <a:srgbClr val="FFFFFF"/>
        </a:solidFill>
        <a:ln cap="flat" cmpd="sng" w="9525">
          <a:solidFill>
            <a:srgbClr val="000000"/>
          </a:solidFill>
          <a:prstDash val="solid"/>
          <a:round/>
          <a:headEnd len="sm" w="sm" type="none"/>
          <a:tailEnd len="sm" w="sm" type="none"/>
        </a:ln>
      </xdr:spPr>
      <xdr:txBody>
        <a:bodyPr anchorCtr="0" anchor="ctr"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228600</xdr:colOff>
      <xdr:row>268</xdr:row>
      <xdr:rowOff>180975</xdr:rowOff>
    </xdr:from>
    <xdr:ext cx="13554075" cy="4152900"/>
    <xdr:sp>
      <xdr:nvSpPr>
        <xdr:cNvPr id="6" name="Shape 6"/>
        <xdr:cNvSpPr txBox="1"/>
      </xdr:nvSpPr>
      <xdr:spPr>
        <a:xfrm>
          <a:off x="0" y="1708313"/>
          <a:ext cx="10692000" cy="41433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Though a student can only be counted</a:t>
          </a:r>
          <a:r>
            <a:rPr lang="en-US" sz="1100">
              <a:solidFill>
                <a:schemeClr val="dk1"/>
              </a:solidFill>
              <a:latin typeface="Calibri"/>
              <a:ea typeface="Calibri"/>
              <a:cs typeface="Calibri"/>
              <a:sym typeface="Calibri"/>
            </a:rPr>
            <a:t> in one category if they otherwise qualify for multiple categories I'm breaking out the mixture of  where a student is being counted and not counted.</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93</xdr:row>
      <xdr:rowOff>133350</xdr:rowOff>
    </xdr:from>
    <xdr:ext cx="190500" cy="266700"/>
    <xdr:sp>
      <xdr:nvSpPr>
        <xdr:cNvPr id="7" name="Shape 7"/>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47</xdr:row>
      <xdr:rowOff>114300</xdr:rowOff>
    </xdr:from>
    <xdr:ext cx="6210300" cy="1295400"/>
    <xdr:sp>
      <xdr:nvSpPr>
        <xdr:cNvPr id="8" name="Shape 8"/>
        <xdr:cNvSpPr txBox="1"/>
      </xdr:nvSpPr>
      <xdr:spPr>
        <a:xfrm>
          <a:off x="2245613" y="3137063"/>
          <a:ext cx="6200775" cy="12858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indent="0" lvl="0" marL="0" rtl="0" algn="l">
            <a:spcBef>
              <a:spcPts val="0"/>
            </a:spcBef>
            <a:spcAft>
              <a:spcPts val="0"/>
            </a:spcAft>
            <a:buNone/>
          </a:pPr>
          <a:r>
            <a:t/>
          </a:r>
          <a:endParaRPr sz="1100"/>
        </a:p>
      </xdr:txBody>
    </xdr:sp>
    <xdr:clientData fLocksWithSheet="0"/>
  </xdr:oneCellAnchor>
  <xdr:oneCellAnchor>
    <xdr:from>
      <xdr:col>1</xdr:col>
      <xdr:colOff>609600</xdr:colOff>
      <xdr:row>25</xdr:row>
      <xdr:rowOff>-114300</xdr:rowOff>
    </xdr:from>
    <xdr:ext cx="11344275" cy="35242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5</xdr:row>
      <xdr:rowOff>38100</xdr:rowOff>
    </xdr:from>
    <xdr:ext cx="5334000" cy="3200400"/>
    <xdr:sp>
      <xdr:nvSpPr>
        <xdr:cNvPr id="9" name="Shape 9">
          <a:hlinkClick r:id="rId1"/>
        </xdr:cNvPr>
        <xdr:cNvSpPr txBox="1"/>
      </xdr:nvSpPr>
      <xdr:spPr>
        <a:xfrm>
          <a:off x="2683763" y="2184563"/>
          <a:ext cx="5324475" cy="31908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u="none" strike="noStrike">
              <a:solidFill>
                <a:srgbClr val="000000"/>
              </a:solidFill>
              <a:latin typeface="Times New Roman"/>
              <a:ea typeface="Times New Roman"/>
              <a:cs typeface="Times New Roman"/>
              <a:sym typeface="Times New Roman"/>
            </a:rPr>
            <a:t>Generic Facilities and FFE narrative</a:t>
          </a:r>
          <a:endParaRPr sz="1400"/>
        </a:p>
        <a:p>
          <a:pPr indent="0" lvl="0" marL="0" rtl="0" algn="l">
            <a:spcBef>
              <a:spcPts val="0"/>
            </a:spcBef>
            <a:spcAft>
              <a:spcPts val="0"/>
            </a:spcAft>
            <a:buNone/>
          </a:pPr>
          <a:r>
            <a:t/>
          </a:r>
          <a:endParaRPr sz="11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indent="0" lvl="0" marL="0" rtl="0" algn="l">
            <a:spcBef>
              <a:spcPts val="0"/>
            </a:spcBef>
            <a:spcAft>
              <a:spcPts val="0"/>
            </a:spcAft>
            <a:buNone/>
          </a:pPr>
          <a:r>
            <a:t/>
          </a:r>
          <a:endParaRPr sz="11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104775</xdr:colOff>
      <xdr:row>8</xdr:row>
      <xdr:rowOff>114300</xdr:rowOff>
    </xdr:from>
    <xdr:ext cx="2924175" cy="1304925"/>
    <xdr:sp>
      <xdr:nvSpPr>
        <xdr:cNvPr id="10" name="Shape 10"/>
        <xdr:cNvSpPr txBox="1"/>
      </xdr:nvSpPr>
      <xdr:spPr>
        <a:xfrm>
          <a:off x="3884120" y="3131041"/>
          <a:ext cx="2923761" cy="1297919"/>
        </a:xfrm>
        <a:prstGeom prst="rect">
          <a:avLst/>
        </a:prstGeom>
        <a:solidFill>
          <a:schemeClr val="accent1">
            <a:alpha val="74901"/>
          </a:schemeClr>
        </a:solidFill>
        <a:ln>
          <a:noFill/>
        </a:ln>
      </xdr:spPr>
      <xdr:txBody>
        <a:bodyPr anchorCtr="0" anchor="t" bIns="45700" lIns="91425" spcFirstLastPara="1" rIns="91425" wrap="square" tIns="45700">
          <a:sp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It will automatically populate</a:t>
          </a:r>
          <a:r>
            <a:rPr lang="en-US" sz="1100">
              <a:solidFill>
                <a:schemeClr val="dk1"/>
              </a:solidFill>
              <a:latin typeface="Calibri"/>
              <a:ea typeface="Calibri"/>
              <a:cs typeface="Calibri"/>
              <a:sym typeface="Calibri"/>
            </a:rPr>
            <a:t> as you complete the required tabs in the application. The use of this tab is completely optional and at your discretion.</a:t>
          </a:r>
          <a:endParaRPr sz="1100"/>
        </a:p>
      </xdr:txBody>
    </xdr:sp>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619125</xdr:colOff>
      <xdr:row>97</xdr:row>
      <xdr:rowOff>123825</xdr:rowOff>
    </xdr:from>
    <xdr:ext cx="2133600" cy="1352550"/>
    <xdr:sp>
      <xdr:nvSpPr>
        <xdr:cNvPr id="3" name="Shape 3"/>
        <xdr:cNvSpPr txBox="1"/>
      </xdr:nvSpPr>
      <xdr:spPr>
        <a:xfrm>
          <a:off x="4283963" y="3108488"/>
          <a:ext cx="2124075" cy="1343025"/>
        </a:xfrm>
        <a:prstGeom prst="rect">
          <a:avLst/>
        </a:prstGeom>
        <a:solidFill>
          <a:srgbClr val="FFFF99"/>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a:t>
          </a:r>
          <a:r>
            <a:rPr lang="en-US" sz="1100">
              <a:solidFill>
                <a:schemeClr val="dk1"/>
              </a:solidFill>
              <a:latin typeface="Calibri"/>
              <a:ea typeface="Calibri"/>
              <a:cs typeface="Calibri"/>
              <a:sym typeface="Calibri"/>
            </a:rPr>
            <a:t> </a:t>
          </a:r>
          <a:r>
            <a:rPr lang="en-US" sz="1100">
              <a:solidFill>
                <a:schemeClr val="dk1"/>
              </a:solidFill>
              <a:latin typeface="Calibri"/>
              <a:ea typeface="Calibri"/>
              <a:cs typeface="Calibri"/>
              <a:sym typeface="Calibri"/>
            </a:rPr>
            <a:t>are those that other schools have used. They may not be applicable to your situation.</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transparentnevada.com/agencies/salaries/charter-schools/" TargetMode="External"/><Relationship Id="rId3" Type="http://schemas.openxmlformats.org/officeDocument/2006/relationships/drawing" Target="../drawings/drawing10.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2.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3.xml"/><Relationship Id="rId3"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doe.nv.gov/DataCenter/Enrollment_Data/" TargetMode="External"/><Relationship Id="rId2" Type="http://schemas.openxmlformats.org/officeDocument/2006/relationships/hyperlink" Target="https://charterschools.nv.gov/OpenASchool/Application_Packet/" TargetMode="External"/><Relationship Id="rId3"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eg.state.nv.us/Session/82nd2023/Bills/SB/SB503_EN.pdf" TargetMode="External"/><Relationship Id="rId2" Type="http://schemas.openxmlformats.org/officeDocument/2006/relationships/hyperlink" Target="https://www.leg.state.nv.us/Session/82nd2023/Bills/SB/SB503_EN.pdf" TargetMode="External"/><Relationship Id="rId3" Type="http://schemas.openxmlformats.org/officeDocument/2006/relationships/hyperlink" Target="https://www.leg.state.nv.us/App/NELIS/REL/81st2021/Bill/8227/Text"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1.xml"/><Relationship Id="rId3"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3.xml"/><Relationship Id="rId3"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doe.nv.gov/DataCenter" TargetMode="External"/><Relationship Id="rId3" Type="http://schemas.openxmlformats.org/officeDocument/2006/relationships/hyperlink" Target="https://charterschools.nv.gov/About/Strategic_Plan/" TargetMode="External"/><Relationship Id="rId4" Type="http://schemas.openxmlformats.org/officeDocument/2006/relationships/drawing" Target="../drawings/drawing7.xml"/><Relationship Id="rId5"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www.leg.state.nv.us/Session/82nd2023/Bills/SB/SB503_EN.pdf" TargetMode="External"/><Relationship Id="rId3" Type="http://schemas.openxmlformats.org/officeDocument/2006/relationships/drawing" Target="../drawings/drawing8.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119.29"/>
    <col customWidth="1" min="2" max="26" width="8.86"/>
  </cols>
  <sheetData>
    <row r="1" ht="26.25" customHeight="1">
      <c r="A1" s="1" t="s">
        <v>0</v>
      </c>
    </row>
    <row r="2">
      <c r="A2" s="2" t="s">
        <v>1</v>
      </c>
    </row>
    <row r="3">
      <c r="A3" s="3" t="str">
        <f>SchoolName</f>
        <v>Explore Knowledge Academy</v>
      </c>
    </row>
    <row r="4">
      <c r="A4" s="4" t="s">
        <v>2</v>
      </c>
      <c r="G4" s="5"/>
      <c r="H4" s="5"/>
      <c r="I4" s="5"/>
      <c r="J4" s="5"/>
      <c r="K4" s="5"/>
    </row>
    <row r="5">
      <c r="A5" s="6" t="str">
        <f>CELL("filename")</f>
        <v>#N/A</v>
      </c>
    </row>
    <row r="6">
      <c r="A6" s="7" t="s">
        <v>3</v>
      </c>
    </row>
    <row r="7" ht="6.0" customHeight="1">
      <c r="A7" s="8"/>
    </row>
    <row r="8">
      <c r="A8" s="9" t="s">
        <v>4</v>
      </c>
    </row>
    <row r="9" ht="12.0" customHeight="1"/>
    <row r="10" ht="138.75" customHeight="1">
      <c r="A10" s="10" t="s">
        <v>5</v>
      </c>
    </row>
    <row r="12">
      <c r="A12" s="9" t="s">
        <v>6</v>
      </c>
    </row>
    <row r="13" ht="95.25" customHeight="1">
      <c r="A13" s="11" t="s">
        <v>7</v>
      </c>
    </row>
    <row r="14">
      <c r="A14" s="12"/>
    </row>
    <row r="15">
      <c r="A15" s="13" t="s">
        <v>8</v>
      </c>
    </row>
    <row r="16">
      <c r="A16" s="14" t="s">
        <v>9</v>
      </c>
    </row>
    <row r="17">
      <c r="A17" s="12"/>
    </row>
    <row r="18">
      <c r="A18" s="13" t="s">
        <v>10</v>
      </c>
    </row>
    <row r="19">
      <c r="A19" s="14" t="s">
        <v>11</v>
      </c>
    </row>
    <row r="20">
      <c r="A20" s="12"/>
    </row>
    <row r="21" ht="15.75" customHeight="1">
      <c r="A21" s="13" t="s">
        <v>12</v>
      </c>
    </row>
    <row r="22" ht="15.75" customHeight="1">
      <c r="A22" s="14" t="s">
        <v>13</v>
      </c>
    </row>
    <row r="23" ht="15.75" customHeight="1">
      <c r="A23" s="14"/>
    </row>
    <row r="24" ht="15.75" customHeight="1">
      <c r="A24" s="13" t="s">
        <v>14</v>
      </c>
    </row>
    <row r="25" ht="15.75" customHeight="1">
      <c r="A25" s="14" t="s">
        <v>15</v>
      </c>
    </row>
    <row r="26" ht="15.75" customHeight="1">
      <c r="A26" s="14"/>
    </row>
    <row r="27" ht="15.75" customHeight="1">
      <c r="A27" s="13" t="s">
        <v>16</v>
      </c>
    </row>
    <row r="28" ht="15.75" customHeight="1">
      <c r="A28" s="14" t="s">
        <v>17</v>
      </c>
    </row>
    <row r="29" ht="15.75" customHeight="1">
      <c r="A29" s="12"/>
    </row>
    <row r="30" ht="15.75" customHeight="1">
      <c r="A30" s="13" t="s">
        <v>18</v>
      </c>
    </row>
    <row r="31" ht="15.75" customHeight="1">
      <c r="A31" s="15" t="s">
        <v>19</v>
      </c>
    </row>
    <row r="32" ht="15.75" hidden="1" customHeight="1">
      <c r="A32" s="16" t="s">
        <v>20</v>
      </c>
    </row>
    <row r="33" ht="15.75" hidden="1" customHeight="1">
      <c r="A33" s="16" t="s">
        <v>21</v>
      </c>
    </row>
    <row r="34" ht="15.75" hidden="1" customHeight="1">
      <c r="A34" s="16" t="s">
        <v>22</v>
      </c>
    </row>
    <row r="35" ht="15.75" customHeight="1">
      <c r="A35" s="12" t="s">
        <v>23</v>
      </c>
    </row>
    <row r="36" ht="33.75" customHeight="1">
      <c r="A36" s="12" t="s">
        <v>24</v>
      </c>
    </row>
    <row r="37" ht="15.75" customHeight="1">
      <c r="A37" s="12" t="s">
        <v>25</v>
      </c>
      <c r="S37" s="17"/>
      <c r="T37" s="17"/>
      <c r="U37" s="17"/>
      <c r="V37" s="17"/>
      <c r="W37" s="17"/>
      <c r="X37" s="17"/>
      <c r="Y37" s="17"/>
      <c r="Z37" s="17"/>
    </row>
    <row r="38" ht="15.75" customHeight="1">
      <c r="A38" s="18" t="s">
        <v>26</v>
      </c>
      <c r="S38" s="17"/>
      <c r="T38" s="17"/>
      <c r="U38" s="17"/>
      <c r="V38" s="17"/>
      <c r="W38" s="17"/>
      <c r="X38" s="17"/>
      <c r="Y38" s="17"/>
      <c r="Z38" s="17"/>
    </row>
    <row r="39" ht="15.75" customHeight="1">
      <c r="A39" s="19" t="s">
        <v>27</v>
      </c>
      <c r="S39" s="17"/>
      <c r="T39" s="17"/>
      <c r="U39" s="17"/>
      <c r="V39" s="17"/>
      <c r="W39" s="17"/>
      <c r="X39" s="17"/>
      <c r="Y39" s="17"/>
      <c r="Z39" s="17"/>
    </row>
    <row r="40" ht="15.75" customHeight="1">
      <c r="A40" s="19" t="s">
        <v>28</v>
      </c>
      <c r="S40" s="17"/>
      <c r="T40" s="17"/>
      <c r="U40" s="17"/>
      <c r="V40" s="17"/>
      <c r="W40" s="17"/>
      <c r="X40" s="17"/>
      <c r="Y40" s="17"/>
      <c r="Z40" s="17"/>
    </row>
    <row r="41" ht="15.75" customHeight="1">
      <c r="A41" s="19" t="s">
        <v>29</v>
      </c>
      <c r="S41" s="17"/>
      <c r="T41" s="17"/>
      <c r="U41" s="17"/>
      <c r="V41" s="17"/>
      <c r="W41" s="17"/>
      <c r="X41" s="17"/>
      <c r="Y41" s="17"/>
      <c r="Z41" s="17"/>
    </row>
    <row r="42" ht="15.75" customHeight="1">
      <c r="A42" s="19" t="s">
        <v>30</v>
      </c>
      <c r="S42" s="17"/>
      <c r="T42" s="17"/>
      <c r="U42" s="17"/>
      <c r="V42" s="17"/>
      <c r="W42" s="17"/>
      <c r="X42" s="17"/>
      <c r="Y42" s="17"/>
      <c r="Z42" s="17"/>
    </row>
    <row r="43" ht="15.75" customHeight="1">
      <c r="A43" s="19" t="s">
        <v>31</v>
      </c>
      <c r="S43" s="17"/>
      <c r="T43" s="17"/>
      <c r="U43" s="17"/>
      <c r="V43" s="17"/>
      <c r="W43" s="17"/>
      <c r="X43" s="17"/>
      <c r="Y43" s="17"/>
      <c r="Z43" s="17"/>
    </row>
    <row r="44" ht="15.75" customHeight="1">
      <c r="A44" s="19" t="s">
        <v>32</v>
      </c>
      <c r="S44" s="17"/>
      <c r="T44" s="17"/>
      <c r="U44" s="17"/>
      <c r="V44" s="17"/>
      <c r="W44" s="17"/>
      <c r="X44" s="17"/>
      <c r="Y44" s="17"/>
      <c r="Z44" s="17"/>
    </row>
    <row r="45" ht="15.75" customHeight="1">
      <c r="A45" s="19"/>
      <c r="S45" s="17"/>
      <c r="T45" s="17"/>
      <c r="U45" s="17"/>
      <c r="V45" s="17"/>
      <c r="W45" s="17"/>
      <c r="X45" s="17"/>
      <c r="Y45" s="17"/>
      <c r="Z45" s="17"/>
    </row>
    <row r="46" ht="15.75" customHeight="1">
      <c r="A46" s="13" t="s">
        <v>33</v>
      </c>
      <c r="S46" s="17"/>
      <c r="T46" s="17"/>
      <c r="U46" s="17"/>
      <c r="V46" s="17"/>
      <c r="W46" s="17"/>
      <c r="X46" s="17"/>
      <c r="Y46" s="17"/>
      <c r="Z46" s="17"/>
    </row>
    <row r="47" ht="15.75" customHeight="1">
      <c r="A47" s="14" t="s">
        <v>34</v>
      </c>
      <c r="S47" s="17"/>
      <c r="T47" s="17"/>
      <c r="U47" s="17"/>
      <c r="V47" s="17"/>
      <c r="W47" s="17"/>
      <c r="X47" s="17"/>
      <c r="Y47" s="17"/>
      <c r="Z47" s="17"/>
    </row>
    <row r="48" ht="15.75" customHeight="1">
      <c r="S48" s="17"/>
      <c r="T48" s="17"/>
      <c r="U48" s="17"/>
      <c r="V48" s="17"/>
      <c r="W48" s="17"/>
      <c r="X48" s="17"/>
      <c r="Y48" s="17"/>
      <c r="Z48" s="17"/>
    </row>
    <row r="49" ht="15.75" customHeight="1">
      <c r="A49" s="13" t="s">
        <v>35</v>
      </c>
      <c r="S49" s="17"/>
      <c r="T49" s="17"/>
      <c r="U49" s="17"/>
      <c r="V49" s="17"/>
      <c r="W49" s="17"/>
      <c r="X49" s="17"/>
      <c r="Y49" s="17"/>
      <c r="Z49" s="17"/>
    </row>
    <row r="50" ht="15.75" customHeight="1">
      <c r="A50" s="14" t="s">
        <v>36</v>
      </c>
      <c r="S50" s="17"/>
      <c r="T50" s="17"/>
      <c r="U50" s="17"/>
      <c r="V50" s="17"/>
      <c r="W50" s="17"/>
      <c r="X50" s="17"/>
      <c r="Y50" s="17"/>
      <c r="Z50" s="17"/>
    </row>
    <row r="51" ht="15.75" customHeight="1">
      <c r="A51" s="15" t="s">
        <v>37</v>
      </c>
      <c r="S51" s="17"/>
      <c r="T51" s="17"/>
      <c r="U51" s="17"/>
      <c r="V51" s="17"/>
      <c r="W51" s="17"/>
      <c r="X51" s="17"/>
      <c r="Y51" s="17"/>
      <c r="Z51" s="17"/>
    </row>
    <row r="52" ht="15.75" hidden="1" customHeight="1">
      <c r="A52" s="20" t="s">
        <v>38</v>
      </c>
      <c r="S52" s="17"/>
      <c r="T52" s="17"/>
      <c r="U52" s="17"/>
      <c r="V52" s="17"/>
      <c r="W52" s="17"/>
      <c r="X52" s="17"/>
      <c r="Y52" s="17"/>
      <c r="Z52" s="17"/>
    </row>
    <row r="53" ht="15.75" hidden="1" customHeight="1">
      <c r="A53" s="20" t="s">
        <v>39</v>
      </c>
      <c r="S53" s="17"/>
      <c r="T53" s="17"/>
      <c r="U53" s="17"/>
      <c r="V53" s="17"/>
      <c r="W53" s="17"/>
      <c r="X53" s="17"/>
      <c r="Y53" s="17"/>
      <c r="Z53" s="17"/>
    </row>
    <row r="54" ht="15.75" hidden="1" customHeight="1">
      <c r="A54" s="20" t="s">
        <v>40</v>
      </c>
      <c r="S54" s="17"/>
      <c r="T54" s="17"/>
      <c r="U54" s="17"/>
      <c r="V54" s="17"/>
      <c r="W54" s="17"/>
      <c r="X54" s="17"/>
      <c r="Y54" s="17"/>
      <c r="Z54" s="17"/>
    </row>
    <row r="55" ht="15.75" hidden="1" customHeight="1">
      <c r="A55" s="16" t="s">
        <v>41</v>
      </c>
      <c r="S55" s="17"/>
      <c r="T55" s="17"/>
      <c r="U55" s="17"/>
      <c r="V55" s="17"/>
      <c r="W55" s="17"/>
      <c r="X55" s="17"/>
      <c r="Y55" s="17"/>
      <c r="Z55" s="17"/>
    </row>
    <row r="56" ht="15.75" hidden="1" customHeight="1">
      <c r="A56" s="20" t="s">
        <v>42</v>
      </c>
      <c r="S56" s="17"/>
      <c r="T56" s="17"/>
      <c r="U56" s="17"/>
      <c r="V56" s="17"/>
      <c r="W56" s="17"/>
      <c r="X56" s="17"/>
      <c r="Y56" s="17"/>
      <c r="Z56" s="17"/>
    </row>
    <row r="57" ht="15.75" hidden="1" customHeight="1">
      <c r="A57" s="20" t="s">
        <v>43</v>
      </c>
      <c r="S57" s="17"/>
      <c r="T57" s="17"/>
      <c r="U57" s="17"/>
      <c r="V57" s="17"/>
      <c r="W57" s="17"/>
      <c r="X57" s="17"/>
      <c r="Y57" s="17"/>
      <c r="Z57" s="17"/>
    </row>
    <row r="58" ht="15.75" hidden="1" customHeight="1">
      <c r="A58" s="20" t="s">
        <v>44</v>
      </c>
      <c r="S58" s="17"/>
      <c r="T58" s="17"/>
      <c r="U58" s="17"/>
      <c r="V58" s="17"/>
      <c r="W58" s="17"/>
      <c r="X58" s="17"/>
      <c r="Y58" s="17"/>
      <c r="Z58" s="17"/>
    </row>
    <row r="59" ht="15.75" hidden="1" customHeight="1">
      <c r="A59" s="16" t="s">
        <v>45</v>
      </c>
      <c r="S59" s="17"/>
      <c r="T59" s="17"/>
      <c r="U59" s="17"/>
      <c r="V59" s="17"/>
      <c r="W59" s="17"/>
      <c r="X59" s="17"/>
      <c r="Y59" s="17"/>
      <c r="Z59" s="17"/>
    </row>
    <row r="60" ht="47.25" hidden="1" customHeight="1">
      <c r="A60" s="16" t="s">
        <v>46</v>
      </c>
      <c r="S60" s="17"/>
      <c r="T60" s="17"/>
      <c r="U60" s="17"/>
      <c r="V60" s="17"/>
      <c r="W60" s="17"/>
      <c r="X60" s="17"/>
      <c r="Y60" s="17"/>
      <c r="Z60" s="17"/>
    </row>
    <row r="61" ht="15.0" hidden="1" customHeight="1">
      <c r="A61" s="16" t="s">
        <v>47</v>
      </c>
      <c r="S61" s="17"/>
      <c r="T61" s="17"/>
      <c r="U61" s="17"/>
      <c r="V61" s="17"/>
      <c r="W61" s="17"/>
      <c r="X61" s="17"/>
      <c r="Y61" s="17"/>
      <c r="Z61" s="17"/>
    </row>
    <row r="62" ht="29.25" hidden="1" customHeight="1">
      <c r="A62" s="16" t="s">
        <v>48</v>
      </c>
      <c r="S62" s="17"/>
      <c r="T62" s="17"/>
      <c r="U62" s="17"/>
      <c r="V62" s="17"/>
      <c r="W62" s="17"/>
      <c r="X62" s="17"/>
      <c r="Y62" s="17"/>
      <c r="Z62" s="17"/>
    </row>
    <row r="63" ht="15.75" customHeight="1">
      <c r="S63" s="17"/>
      <c r="T63" s="17"/>
      <c r="U63" s="17"/>
      <c r="V63" s="17"/>
      <c r="W63" s="17"/>
      <c r="X63" s="17"/>
      <c r="Y63" s="17"/>
      <c r="Z63" s="17"/>
    </row>
    <row r="64" ht="15.75" customHeight="1">
      <c r="A64" s="13" t="s">
        <v>49</v>
      </c>
      <c r="S64" s="17"/>
      <c r="T64" s="17"/>
      <c r="U64" s="17"/>
      <c r="V64" s="17"/>
      <c r="W64" s="17"/>
      <c r="X64" s="17"/>
      <c r="Y64" s="17"/>
      <c r="Z64" s="17"/>
    </row>
    <row r="65" ht="15.75" customHeight="1">
      <c r="A65" s="14" t="s">
        <v>50</v>
      </c>
      <c r="S65" s="17"/>
      <c r="T65" s="17"/>
      <c r="U65" s="17"/>
      <c r="V65" s="17"/>
      <c r="W65" s="17"/>
      <c r="X65" s="17"/>
      <c r="Y65" s="17"/>
      <c r="Z65" s="17"/>
    </row>
    <row r="66" ht="15.75" customHeight="1">
      <c r="S66" s="17"/>
      <c r="T66" s="17"/>
      <c r="U66" s="17"/>
      <c r="V66" s="17"/>
      <c r="W66" s="17"/>
      <c r="X66" s="17"/>
      <c r="Y66" s="17"/>
      <c r="Z66" s="17"/>
    </row>
    <row r="67" ht="15.75" customHeight="1">
      <c r="A67" s="13" t="s">
        <v>51</v>
      </c>
      <c r="S67" s="17"/>
      <c r="T67" s="17"/>
      <c r="U67" s="17"/>
      <c r="V67" s="17"/>
      <c r="W67" s="17"/>
      <c r="X67" s="17"/>
      <c r="Y67" s="17"/>
      <c r="Z67" s="17"/>
    </row>
    <row r="68" ht="15.75" customHeight="1">
      <c r="A68" s="14" t="s">
        <v>52</v>
      </c>
      <c r="S68" s="17"/>
      <c r="T68" s="17"/>
      <c r="U68" s="17"/>
      <c r="V68" s="17"/>
      <c r="W68" s="17"/>
      <c r="X68" s="17"/>
      <c r="Y68" s="17"/>
      <c r="Z68" s="17"/>
    </row>
    <row r="69" ht="15.75" customHeight="1">
      <c r="A69" s="14" t="s">
        <v>53</v>
      </c>
      <c r="S69" s="17"/>
      <c r="T69" s="17"/>
      <c r="U69" s="17"/>
      <c r="V69" s="17"/>
      <c r="W69" s="17"/>
      <c r="X69" s="17"/>
      <c r="Y69" s="17"/>
      <c r="Z69" s="17"/>
    </row>
    <row r="70" ht="30.75" hidden="1" customHeight="1">
      <c r="A70" s="12" t="s">
        <v>54</v>
      </c>
      <c r="S70" s="17"/>
      <c r="T70" s="17"/>
      <c r="U70" s="17"/>
      <c r="V70" s="17"/>
      <c r="W70" s="17"/>
      <c r="X70" s="17"/>
      <c r="Y70" s="17"/>
      <c r="Z70" s="17"/>
    </row>
    <row r="71" ht="15.75" hidden="1" customHeight="1">
      <c r="A71" s="12" t="s">
        <v>55</v>
      </c>
      <c r="S71" s="17"/>
      <c r="T71" s="17"/>
      <c r="U71" s="17"/>
      <c r="V71" s="17"/>
      <c r="W71" s="17"/>
      <c r="X71" s="17"/>
      <c r="Y71" s="17"/>
      <c r="Z71" s="17"/>
    </row>
    <row r="72" ht="15.75" customHeight="1">
      <c r="A72" s="12" t="s">
        <v>56</v>
      </c>
      <c r="S72" s="17"/>
      <c r="T72" s="17"/>
      <c r="U72" s="17"/>
      <c r="V72" s="17"/>
      <c r="W72" s="17"/>
      <c r="X72" s="17"/>
      <c r="Y72" s="17"/>
      <c r="Z72" s="17"/>
    </row>
    <row r="73" ht="15.75" customHeight="1">
      <c r="S73" s="17"/>
      <c r="T73" s="17"/>
      <c r="U73" s="17"/>
      <c r="V73" s="17"/>
      <c r="W73" s="17"/>
      <c r="X73" s="17"/>
      <c r="Y73" s="17"/>
      <c r="Z73" s="17"/>
    </row>
    <row r="74" ht="15.75" customHeight="1">
      <c r="A74" s="13" t="s">
        <v>57</v>
      </c>
      <c r="S74" s="17"/>
      <c r="T74" s="17"/>
      <c r="U74" s="17"/>
      <c r="V74" s="17"/>
      <c r="W74" s="17"/>
      <c r="X74" s="17"/>
      <c r="Y74" s="17"/>
      <c r="Z74" s="17"/>
    </row>
    <row r="75" ht="15.75" customHeight="1">
      <c r="A75" s="14" t="s">
        <v>58</v>
      </c>
      <c r="S75" s="17"/>
      <c r="T75" s="17"/>
      <c r="U75" s="17"/>
      <c r="V75" s="17"/>
      <c r="W75" s="17"/>
      <c r="X75" s="17"/>
      <c r="Y75" s="17"/>
      <c r="Z75" s="17"/>
    </row>
    <row r="76" ht="15.75" customHeight="1">
      <c r="A76" s="12"/>
      <c r="S76" s="17"/>
      <c r="T76" s="17"/>
      <c r="U76" s="17"/>
      <c r="V76" s="17"/>
      <c r="W76" s="17"/>
      <c r="X76" s="17"/>
      <c r="Y76" s="17"/>
      <c r="Z76" s="17"/>
    </row>
    <row r="77" ht="15.75" customHeight="1">
      <c r="A77" s="13" t="s">
        <v>59</v>
      </c>
      <c r="S77" s="17"/>
      <c r="T77" s="17"/>
      <c r="U77" s="17"/>
      <c r="V77" s="17"/>
      <c r="W77" s="17"/>
      <c r="X77" s="17"/>
      <c r="Y77" s="17"/>
      <c r="Z77" s="17"/>
    </row>
    <row r="78" ht="15.75" customHeight="1">
      <c r="A78" s="14" t="s">
        <v>60</v>
      </c>
      <c r="S78" s="17"/>
      <c r="T78" s="17"/>
      <c r="U78" s="17"/>
      <c r="V78" s="17"/>
      <c r="W78" s="17"/>
      <c r="X78" s="17"/>
      <c r="Y78" s="17"/>
      <c r="Z78" s="17"/>
    </row>
    <row r="79" ht="15.75" customHeight="1">
      <c r="A79" s="14"/>
    </row>
    <row r="80" ht="15.75" customHeight="1">
      <c r="A80" s="13" t="s">
        <v>61</v>
      </c>
    </row>
    <row r="81" ht="15.75" customHeight="1">
      <c r="A81" s="14" t="s">
        <v>62</v>
      </c>
    </row>
    <row r="82" ht="15.75" customHeight="1">
      <c r="A82" s="14" t="s">
        <v>63</v>
      </c>
    </row>
    <row r="83" ht="15.75" customHeight="1">
      <c r="A83" s="14"/>
    </row>
    <row r="84" ht="15.75" customHeight="1">
      <c r="A84" s="13" t="s">
        <v>64</v>
      </c>
    </row>
    <row r="85" ht="15.75" customHeight="1">
      <c r="A85" s="14" t="s">
        <v>65</v>
      </c>
    </row>
    <row r="86" ht="15.75" customHeight="1">
      <c r="A86" s="14"/>
    </row>
    <row r="87" ht="15.75" customHeight="1">
      <c r="A87" s="21" t="s">
        <v>66</v>
      </c>
    </row>
    <row r="88" ht="15.75" customHeight="1">
      <c r="A88" s="14" t="s">
        <v>67</v>
      </c>
    </row>
    <row r="89" ht="15.75" customHeight="1"/>
    <row r="90" ht="15.75" customHeight="1">
      <c r="A90" s="21" t="s">
        <v>68</v>
      </c>
    </row>
    <row r="91" ht="15.75" customHeight="1">
      <c r="A91" s="14" t="s">
        <v>67</v>
      </c>
    </row>
    <row r="92" ht="15.75" customHeight="1">
      <c r="A92" s="14"/>
    </row>
    <row r="93" ht="15.75" customHeight="1">
      <c r="A93" s="21" t="s">
        <v>69</v>
      </c>
    </row>
    <row r="94" ht="15.75" customHeight="1">
      <c r="A94" s="14" t="s">
        <v>70</v>
      </c>
    </row>
    <row r="95" ht="15.75" customHeight="1">
      <c r="A95" s="14" t="s">
        <v>71</v>
      </c>
    </row>
    <row r="96" ht="15.75" customHeight="1"/>
    <row r="97" ht="15.75" customHeight="1">
      <c r="A97" s="21" t="s">
        <v>72</v>
      </c>
    </row>
    <row r="98" ht="15.75" customHeight="1">
      <c r="A98" s="14" t="s">
        <v>73</v>
      </c>
    </row>
    <row r="99" ht="15.75" customHeight="1">
      <c r="A99" s="14" t="s">
        <v>74</v>
      </c>
    </row>
    <row r="100" ht="15.75" customHeight="1">
      <c r="A100" s="14"/>
    </row>
    <row r="101" ht="15.75" customHeight="1">
      <c r="A101" s="21" t="s">
        <v>75</v>
      </c>
    </row>
    <row r="102" ht="15.75" customHeight="1">
      <c r="A102" s="14" t="s">
        <v>67</v>
      </c>
    </row>
    <row r="103" ht="15.75" customHeight="1">
      <c r="A103" s="14"/>
    </row>
    <row r="104" ht="15.75" customHeight="1">
      <c r="A104" s="22"/>
    </row>
    <row r="105" ht="15.75" customHeight="1">
      <c r="A105" s="23" t="s">
        <v>76</v>
      </c>
    </row>
    <row r="106" ht="15.75" customHeight="1">
      <c r="A106" s="24" t="s">
        <v>77</v>
      </c>
    </row>
    <row r="107" ht="15.75" customHeight="1">
      <c r="A107" s="24" t="s">
        <v>78</v>
      </c>
    </row>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5" footer="0.0" header="0.0" left="0.35" right="0.25" top="0.32"/>
  <pageSetup orientation="portrait"/>
  <headerFooter>
    <oddFooter>&amp;L&amp;D  at &amp;T Mike 702.854.0691&amp;CPage &amp;P of &amp;R&amp;F  &amp;A</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outlineLevelRow="1"/>
  <cols>
    <col customWidth="1" min="1" max="1" width="8.29"/>
    <col customWidth="1" min="2" max="2" width="43.71"/>
    <col customWidth="1" min="3" max="3" width="20.29"/>
    <col customWidth="1" min="4" max="5" width="13.29"/>
    <col customWidth="1" min="6" max="6" width="10.0"/>
    <col customWidth="1" min="7" max="13" width="18.0"/>
    <col customWidth="1" min="14" max="14" width="2.43"/>
    <col customWidth="1" min="15" max="15" width="70.43"/>
    <col customWidth="1" min="16" max="16" width="12.43"/>
    <col customWidth="1" min="17" max="30" width="3.43"/>
    <col customWidth="1" min="31" max="31" width="3.14"/>
  </cols>
  <sheetData>
    <row r="1" ht="13.5" customHeight="1">
      <c r="A1" s="438" t="s">
        <v>644</v>
      </c>
      <c r="B1" s="218"/>
      <c r="C1" s="30"/>
      <c r="D1" s="219" t="s">
        <v>3</v>
      </c>
      <c r="E1" s="30"/>
      <c r="F1" s="30"/>
      <c r="G1" s="30"/>
      <c r="H1" s="30"/>
      <c r="I1" s="30"/>
      <c r="J1" s="30"/>
      <c r="K1" s="30"/>
      <c r="L1" s="30"/>
      <c r="M1" s="30"/>
      <c r="N1" s="30"/>
      <c r="O1" s="30"/>
      <c r="P1" s="30"/>
      <c r="Q1" s="95"/>
      <c r="R1" s="30"/>
      <c r="S1" s="30"/>
      <c r="T1" s="30"/>
      <c r="U1" s="30"/>
      <c r="V1" s="30"/>
      <c r="W1" s="30"/>
      <c r="X1" s="30"/>
      <c r="Y1" s="30"/>
      <c r="Z1" s="30"/>
      <c r="AA1" s="30"/>
      <c r="AB1" s="30"/>
      <c r="AC1" s="30"/>
      <c r="AD1" s="30"/>
      <c r="AE1" s="30"/>
    </row>
    <row r="2" ht="13.5" customHeight="1">
      <c r="A2" s="96" t="str">
        <f>SchoolName</f>
        <v>Explore Knowledge Academy</v>
      </c>
      <c r="B2" s="97"/>
      <c r="C2" s="30"/>
      <c r="D2" s="813" t="s">
        <v>645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row>
    <row r="3" ht="13.5" customHeight="1">
      <c r="A3" s="95" t="s">
        <v>134</v>
      </c>
      <c r="B3" s="30"/>
      <c r="C3" s="30"/>
      <c r="D3" s="30"/>
      <c r="E3" s="30"/>
      <c r="F3" s="30"/>
      <c r="G3" s="30"/>
      <c r="H3" s="30"/>
      <c r="I3" s="30"/>
      <c r="J3" s="30"/>
      <c r="K3" s="30"/>
      <c r="L3" s="63"/>
      <c r="M3" s="30"/>
      <c r="N3" s="30"/>
      <c r="O3" s="30"/>
      <c r="P3" s="30"/>
      <c r="Q3" s="30"/>
      <c r="R3" s="30"/>
      <c r="S3" s="30"/>
      <c r="T3" s="30"/>
      <c r="U3" s="30"/>
      <c r="V3" s="30"/>
      <c r="W3" s="30"/>
      <c r="X3" s="30"/>
      <c r="Y3" s="30"/>
      <c r="Z3" s="30"/>
      <c r="AA3" s="30"/>
      <c r="AB3" s="30"/>
      <c r="AC3" s="30"/>
      <c r="AD3" s="30"/>
      <c r="AE3" s="30"/>
    </row>
    <row r="4" ht="13.5" customHeight="1">
      <c r="A4" s="222" t="s">
        <v>135</v>
      </c>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row>
    <row r="6" ht="13.5" customHeight="1">
      <c r="A6" s="814"/>
      <c r="B6" s="30"/>
      <c r="C6" s="30"/>
      <c r="D6" s="543" t="s">
        <v>448</v>
      </c>
      <c r="E6" s="543"/>
      <c r="F6" s="543"/>
      <c r="G6" s="211"/>
      <c r="H6" s="815"/>
      <c r="I6" s="211"/>
      <c r="J6" s="211"/>
      <c r="K6" s="543"/>
      <c r="L6" s="211"/>
      <c r="M6" s="211"/>
      <c r="N6" s="30"/>
      <c r="O6" s="30"/>
      <c r="P6" s="30"/>
      <c r="Q6" s="30"/>
      <c r="R6" s="30"/>
      <c r="S6" s="30"/>
      <c r="T6" s="30"/>
      <c r="U6" s="30"/>
      <c r="V6" s="30"/>
      <c r="W6" s="30"/>
      <c r="X6" s="30"/>
      <c r="Y6" s="30"/>
      <c r="Z6" s="30"/>
      <c r="AA6" s="30"/>
      <c r="AB6" s="30"/>
      <c r="AC6" s="30"/>
      <c r="AD6" s="30"/>
      <c r="AE6" s="30"/>
    </row>
    <row r="7" ht="13.5" customHeight="1">
      <c r="A7" s="814"/>
      <c r="B7" s="30"/>
      <c r="C7" s="30"/>
      <c r="D7" s="99" t="s">
        <v>449</v>
      </c>
      <c r="E7" s="99"/>
      <c r="F7" s="99"/>
      <c r="G7" s="816">
        <f t="shared" ref="G7:K7" si="1">+G8</f>
        <v>0</v>
      </c>
      <c r="H7" s="817">
        <f t="shared" si="1"/>
        <v>1</v>
      </c>
      <c r="I7" s="817">
        <f t="shared" si="1"/>
        <v>2</v>
      </c>
      <c r="J7" s="817">
        <f t="shared" si="1"/>
        <v>3</v>
      </c>
      <c r="K7" s="817">
        <f t="shared" si="1"/>
        <v>4</v>
      </c>
      <c r="L7" s="211"/>
      <c r="M7" s="211"/>
      <c r="N7" s="30"/>
      <c r="O7" s="30"/>
      <c r="P7" s="30"/>
      <c r="Q7" s="30"/>
      <c r="R7" s="30"/>
      <c r="S7" s="30"/>
      <c r="T7" s="30"/>
      <c r="U7" s="30"/>
      <c r="V7" s="30"/>
      <c r="W7" s="30"/>
      <c r="X7" s="30"/>
      <c r="Y7" s="30"/>
      <c r="Z7" s="30"/>
      <c r="AA7" s="30"/>
      <c r="AB7" s="30"/>
      <c r="AC7" s="30"/>
      <c r="AD7" s="30"/>
      <c r="AE7" s="30"/>
    </row>
    <row r="8" ht="13.5" customHeight="1">
      <c r="A8" s="814"/>
      <c r="B8" s="30"/>
      <c r="C8" s="30"/>
      <c r="D8" s="30"/>
      <c r="E8" s="30"/>
      <c r="F8" s="30"/>
      <c r="G8" s="545">
        <f>' Enrol &amp; Rev'!F9</f>
        <v>0</v>
      </c>
      <c r="H8" s="101">
        <f>' Enrol &amp; Rev'!G9</f>
        <v>1</v>
      </c>
      <c r="I8" s="101">
        <f>' Enrol &amp; Rev'!H9</f>
        <v>2</v>
      </c>
      <c r="J8" s="101">
        <f>' Enrol &amp; Rev'!I9</f>
        <v>3</v>
      </c>
      <c r="K8" s="101">
        <f>' Enrol &amp; Rev'!J9</f>
        <v>4</v>
      </c>
      <c r="L8" s="101">
        <f>' Enrol &amp; Rev'!K9</f>
        <v>5</v>
      </c>
      <c r="M8" s="102">
        <f>' Enrol &amp; Rev'!L9</f>
        <v>6</v>
      </c>
      <c r="N8" s="30"/>
      <c r="O8" s="30"/>
      <c r="P8" s="30"/>
      <c r="Q8" s="220"/>
      <c r="R8" s="220"/>
      <c r="S8" s="220"/>
      <c r="T8" s="220"/>
      <c r="U8" s="220"/>
      <c r="V8" s="220"/>
      <c r="W8" s="220"/>
      <c r="X8" s="220"/>
      <c r="Y8" s="220"/>
      <c r="Z8" s="220"/>
      <c r="AA8" s="220"/>
      <c r="AB8" s="220"/>
      <c r="AC8" s="220"/>
      <c r="AD8" s="220"/>
      <c r="AE8" s="220"/>
    </row>
    <row r="9" ht="13.5" customHeight="1">
      <c r="A9" s="814"/>
      <c r="B9" s="30"/>
      <c r="C9" s="30"/>
      <c r="D9" s="30"/>
      <c r="E9" s="30"/>
      <c r="F9" s="30"/>
      <c r="G9" s="359">
        <f>' Enrol &amp; Rev'!F10</f>
        <v>2024</v>
      </c>
      <c r="H9" s="105">
        <f>' Enrol &amp; Rev'!G10</f>
        <v>2025</v>
      </c>
      <c r="I9" s="105">
        <f>' Enrol &amp; Rev'!H10</f>
        <v>2026</v>
      </c>
      <c r="J9" s="105">
        <f>' Enrol &amp; Rev'!I10</f>
        <v>2027</v>
      </c>
      <c r="K9" s="105">
        <f>' Enrol &amp; Rev'!J10</f>
        <v>2028</v>
      </c>
      <c r="L9" s="105">
        <f>' Enrol &amp; Rev'!K10</f>
        <v>2029</v>
      </c>
      <c r="M9" s="106">
        <f>' Enrol &amp; Rev'!L10</f>
        <v>2030</v>
      </c>
      <c r="N9" s="30"/>
      <c r="O9" s="30"/>
      <c r="P9" s="30"/>
      <c r="Q9" s="220"/>
      <c r="R9" s="220"/>
      <c r="S9" s="220"/>
      <c r="T9" s="220"/>
      <c r="U9" s="220"/>
      <c r="V9" s="220"/>
      <c r="W9" s="220"/>
      <c r="X9" s="220"/>
      <c r="Y9" s="220"/>
      <c r="Z9" s="220"/>
      <c r="AA9" s="220"/>
      <c r="AB9" s="220"/>
      <c r="AC9" s="220"/>
      <c r="AD9" s="220"/>
      <c r="AE9" s="220"/>
    </row>
    <row r="10" ht="13.5" customHeight="1">
      <c r="A10" s="814"/>
      <c r="B10" s="30"/>
      <c r="C10" s="30"/>
      <c r="D10" s="30"/>
      <c r="E10" s="30"/>
      <c r="F10" s="30"/>
      <c r="G10" s="361">
        <f>' Enrol &amp; Rev'!F11</f>
        <v>2025</v>
      </c>
      <c r="H10" s="108">
        <f>' Enrol &amp; Rev'!G11</f>
        <v>2026</v>
      </c>
      <c r="I10" s="108">
        <f>' Enrol &amp; Rev'!H11</f>
        <v>2027</v>
      </c>
      <c r="J10" s="108">
        <f>' Enrol &amp; Rev'!I11</f>
        <v>2028</v>
      </c>
      <c r="K10" s="108">
        <f>' Enrol &amp; Rev'!J11</f>
        <v>2029</v>
      </c>
      <c r="L10" s="108">
        <f>' Enrol &amp; Rev'!K11</f>
        <v>2030</v>
      </c>
      <c r="M10" s="109">
        <f>' Enrol &amp; Rev'!L11</f>
        <v>2031</v>
      </c>
      <c r="N10" s="30"/>
      <c r="O10" s="30"/>
      <c r="P10" s="30"/>
      <c r="Q10" s="220"/>
      <c r="R10" s="220"/>
      <c r="S10" s="220"/>
      <c r="T10" s="220"/>
      <c r="U10" s="220"/>
      <c r="V10" s="220"/>
      <c r="W10" s="220"/>
      <c r="X10" s="220"/>
      <c r="Y10" s="220"/>
      <c r="Z10" s="220"/>
      <c r="AA10" s="220"/>
      <c r="AB10" s="220"/>
      <c r="AC10" s="220"/>
      <c r="AD10" s="220"/>
      <c r="AE10" s="220"/>
    </row>
    <row r="11" ht="13.5" customHeight="1">
      <c r="A11" s="814"/>
      <c r="B11" s="818" t="s">
        <v>646</v>
      </c>
      <c r="C11" s="30"/>
      <c r="D11" s="30"/>
      <c r="E11" s="30"/>
      <c r="F11" s="30"/>
      <c r="G11" s="211"/>
      <c r="H11" s="211"/>
      <c r="I11" s="211"/>
      <c r="J11" s="211"/>
      <c r="K11" s="211"/>
      <c r="L11" s="211"/>
      <c r="M11" s="211"/>
      <c r="N11" s="30"/>
      <c r="O11" s="30"/>
      <c r="P11" s="30"/>
      <c r="Q11" s="220"/>
      <c r="R11" s="220"/>
      <c r="S11" s="220"/>
      <c r="T11" s="220"/>
      <c r="U11" s="220"/>
      <c r="V11" s="220"/>
      <c r="W11" s="220"/>
      <c r="X11" s="220"/>
      <c r="Y11" s="220"/>
      <c r="Z11" s="220"/>
      <c r="AA11" s="220"/>
      <c r="AB11" s="220"/>
      <c r="AC11" s="220"/>
      <c r="AD11" s="220"/>
      <c r="AE11" s="220"/>
    </row>
    <row r="12" ht="13.5" customHeight="1">
      <c r="A12" s="814"/>
      <c r="B12" s="30"/>
      <c r="C12" s="30"/>
      <c r="D12" s="819"/>
      <c r="E12" s="819"/>
      <c r="F12" s="819"/>
      <c r="G12" s="211"/>
      <c r="H12" s="211"/>
      <c r="I12" s="211"/>
      <c r="J12" s="211"/>
      <c r="K12" s="211"/>
      <c r="L12" s="211"/>
      <c r="M12" s="211"/>
      <c r="N12" s="679"/>
      <c r="O12" s="460"/>
      <c r="P12" s="30"/>
      <c r="Q12" s="220"/>
      <c r="R12" s="220"/>
      <c r="S12" s="220"/>
      <c r="T12" s="220"/>
      <c r="U12" s="220"/>
      <c r="V12" s="220"/>
      <c r="W12" s="220"/>
      <c r="X12" s="220"/>
      <c r="Y12" s="220"/>
      <c r="Z12" s="220"/>
      <c r="AA12" s="220"/>
      <c r="AB12" s="220"/>
      <c r="AC12" s="220"/>
      <c r="AD12" s="220"/>
      <c r="AE12" s="220"/>
    </row>
    <row r="13" ht="13.5" customHeight="1">
      <c r="A13" s="814"/>
      <c r="B13" s="63" t="s">
        <v>647</v>
      </c>
      <c r="C13" s="63"/>
      <c r="D13" s="63"/>
      <c r="E13" s="63"/>
      <c r="F13" s="63"/>
      <c r="G13" s="543"/>
      <c r="H13" s="820"/>
      <c r="I13" s="820"/>
      <c r="J13" s="820"/>
      <c r="K13" s="820"/>
      <c r="L13" s="820"/>
      <c r="M13" s="820"/>
      <c r="N13" s="679"/>
      <c r="O13" s="460"/>
      <c r="P13" s="30"/>
      <c r="Q13" s="220"/>
      <c r="R13" s="220"/>
      <c r="S13" s="220"/>
      <c r="T13" s="220"/>
      <c r="U13" s="220"/>
      <c r="V13" s="220"/>
      <c r="W13" s="220"/>
      <c r="X13" s="220"/>
      <c r="Y13" s="220"/>
      <c r="Z13" s="220"/>
      <c r="AA13" s="220"/>
      <c r="AB13" s="220"/>
      <c r="AC13" s="220"/>
      <c r="AD13" s="220"/>
      <c r="AE13" s="220"/>
    </row>
    <row r="14" ht="13.5" customHeight="1">
      <c r="A14" s="814">
        <f t="shared" ref="A14:A106" si="2">ROW()</f>
        <v>14</v>
      </c>
      <c r="B14" s="821" t="s">
        <v>648</v>
      </c>
      <c r="C14" s="822"/>
      <c r="D14" s="822"/>
      <c r="E14" s="822"/>
      <c r="F14" s="822"/>
      <c r="G14" s="823"/>
      <c r="H14" s="823"/>
      <c r="I14" s="823"/>
      <c r="J14" s="823"/>
      <c r="K14" s="823"/>
      <c r="L14" s="823"/>
      <c r="M14" s="823"/>
      <c r="N14" s="679"/>
      <c r="O14" s="36" t="s">
        <v>85</v>
      </c>
      <c r="P14" s="30"/>
      <c r="Q14" s="220"/>
      <c r="R14" s="220"/>
      <c r="S14" s="220"/>
      <c r="T14" s="220"/>
      <c r="U14" s="220"/>
      <c r="V14" s="220"/>
      <c r="W14" s="220"/>
      <c r="X14" s="220"/>
      <c r="Y14" s="220"/>
      <c r="Z14" s="220"/>
      <c r="AA14" s="220"/>
      <c r="AB14" s="220"/>
      <c r="AC14" s="220"/>
      <c r="AD14" s="220"/>
      <c r="AE14" s="220"/>
    </row>
    <row r="15" ht="13.5" customHeight="1">
      <c r="A15" s="814">
        <f t="shared" si="2"/>
        <v>15</v>
      </c>
      <c r="B15" s="30"/>
      <c r="C15" s="30"/>
      <c r="D15" s="30"/>
      <c r="E15" s="30"/>
      <c r="F15" s="30"/>
      <c r="G15" s="30"/>
      <c r="H15" s="30"/>
      <c r="I15" s="30"/>
      <c r="J15" s="30"/>
      <c r="K15" s="30"/>
      <c r="L15" s="30"/>
      <c r="M15" s="30"/>
      <c r="N15" s="679"/>
      <c r="O15" s="116"/>
      <c r="P15" s="30"/>
      <c r="Q15" s="220"/>
      <c r="R15" s="220"/>
      <c r="S15" s="220"/>
      <c r="T15" s="220"/>
      <c r="U15" s="220"/>
      <c r="V15" s="220"/>
      <c r="W15" s="220"/>
      <c r="X15" s="220"/>
      <c r="Y15" s="220"/>
      <c r="Z15" s="220"/>
      <c r="AA15" s="220"/>
      <c r="AB15" s="220"/>
      <c r="AC15" s="220"/>
      <c r="AD15" s="220"/>
      <c r="AE15" s="220"/>
    </row>
    <row r="16" ht="13.5" customHeight="1">
      <c r="A16" s="814">
        <f t="shared" si="2"/>
        <v>16</v>
      </c>
      <c r="B16" s="67" t="s">
        <v>649</v>
      </c>
      <c r="C16" s="30"/>
      <c r="D16" s="824" t="s">
        <v>650</v>
      </c>
      <c r="E16" s="34"/>
      <c r="F16" s="34"/>
      <c r="G16" s="825">
        <f t="shared" ref="G16:M16" si="3">+G10</f>
        <v>2025</v>
      </c>
      <c r="H16" s="825">
        <f t="shared" si="3"/>
        <v>2026</v>
      </c>
      <c r="I16" s="825">
        <f t="shared" si="3"/>
        <v>2027</v>
      </c>
      <c r="J16" s="825">
        <f t="shared" si="3"/>
        <v>2028</v>
      </c>
      <c r="K16" s="825">
        <f t="shared" si="3"/>
        <v>2029</v>
      </c>
      <c r="L16" s="825">
        <f t="shared" si="3"/>
        <v>2030</v>
      </c>
      <c r="M16" s="825">
        <f t="shared" si="3"/>
        <v>2031</v>
      </c>
      <c r="N16" s="679"/>
      <c r="O16" s="116"/>
      <c r="P16" s="30"/>
      <c r="Q16" s="220"/>
      <c r="R16" s="220"/>
      <c r="S16" s="220"/>
      <c r="T16" s="220"/>
      <c r="U16" s="220"/>
      <c r="V16" s="220"/>
      <c r="W16" s="220"/>
      <c r="X16" s="220"/>
      <c r="Y16" s="220"/>
      <c r="Z16" s="220"/>
      <c r="AA16" s="220"/>
      <c r="AB16" s="220"/>
      <c r="AC16" s="220"/>
      <c r="AD16" s="220"/>
      <c r="AE16" s="220"/>
    </row>
    <row r="17" ht="13.5" customHeight="1">
      <c r="A17" s="814">
        <f t="shared" si="2"/>
        <v>17</v>
      </c>
      <c r="B17" s="67" t="s">
        <v>651</v>
      </c>
      <c r="C17" s="30"/>
      <c r="D17" s="60" t="s">
        <v>652</v>
      </c>
      <c r="E17" s="60"/>
      <c r="F17" s="60"/>
      <c r="G17" s="826">
        <f>$G$86</f>
        <v>3</v>
      </c>
      <c r="H17" s="826">
        <f>$H$86</f>
        <v>3</v>
      </c>
      <c r="I17" s="826">
        <f>$I$86</f>
        <v>3</v>
      </c>
      <c r="J17" s="826">
        <f>$J$86</f>
        <v>3</v>
      </c>
      <c r="K17" s="826">
        <f>$K$86</f>
        <v>3</v>
      </c>
      <c r="L17" s="826">
        <f>$L$86</f>
        <v>3</v>
      </c>
      <c r="M17" s="826">
        <f>$M$86</f>
        <v>3</v>
      </c>
      <c r="N17" s="679"/>
      <c r="O17" s="116"/>
      <c r="P17" s="30"/>
      <c r="Q17" s="220"/>
      <c r="R17" s="220"/>
      <c r="S17" s="220"/>
      <c r="T17" s="220"/>
      <c r="U17" s="220"/>
      <c r="V17" s="220"/>
      <c r="W17" s="220"/>
      <c r="X17" s="220"/>
      <c r="Y17" s="220"/>
      <c r="Z17" s="220"/>
      <c r="AA17" s="220"/>
      <c r="AB17" s="220"/>
      <c r="AC17" s="220"/>
      <c r="AD17" s="220"/>
      <c r="AE17" s="220"/>
    </row>
    <row r="18" ht="13.5" customHeight="1">
      <c r="A18" s="814">
        <f t="shared" si="2"/>
        <v>18</v>
      </c>
      <c r="B18" s="30"/>
      <c r="C18" s="30"/>
      <c r="D18" s="60" t="s">
        <v>653</v>
      </c>
      <c r="E18" s="60"/>
      <c r="F18" s="60"/>
      <c r="G18" s="826">
        <f>$G$94-$G$86</f>
        <v>4</v>
      </c>
      <c r="H18" s="826">
        <f>$H$94-$H$86</f>
        <v>4</v>
      </c>
      <c r="I18" s="826">
        <f>$I$94-$I$86</f>
        <v>4</v>
      </c>
      <c r="J18" s="826">
        <f>$J$94-$J$86</f>
        <v>4</v>
      </c>
      <c r="K18" s="826">
        <f>$K$94-$K$86</f>
        <v>4</v>
      </c>
      <c r="L18" s="826">
        <f>$L$94-$L$86</f>
        <v>4</v>
      </c>
      <c r="M18" s="826">
        <f>$M$94-$M$86</f>
        <v>4</v>
      </c>
      <c r="N18" s="679"/>
      <c r="O18" s="119"/>
      <c r="P18" s="30"/>
      <c r="Q18" s="220"/>
      <c r="R18" s="220"/>
      <c r="S18" s="220"/>
      <c r="T18" s="220"/>
      <c r="U18" s="220"/>
      <c r="V18" s="220"/>
      <c r="W18" s="220"/>
      <c r="X18" s="220"/>
      <c r="Y18" s="220"/>
      <c r="Z18" s="220"/>
      <c r="AA18" s="220"/>
      <c r="AB18" s="220"/>
      <c r="AC18" s="220"/>
      <c r="AD18" s="220"/>
      <c r="AE18" s="220"/>
    </row>
    <row r="19" ht="13.5" customHeight="1">
      <c r="A19" s="814">
        <f t="shared" si="2"/>
        <v>19</v>
      </c>
      <c r="B19" s="30"/>
      <c r="C19" s="30"/>
      <c r="D19" s="60" t="s">
        <v>654</v>
      </c>
      <c r="E19" s="60"/>
      <c r="F19" s="60"/>
      <c r="G19" s="826">
        <f>$G$106</f>
        <v>2</v>
      </c>
      <c r="H19" s="826">
        <f>$H$106</f>
        <v>2</v>
      </c>
      <c r="I19" s="826">
        <f>$I$106</f>
        <v>2</v>
      </c>
      <c r="J19" s="826">
        <f>$J$106</f>
        <v>2</v>
      </c>
      <c r="K19" s="826">
        <f>$K$106</f>
        <v>2</v>
      </c>
      <c r="L19" s="826">
        <f>$L$106</f>
        <v>2</v>
      </c>
      <c r="M19" s="826">
        <f>$M$106</f>
        <v>2</v>
      </c>
      <c r="N19" s="679"/>
      <c r="O19" s="119"/>
      <c r="P19" s="30"/>
      <c r="Q19" s="220"/>
      <c r="R19" s="220"/>
      <c r="S19" s="220"/>
      <c r="T19" s="220"/>
      <c r="U19" s="220"/>
      <c r="V19" s="220"/>
      <c r="W19" s="220"/>
      <c r="X19" s="220"/>
      <c r="Y19" s="220"/>
      <c r="Z19" s="220"/>
      <c r="AA19" s="220"/>
      <c r="AB19" s="220"/>
      <c r="AC19" s="220"/>
      <c r="AD19" s="220"/>
      <c r="AE19" s="220"/>
    </row>
    <row r="20" ht="13.5" customHeight="1">
      <c r="A20" s="814">
        <f t="shared" si="2"/>
        <v>20</v>
      </c>
      <c r="B20" s="30"/>
      <c r="C20" s="30"/>
      <c r="D20" s="60" t="s">
        <v>655</v>
      </c>
      <c r="E20" s="60"/>
      <c r="F20" s="60"/>
      <c r="G20" s="826">
        <f>$G$120</f>
        <v>1</v>
      </c>
      <c r="H20" s="826">
        <f>$H$120</f>
        <v>1</v>
      </c>
      <c r="I20" s="826">
        <f>$I$120</f>
        <v>1</v>
      </c>
      <c r="J20" s="826">
        <f>$J$120</f>
        <v>1</v>
      </c>
      <c r="K20" s="826">
        <f>$K$120</f>
        <v>1</v>
      </c>
      <c r="L20" s="826">
        <f>$L$120</f>
        <v>1</v>
      </c>
      <c r="M20" s="826">
        <f>$M$120</f>
        <v>1</v>
      </c>
      <c r="N20" s="679"/>
      <c r="O20" s="119"/>
      <c r="P20" s="30"/>
      <c r="Q20" s="220"/>
      <c r="R20" s="220"/>
      <c r="S20" s="220"/>
      <c r="T20" s="220"/>
      <c r="U20" s="220"/>
      <c r="V20" s="220"/>
      <c r="W20" s="220"/>
      <c r="X20" s="220"/>
      <c r="Y20" s="220"/>
      <c r="Z20" s="220"/>
      <c r="AA20" s="220"/>
      <c r="AB20" s="220"/>
      <c r="AC20" s="220"/>
      <c r="AD20" s="220"/>
      <c r="AE20" s="220"/>
    </row>
    <row r="21" ht="13.5" customHeight="1">
      <c r="A21" s="814">
        <f t="shared" si="2"/>
        <v>21</v>
      </c>
      <c r="B21" s="30"/>
      <c r="C21" s="30"/>
      <c r="D21" s="60" t="s">
        <v>656</v>
      </c>
      <c r="E21" s="60"/>
      <c r="F21" s="60"/>
      <c r="G21" s="826">
        <f>$G$134</f>
        <v>9</v>
      </c>
      <c r="H21" s="826">
        <f>$H$134</f>
        <v>9</v>
      </c>
      <c r="I21" s="826">
        <f>$I$134</f>
        <v>9</v>
      </c>
      <c r="J21" s="826">
        <f>$J$134</f>
        <v>9</v>
      </c>
      <c r="K21" s="826">
        <f>$K$134</f>
        <v>9</v>
      </c>
      <c r="L21" s="826">
        <f>$L$134</f>
        <v>9</v>
      </c>
      <c r="M21" s="826">
        <f>$M$134</f>
        <v>9</v>
      </c>
      <c r="N21" s="679"/>
      <c r="O21" s="119"/>
      <c r="P21" s="30"/>
      <c r="Q21" s="220"/>
      <c r="R21" s="220"/>
      <c r="S21" s="220"/>
      <c r="T21" s="220"/>
      <c r="U21" s="220"/>
      <c r="V21" s="220"/>
      <c r="W21" s="220"/>
      <c r="X21" s="220"/>
      <c r="Y21" s="220"/>
      <c r="Z21" s="220"/>
      <c r="AA21" s="220"/>
      <c r="AB21" s="220"/>
      <c r="AC21" s="220"/>
      <c r="AD21" s="220"/>
      <c r="AE21" s="220"/>
    </row>
    <row r="22" ht="13.5" customHeight="1">
      <c r="A22" s="814">
        <f t="shared" si="2"/>
        <v>22</v>
      </c>
      <c r="B22" s="30"/>
      <c r="C22" s="30"/>
      <c r="D22" s="60" t="s">
        <v>657</v>
      </c>
      <c r="E22" s="60"/>
      <c r="F22" s="60"/>
      <c r="G22" s="826">
        <f>$G$238</f>
        <v>30.5</v>
      </c>
      <c r="H22" s="826">
        <f>$H$238</f>
        <v>31</v>
      </c>
      <c r="I22" s="826">
        <f>$I$238</f>
        <v>31</v>
      </c>
      <c r="J22" s="826">
        <f>$J$238</f>
        <v>30</v>
      </c>
      <c r="K22" s="826">
        <f>$K$238</f>
        <v>30</v>
      </c>
      <c r="L22" s="826">
        <f>$L$238</f>
        <v>30</v>
      </c>
      <c r="M22" s="826">
        <f>$M$238</f>
        <v>30</v>
      </c>
      <c r="N22" s="679"/>
      <c r="O22" s="119"/>
      <c r="P22" s="30"/>
      <c r="Q22" s="220"/>
      <c r="R22" s="220"/>
      <c r="S22" s="220"/>
      <c r="T22" s="220"/>
      <c r="U22" s="220"/>
      <c r="V22" s="220"/>
      <c r="W22" s="220"/>
      <c r="X22" s="220"/>
      <c r="Y22" s="220"/>
      <c r="Z22" s="220"/>
      <c r="AA22" s="220"/>
      <c r="AB22" s="220"/>
      <c r="AC22" s="220"/>
      <c r="AD22" s="220"/>
      <c r="AE22" s="220"/>
    </row>
    <row r="23" ht="13.5" customHeight="1">
      <c r="A23" s="814">
        <f t="shared" si="2"/>
        <v>23</v>
      </c>
      <c r="B23" s="30"/>
      <c r="C23" s="63"/>
      <c r="D23" s="827" t="s">
        <v>658</v>
      </c>
      <c r="E23" s="827"/>
      <c r="F23" s="827"/>
      <c r="G23" s="828">
        <f t="shared" ref="G23:M23" si="4">SUM(G17:G22)</f>
        <v>49.5</v>
      </c>
      <c r="H23" s="828">
        <f t="shared" si="4"/>
        <v>50</v>
      </c>
      <c r="I23" s="828">
        <f t="shared" si="4"/>
        <v>50</v>
      </c>
      <c r="J23" s="828">
        <f t="shared" si="4"/>
        <v>49</v>
      </c>
      <c r="K23" s="828">
        <f t="shared" si="4"/>
        <v>49</v>
      </c>
      <c r="L23" s="828">
        <f t="shared" si="4"/>
        <v>49</v>
      </c>
      <c r="M23" s="828">
        <f t="shared" si="4"/>
        <v>49</v>
      </c>
      <c r="N23" s="679"/>
      <c r="O23" s="119"/>
      <c r="P23" s="30"/>
      <c r="Q23" s="220"/>
      <c r="R23" s="220"/>
      <c r="S23" s="220"/>
      <c r="T23" s="220"/>
      <c r="U23" s="220"/>
      <c r="V23" s="220"/>
      <c r="W23" s="220"/>
      <c r="X23" s="220"/>
      <c r="Y23" s="220"/>
      <c r="Z23" s="220"/>
      <c r="AA23" s="220"/>
      <c r="AB23" s="220"/>
      <c r="AC23" s="220"/>
      <c r="AD23" s="220"/>
      <c r="AE23" s="220"/>
    </row>
    <row r="24" ht="13.5" customHeight="1">
      <c r="A24" s="814">
        <f t="shared" si="2"/>
        <v>24</v>
      </c>
      <c r="B24" s="30"/>
      <c r="C24" s="30"/>
      <c r="D24" s="60"/>
      <c r="E24" s="60"/>
      <c r="F24" s="60"/>
      <c r="G24" s="60"/>
      <c r="H24" s="829"/>
      <c r="I24" s="829"/>
      <c r="J24" s="829"/>
      <c r="K24" s="60"/>
      <c r="L24" s="60"/>
      <c r="M24" s="60"/>
      <c r="N24" s="679"/>
      <c r="O24" s="119"/>
      <c r="P24" s="30"/>
      <c r="Q24" s="220"/>
      <c r="R24" s="220"/>
      <c r="S24" s="220"/>
      <c r="T24" s="220"/>
      <c r="U24" s="220"/>
      <c r="V24" s="220"/>
      <c r="W24" s="220"/>
      <c r="X24" s="220"/>
      <c r="Y24" s="220"/>
      <c r="Z24" s="220"/>
      <c r="AA24" s="220"/>
      <c r="AB24" s="220"/>
      <c r="AC24" s="220"/>
      <c r="AD24" s="220"/>
      <c r="AE24" s="220"/>
    </row>
    <row r="25" ht="13.5" customHeight="1">
      <c r="A25" s="814">
        <f t="shared" si="2"/>
        <v>25</v>
      </c>
      <c r="B25" s="30"/>
      <c r="C25" s="30"/>
      <c r="D25" s="830" t="s">
        <v>659</v>
      </c>
      <c r="E25" s="830"/>
      <c r="F25" s="830"/>
      <c r="G25" s="831">
        <f t="shared" ref="G25:M25" si="5">G457</f>
        <v>0</v>
      </c>
      <c r="H25" s="831">
        <f t="shared" si="5"/>
        <v>0</v>
      </c>
      <c r="I25" s="831">
        <f t="shared" si="5"/>
        <v>0</v>
      </c>
      <c r="J25" s="831">
        <f t="shared" si="5"/>
        <v>0</v>
      </c>
      <c r="K25" s="831">
        <f t="shared" si="5"/>
        <v>0</v>
      </c>
      <c r="L25" s="831">
        <f t="shared" si="5"/>
        <v>0</v>
      </c>
      <c r="M25" s="831">
        <f t="shared" si="5"/>
        <v>0</v>
      </c>
      <c r="N25" s="679"/>
      <c r="O25" s="119"/>
      <c r="P25" s="30"/>
      <c r="Q25" s="220"/>
      <c r="R25" s="220"/>
      <c r="S25" s="220"/>
      <c r="T25" s="220"/>
      <c r="U25" s="220"/>
      <c r="V25" s="220"/>
      <c r="W25" s="220"/>
      <c r="X25" s="220"/>
      <c r="Y25" s="220"/>
      <c r="Z25" s="220"/>
      <c r="AA25" s="220"/>
      <c r="AB25" s="220"/>
      <c r="AC25" s="220"/>
      <c r="AD25" s="220"/>
      <c r="AE25" s="220"/>
    </row>
    <row r="26" ht="13.5" customHeight="1">
      <c r="A26" s="814">
        <f t="shared" si="2"/>
        <v>26</v>
      </c>
      <c r="B26" s="30"/>
      <c r="C26" s="30"/>
      <c r="D26" s="60"/>
      <c r="E26" s="60"/>
      <c r="F26" s="60"/>
      <c r="G26" s="60"/>
      <c r="H26" s="829"/>
      <c r="I26" s="829"/>
      <c r="J26" s="829"/>
      <c r="K26" s="60"/>
      <c r="L26" s="60"/>
      <c r="M26" s="60"/>
      <c r="N26" s="679"/>
      <c r="O26" s="119"/>
      <c r="P26" s="30"/>
      <c r="Q26" s="220"/>
      <c r="R26" s="220"/>
      <c r="S26" s="220"/>
      <c r="T26" s="220"/>
      <c r="U26" s="220"/>
      <c r="V26" s="220"/>
      <c r="W26" s="220"/>
      <c r="X26" s="220"/>
      <c r="Y26" s="220"/>
      <c r="Z26" s="220"/>
      <c r="AA26" s="220"/>
      <c r="AB26" s="220"/>
      <c r="AC26" s="220"/>
      <c r="AD26" s="220"/>
      <c r="AE26" s="220"/>
    </row>
    <row r="27" ht="13.5" customHeight="1">
      <c r="A27" s="814">
        <f t="shared" si="2"/>
        <v>27</v>
      </c>
      <c r="B27" s="30"/>
      <c r="C27" s="63"/>
      <c r="D27" s="827" t="s">
        <v>660</v>
      </c>
      <c r="E27" s="827"/>
      <c r="F27" s="827"/>
      <c r="G27" s="832">
        <f t="shared" ref="G27:M27" si="6">+G25+G23</f>
        <v>49.5</v>
      </c>
      <c r="H27" s="832">
        <f t="shared" si="6"/>
        <v>50</v>
      </c>
      <c r="I27" s="832">
        <f t="shared" si="6"/>
        <v>50</v>
      </c>
      <c r="J27" s="832">
        <f t="shared" si="6"/>
        <v>49</v>
      </c>
      <c r="K27" s="832">
        <f t="shared" si="6"/>
        <v>49</v>
      </c>
      <c r="L27" s="832">
        <f t="shared" si="6"/>
        <v>49</v>
      </c>
      <c r="M27" s="832">
        <f t="shared" si="6"/>
        <v>49</v>
      </c>
      <c r="N27" s="679"/>
      <c r="O27" s="119"/>
      <c r="P27" s="30"/>
      <c r="Q27" s="220"/>
      <c r="R27" s="220"/>
      <c r="S27" s="220"/>
      <c r="T27" s="220"/>
      <c r="U27" s="220"/>
      <c r="V27" s="220"/>
      <c r="W27" s="220"/>
      <c r="X27" s="220"/>
      <c r="Y27" s="220"/>
      <c r="Z27" s="220"/>
      <c r="AA27" s="220"/>
      <c r="AB27" s="220"/>
      <c r="AC27" s="220"/>
      <c r="AD27" s="220"/>
      <c r="AE27" s="220"/>
    </row>
    <row r="28" ht="13.5" customHeight="1">
      <c r="A28" s="814">
        <f t="shared" si="2"/>
        <v>28</v>
      </c>
      <c r="B28" s="30"/>
      <c r="C28" s="30"/>
      <c r="D28" s="30"/>
      <c r="E28" s="30"/>
      <c r="F28" s="30"/>
      <c r="G28" s="30"/>
      <c r="H28" s="833"/>
      <c r="I28" s="833"/>
      <c r="J28" s="833"/>
      <c r="K28" s="30"/>
      <c r="L28" s="30"/>
      <c r="M28" s="30"/>
      <c r="N28" s="679"/>
      <c r="O28" s="119"/>
      <c r="P28" s="30"/>
      <c r="Q28" s="220"/>
      <c r="R28" s="220"/>
      <c r="S28" s="220"/>
      <c r="T28" s="220"/>
      <c r="U28" s="220"/>
      <c r="V28" s="220"/>
      <c r="W28" s="220"/>
      <c r="X28" s="220"/>
      <c r="Y28" s="220"/>
      <c r="Z28" s="220"/>
      <c r="AA28" s="220"/>
      <c r="AB28" s="220"/>
      <c r="AC28" s="220"/>
      <c r="AD28" s="220"/>
      <c r="AE28" s="220"/>
    </row>
    <row r="29" ht="13.5" customHeight="1">
      <c r="A29" s="814">
        <f t="shared" si="2"/>
        <v>29</v>
      </c>
      <c r="B29" s="30"/>
      <c r="C29" s="211" t="s">
        <v>661</v>
      </c>
      <c r="D29" s="30"/>
      <c r="E29" s="30"/>
      <c r="F29" s="30"/>
      <c r="G29" s="30"/>
      <c r="H29" s="833"/>
      <c r="I29" s="833"/>
      <c r="J29" s="833"/>
      <c r="K29" s="30"/>
      <c r="L29" s="30"/>
      <c r="M29" s="30"/>
      <c r="N29" s="679"/>
      <c r="O29" s="119"/>
      <c r="P29" s="30"/>
      <c r="Q29" s="220"/>
      <c r="R29" s="220"/>
      <c r="S29" s="220"/>
      <c r="T29" s="220"/>
      <c r="U29" s="220"/>
      <c r="V29" s="220"/>
      <c r="W29" s="220"/>
      <c r="X29" s="220"/>
      <c r="Y29" s="220"/>
      <c r="Z29" s="220"/>
      <c r="AA29" s="220"/>
      <c r="AB29" s="220"/>
      <c r="AC29" s="220"/>
      <c r="AD29" s="220"/>
      <c r="AE29" s="220"/>
    </row>
    <row r="30" ht="13.5" customHeight="1">
      <c r="A30" s="814">
        <f t="shared" si="2"/>
        <v>30</v>
      </c>
      <c r="B30" s="834" t="s">
        <v>565</v>
      </c>
      <c r="C30" s="835">
        <f>AVERAGE(H30:M30)</f>
        <v>663</v>
      </c>
      <c r="D30" s="836"/>
      <c r="E30" s="836"/>
      <c r="F30" s="836"/>
      <c r="G30" s="837"/>
      <c r="H30" s="837">
        <f>Levers!D9</f>
        <v>632</v>
      </c>
      <c r="I30" s="837">
        <f>Levers!E9</f>
        <v>645</v>
      </c>
      <c r="J30" s="837">
        <f>Levers!F9</f>
        <v>667</v>
      </c>
      <c r="K30" s="837">
        <f>Levers!G9</f>
        <v>673</v>
      </c>
      <c r="L30" s="837">
        <f>Levers!H9</f>
        <v>676</v>
      </c>
      <c r="M30" s="837">
        <f>Levers!I9</f>
        <v>685</v>
      </c>
      <c r="N30" s="679"/>
      <c r="O30" s="119"/>
      <c r="P30" s="30"/>
      <c r="Q30" s="220"/>
      <c r="R30" s="220"/>
      <c r="S30" s="220"/>
      <c r="T30" s="220"/>
      <c r="U30" s="220"/>
      <c r="V30" s="220"/>
      <c r="W30" s="220"/>
      <c r="X30" s="220"/>
      <c r="Y30" s="220"/>
      <c r="Z30" s="220"/>
      <c r="AA30" s="220"/>
      <c r="AB30" s="220"/>
      <c r="AC30" s="220"/>
      <c r="AD30" s="220"/>
      <c r="AE30" s="220"/>
    </row>
    <row r="31" ht="13.5" customHeight="1">
      <c r="A31" s="814">
        <f t="shared" si="2"/>
        <v>31</v>
      </c>
      <c r="B31" s="838" t="s">
        <v>662</v>
      </c>
      <c r="C31" s="839"/>
      <c r="D31" s="840"/>
      <c r="E31" s="840"/>
      <c r="F31" s="840"/>
      <c r="G31" s="841">
        <f t="shared" ref="G31:M31" si="7">SUM(G19,G20,G22)</f>
        <v>33.5</v>
      </c>
      <c r="H31" s="841">
        <f t="shared" si="7"/>
        <v>34</v>
      </c>
      <c r="I31" s="841">
        <f t="shared" si="7"/>
        <v>34</v>
      </c>
      <c r="J31" s="841">
        <f t="shared" si="7"/>
        <v>33</v>
      </c>
      <c r="K31" s="841">
        <f t="shared" si="7"/>
        <v>33</v>
      </c>
      <c r="L31" s="841">
        <f t="shared" si="7"/>
        <v>33</v>
      </c>
      <c r="M31" s="841">
        <f t="shared" si="7"/>
        <v>33</v>
      </c>
      <c r="N31" s="679"/>
      <c r="O31" s="119"/>
      <c r="P31" s="30"/>
      <c r="Q31" s="220"/>
      <c r="R31" s="220"/>
      <c r="S31" s="220"/>
      <c r="T31" s="220"/>
      <c r="U31" s="220"/>
      <c r="V31" s="220"/>
      <c r="W31" s="220"/>
      <c r="X31" s="220"/>
      <c r="Y31" s="220"/>
      <c r="Z31" s="220"/>
      <c r="AA31" s="220"/>
      <c r="AB31" s="220"/>
      <c r="AC31" s="220"/>
      <c r="AD31" s="220"/>
      <c r="AE31" s="220"/>
    </row>
    <row r="32" ht="13.5" customHeight="1">
      <c r="A32" s="814">
        <f t="shared" si="2"/>
        <v>32</v>
      </c>
      <c r="B32" s="842" t="s">
        <v>663</v>
      </c>
      <c r="C32" s="843"/>
      <c r="D32" s="844"/>
      <c r="E32" s="844"/>
      <c r="F32" s="844"/>
      <c r="G32" s="845">
        <f t="shared" ref="G32:M32" si="8">IFERROR(G30/G31,0)</f>
        <v>0</v>
      </c>
      <c r="H32" s="845">
        <f t="shared" si="8"/>
        <v>18.58823529</v>
      </c>
      <c r="I32" s="845">
        <f t="shared" si="8"/>
        <v>18.97058824</v>
      </c>
      <c r="J32" s="845">
        <f t="shared" si="8"/>
        <v>20.21212121</v>
      </c>
      <c r="K32" s="845">
        <f t="shared" si="8"/>
        <v>20.39393939</v>
      </c>
      <c r="L32" s="845">
        <f t="shared" si="8"/>
        <v>20.48484848</v>
      </c>
      <c r="M32" s="845">
        <f t="shared" si="8"/>
        <v>20.75757576</v>
      </c>
      <c r="N32" s="679"/>
      <c r="O32" s="119"/>
      <c r="P32" s="30"/>
      <c r="Q32" s="220"/>
      <c r="R32" s="220"/>
      <c r="S32" s="220"/>
      <c r="T32" s="220"/>
      <c r="U32" s="220"/>
      <c r="V32" s="220"/>
      <c r="W32" s="220"/>
      <c r="X32" s="220"/>
      <c r="Y32" s="220"/>
      <c r="Z32" s="220"/>
      <c r="AA32" s="220"/>
      <c r="AB32" s="220"/>
      <c r="AC32" s="220"/>
      <c r="AD32" s="220"/>
      <c r="AE32" s="220"/>
    </row>
    <row r="33" ht="13.5" customHeight="1">
      <c r="A33" s="814">
        <f t="shared" si="2"/>
        <v>33</v>
      </c>
      <c r="B33" s="846"/>
      <c r="C33" s="846"/>
      <c r="D33" s="847"/>
      <c r="E33" s="847"/>
      <c r="F33" s="847"/>
      <c r="G33" s="847"/>
      <c r="H33" s="847"/>
      <c r="I33" s="847"/>
      <c r="J33" s="847"/>
      <c r="K33" s="847"/>
      <c r="L33" s="847"/>
      <c r="M33" s="847"/>
      <c r="N33" s="679"/>
      <c r="O33" s="119"/>
      <c r="P33" s="30"/>
      <c r="Q33" s="220"/>
      <c r="R33" s="220"/>
      <c r="S33" s="220"/>
      <c r="T33" s="220"/>
      <c r="U33" s="220"/>
      <c r="V33" s="220"/>
      <c r="W33" s="220"/>
      <c r="X33" s="220"/>
      <c r="Y33" s="220"/>
      <c r="Z33" s="220"/>
      <c r="AA33" s="220"/>
      <c r="AB33" s="220"/>
      <c r="AC33" s="220"/>
      <c r="AD33" s="220"/>
      <c r="AE33" s="220"/>
    </row>
    <row r="34" ht="13.5" customHeight="1">
      <c r="A34" s="814">
        <f t="shared" si="2"/>
        <v>34</v>
      </c>
      <c r="B34" s="36" t="s">
        <v>664</v>
      </c>
      <c r="C34" s="846">
        <f t="shared" ref="C34:C35" si="9">AVERAGE(H34:M34)</f>
        <v>7100797.625</v>
      </c>
      <c r="D34" s="848"/>
      <c r="E34" s="849"/>
      <c r="F34" s="849"/>
      <c r="G34" s="850">
        <f>Levers!C10</f>
        <v>6431812.88</v>
      </c>
      <c r="H34" s="850">
        <f>Levers!D10</f>
        <v>6792118.003</v>
      </c>
      <c r="I34" s="850">
        <f>Levers!E10</f>
        <v>6917370.748</v>
      </c>
      <c r="J34" s="850">
        <f>Levers!F10</f>
        <v>7139336.931</v>
      </c>
      <c r="K34" s="850">
        <f>Levers!G10</f>
        <v>7197145.89</v>
      </c>
      <c r="L34" s="850">
        <f>Levers!H10</f>
        <v>7236050.369</v>
      </c>
      <c r="M34" s="850">
        <f>Levers!I10</f>
        <v>7322763.808</v>
      </c>
      <c r="N34" s="679"/>
      <c r="O34" s="119"/>
      <c r="P34" s="30"/>
      <c r="Q34" s="220"/>
      <c r="R34" s="220"/>
      <c r="S34" s="220"/>
      <c r="T34" s="220"/>
      <c r="U34" s="220"/>
      <c r="V34" s="220"/>
      <c r="W34" s="220"/>
      <c r="X34" s="220"/>
      <c r="Y34" s="220"/>
      <c r="Z34" s="220"/>
      <c r="AA34" s="220"/>
      <c r="AB34" s="220"/>
      <c r="AC34" s="220"/>
      <c r="AD34" s="220"/>
      <c r="AE34" s="220"/>
    </row>
    <row r="35" ht="13.5" customHeight="1">
      <c r="A35" s="814">
        <f t="shared" si="2"/>
        <v>35</v>
      </c>
      <c r="B35" s="36" t="s">
        <v>665</v>
      </c>
      <c r="C35" s="846">
        <f t="shared" si="9"/>
        <v>3309804.55</v>
      </c>
      <c r="D35" s="848"/>
      <c r="E35" s="849"/>
      <c r="F35" s="849"/>
      <c r="G35" s="850">
        <f t="shared" ref="G35:M35" si="10">G400</f>
        <v>3111174.72</v>
      </c>
      <c r="H35" s="850">
        <f t="shared" si="10"/>
        <v>3197697.674</v>
      </c>
      <c r="I35" s="850">
        <f t="shared" si="10"/>
        <v>3261651.628</v>
      </c>
      <c r="J35" s="850">
        <f t="shared" si="10"/>
        <v>3251031.635</v>
      </c>
      <c r="K35" s="850">
        <f t="shared" si="10"/>
        <v>3316052.268</v>
      </c>
      <c r="L35" s="850">
        <f t="shared" si="10"/>
        <v>3382373.313</v>
      </c>
      <c r="M35" s="850">
        <f t="shared" si="10"/>
        <v>3450020.779</v>
      </c>
      <c r="N35" s="679"/>
      <c r="O35" s="119"/>
      <c r="P35" s="30"/>
      <c r="Q35" s="220"/>
      <c r="R35" s="220"/>
      <c r="S35" s="220"/>
      <c r="T35" s="220"/>
      <c r="U35" s="220"/>
      <c r="V35" s="220"/>
      <c r="W35" s="220"/>
      <c r="X35" s="220"/>
      <c r="Y35" s="220"/>
      <c r="Z35" s="220"/>
      <c r="AA35" s="220"/>
      <c r="AB35" s="220"/>
      <c r="AC35" s="220"/>
      <c r="AD35" s="220"/>
      <c r="AE35" s="220"/>
    </row>
    <row r="36" ht="13.5" customHeight="1">
      <c r="A36" s="814">
        <f t="shared" si="2"/>
        <v>36</v>
      </c>
      <c r="B36" s="30"/>
      <c r="C36" s="142"/>
      <c r="D36" s="140"/>
      <c r="E36" s="140"/>
      <c r="F36" s="140"/>
      <c r="G36" s="140"/>
      <c r="H36" s="174"/>
      <c r="I36" s="174"/>
      <c r="J36" s="174"/>
      <c r="K36" s="174"/>
      <c r="L36" s="174"/>
      <c r="M36" s="174"/>
      <c r="N36" s="679"/>
      <c r="O36" s="119"/>
      <c r="P36" s="30"/>
      <c r="Q36" s="220"/>
      <c r="R36" s="220"/>
      <c r="S36" s="220"/>
      <c r="T36" s="220"/>
      <c r="U36" s="220"/>
      <c r="V36" s="220"/>
      <c r="W36" s="220"/>
      <c r="X36" s="220"/>
      <c r="Y36" s="220"/>
      <c r="Z36" s="220"/>
      <c r="AA36" s="220"/>
      <c r="AB36" s="220"/>
      <c r="AC36" s="220"/>
      <c r="AD36" s="220"/>
      <c r="AE36" s="220"/>
    </row>
    <row r="37" ht="13.5" customHeight="1">
      <c r="A37" s="814">
        <f t="shared" si="2"/>
        <v>37</v>
      </c>
      <c r="B37" s="36" t="s">
        <v>666</v>
      </c>
      <c r="C37" s="846">
        <f>AVERAGE(H37:M37)</f>
        <v>1315542.754</v>
      </c>
      <c r="D37" s="848"/>
      <c r="E37" s="849"/>
      <c r="F37" s="849"/>
      <c r="G37" s="851">
        <f t="shared" ref="G37:M37" si="11">G425</f>
        <v>1250759.635</v>
      </c>
      <c r="H37" s="851">
        <f t="shared" si="11"/>
        <v>1278979.097</v>
      </c>
      <c r="I37" s="851">
        <f t="shared" si="11"/>
        <v>1299837.678</v>
      </c>
      <c r="J37" s="851">
        <f t="shared" si="11"/>
        <v>1296373.968</v>
      </c>
      <c r="K37" s="851">
        <f t="shared" si="11"/>
        <v>1317580.447</v>
      </c>
      <c r="L37" s="851">
        <f t="shared" si="11"/>
        <v>1339211.056</v>
      </c>
      <c r="M37" s="851">
        <f t="shared" si="11"/>
        <v>1361274.277</v>
      </c>
      <c r="N37" s="679"/>
      <c r="O37" s="119"/>
      <c r="P37" s="30"/>
      <c r="Q37" s="220"/>
      <c r="R37" s="220"/>
      <c r="S37" s="220"/>
      <c r="T37" s="220"/>
      <c r="U37" s="220"/>
      <c r="V37" s="220"/>
      <c r="W37" s="220"/>
      <c r="X37" s="220"/>
      <c r="Y37" s="220"/>
      <c r="Z37" s="220"/>
      <c r="AA37" s="220"/>
      <c r="AB37" s="220"/>
      <c r="AC37" s="220"/>
      <c r="AD37" s="220"/>
      <c r="AE37" s="220"/>
    </row>
    <row r="38" ht="13.5" customHeight="1">
      <c r="A38" s="814">
        <f t="shared" si="2"/>
        <v>38</v>
      </c>
      <c r="B38" s="30" t="s">
        <v>667</v>
      </c>
      <c r="C38" s="30"/>
      <c r="D38" s="30"/>
      <c r="E38" s="30"/>
      <c r="F38" s="30"/>
      <c r="G38" s="133">
        <f t="shared" ref="G38:M38" si="12">G405</f>
        <v>236050</v>
      </c>
      <c r="H38" s="133">
        <f t="shared" si="12"/>
        <v>236050</v>
      </c>
      <c r="I38" s="133">
        <f t="shared" si="12"/>
        <v>236050</v>
      </c>
      <c r="J38" s="133">
        <f t="shared" si="12"/>
        <v>236050</v>
      </c>
      <c r="K38" s="133">
        <f t="shared" si="12"/>
        <v>236050</v>
      </c>
      <c r="L38" s="133">
        <f t="shared" si="12"/>
        <v>236050</v>
      </c>
      <c r="M38" s="133">
        <f t="shared" si="12"/>
        <v>236050</v>
      </c>
      <c r="N38" s="679"/>
      <c r="O38" s="119"/>
      <c r="P38" s="30"/>
      <c r="Q38" s="220"/>
      <c r="R38" s="220"/>
      <c r="S38" s="220"/>
      <c r="T38" s="220"/>
      <c r="U38" s="220"/>
      <c r="V38" s="220"/>
      <c r="W38" s="220"/>
      <c r="X38" s="220"/>
      <c r="Y38" s="220"/>
      <c r="Z38" s="220"/>
      <c r="AA38" s="220"/>
      <c r="AB38" s="220"/>
      <c r="AC38" s="220"/>
      <c r="AD38" s="220"/>
      <c r="AE38" s="220"/>
    </row>
    <row r="39" ht="13.5" customHeight="1">
      <c r="A39" s="814">
        <f t="shared" si="2"/>
        <v>39</v>
      </c>
      <c r="B39" s="30" t="s">
        <v>668</v>
      </c>
      <c r="C39" s="30"/>
      <c r="D39" s="30"/>
      <c r="E39" s="30"/>
      <c r="F39" s="30"/>
      <c r="G39" s="133">
        <f t="shared" ref="G39:M39" si="13">G411</f>
        <v>925574.4792</v>
      </c>
      <c r="H39" s="133">
        <f t="shared" si="13"/>
        <v>951315.0581</v>
      </c>
      <c r="I39" s="133">
        <f t="shared" si="13"/>
        <v>970341.3593</v>
      </c>
      <c r="J39" s="133">
        <f t="shared" si="13"/>
        <v>967181.9114</v>
      </c>
      <c r="K39" s="133">
        <f t="shared" si="13"/>
        <v>986525.5496</v>
      </c>
      <c r="L39" s="133">
        <f t="shared" si="13"/>
        <v>1006256.061</v>
      </c>
      <c r="M39" s="133">
        <f t="shared" si="13"/>
        <v>1026381.182</v>
      </c>
      <c r="N39" s="679"/>
      <c r="O39" s="119"/>
      <c r="P39" s="30"/>
      <c r="Q39" s="220"/>
      <c r="R39" s="220"/>
      <c r="S39" s="220"/>
      <c r="T39" s="220"/>
      <c r="U39" s="220"/>
      <c r="V39" s="220"/>
      <c r="W39" s="220"/>
      <c r="X39" s="220"/>
      <c r="Y39" s="220"/>
      <c r="Z39" s="220"/>
      <c r="AA39" s="220"/>
      <c r="AB39" s="220"/>
      <c r="AC39" s="220"/>
      <c r="AD39" s="220"/>
      <c r="AE39" s="220"/>
    </row>
    <row r="40" ht="13.5" customHeight="1">
      <c r="A40" s="814">
        <f t="shared" si="2"/>
        <v>40</v>
      </c>
      <c r="B40" s="30" t="s">
        <v>669</v>
      </c>
      <c r="C40" s="30"/>
      <c r="D40" s="30"/>
      <c r="E40" s="30"/>
      <c r="F40" s="30"/>
      <c r="G40" s="133">
        <f t="shared" ref="G40:M40" si="14">G425-G39-G38</f>
        <v>89135.15573</v>
      </c>
      <c r="H40" s="133">
        <f t="shared" si="14"/>
        <v>91614.03837</v>
      </c>
      <c r="I40" s="133">
        <f t="shared" si="14"/>
        <v>93446.31914</v>
      </c>
      <c r="J40" s="133">
        <f t="shared" si="14"/>
        <v>93142.05634</v>
      </c>
      <c r="K40" s="133">
        <f t="shared" si="14"/>
        <v>95004.89747</v>
      </c>
      <c r="L40" s="133">
        <f t="shared" si="14"/>
        <v>96904.99542</v>
      </c>
      <c r="M40" s="133">
        <f t="shared" si="14"/>
        <v>98843.09533</v>
      </c>
      <c r="N40" s="679"/>
      <c r="O40" s="119"/>
      <c r="P40" s="30"/>
      <c r="Q40" s="220"/>
      <c r="R40" s="220"/>
      <c r="S40" s="220"/>
      <c r="T40" s="220"/>
      <c r="U40" s="220"/>
      <c r="V40" s="220"/>
      <c r="W40" s="220"/>
      <c r="X40" s="220"/>
      <c r="Y40" s="220"/>
      <c r="Z40" s="220"/>
      <c r="AA40" s="220"/>
      <c r="AB40" s="220"/>
      <c r="AC40" s="220"/>
      <c r="AD40" s="220"/>
      <c r="AE40" s="220"/>
    </row>
    <row r="41" ht="13.5" customHeight="1">
      <c r="A41" s="814">
        <f t="shared" si="2"/>
        <v>41</v>
      </c>
      <c r="B41" s="30"/>
      <c r="C41" s="30"/>
      <c r="D41" s="30"/>
      <c r="E41" s="30"/>
      <c r="F41" s="30"/>
      <c r="G41" s="30"/>
      <c r="H41" s="833"/>
      <c r="I41" s="833"/>
      <c r="J41" s="833"/>
      <c r="K41" s="30"/>
      <c r="L41" s="30"/>
      <c r="M41" s="30"/>
      <c r="N41" s="679"/>
      <c r="O41" s="119"/>
      <c r="P41" s="30"/>
      <c r="Q41" s="220"/>
      <c r="R41" s="220"/>
      <c r="S41" s="220"/>
      <c r="T41" s="220"/>
      <c r="U41" s="220"/>
      <c r="V41" s="220"/>
      <c r="W41" s="220"/>
      <c r="X41" s="220"/>
      <c r="Y41" s="220"/>
      <c r="Z41" s="220"/>
      <c r="AA41" s="220"/>
      <c r="AB41" s="220"/>
      <c r="AC41" s="220"/>
      <c r="AD41" s="220"/>
      <c r="AE41" s="220"/>
    </row>
    <row r="42" ht="13.5" customHeight="1">
      <c r="A42" s="814">
        <f t="shared" si="2"/>
        <v>42</v>
      </c>
      <c r="B42" s="36" t="s">
        <v>670</v>
      </c>
      <c r="C42" s="846">
        <f t="shared" ref="C42:C47" si="16">AVERAGE(H42:M42)</f>
        <v>4641147.303</v>
      </c>
      <c r="D42" s="36"/>
      <c r="E42" s="36"/>
      <c r="F42" s="36"/>
      <c r="G42" s="851">
        <f t="shared" ref="G42:M42" si="15">G461</f>
        <v>4377734.355</v>
      </c>
      <c r="H42" s="851">
        <f t="shared" si="15"/>
        <v>4492476.771</v>
      </c>
      <c r="I42" s="851">
        <f t="shared" si="15"/>
        <v>4577289.306</v>
      </c>
      <c r="J42" s="851">
        <f t="shared" si="15"/>
        <v>4563205.603</v>
      </c>
      <c r="K42" s="851">
        <f t="shared" si="15"/>
        <v>4649432.715</v>
      </c>
      <c r="L42" s="851">
        <f t="shared" si="15"/>
        <v>4737384.369</v>
      </c>
      <c r="M42" s="851">
        <f t="shared" si="15"/>
        <v>4827095.057</v>
      </c>
      <c r="N42" s="679"/>
      <c r="O42" s="119"/>
      <c r="P42" s="30"/>
      <c r="Q42" s="220"/>
      <c r="R42" s="220"/>
      <c r="S42" s="220"/>
      <c r="T42" s="220"/>
      <c r="U42" s="220"/>
      <c r="V42" s="220"/>
      <c r="W42" s="220"/>
      <c r="X42" s="220"/>
      <c r="Y42" s="220"/>
      <c r="Z42" s="220"/>
      <c r="AA42" s="220"/>
      <c r="AB42" s="220"/>
      <c r="AC42" s="220"/>
      <c r="AD42" s="220"/>
      <c r="AE42" s="220"/>
    </row>
    <row r="43" ht="13.5" customHeight="1">
      <c r="A43" s="814">
        <f t="shared" si="2"/>
        <v>43</v>
      </c>
      <c r="B43" s="30" t="s">
        <v>671</v>
      </c>
      <c r="C43" s="852">
        <f t="shared" si="16"/>
        <v>7001.607815</v>
      </c>
      <c r="D43" s="30"/>
      <c r="E43" s="30"/>
      <c r="F43" s="30"/>
      <c r="G43" s="115"/>
      <c r="H43" s="115">
        <f>Levers!D13</f>
        <v>7108.349321</v>
      </c>
      <c r="I43" s="115">
        <f>Levers!E13</f>
        <v>7096.572568</v>
      </c>
      <c r="J43" s="115">
        <f>Levers!F13</f>
        <v>6841.38771</v>
      </c>
      <c r="K43" s="115">
        <f>Levers!G13</f>
        <v>6908.51815</v>
      </c>
      <c r="L43" s="115">
        <f>Levers!H13</f>
        <v>7007.965043</v>
      </c>
      <c r="M43" s="115">
        <f>Levers!I13</f>
        <v>7046.854097</v>
      </c>
      <c r="N43" s="679"/>
      <c r="O43" s="119"/>
      <c r="P43" s="30"/>
      <c r="Q43" s="220"/>
      <c r="R43" s="220"/>
      <c r="S43" s="220"/>
      <c r="T43" s="220"/>
      <c r="U43" s="220"/>
      <c r="V43" s="220"/>
      <c r="W43" s="220"/>
      <c r="X43" s="220"/>
      <c r="Y43" s="220"/>
      <c r="Z43" s="220"/>
      <c r="AA43" s="220"/>
      <c r="AB43" s="220"/>
      <c r="AC43" s="220"/>
      <c r="AD43" s="220"/>
      <c r="AE43" s="220"/>
    </row>
    <row r="44" ht="13.5" customHeight="1">
      <c r="A44" s="814">
        <f t="shared" si="2"/>
        <v>44</v>
      </c>
      <c r="B44" s="50" t="s">
        <v>672</v>
      </c>
      <c r="C44" s="853">
        <f t="shared" si="16"/>
        <v>2459650.321</v>
      </c>
      <c r="D44" s="50"/>
      <c r="E44" s="50"/>
      <c r="F44" s="50"/>
      <c r="G44" s="854">
        <f>Levers!C14</f>
        <v>2054078.525</v>
      </c>
      <c r="H44" s="854">
        <f>Levers!D14</f>
        <v>2299641.232</v>
      </c>
      <c r="I44" s="854">
        <f>Levers!E14</f>
        <v>2340081.441</v>
      </c>
      <c r="J44" s="854">
        <f>Levers!F14</f>
        <v>2576131.328</v>
      </c>
      <c r="K44" s="854">
        <f>Levers!G14</f>
        <v>2547713.175</v>
      </c>
      <c r="L44" s="854">
        <f>Levers!H14</f>
        <v>2498666</v>
      </c>
      <c r="M44" s="854">
        <f>Levers!I14</f>
        <v>2495668.751</v>
      </c>
      <c r="N44" s="679"/>
      <c r="O44" s="119"/>
      <c r="P44" s="30"/>
      <c r="Q44" s="220"/>
      <c r="R44" s="220"/>
      <c r="S44" s="220"/>
      <c r="T44" s="220"/>
      <c r="U44" s="220"/>
      <c r="V44" s="220"/>
      <c r="W44" s="220"/>
      <c r="X44" s="220"/>
      <c r="Y44" s="220"/>
      <c r="Z44" s="220"/>
      <c r="AA44" s="220"/>
      <c r="AB44" s="220"/>
      <c r="AC44" s="220"/>
      <c r="AD44" s="220"/>
      <c r="AE44" s="220"/>
    </row>
    <row r="45" ht="13.5" customHeight="1">
      <c r="A45" s="814">
        <f t="shared" si="2"/>
        <v>45</v>
      </c>
      <c r="B45" s="50" t="s">
        <v>673</v>
      </c>
      <c r="C45" s="853">
        <f t="shared" si="16"/>
        <v>3709.02366</v>
      </c>
      <c r="D45" s="50"/>
      <c r="E45" s="50"/>
      <c r="F45" s="50"/>
      <c r="G45" s="854"/>
      <c r="H45" s="854">
        <f>Levers!D15</f>
        <v>3638.672836</v>
      </c>
      <c r="I45" s="854">
        <f>Levers!E15</f>
        <v>3628.033242</v>
      </c>
      <c r="J45" s="854">
        <f>Levers!F15</f>
        <v>3862.265859</v>
      </c>
      <c r="K45" s="854">
        <f>Levers!G15</f>
        <v>3785.6065</v>
      </c>
      <c r="L45" s="854">
        <f>Levers!H15</f>
        <v>3696.251479</v>
      </c>
      <c r="M45" s="854">
        <f>Levers!I15</f>
        <v>3643.312045</v>
      </c>
      <c r="N45" s="679"/>
      <c r="O45" s="119"/>
      <c r="P45" s="30"/>
      <c r="Q45" s="220"/>
      <c r="R45" s="220"/>
      <c r="S45" s="220"/>
      <c r="T45" s="220"/>
      <c r="U45" s="220"/>
      <c r="V45" s="220"/>
      <c r="W45" s="220"/>
      <c r="X45" s="220"/>
      <c r="Y45" s="220"/>
      <c r="Z45" s="220"/>
      <c r="AA45" s="220"/>
      <c r="AB45" s="220"/>
      <c r="AC45" s="220"/>
      <c r="AD45" s="220"/>
      <c r="AE45" s="220"/>
    </row>
    <row r="46" ht="13.5" customHeight="1">
      <c r="A46" s="814">
        <f t="shared" si="2"/>
        <v>46</v>
      </c>
      <c r="B46" s="50" t="s">
        <v>633</v>
      </c>
      <c r="C46" s="853">
        <f t="shared" si="16"/>
        <v>307209.0242</v>
      </c>
      <c r="D46" s="50"/>
      <c r="E46" s="50"/>
      <c r="F46" s="50"/>
      <c r="G46" s="854">
        <f>Levers!C38</f>
        <v>26180.0113</v>
      </c>
      <c r="H46" s="854">
        <f>Levers!D38</f>
        <v>239028.9313</v>
      </c>
      <c r="I46" s="854">
        <f>Levers!E38</f>
        <v>243129.4016</v>
      </c>
      <c r="J46" s="854">
        <f>Levers!F38</f>
        <v>431611.6831</v>
      </c>
      <c r="K46" s="854">
        <f>Levers!G38</f>
        <v>378880.2193</v>
      </c>
      <c r="L46" s="854">
        <f>Levers!H38</f>
        <v>295358.2485</v>
      </c>
      <c r="M46" s="854">
        <f>Levers!I38</f>
        <v>255245.6612</v>
      </c>
      <c r="N46" s="679"/>
      <c r="O46" s="119"/>
      <c r="P46" s="30"/>
      <c r="Q46" s="220"/>
      <c r="R46" s="220"/>
      <c r="S46" s="220"/>
      <c r="T46" s="220"/>
      <c r="U46" s="220"/>
      <c r="V46" s="220"/>
      <c r="W46" s="220"/>
      <c r="X46" s="220"/>
      <c r="Y46" s="220"/>
      <c r="Z46" s="220"/>
      <c r="AA46" s="220"/>
      <c r="AB46" s="220"/>
      <c r="AC46" s="220"/>
      <c r="AD46" s="220"/>
      <c r="AE46" s="220"/>
    </row>
    <row r="47" ht="13.5" customHeight="1">
      <c r="A47" s="814">
        <f t="shared" si="2"/>
        <v>47</v>
      </c>
      <c r="B47" s="50" t="s">
        <v>634</v>
      </c>
      <c r="C47" s="853">
        <f t="shared" si="16"/>
        <v>462.4605173</v>
      </c>
      <c r="D47" s="50"/>
      <c r="E47" s="50"/>
      <c r="F47" s="50"/>
      <c r="G47" s="854">
        <f>Levers!C39</f>
        <v>43.13016689</v>
      </c>
      <c r="H47" s="854">
        <f>Levers!D39</f>
        <v>378.2103344</v>
      </c>
      <c r="I47" s="854">
        <f>Levers!E39</f>
        <v>376.9448086</v>
      </c>
      <c r="J47" s="854">
        <f>Levers!F39</f>
        <v>647.0939777</v>
      </c>
      <c r="K47" s="854">
        <f>Levers!G39</f>
        <v>562.972094</v>
      </c>
      <c r="L47" s="854">
        <f>Levers!H39</f>
        <v>436.9204859</v>
      </c>
      <c r="M47" s="854">
        <f>Levers!I39</f>
        <v>372.6214032</v>
      </c>
      <c r="N47" s="679"/>
      <c r="O47" s="119"/>
      <c r="P47" s="30"/>
      <c r="Q47" s="220"/>
      <c r="R47" s="220"/>
      <c r="S47" s="220"/>
      <c r="T47" s="220"/>
      <c r="U47" s="220"/>
      <c r="V47" s="220"/>
      <c r="W47" s="220"/>
      <c r="X47" s="220"/>
      <c r="Y47" s="220"/>
      <c r="Z47" s="220"/>
      <c r="AA47" s="220"/>
      <c r="AB47" s="220"/>
      <c r="AC47" s="220"/>
      <c r="AD47" s="220"/>
      <c r="AE47" s="220"/>
    </row>
    <row r="48" ht="13.5" customHeight="1">
      <c r="A48" s="814">
        <f t="shared" si="2"/>
        <v>48</v>
      </c>
      <c r="B48" s="30"/>
      <c r="C48" s="30"/>
      <c r="D48" s="30"/>
      <c r="E48" s="30"/>
      <c r="F48" s="30"/>
      <c r="G48" s="30"/>
      <c r="H48" s="833"/>
      <c r="I48" s="833"/>
      <c r="J48" s="833"/>
      <c r="K48" s="30"/>
      <c r="L48" s="30"/>
      <c r="M48" s="30"/>
      <c r="N48" s="679"/>
      <c r="O48" s="119"/>
      <c r="P48" s="30"/>
      <c r="Q48" s="220"/>
      <c r="R48" s="220"/>
      <c r="S48" s="220"/>
      <c r="T48" s="220"/>
      <c r="U48" s="220"/>
      <c r="V48" s="220"/>
      <c r="W48" s="220"/>
      <c r="X48" s="220"/>
      <c r="Y48" s="220"/>
      <c r="Z48" s="220"/>
      <c r="AA48" s="220"/>
      <c r="AB48" s="220"/>
      <c r="AC48" s="220"/>
      <c r="AD48" s="220"/>
      <c r="AE48" s="220"/>
    </row>
    <row r="49" ht="13.5" customHeight="1">
      <c r="A49" s="814">
        <f t="shared" si="2"/>
        <v>49</v>
      </c>
      <c r="B49" s="855" t="s">
        <v>191</v>
      </c>
      <c r="C49" s="855"/>
      <c r="D49" s="855"/>
      <c r="E49" s="855"/>
      <c r="F49" s="855"/>
      <c r="G49" s="856">
        <f t="shared" ref="G49:M49" si="17">G8</f>
        <v>0</v>
      </c>
      <c r="H49" s="857">
        <f t="shared" si="17"/>
        <v>1</v>
      </c>
      <c r="I49" s="857">
        <f t="shared" si="17"/>
        <v>2</v>
      </c>
      <c r="J49" s="857">
        <f t="shared" si="17"/>
        <v>3</v>
      </c>
      <c r="K49" s="857">
        <f t="shared" si="17"/>
        <v>4</v>
      </c>
      <c r="L49" s="857">
        <f t="shared" si="17"/>
        <v>5</v>
      </c>
      <c r="M49" s="857">
        <f t="shared" si="17"/>
        <v>6</v>
      </c>
      <c r="N49" s="679"/>
      <c r="O49" s="119"/>
      <c r="P49" s="30"/>
      <c r="Q49" s="220"/>
      <c r="R49" s="220"/>
      <c r="S49" s="220"/>
      <c r="T49" s="220"/>
      <c r="U49" s="220"/>
      <c r="V49" s="220"/>
      <c r="W49" s="220"/>
      <c r="X49" s="220"/>
      <c r="Y49" s="220"/>
      <c r="Z49" s="220"/>
      <c r="AA49" s="220"/>
      <c r="AB49" s="220"/>
      <c r="AC49" s="220"/>
      <c r="AD49" s="220"/>
      <c r="AE49" s="220"/>
    </row>
    <row r="50" ht="13.5" customHeight="1">
      <c r="A50" s="814">
        <f t="shared" si="2"/>
        <v>50</v>
      </c>
      <c r="B50" s="63" t="s">
        <v>674</v>
      </c>
      <c r="C50" s="63"/>
      <c r="D50" s="63"/>
      <c r="E50" s="63"/>
      <c r="F50" s="63"/>
      <c r="G50" s="858">
        <f t="shared" ref="G50:M50" si="18">G9</f>
        <v>2024</v>
      </c>
      <c r="H50" s="858">
        <f t="shared" si="18"/>
        <v>2025</v>
      </c>
      <c r="I50" s="859">
        <f t="shared" si="18"/>
        <v>2026</v>
      </c>
      <c r="J50" s="859">
        <f t="shared" si="18"/>
        <v>2027</v>
      </c>
      <c r="K50" s="859">
        <f t="shared" si="18"/>
        <v>2028</v>
      </c>
      <c r="L50" s="859">
        <f t="shared" si="18"/>
        <v>2029</v>
      </c>
      <c r="M50" s="859">
        <f t="shared" si="18"/>
        <v>2030</v>
      </c>
      <c r="N50" s="679"/>
      <c r="O50" s="119"/>
      <c r="P50" s="30"/>
      <c r="Q50" s="220"/>
      <c r="R50" s="220"/>
      <c r="S50" s="220"/>
      <c r="T50" s="220"/>
      <c r="U50" s="220"/>
      <c r="V50" s="220"/>
      <c r="W50" s="220"/>
      <c r="X50" s="220"/>
      <c r="Y50" s="220"/>
      <c r="Z50" s="220"/>
      <c r="AA50" s="220"/>
      <c r="AB50" s="220"/>
      <c r="AC50" s="220"/>
      <c r="AD50" s="220"/>
      <c r="AE50" s="220"/>
    </row>
    <row r="51" ht="13.5" customHeight="1">
      <c r="A51" s="814">
        <f t="shared" si="2"/>
        <v>51</v>
      </c>
      <c r="B51" s="63" t="s">
        <v>675</v>
      </c>
      <c r="C51" s="63"/>
      <c r="D51" s="63"/>
      <c r="E51" s="63"/>
      <c r="F51" s="63"/>
      <c r="G51" s="543">
        <f t="shared" ref="G51:M51" si="19">G10</f>
        <v>2025</v>
      </c>
      <c r="H51" s="543">
        <f t="shared" si="19"/>
        <v>2026</v>
      </c>
      <c r="I51" s="543">
        <f t="shared" si="19"/>
        <v>2027</v>
      </c>
      <c r="J51" s="543">
        <f t="shared" si="19"/>
        <v>2028</v>
      </c>
      <c r="K51" s="543">
        <f t="shared" si="19"/>
        <v>2029</v>
      </c>
      <c r="L51" s="543">
        <f t="shared" si="19"/>
        <v>2030</v>
      </c>
      <c r="M51" s="543">
        <f t="shared" si="19"/>
        <v>2031</v>
      </c>
      <c r="N51" s="679"/>
      <c r="O51" s="119"/>
      <c r="P51" s="30"/>
      <c r="Q51" s="220"/>
      <c r="R51" s="220"/>
      <c r="S51" s="220"/>
      <c r="T51" s="220"/>
      <c r="U51" s="220"/>
      <c r="V51" s="220"/>
      <c r="W51" s="220"/>
      <c r="X51" s="220"/>
      <c r="Y51" s="220"/>
      <c r="Z51" s="220"/>
      <c r="AA51" s="220"/>
      <c r="AB51" s="220"/>
      <c r="AC51" s="220"/>
      <c r="AD51" s="220"/>
      <c r="AE51" s="220"/>
    </row>
    <row r="52" ht="13.5" customHeight="1">
      <c r="A52" s="814">
        <f t="shared" si="2"/>
        <v>52</v>
      </c>
      <c r="B52" s="472" t="s">
        <v>676</v>
      </c>
      <c r="C52" s="860"/>
      <c r="D52" s="860"/>
      <c r="E52" s="860"/>
      <c r="F52" s="860"/>
      <c r="G52" s="860"/>
      <c r="H52" s="860"/>
      <c r="I52" s="861"/>
      <c r="J52" s="861"/>
      <c r="K52" s="861"/>
      <c r="L52" s="861"/>
      <c r="M52" s="861"/>
      <c r="N52" s="679"/>
      <c r="O52" s="119"/>
      <c r="P52" s="30"/>
      <c r="Q52" s="220"/>
      <c r="R52" s="220"/>
      <c r="S52" s="220"/>
      <c r="T52" s="220"/>
      <c r="U52" s="220"/>
      <c r="V52" s="220"/>
      <c r="W52" s="220"/>
      <c r="X52" s="220"/>
      <c r="Y52" s="220"/>
      <c r="Z52" s="220"/>
      <c r="AA52" s="220"/>
      <c r="AB52" s="220"/>
      <c r="AC52" s="220"/>
      <c r="AD52" s="220"/>
      <c r="AE52" s="220"/>
    </row>
    <row r="53" ht="13.5" customHeight="1">
      <c r="A53" s="814">
        <f t="shared" si="2"/>
        <v>53</v>
      </c>
      <c r="B53" s="599" t="s">
        <v>677</v>
      </c>
      <c r="C53" s="460"/>
      <c r="D53" s="460"/>
      <c r="E53" s="477" t="s">
        <v>678</v>
      </c>
      <c r="F53" s="460"/>
      <c r="G53" s="862"/>
      <c r="H53" s="863"/>
      <c r="I53" s="864"/>
      <c r="J53" s="864"/>
      <c r="K53" s="864"/>
      <c r="L53" s="864"/>
      <c r="M53" s="864"/>
      <c r="N53" s="679"/>
      <c r="O53" s="119"/>
      <c r="P53" s="30"/>
      <c r="Q53" s="220"/>
      <c r="R53" s="220"/>
      <c r="S53" s="220"/>
      <c r="T53" s="220"/>
      <c r="U53" s="220"/>
      <c r="V53" s="220"/>
      <c r="W53" s="220"/>
      <c r="X53" s="220"/>
      <c r="Y53" s="220"/>
      <c r="Z53" s="220"/>
      <c r="AA53" s="220"/>
      <c r="AB53" s="220"/>
      <c r="AC53" s="220"/>
      <c r="AD53" s="220"/>
      <c r="AE53" s="220"/>
    </row>
    <row r="54" ht="13.5" customHeight="1">
      <c r="A54" s="814">
        <f t="shared" si="2"/>
        <v>54</v>
      </c>
      <c r="B54" s="460" t="s">
        <v>679</v>
      </c>
      <c r="C54" s="865">
        <v>6426.0</v>
      </c>
      <c r="D54" s="863" t="s">
        <v>625</v>
      </c>
      <c r="E54" s="866"/>
      <c r="F54" s="58"/>
      <c r="G54" s="58"/>
      <c r="H54" s="58"/>
      <c r="I54" s="58"/>
      <c r="J54" s="58"/>
      <c r="K54" s="58"/>
      <c r="L54" s="58"/>
      <c r="M54" s="87"/>
      <c r="N54" s="679"/>
      <c r="O54" s="119"/>
      <c r="P54" s="30"/>
      <c r="Q54" s="220"/>
      <c r="R54" s="220"/>
      <c r="S54" s="220"/>
      <c r="T54" s="220"/>
      <c r="U54" s="220"/>
      <c r="V54" s="220"/>
      <c r="W54" s="220"/>
      <c r="X54" s="220"/>
      <c r="Y54" s="220"/>
      <c r="Z54" s="220"/>
      <c r="AA54" s="220"/>
      <c r="AB54" s="220"/>
      <c r="AC54" s="220"/>
      <c r="AD54" s="220"/>
      <c r="AE54" s="220"/>
    </row>
    <row r="55" ht="13.5" customHeight="1">
      <c r="A55" s="814">
        <f t="shared" si="2"/>
        <v>55</v>
      </c>
      <c r="B55" s="460" t="s">
        <v>680</v>
      </c>
      <c r="C55" s="865">
        <v>6426.0</v>
      </c>
      <c r="D55" s="863" t="s">
        <v>625</v>
      </c>
      <c r="E55" s="866"/>
      <c r="F55" s="58"/>
      <c r="G55" s="58"/>
      <c r="H55" s="58"/>
      <c r="I55" s="58"/>
      <c r="J55" s="58"/>
      <c r="K55" s="58"/>
      <c r="L55" s="58"/>
      <c r="M55" s="87"/>
      <c r="N55" s="679"/>
      <c r="O55" s="119"/>
      <c r="P55" s="30"/>
      <c r="Q55" s="220"/>
      <c r="R55" s="220"/>
      <c r="S55" s="220"/>
      <c r="T55" s="220"/>
      <c r="U55" s="220"/>
      <c r="V55" s="220"/>
      <c r="W55" s="220"/>
      <c r="X55" s="220"/>
      <c r="Y55" s="220"/>
      <c r="Z55" s="220"/>
      <c r="AA55" s="220"/>
      <c r="AB55" s="220"/>
      <c r="AC55" s="220"/>
      <c r="AD55" s="220"/>
      <c r="AE55" s="220"/>
    </row>
    <row r="56" ht="13.5" customHeight="1">
      <c r="A56" s="814">
        <f t="shared" si="2"/>
        <v>56</v>
      </c>
      <c r="B56" s="460" t="s">
        <v>681</v>
      </c>
      <c r="C56" s="867">
        <v>0.63</v>
      </c>
      <c r="D56" s="863"/>
      <c r="E56" s="866"/>
      <c r="F56" s="58"/>
      <c r="G56" s="58"/>
      <c r="H56" s="58"/>
      <c r="I56" s="58"/>
      <c r="J56" s="58"/>
      <c r="K56" s="58"/>
      <c r="L56" s="58"/>
      <c r="M56" s="87"/>
      <c r="N56" s="679"/>
      <c r="O56" s="119"/>
      <c r="P56" s="30"/>
      <c r="Q56" s="220"/>
      <c r="R56" s="220"/>
      <c r="S56" s="220"/>
      <c r="T56" s="220"/>
      <c r="U56" s="220"/>
      <c r="V56" s="220"/>
      <c r="W56" s="220"/>
      <c r="X56" s="220"/>
      <c r="Y56" s="220"/>
      <c r="Z56" s="220"/>
      <c r="AA56" s="220"/>
      <c r="AB56" s="220"/>
      <c r="AC56" s="220"/>
      <c r="AD56" s="220"/>
      <c r="AE56" s="220"/>
    </row>
    <row r="57" ht="13.5" customHeight="1">
      <c r="A57" s="814">
        <f t="shared" si="2"/>
        <v>57</v>
      </c>
      <c r="B57" s="460" t="s">
        <v>682</v>
      </c>
      <c r="C57" s="867">
        <v>0.2</v>
      </c>
      <c r="D57" s="863"/>
      <c r="E57" s="866"/>
      <c r="F57" s="58"/>
      <c r="G57" s="58"/>
      <c r="H57" s="58"/>
      <c r="I57" s="58"/>
      <c r="J57" s="58"/>
      <c r="K57" s="58"/>
      <c r="L57" s="58"/>
      <c r="M57" s="87"/>
      <c r="N57" s="679"/>
      <c r="O57" s="119"/>
      <c r="P57" s="30"/>
      <c r="Q57" s="220"/>
      <c r="R57" s="220"/>
      <c r="S57" s="220"/>
      <c r="T57" s="220"/>
      <c r="U57" s="220"/>
      <c r="V57" s="220"/>
      <c r="W57" s="220"/>
      <c r="X57" s="220"/>
      <c r="Y57" s="220"/>
      <c r="Z57" s="220"/>
      <c r="AA57" s="220"/>
      <c r="AB57" s="220"/>
      <c r="AC57" s="220"/>
      <c r="AD57" s="220"/>
      <c r="AE57" s="220"/>
    </row>
    <row r="58" ht="13.5" customHeight="1">
      <c r="A58" s="814">
        <f t="shared" si="2"/>
        <v>58</v>
      </c>
      <c r="B58" s="460" t="s">
        <v>683</v>
      </c>
      <c r="C58" s="868">
        <f>(C57*C54)+((1-C57)*C55)</f>
        <v>6426</v>
      </c>
      <c r="D58" s="869" t="s">
        <v>684</v>
      </c>
      <c r="E58" s="866"/>
      <c r="F58" s="58"/>
      <c r="G58" s="58"/>
      <c r="H58" s="58"/>
      <c r="I58" s="58"/>
      <c r="J58" s="58"/>
      <c r="K58" s="58"/>
      <c r="L58" s="58"/>
      <c r="M58" s="87"/>
      <c r="N58" s="679"/>
      <c r="O58" s="119"/>
      <c r="P58" s="30"/>
      <c r="Q58" s="220"/>
      <c r="R58" s="220"/>
      <c r="S58" s="220"/>
      <c r="T58" s="220"/>
      <c r="U58" s="220"/>
      <c r="V58" s="220"/>
      <c r="W58" s="220"/>
      <c r="X58" s="220"/>
      <c r="Y58" s="220"/>
      <c r="Z58" s="220"/>
      <c r="AA58" s="220"/>
      <c r="AB58" s="220"/>
      <c r="AC58" s="220"/>
      <c r="AD58" s="220"/>
      <c r="AE58" s="220"/>
    </row>
    <row r="59" ht="13.5" customHeight="1">
      <c r="A59" s="814">
        <f t="shared" si="2"/>
        <v>59</v>
      </c>
      <c r="B59" s="460" t="s">
        <v>685</v>
      </c>
      <c r="C59" s="870">
        <v>0.0145</v>
      </c>
      <c r="D59" s="863" t="s">
        <v>686</v>
      </c>
      <c r="E59" s="866"/>
      <c r="F59" s="58"/>
      <c r="G59" s="58"/>
      <c r="H59" s="58"/>
      <c r="I59" s="58"/>
      <c r="J59" s="58"/>
      <c r="K59" s="58"/>
      <c r="L59" s="58"/>
      <c r="M59" s="87"/>
      <c r="N59" s="679"/>
      <c r="O59" s="119"/>
      <c r="P59" s="30"/>
      <c r="Q59" s="220"/>
      <c r="R59" s="220"/>
      <c r="S59" s="220"/>
      <c r="T59" s="220"/>
      <c r="U59" s="220"/>
      <c r="V59" s="220"/>
      <c r="W59" s="220"/>
      <c r="X59" s="220"/>
      <c r="Y59" s="220"/>
      <c r="Z59" s="220"/>
      <c r="AA59" s="220"/>
      <c r="AB59" s="220"/>
      <c r="AC59" s="220"/>
      <c r="AD59" s="220"/>
      <c r="AE59" s="220"/>
    </row>
    <row r="60" ht="13.5" customHeight="1">
      <c r="A60" s="814">
        <f t="shared" si="2"/>
        <v>60</v>
      </c>
      <c r="B60" s="460" t="s">
        <v>687</v>
      </c>
      <c r="C60" s="871">
        <v>0.2975</v>
      </c>
      <c r="D60" s="863" t="s">
        <v>686</v>
      </c>
      <c r="E60" s="866"/>
      <c r="F60" s="58"/>
      <c r="G60" s="58"/>
      <c r="H60" s="58"/>
      <c r="I60" s="58"/>
      <c r="J60" s="58"/>
      <c r="K60" s="58"/>
      <c r="L60" s="58"/>
      <c r="M60" s="87"/>
      <c r="N60" s="679"/>
      <c r="O60" s="119"/>
      <c r="P60" s="30"/>
      <c r="Q60" s="220"/>
      <c r="R60" s="220"/>
      <c r="S60" s="220"/>
      <c r="T60" s="220"/>
      <c r="U60" s="220"/>
      <c r="V60" s="220"/>
      <c r="W60" s="220"/>
      <c r="X60" s="220"/>
      <c r="Y60" s="220"/>
      <c r="Z60" s="220"/>
      <c r="AA60" s="220"/>
      <c r="AB60" s="220"/>
      <c r="AC60" s="220"/>
      <c r="AD60" s="220"/>
      <c r="AE60" s="220"/>
    </row>
    <row r="61" ht="13.5" customHeight="1">
      <c r="A61" s="814">
        <f t="shared" si="2"/>
        <v>61</v>
      </c>
      <c r="B61" s="460" t="s">
        <v>688</v>
      </c>
      <c r="C61" s="871">
        <v>0.00135</v>
      </c>
      <c r="D61" s="863" t="s">
        <v>686</v>
      </c>
      <c r="E61" s="866"/>
      <c r="F61" s="58"/>
      <c r="G61" s="58"/>
      <c r="H61" s="58"/>
      <c r="I61" s="58"/>
      <c r="J61" s="58"/>
      <c r="K61" s="58"/>
      <c r="L61" s="58"/>
      <c r="M61" s="87"/>
      <c r="N61" s="679"/>
      <c r="O61" s="119"/>
      <c r="P61" s="30"/>
      <c r="Q61" s="220"/>
      <c r="R61" s="220"/>
      <c r="S61" s="220"/>
      <c r="T61" s="220"/>
      <c r="U61" s="220"/>
      <c r="V61" s="220"/>
      <c r="W61" s="220"/>
      <c r="X61" s="220"/>
      <c r="Y61" s="220"/>
      <c r="Z61" s="220"/>
      <c r="AA61" s="220"/>
      <c r="AB61" s="220"/>
      <c r="AC61" s="220"/>
      <c r="AD61" s="220"/>
      <c r="AE61" s="220"/>
    </row>
    <row r="62" ht="13.5" customHeight="1">
      <c r="A62" s="814">
        <f t="shared" si="2"/>
        <v>62</v>
      </c>
      <c r="B62" s="460" t="s">
        <v>689</v>
      </c>
      <c r="C62" s="872">
        <v>0.0</v>
      </c>
      <c r="D62" s="869" t="s">
        <v>690</v>
      </c>
      <c r="E62" s="866"/>
      <c r="F62" s="58"/>
      <c r="G62" s="58"/>
      <c r="H62" s="58"/>
      <c r="I62" s="58"/>
      <c r="J62" s="58"/>
      <c r="K62" s="58"/>
      <c r="L62" s="58"/>
      <c r="M62" s="87"/>
      <c r="N62" s="679"/>
      <c r="O62" s="119"/>
      <c r="P62" s="30"/>
      <c r="Q62" s="220"/>
      <c r="R62" s="220"/>
      <c r="S62" s="220"/>
      <c r="T62" s="220"/>
      <c r="U62" s="220"/>
      <c r="V62" s="220"/>
      <c r="W62" s="220"/>
      <c r="X62" s="220"/>
      <c r="Y62" s="220"/>
      <c r="Z62" s="220"/>
      <c r="AA62" s="220"/>
      <c r="AB62" s="220"/>
      <c r="AC62" s="220"/>
      <c r="AD62" s="220"/>
      <c r="AE62" s="220"/>
    </row>
    <row r="63" ht="13.5" customHeight="1">
      <c r="A63" s="814">
        <f t="shared" si="2"/>
        <v>63</v>
      </c>
      <c r="B63" s="460" t="s">
        <v>691</v>
      </c>
      <c r="C63" s="871">
        <v>0.01</v>
      </c>
      <c r="D63" s="863" t="s">
        <v>686</v>
      </c>
      <c r="E63" s="866"/>
      <c r="F63" s="58"/>
      <c r="G63" s="58"/>
      <c r="H63" s="58"/>
      <c r="I63" s="58"/>
      <c r="J63" s="58"/>
      <c r="K63" s="58"/>
      <c r="L63" s="58"/>
      <c r="M63" s="87"/>
      <c r="N63" s="679"/>
      <c r="O63" s="119"/>
      <c r="P63" s="30"/>
      <c r="Q63" s="220"/>
      <c r="R63" s="220"/>
      <c r="S63" s="220"/>
      <c r="T63" s="220"/>
      <c r="U63" s="220"/>
      <c r="V63" s="220"/>
      <c r="W63" s="220"/>
      <c r="X63" s="220"/>
      <c r="Y63" s="220"/>
      <c r="Z63" s="220"/>
      <c r="AA63" s="220"/>
      <c r="AB63" s="220"/>
      <c r="AC63" s="220"/>
      <c r="AD63" s="220"/>
      <c r="AE63" s="220"/>
    </row>
    <row r="64" ht="13.5" customHeight="1">
      <c r="A64" s="814">
        <f t="shared" si="2"/>
        <v>64</v>
      </c>
      <c r="B64" s="460" t="s">
        <v>692</v>
      </c>
      <c r="C64" s="871">
        <v>0.0028</v>
      </c>
      <c r="D64" s="863" t="s">
        <v>686</v>
      </c>
      <c r="E64" s="866"/>
      <c r="F64" s="58"/>
      <c r="G64" s="58"/>
      <c r="H64" s="58"/>
      <c r="I64" s="58"/>
      <c r="J64" s="58"/>
      <c r="K64" s="58"/>
      <c r="L64" s="58"/>
      <c r="M64" s="87"/>
      <c r="N64" s="679"/>
      <c r="O64" s="119"/>
      <c r="P64" s="30"/>
      <c r="Q64" s="220"/>
      <c r="R64" s="220"/>
      <c r="S64" s="220"/>
      <c r="T64" s="220"/>
      <c r="U64" s="220"/>
      <c r="V64" s="220"/>
      <c r="W64" s="220"/>
      <c r="X64" s="220"/>
      <c r="Y64" s="220"/>
      <c r="Z64" s="220"/>
      <c r="AA64" s="220"/>
      <c r="AB64" s="220"/>
      <c r="AC64" s="220"/>
      <c r="AD64" s="220"/>
      <c r="AE64" s="220"/>
    </row>
    <row r="65" ht="13.5" customHeight="1">
      <c r="A65" s="814">
        <f t="shared" si="2"/>
        <v>65</v>
      </c>
      <c r="B65" s="460"/>
      <c r="C65" s="873"/>
      <c r="D65" s="863"/>
      <c r="E65" s="866"/>
      <c r="F65" s="58"/>
      <c r="G65" s="58"/>
      <c r="H65" s="58"/>
      <c r="I65" s="58"/>
      <c r="J65" s="58"/>
      <c r="K65" s="58"/>
      <c r="L65" s="58"/>
      <c r="M65" s="87"/>
      <c r="N65" s="679"/>
      <c r="O65" s="119"/>
      <c r="P65" s="30"/>
      <c r="Q65" s="220"/>
      <c r="R65" s="220"/>
      <c r="S65" s="220"/>
      <c r="T65" s="220"/>
      <c r="U65" s="220"/>
      <c r="V65" s="220"/>
      <c r="W65" s="220"/>
      <c r="X65" s="220"/>
      <c r="Y65" s="220"/>
      <c r="Z65" s="220"/>
      <c r="AA65" s="220"/>
      <c r="AB65" s="220"/>
      <c r="AC65" s="220"/>
      <c r="AD65" s="220"/>
      <c r="AE65" s="220"/>
    </row>
    <row r="66" ht="13.5" customHeight="1">
      <c r="A66" s="814">
        <f t="shared" si="2"/>
        <v>66</v>
      </c>
      <c r="B66" s="460" t="s">
        <v>326</v>
      </c>
      <c r="C66" s="865">
        <v>43.0</v>
      </c>
      <c r="D66" s="863" t="s">
        <v>693</v>
      </c>
      <c r="E66" s="866"/>
      <c r="F66" s="58"/>
      <c r="G66" s="58"/>
      <c r="H66" s="58"/>
      <c r="I66" s="58"/>
      <c r="J66" s="58"/>
      <c r="K66" s="58"/>
      <c r="L66" s="58"/>
      <c r="M66" s="87"/>
      <c r="N66" s="679"/>
      <c r="O66" s="119"/>
      <c r="P66" s="30"/>
      <c r="Q66" s="220"/>
      <c r="R66" s="220"/>
      <c r="S66" s="220"/>
      <c r="T66" s="220"/>
      <c r="U66" s="220"/>
      <c r="V66" s="220"/>
      <c r="W66" s="220"/>
      <c r="X66" s="220"/>
      <c r="Y66" s="220"/>
      <c r="Z66" s="220"/>
      <c r="AA66" s="220"/>
      <c r="AB66" s="220"/>
      <c r="AC66" s="220"/>
      <c r="AD66" s="220"/>
      <c r="AE66" s="220"/>
    </row>
    <row r="67" ht="13.5" customHeight="1">
      <c r="A67" s="814">
        <f t="shared" si="2"/>
        <v>67</v>
      </c>
      <c r="B67" s="460" t="s">
        <v>694</v>
      </c>
      <c r="C67" s="874" t="s">
        <v>695</v>
      </c>
      <c r="D67" s="863"/>
      <c r="E67" s="866"/>
      <c r="F67" s="58"/>
      <c r="G67" s="58"/>
      <c r="H67" s="58"/>
      <c r="I67" s="58"/>
      <c r="J67" s="58"/>
      <c r="K67" s="58"/>
      <c r="L67" s="58"/>
      <c r="M67" s="87"/>
      <c r="N67" s="679"/>
      <c r="O67" s="119"/>
      <c r="P67" s="30"/>
      <c r="Q67" s="220"/>
      <c r="R67" s="220"/>
      <c r="S67" s="220"/>
      <c r="T67" s="220"/>
      <c r="U67" s="220"/>
      <c r="V67" s="220"/>
      <c r="W67" s="220"/>
      <c r="X67" s="220"/>
      <c r="Y67" s="220"/>
      <c r="Z67" s="220"/>
      <c r="AA67" s="220"/>
      <c r="AB67" s="220"/>
      <c r="AC67" s="220"/>
      <c r="AD67" s="220"/>
      <c r="AE67" s="220"/>
    </row>
    <row r="68" ht="13.5" customHeight="1">
      <c r="A68" s="814">
        <f t="shared" si="2"/>
        <v>68</v>
      </c>
      <c r="B68" s="477" t="s">
        <v>696</v>
      </c>
      <c r="C68" s="875">
        <f>+' Enrol &amp; Rev'!C97</f>
        <v>0.02</v>
      </c>
      <c r="D68" s="460" t="s">
        <v>697</v>
      </c>
      <c r="E68" s="477"/>
      <c r="F68" s="477"/>
      <c r="G68" s="479"/>
      <c r="H68" s="479"/>
      <c r="I68" s="99"/>
      <c r="J68" s="99"/>
      <c r="K68" s="99"/>
      <c r="L68" s="99"/>
      <c r="M68" s="99"/>
      <c r="N68" s="679"/>
      <c r="O68" s="119"/>
      <c r="P68" s="30"/>
      <c r="Q68" s="220"/>
      <c r="R68" s="220"/>
      <c r="S68" s="220"/>
      <c r="T68" s="220"/>
      <c r="U68" s="220"/>
      <c r="V68" s="220"/>
      <c r="W68" s="220"/>
      <c r="X68" s="220"/>
      <c r="Y68" s="220"/>
      <c r="Z68" s="220"/>
      <c r="AA68" s="220"/>
      <c r="AB68" s="220"/>
      <c r="AC68" s="220"/>
      <c r="AD68" s="220"/>
      <c r="AE68" s="220"/>
    </row>
    <row r="69" ht="13.5" customHeight="1">
      <c r="A69" s="814">
        <f t="shared" si="2"/>
        <v>69</v>
      </c>
      <c r="B69" s="30"/>
      <c r="C69" s="30"/>
      <c r="D69" s="30"/>
      <c r="E69" s="30"/>
      <c r="F69" s="30"/>
      <c r="G69" s="30"/>
      <c r="H69" s="30"/>
      <c r="I69" s="30"/>
      <c r="J69" s="30"/>
      <c r="K69" s="30"/>
      <c r="L69" s="30"/>
      <c r="M69" s="30"/>
      <c r="N69" s="679"/>
      <c r="O69" s="119"/>
      <c r="P69" s="30"/>
      <c r="Q69" s="220"/>
      <c r="R69" s="220"/>
      <c r="S69" s="220"/>
      <c r="T69" s="220"/>
      <c r="U69" s="220"/>
      <c r="V69" s="220"/>
      <c r="W69" s="220"/>
      <c r="X69" s="220"/>
      <c r="Y69" s="220"/>
      <c r="Z69" s="220"/>
      <c r="AA69" s="220"/>
      <c r="AB69" s="220"/>
      <c r="AC69" s="220"/>
      <c r="AD69" s="220"/>
      <c r="AE69" s="220"/>
    </row>
    <row r="70" ht="13.5" customHeight="1">
      <c r="A70" s="814">
        <f t="shared" si="2"/>
        <v>70</v>
      </c>
      <c r="B70" s="30" t="s">
        <v>698</v>
      </c>
      <c r="C70" s="876">
        <v>182.0</v>
      </c>
      <c r="D70" s="589" t="s">
        <v>699</v>
      </c>
      <c r="E70" s="388"/>
      <c r="F70" s="388"/>
      <c r="G70" s="30"/>
      <c r="H70" s="479"/>
      <c r="I70" s="99"/>
      <c r="J70" s="99"/>
      <c r="K70" s="99"/>
      <c r="L70" s="99"/>
      <c r="M70" s="99"/>
      <c r="N70" s="679"/>
      <c r="O70" s="119"/>
      <c r="P70" s="30"/>
      <c r="Q70" s="220"/>
      <c r="R70" s="220"/>
      <c r="S70" s="220"/>
      <c r="T70" s="220"/>
      <c r="U70" s="220"/>
      <c r="V70" s="220"/>
      <c r="W70" s="220"/>
      <c r="X70" s="220"/>
      <c r="Y70" s="220"/>
      <c r="Z70" s="220"/>
      <c r="AA70" s="220"/>
      <c r="AB70" s="220"/>
      <c r="AC70" s="220"/>
      <c r="AD70" s="220"/>
      <c r="AE70" s="220"/>
    </row>
    <row r="71" ht="13.5" customHeight="1">
      <c r="A71" s="814">
        <f t="shared" si="2"/>
        <v>71</v>
      </c>
      <c r="B71" s="460" t="s">
        <v>700</v>
      </c>
      <c r="C71" s="877">
        <v>0.0</v>
      </c>
      <c r="D71" s="131"/>
      <c r="E71" s="131"/>
      <c r="F71" s="131"/>
      <c r="G71" s="30"/>
      <c r="H71" s="460"/>
      <c r="I71" s="30"/>
      <c r="J71" s="30"/>
      <c r="K71" s="30"/>
      <c r="L71" s="30"/>
      <c r="M71" s="30"/>
      <c r="N71" s="679"/>
      <c r="O71" s="119"/>
      <c r="P71" s="30"/>
      <c r="Q71" s="220"/>
      <c r="R71" s="220"/>
      <c r="S71" s="220"/>
      <c r="T71" s="220"/>
      <c r="U71" s="220"/>
      <c r="V71" s="220"/>
      <c r="W71" s="220"/>
      <c r="X71" s="220"/>
      <c r="Y71" s="220"/>
      <c r="Z71" s="220"/>
      <c r="AA71" s="220"/>
      <c r="AB71" s="220"/>
      <c r="AC71" s="220"/>
      <c r="AD71" s="220"/>
      <c r="AE71" s="220"/>
    </row>
    <row r="72" ht="13.5" customHeight="1">
      <c r="A72" s="814">
        <f t="shared" si="2"/>
        <v>72</v>
      </c>
      <c r="B72" s="460" t="s">
        <v>701</v>
      </c>
      <c r="C72" s="877">
        <v>0.0</v>
      </c>
      <c r="D72" s="131"/>
      <c r="E72" s="131"/>
      <c r="F72" s="131"/>
      <c r="G72" s="30"/>
      <c r="H72" s="460"/>
      <c r="I72" s="30"/>
      <c r="J72" s="30"/>
      <c r="K72" s="30"/>
      <c r="L72" s="30"/>
      <c r="M72" s="30"/>
      <c r="N72" s="679"/>
      <c r="O72" s="119"/>
      <c r="P72" s="30"/>
      <c r="Q72" s="220"/>
      <c r="R72" s="220"/>
      <c r="S72" s="220"/>
      <c r="T72" s="220"/>
      <c r="U72" s="220"/>
      <c r="V72" s="220"/>
      <c r="W72" s="220"/>
      <c r="X72" s="220"/>
      <c r="Y72" s="220"/>
      <c r="Z72" s="220"/>
      <c r="AA72" s="220"/>
      <c r="AB72" s="220"/>
      <c r="AC72" s="220"/>
      <c r="AD72" s="220"/>
      <c r="AE72" s="220"/>
    </row>
    <row r="73" ht="13.5" customHeight="1">
      <c r="A73" s="814">
        <f t="shared" si="2"/>
        <v>73</v>
      </c>
      <c r="B73" s="460" t="s">
        <v>702</v>
      </c>
      <c r="C73" s="878">
        <v>0.0</v>
      </c>
      <c r="D73" s="819"/>
      <c r="E73" s="819"/>
      <c r="F73" s="819"/>
      <c r="G73" s="30"/>
      <c r="H73" s="460"/>
      <c r="I73" s="30"/>
      <c r="J73" s="30"/>
      <c r="K73" s="30"/>
      <c r="L73" s="30"/>
      <c r="M73" s="30"/>
      <c r="N73" s="679"/>
      <c r="O73" s="119"/>
      <c r="P73" s="30"/>
      <c r="Q73" s="220"/>
      <c r="R73" s="220"/>
      <c r="S73" s="220"/>
      <c r="T73" s="220"/>
      <c r="U73" s="220"/>
      <c r="V73" s="220"/>
      <c r="W73" s="220"/>
      <c r="X73" s="220"/>
      <c r="Y73" s="220"/>
      <c r="Z73" s="220"/>
      <c r="AA73" s="220"/>
      <c r="AB73" s="220"/>
      <c r="AC73" s="220"/>
      <c r="AD73" s="220"/>
      <c r="AE73" s="220"/>
    </row>
    <row r="74" ht="13.5" customHeight="1">
      <c r="A74" s="814">
        <f t="shared" si="2"/>
        <v>74</v>
      </c>
      <c r="B74" s="30"/>
      <c r="C74" s="30"/>
      <c r="D74" s="30"/>
      <c r="E74" s="30"/>
      <c r="F74" s="30"/>
      <c r="G74" s="30"/>
      <c r="H74" s="833"/>
      <c r="I74" s="833"/>
      <c r="J74" s="833"/>
      <c r="K74" s="30"/>
      <c r="L74" s="30"/>
      <c r="M74" s="30"/>
      <c r="N74" s="679"/>
      <c r="O74" s="119"/>
      <c r="P74" s="30"/>
      <c r="Q74" s="220"/>
      <c r="R74" s="220"/>
      <c r="S74" s="220"/>
      <c r="T74" s="220"/>
      <c r="U74" s="220"/>
      <c r="V74" s="220"/>
      <c r="W74" s="220"/>
      <c r="X74" s="220"/>
      <c r="Y74" s="220"/>
      <c r="Z74" s="220"/>
      <c r="AA74" s="220"/>
      <c r="AB74" s="220"/>
      <c r="AC74" s="220"/>
      <c r="AD74" s="220"/>
      <c r="AE74" s="220"/>
    </row>
    <row r="75" ht="13.5" customHeight="1">
      <c r="A75" s="814">
        <f t="shared" si="2"/>
        <v>75</v>
      </c>
      <c r="B75" s="30"/>
      <c r="C75" s="30"/>
      <c r="D75" s="30"/>
      <c r="E75" s="30"/>
      <c r="F75" s="30"/>
      <c r="G75" s="94" t="s">
        <v>703</v>
      </c>
      <c r="H75" s="833"/>
      <c r="I75" s="833"/>
      <c r="J75" s="833"/>
      <c r="K75" s="30"/>
      <c r="L75" s="30"/>
      <c r="M75" s="30"/>
      <c r="N75" s="679"/>
      <c r="O75" s="119"/>
      <c r="P75" s="30"/>
      <c r="Q75" s="220"/>
      <c r="R75" s="220"/>
      <c r="S75" s="220"/>
      <c r="T75" s="220"/>
      <c r="U75" s="220"/>
      <c r="V75" s="220"/>
      <c r="W75" s="220"/>
      <c r="X75" s="220"/>
      <c r="Y75" s="220"/>
      <c r="Z75" s="220"/>
      <c r="AA75" s="220"/>
      <c r="AB75" s="220"/>
      <c r="AC75" s="220"/>
      <c r="AD75" s="220"/>
      <c r="AE75" s="220"/>
    </row>
    <row r="76" ht="13.5" customHeight="1" outlineLevel="1">
      <c r="A76" s="814">
        <f t="shared" si="2"/>
        <v>76</v>
      </c>
      <c r="B76" s="30"/>
      <c r="C76" s="99" t="s">
        <v>704</v>
      </c>
      <c r="D76" s="99" t="s">
        <v>705</v>
      </c>
      <c r="E76" s="99"/>
      <c r="F76" s="99"/>
      <c r="G76" s="30"/>
      <c r="H76" s="833"/>
      <c r="I76" s="833"/>
      <c r="J76" s="833"/>
      <c r="K76" s="30"/>
      <c r="L76" s="30"/>
      <c r="M76" s="30"/>
      <c r="N76" s="679"/>
      <c r="O76" s="119"/>
      <c r="P76" s="30"/>
      <c r="Q76" s="220"/>
      <c r="R76" s="220"/>
      <c r="S76" s="220"/>
      <c r="T76" s="220"/>
      <c r="U76" s="220"/>
      <c r="V76" s="220"/>
      <c r="W76" s="220"/>
      <c r="X76" s="220"/>
      <c r="Y76" s="220"/>
      <c r="Z76" s="220"/>
      <c r="AA76" s="220"/>
      <c r="AB76" s="220"/>
      <c r="AC76" s="220"/>
      <c r="AD76" s="220"/>
      <c r="AE76" s="220"/>
    </row>
    <row r="77" ht="13.5" customHeight="1" outlineLevel="1">
      <c r="A77" s="879">
        <f t="shared" si="2"/>
        <v>77</v>
      </c>
      <c r="B77" s="880" t="s">
        <v>706</v>
      </c>
      <c r="C77" s="81">
        <f>' Enrol &amp; Rev'!$G$10</f>
        <v>2025</v>
      </c>
      <c r="D77" s="881" t="s">
        <v>707</v>
      </c>
      <c r="E77" s="882"/>
      <c r="F77" s="882"/>
      <c r="G77" s="30"/>
      <c r="H77" s="30"/>
      <c r="I77" s="882"/>
      <c r="J77" s="882"/>
      <c r="K77" s="30"/>
      <c r="L77" s="30"/>
      <c r="M77" s="30"/>
      <c r="N77" s="679"/>
      <c r="O77" s="119"/>
      <c r="P77" s="30"/>
      <c r="Q77" s="220"/>
      <c r="R77" s="220"/>
      <c r="S77" s="220"/>
      <c r="T77" s="220"/>
      <c r="U77" s="220"/>
      <c r="V77" s="220"/>
      <c r="W77" s="220"/>
      <c r="X77" s="220"/>
      <c r="Y77" s="220"/>
      <c r="Z77" s="220"/>
      <c r="AA77" s="220"/>
      <c r="AB77" s="220"/>
      <c r="AC77" s="220"/>
      <c r="AD77" s="220"/>
      <c r="AE77" s="220"/>
    </row>
    <row r="78" ht="13.5" customHeight="1" outlineLevel="1">
      <c r="A78" s="814">
        <f t="shared" si="2"/>
        <v>78</v>
      </c>
      <c r="B78" s="883" t="s">
        <v>708</v>
      </c>
      <c r="C78" s="884"/>
      <c r="D78" s="885"/>
      <c r="E78" s="886"/>
      <c r="F78" s="886"/>
      <c r="G78" s="887" t="str">
        <f>+B78&amp;" "&amp;"(Enter automatically or manually, hard code)"</f>
        <v>FTE Count &amp; Hiring Timing  (Enter automatically or manually, hard code)</v>
      </c>
      <c r="H78" s="888"/>
      <c r="I78" s="886"/>
      <c r="J78" s="886"/>
      <c r="K78" s="888"/>
      <c r="L78" s="888"/>
      <c r="M78" s="888"/>
      <c r="N78" s="679"/>
      <c r="O78" s="50" t="s">
        <v>709</v>
      </c>
      <c r="P78" s="30"/>
      <c r="Q78" s="220"/>
      <c r="R78" s="220"/>
      <c r="S78" s="220"/>
      <c r="T78" s="220"/>
      <c r="U78" s="220"/>
      <c r="V78" s="220"/>
      <c r="W78" s="220"/>
      <c r="X78" s="220"/>
      <c r="Y78" s="220"/>
      <c r="Z78" s="220"/>
      <c r="AA78" s="220"/>
      <c r="AB78" s="220"/>
      <c r="AC78" s="220"/>
      <c r="AD78" s="220"/>
      <c r="AE78" s="220"/>
    </row>
    <row r="79" ht="13.5" customHeight="1" outlineLevel="1">
      <c r="A79" s="814">
        <f t="shared" si="2"/>
        <v>79</v>
      </c>
      <c r="B79" s="36" t="s">
        <v>710</v>
      </c>
      <c r="C79" s="81" t="s">
        <v>704</v>
      </c>
      <c r="D79" s="81"/>
      <c r="E79" s="81"/>
      <c r="F79" s="81"/>
      <c r="G79" s="34"/>
      <c r="H79" s="81"/>
      <c r="I79" s="81"/>
      <c r="J79" s="81"/>
      <c r="K79" s="34"/>
      <c r="L79" s="34"/>
      <c r="M79" s="34"/>
      <c r="N79" s="679"/>
      <c r="O79" s="889" t="s">
        <v>711</v>
      </c>
      <c r="P79" s="30"/>
      <c r="Q79" s="220"/>
      <c r="R79" s="220"/>
      <c r="S79" s="220"/>
      <c r="T79" s="220"/>
      <c r="U79" s="220"/>
      <c r="V79" s="220"/>
      <c r="W79" s="220"/>
      <c r="X79" s="220"/>
      <c r="Y79" s="220"/>
      <c r="Z79" s="220"/>
      <c r="AA79" s="220"/>
      <c r="AB79" s="220"/>
      <c r="AC79" s="220"/>
      <c r="AD79" s="220"/>
      <c r="AE79" s="220"/>
    </row>
    <row r="80" ht="13.5" customHeight="1" outlineLevel="1">
      <c r="A80" s="814">
        <f t="shared" si="2"/>
        <v>80</v>
      </c>
      <c r="B80" s="890" t="s">
        <v>712</v>
      </c>
      <c r="C80" s="891">
        <v>2025.0</v>
      </c>
      <c r="D80" s="892">
        <v>114117.0</v>
      </c>
      <c r="E80" s="893"/>
      <c r="F80" s="893"/>
      <c r="G80" s="894">
        <f t="shared" ref="G80:M80" si="20">IF($C80&lt;=G$10,1,0)</f>
        <v>1</v>
      </c>
      <c r="H80" s="894">
        <f t="shared" si="20"/>
        <v>1</v>
      </c>
      <c r="I80" s="894">
        <f t="shared" si="20"/>
        <v>1</v>
      </c>
      <c r="J80" s="894">
        <f t="shared" si="20"/>
        <v>1</v>
      </c>
      <c r="K80" s="894">
        <f t="shared" si="20"/>
        <v>1</v>
      </c>
      <c r="L80" s="894">
        <f t="shared" si="20"/>
        <v>1</v>
      </c>
      <c r="M80" s="894">
        <f t="shared" si="20"/>
        <v>1</v>
      </c>
      <c r="N80" s="679"/>
      <c r="O80" s="119"/>
      <c r="P80" s="30"/>
      <c r="Q80" s="220"/>
      <c r="R80" s="220"/>
      <c r="S80" s="220"/>
      <c r="T80" s="220"/>
      <c r="U80" s="220"/>
      <c r="V80" s="220"/>
      <c r="W80" s="220"/>
      <c r="X80" s="220"/>
      <c r="Y80" s="220"/>
      <c r="Z80" s="220"/>
      <c r="AA80" s="220"/>
      <c r="AB80" s="220"/>
      <c r="AC80" s="220"/>
      <c r="AD80" s="220"/>
      <c r="AE80" s="220"/>
    </row>
    <row r="81" ht="13.5" customHeight="1" outlineLevel="1">
      <c r="A81" s="814">
        <f t="shared" si="2"/>
        <v>81</v>
      </c>
      <c r="B81" s="895" t="s">
        <v>713</v>
      </c>
      <c r="C81" s="896">
        <v>2025.0</v>
      </c>
      <c r="D81" s="897">
        <v>94936.0</v>
      </c>
      <c r="E81" s="782"/>
      <c r="F81" s="782"/>
      <c r="G81" s="898">
        <f t="shared" ref="G81:M81" si="21">IF($C81&lt;=G$10,1,0)</f>
        <v>1</v>
      </c>
      <c r="H81" s="898">
        <f t="shared" si="21"/>
        <v>1</v>
      </c>
      <c r="I81" s="898">
        <f t="shared" si="21"/>
        <v>1</v>
      </c>
      <c r="J81" s="898">
        <f t="shared" si="21"/>
        <v>1</v>
      </c>
      <c r="K81" s="898">
        <f t="shared" si="21"/>
        <v>1</v>
      </c>
      <c r="L81" s="898">
        <f t="shared" si="21"/>
        <v>1</v>
      </c>
      <c r="M81" s="898">
        <f t="shared" si="21"/>
        <v>1</v>
      </c>
      <c r="N81" s="679"/>
      <c r="O81" s="119"/>
      <c r="P81" s="30"/>
      <c r="Q81" s="220"/>
      <c r="R81" s="220"/>
      <c r="S81" s="220"/>
      <c r="T81" s="220"/>
      <c r="U81" s="220"/>
      <c r="V81" s="220"/>
      <c r="W81" s="220"/>
      <c r="X81" s="220"/>
      <c r="Y81" s="220"/>
      <c r="Z81" s="220"/>
      <c r="AA81" s="220"/>
      <c r="AB81" s="220"/>
      <c r="AC81" s="220"/>
      <c r="AD81" s="220"/>
      <c r="AE81" s="220"/>
    </row>
    <row r="82" ht="13.5" customHeight="1" outlineLevel="1">
      <c r="A82" s="814">
        <f t="shared" si="2"/>
        <v>82</v>
      </c>
      <c r="B82" s="899" t="s">
        <v>714</v>
      </c>
      <c r="C82" s="896">
        <v>2025.0</v>
      </c>
      <c r="D82" s="897">
        <v>175526.0</v>
      </c>
      <c r="E82" s="782"/>
      <c r="F82" s="782"/>
      <c r="G82" s="898">
        <f t="shared" ref="G82:M82" si="22">IF($C82&lt;=G$10,1,0)</f>
        <v>1</v>
      </c>
      <c r="H82" s="898">
        <f t="shared" si="22"/>
        <v>1</v>
      </c>
      <c r="I82" s="898">
        <f t="shared" si="22"/>
        <v>1</v>
      </c>
      <c r="J82" s="898">
        <f t="shared" si="22"/>
        <v>1</v>
      </c>
      <c r="K82" s="898">
        <f t="shared" si="22"/>
        <v>1</v>
      </c>
      <c r="L82" s="898">
        <f t="shared" si="22"/>
        <v>1</v>
      </c>
      <c r="M82" s="898">
        <f t="shared" si="22"/>
        <v>1</v>
      </c>
      <c r="N82" s="30"/>
      <c r="O82" s="119"/>
      <c r="P82" s="30"/>
      <c r="Q82" s="220"/>
      <c r="R82" s="220"/>
      <c r="S82" s="220"/>
      <c r="T82" s="220"/>
      <c r="U82" s="220"/>
      <c r="V82" s="220"/>
      <c r="W82" s="220"/>
      <c r="X82" s="220"/>
      <c r="Y82" s="220"/>
      <c r="Z82" s="220"/>
      <c r="AA82" s="220"/>
      <c r="AB82" s="220"/>
      <c r="AC82" s="220"/>
      <c r="AD82" s="220"/>
      <c r="AE82" s="220"/>
    </row>
    <row r="83" ht="13.5" customHeight="1" outlineLevel="1">
      <c r="A83" s="814">
        <f t="shared" si="2"/>
        <v>83</v>
      </c>
      <c r="B83" s="900"/>
      <c r="C83" s="901" t="s">
        <v>715</v>
      </c>
      <c r="D83" s="756">
        <v>0.0</v>
      </c>
      <c r="E83" s="782"/>
      <c r="F83" s="782"/>
      <c r="G83" s="898">
        <f t="shared" ref="G83:M83" si="23">IF($C83&lt;=G$10,1,0)</f>
        <v>0</v>
      </c>
      <c r="H83" s="898">
        <f t="shared" si="23"/>
        <v>0</v>
      </c>
      <c r="I83" s="898">
        <f t="shared" si="23"/>
        <v>0</v>
      </c>
      <c r="J83" s="898">
        <f t="shared" si="23"/>
        <v>0</v>
      </c>
      <c r="K83" s="898">
        <f t="shared" si="23"/>
        <v>0</v>
      </c>
      <c r="L83" s="898">
        <f t="shared" si="23"/>
        <v>0</v>
      </c>
      <c r="M83" s="898">
        <f t="shared" si="23"/>
        <v>0</v>
      </c>
      <c r="N83" s="30"/>
      <c r="O83" s="119"/>
      <c r="P83" s="30"/>
      <c r="Q83" s="220"/>
      <c r="R83" s="220"/>
      <c r="S83" s="220"/>
      <c r="T83" s="220"/>
      <c r="U83" s="220"/>
      <c r="V83" s="220"/>
      <c r="W83" s="220"/>
      <c r="X83" s="220"/>
      <c r="Y83" s="220"/>
      <c r="Z83" s="220"/>
      <c r="AA83" s="220"/>
      <c r="AB83" s="220"/>
      <c r="AC83" s="220"/>
      <c r="AD83" s="220"/>
      <c r="AE83" s="220"/>
    </row>
    <row r="84" ht="13.5" customHeight="1" outlineLevel="1">
      <c r="A84" s="814">
        <f t="shared" si="2"/>
        <v>84</v>
      </c>
      <c r="B84" s="900"/>
      <c r="C84" s="901" t="s">
        <v>715</v>
      </c>
      <c r="D84" s="756">
        <v>0.0</v>
      </c>
      <c r="E84" s="782"/>
      <c r="F84" s="782"/>
      <c r="G84" s="898">
        <f t="shared" ref="G84:M84" si="24">IF($C84&lt;=G$10,1,0)</f>
        <v>0</v>
      </c>
      <c r="H84" s="898">
        <f t="shared" si="24"/>
        <v>0</v>
      </c>
      <c r="I84" s="898">
        <f t="shared" si="24"/>
        <v>0</v>
      </c>
      <c r="J84" s="898">
        <f t="shared" si="24"/>
        <v>0</v>
      </c>
      <c r="K84" s="898">
        <f t="shared" si="24"/>
        <v>0</v>
      </c>
      <c r="L84" s="898">
        <f t="shared" si="24"/>
        <v>0</v>
      </c>
      <c r="M84" s="898">
        <f t="shared" si="24"/>
        <v>0</v>
      </c>
      <c r="N84" s="30"/>
      <c r="O84" s="119"/>
      <c r="P84" s="30"/>
      <c r="Q84" s="220"/>
      <c r="R84" s="220"/>
      <c r="S84" s="220"/>
      <c r="T84" s="220"/>
      <c r="U84" s="220"/>
      <c r="V84" s="220"/>
      <c r="W84" s="220"/>
      <c r="X84" s="220"/>
      <c r="Y84" s="220"/>
      <c r="Z84" s="220"/>
      <c r="AA84" s="220"/>
      <c r="AB84" s="220"/>
      <c r="AC84" s="220"/>
      <c r="AD84" s="220"/>
      <c r="AE84" s="220"/>
    </row>
    <row r="85" ht="13.5" customHeight="1" outlineLevel="1">
      <c r="A85" s="814">
        <f t="shared" si="2"/>
        <v>85</v>
      </c>
      <c r="B85" s="30"/>
      <c r="C85" s="902"/>
      <c r="D85" s="903"/>
      <c r="E85" s="903"/>
      <c r="F85" s="903"/>
      <c r="G85" s="131"/>
      <c r="H85" s="131"/>
      <c r="I85" s="131"/>
      <c r="J85" s="131"/>
      <c r="K85" s="131"/>
      <c r="L85" s="131"/>
      <c r="M85" s="131"/>
      <c r="N85" s="30"/>
      <c r="O85" s="119"/>
      <c r="P85" s="30"/>
      <c r="Q85" s="220"/>
      <c r="R85" s="220"/>
      <c r="S85" s="220"/>
      <c r="T85" s="220"/>
      <c r="U85" s="220"/>
      <c r="V85" s="220"/>
      <c r="W85" s="220"/>
      <c r="X85" s="220"/>
      <c r="Y85" s="220"/>
      <c r="Z85" s="220"/>
      <c r="AA85" s="220"/>
      <c r="AB85" s="220"/>
      <c r="AC85" s="220"/>
      <c r="AD85" s="220"/>
      <c r="AE85" s="220"/>
    </row>
    <row r="86" ht="13.5" customHeight="1" outlineLevel="1">
      <c r="A86" s="814">
        <f t="shared" si="2"/>
        <v>86</v>
      </c>
      <c r="B86" s="689" t="s">
        <v>716</v>
      </c>
      <c r="C86" s="371"/>
      <c r="D86" s="904"/>
      <c r="E86" s="904"/>
      <c r="F86" s="904"/>
      <c r="G86" s="905">
        <f t="shared" ref="G86:M86" si="25">SUM(G80:G84)</f>
        <v>3</v>
      </c>
      <c r="H86" s="905">
        <f t="shared" si="25"/>
        <v>3</v>
      </c>
      <c r="I86" s="905">
        <f t="shared" si="25"/>
        <v>3</v>
      </c>
      <c r="J86" s="905">
        <f t="shared" si="25"/>
        <v>3</v>
      </c>
      <c r="K86" s="905">
        <f t="shared" si="25"/>
        <v>3</v>
      </c>
      <c r="L86" s="905">
        <f t="shared" si="25"/>
        <v>3</v>
      </c>
      <c r="M86" s="905">
        <f t="shared" si="25"/>
        <v>3</v>
      </c>
      <c r="N86" s="30"/>
      <c r="O86" s="119"/>
      <c r="P86" s="30"/>
      <c r="Q86" s="220"/>
      <c r="R86" s="220"/>
      <c r="S86" s="220"/>
      <c r="T86" s="220"/>
      <c r="U86" s="220"/>
      <c r="V86" s="220"/>
      <c r="W86" s="220"/>
      <c r="X86" s="220"/>
      <c r="Y86" s="220"/>
      <c r="Z86" s="220"/>
      <c r="AA86" s="220"/>
      <c r="AB86" s="220"/>
      <c r="AC86" s="220"/>
      <c r="AD86" s="220"/>
      <c r="AE86" s="220"/>
    </row>
    <row r="87" ht="13.5" customHeight="1" outlineLevel="1">
      <c r="A87" s="814">
        <f t="shared" si="2"/>
        <v>87</v>
      </c>
      <c r="B87" s="107"/>
      <c r="C87" s="107"/>
      <c r="D87" s="906"/>
      <c r="E87" s="906"/>
      <c r="F87" s="906"/>
      <c r="G87" s="907"/>
      <c r="H87" s="907"/>
      <c r="I87" s="908"/>
      <c r="J87" s="908"/>
      <c r="K87" s="908"/>
      <c r="L87" s="908"/>
      <c r="M87" s="908"/>
      <c r="N87" s="131"/>
      <c r="O87" s="119"/>
      <c r="P87" s="30"/>
      <c r="Q87" s="220"/>
      <c r="R87" s="220"/>
      <c r="S87" s="220"/>
      <c r="T87" s="220"/>
      <c r="U87" s="220"/>
      <c r="V87" s="220"/>
      <c r="W87" s="220"/>
      <c r="X87" s="220"/>
      <c r="Y87" s="220"/>
      <c r="Z87" s="220"/>
      <c r="AA87" s="220"/>
      <c r="AB87" s="220"/>
      <c r="AC87" s="220"/>
      <c r="AD87" s="220"/>
      <c r="AE87" s="220"/>
    </row>
    <row r="88" ht="13.5" customHeight="1" outlineLevel="1">
      <c r="A88" s="814">
        <f t="shared" si="2"/>
        <v>88</v>
      </c>
      <c r="B88" s="36" t="s">
        <v>717</v>
      </c>
      <c r="C88" s="34"/>
      <c r="D88" s="909"/>
      <c r="E88" s="909"/>
      <c r="F88" s="909"/>
      <c r="G88" s="910"/>
      <c r="H88" s="910"/>
      <c r="I88" s="911"/>
      <c r="J88" s="911"/>
      <c r="K88" s="911"/>
      <c r="L88" s="911"/>
      <c r="M88" s="911"/>
      <c r="N88" s="131"/>
      <c r="O88" s="119"/>
      <c r="P88" s="30"/>
      <c r="Q88" s="220"/>
      <c r="R88" s="220"/>
      <c r="S88" s="220"/>
      <c r="T88" s="220"/>
      <c r="U88" s="220"/>
      <c r="V88" s="220"/>
      <c r="W88" s="220"/>
      <c r="X88" s="220"/>
      <c r="Y88" s="220"/>
      <c r="Z88" s="220"/>
      <c r="AA88" s="220"/>
      <c r="AB88" s="220"/>
      <c r="AC88" s="220"/>
      <c r="AD88" s="220"/>
      <c r="AE88" s="220"/>
    </row>
    <row r="89" ht="13.5" customHeight="1" outlineLevel="1">
      <c r="A89" s="814">
        <f t="shared" si="2"/>
        <v>89</v>
      </c>
      <c r="B89" s="912" t="s">
        <v>718</v>
      </c>
      <c r="C89" s="891">
        <v>2025.0</v>
      </c>
      <c r="D89" s="892">
        <v>68544.0</v>
      </c>
      <c r="E89" s="893"/>
      <c r="F89" s="893"/>
      <c r="G89" s="894">
        <f t="shared" ref="G89:M89" si="26">IF($C89&lt;=G$10,1,0)</f>
        <v>1</v>
      </c>
      <c r="H89" s="894">
        <f t="shared" si="26"/>
        <v>1</v>
      </c>
      <c r="I89" s="894">
        <f t="shared" si="26"/>
        <v>1</v>
      </c>
      <c r="J89" s="894">
        <f t="shared" si="26"/>
        <v>1</v>
      </c>
      <c r="K89" s="894">
        <f t="shared" si="26"/>
        <v>1</v>
      </c>
      <c r="L89" s="894">
        <f t="shared" si="26"/>
        <v>1</v>
      </c>
      <c r="M89" s="894">
        <f t="shared" si="26"/>
        <v>1</v>
      </c>
      <c r="N89" s="131"/>
      <c r="O89" s="119"/>
      <c r="P89" s="30"/>
      <c r="Q89" s="220"/>
      <c r="R89" s="220"/>
      <c r="S89" s="220"/>
      <c r="T89" s="220"/>
      <c r="U89" s="220"/>
      <c r="V89" s="220"/>
      <c r="W89" s="220"/>
      <c r="X89" s="220"/>
      <c r="Y89" s="220"/>
      <c r="Z89" s="220"/>
      <c r="AA89" s="220"/>
      <c r="AB89" s="220"/>
      <c r="AC89" s="220"/>
      <c r="AD89" s="220"/>
      <c r="AE89" s="220"/>
    </row>
    <row r="90" ht="13.5" customHeight="1" outlineLevel="1">
      <c r="A90" s="814">
        <f t="shared" si="2"/>
        <v>90</v>
      </c>
      <c r="B90" s="899" t="s">
        <v>719</v>
      </c>
      <c r="C90" s="896">
        <v>2025.0</v>
      </c>
      <c r="D90" s="897">
        <v>84237.72</v>
      </c>
      <c r="E90" s="782"/>
      <c r="F90" s="782"/>
      <c r="G90" s="898">
        <f t="shared" ref="G90:M90" si="27">IF($C90&lt;=G$10,1,0)</f>
        <v>1</v>
      </c>
      <c r="H90" s="898">
        <f t="shared" si="27"/>
        <v>1</v>
      </c>
      <c r="I90" s="898">
        <f t="shared" si="27"/>
        <v>1</v>
      </c>
      <c r="J90" s="898">
        <f t="shared" si="27"/>
        <v>1</v>
      </c>
      <c r="K90" s="898">
        <f t="shared" si="27"/>
        <v>1</v>
      </c>
      <c r="L90" s="898">
        <f t="shared" si="27"/>
        <v>1</v>
      </c>
      <c r="M90" s="898">
        <f t="shared" si="27"/>
        <v>1</v>
      </c>
      <c r="N90" s="131"/>
      <c r="O90" s="119"/>
      <c r="P90" s="30"/>
      <c r="Q90" s="220"/>
      <c r="R90" s="220"/>
      <c r="S90" s="220"/>
      <c r="T90" s="220"/>
      <c r="U90" s="220"/>
      <c r="V90" s="220"/>
      <c r="W90" s="220"/>
      <c r="X90" s="220"/>
      <c r="Y90" s="220"/>
      <c r="Z90" s="220"/>
      <c r="AA90" s="220"/>
      <c r="AB90" s="220"/>
      <c r="AC90" s="220"/>
      <c r="AD90" s="220"/>
      <c r="AE90" s="220"/>
    </row>
    <row r="91" ht="13.5" customHeight="1" outlineLevel="1">
      <c r="A91" s="814">
        <f t="shared" si="2"/>
        <v>91</v>
      </c>
      <c r="B91" s="899" t="s">
        <v>720</v>
      </c>
      <c r="C91" s="896">
        <v>2025.0</v>
      </c>
      <c r="D91" s="897">
        <v>37296.0</v>
      </c>
      <c r="E91" s="782"/>
      <c r="F91" s="782"/>
      <c r="G91" s="898">
        <f t="shared" ref="G91:M91" si="28">IF($C91&lt;=G$10,1,0)</f>
        <v>1</v>
      </c>
      <c r="H91" s="898">
        <f t="shared" si="28"/>
        <v>1</v>
      </c>
      <c r="I91" s="898">
        <f t="shared" si="28"/>
        <v>1</v>
      </c>
      <c r="J91" s="898">
        <f t="shared" si="28"/>
        <v>1</v>
      </c>
      <c r="K91" s="898">
        <f t="shared" si="28"/>
        <v>1</v>
      </c>
      <c r="L91" s="898">
        <f t="shared" si="28"/>
        <v>1</v>
      </c>
      <c r="M91" s="898">
        <f t="shared" si="28"/>
        <v>1</v>
      </c>
      <c r="N91" s="131"/>
      <c r="O91" s="119"/>
      <c r="P91" s="30"/>
      <c r="Q91" s="220"/>
      <c r="R91" s="220"/>
      <c r="S91" s="220"/>
      <c r="T91" s="220"/>
      <c r="U91" s="220"/>
      <c r="V91" s="220"/>
      <c r="W91" s="220"/>
      <c r="X91" s="220"/>
      <c r="Y91" s="220"/>
      <c r="Z91" s="220"/>
      <c r="AA91" s="220"/>
      <c r="AB91" s="220"/>
      <c r="AC91" s="220"/>
      <c r="AD91" s="220"/>
      <c r="AE91" s="220"/>
    </row>
    <row r="92" ht="13.5" customHeight="1" outlineLevel="1">
      <c r="A92" s="814">
        <f t="shared" si="2"/>
        <v>92</v>
      </c>
      <c r="B92" s="899" t="s">
        <v>720</v>
      </c>
      <c r="C92" s="896">
        <v>2025.0</v>
      </c>
      <c r="D92" s="897">
        <v>37296.0</v>
      </c>
      <c r="E92" s="782"/>
      <c r="F92" s="782"/>
      <c r="G92" s="898">
        <f t="shared" ref="G92:M92" si="29">IF($C92&lt;=G$10,1,0)</f>
        <v>1</v>
      </c>
      <c r="H92" s="898">
        <f t="shared" si="29"/>
        <v>1</v>
      </c>
      <c r="I92" s="898">
        <f t="shared" si="29"/>
        <v>1</v>
      </c>
      <c r="J92" s="898">
        <f t="shared" si="29"/>
        <v>1</v>
      </c>
      <c r="K92" s="898">
        <f t="shared" si="29"/>
        <v>1</v>
      </c>
      <c r="L92" s="898">
        <f t="shared" si="29"/>
        <v>1</v>
      </c>
      <c r="M92" s="898">
        <f t="shared" si="29"/>
        <v>1</v>
      </c>
      <c r="N92" s="131"/>
      <c r="O92" s="119"/>
      <c r="P92" s="30"/>
      <c r="Q92" s="220"/>
      <c r="R92" s="220"/>
      <c r="S92" s="220"/>
      <c r="T92" s="220"/>
      <c r="U92" s="220"/>
      <c r="V92" s="220"/>
      <c r="W92" s="220"/>
      <c r="X92" s="220"/>
      <c r="Y92" s="220"/>
      <c r="Z92" s="220"/>
      <c r="AA92" s="220"/>
      <c r="AB92" s="220"/>
      <c r="AC92" s="220"/>
      <c r="AD92" s="220"/>
      <c r="AE92" s="220"/>
    </row>
    <row r="93" ht="13.5" customHeight="1" outlineLevel="1">
      <c r="A93" s="814">
        <f t="shared" si="2"/>
        <v>93</v>
      </c>
      <c r="B93" s="30"/>
      <c r="C93" s="30"/>
      <c r="D93" s="913"/>
      <c r="E93" s="913"/>
      <c r="F93" s="913"/>
      <c r="G93" s="131"/>
      <c r="H93" s="131"/>
      <c r="I93" s="131"/>
      <c r="J93" s="131"/>
      <c r="K93" s="131"/>
      <c r="L93" s="131"/>
      <c r="M93" s="131"/>
      <c r="N93" s="131"/>
      <c r="O93" s="119"/>
      <c r="P93" s="30"/>
      <c r="Q93" s="220"/>
      <c r="R93" s="220"/>
      <c r="S93" s="220"/>
      <c r="T93" s="220"/>
      <c r="U93" s="220"/>
      <c r="V93" s="220"/>
      <c r="W93" s="220"/>
      <c r="X93" s="220"/>
      <c r="Y93" s="220"/>
      <c r="Z93" s="220"/>
      <c r="AA93" s="220"/>
      <c r="AB93" s="220"/>
      <c r="AC93" s="220"/>
      <c r="AD93" s="220"/>
      <c r="AE93" s="220"/>
    </row>
    <row r="94" ht="13.5" customHeight="1" outlineLevel="1">
      <c r="A94" s="814">
        <f t="shared" si="2"/>
        <v>94</v>
      </c>
      <c r="B94" s="689" t="s">
        <v>721</v>
      </c>
      <c r="C94" s="371"/>
      <c r="D94" s="718"/>
      <c r="E94" s="718"/>
      <c r="F94" s="718"/>
      <c r="G94" s="905">
        <f t="shared" ref="G94:M94" si="30">SUM(G89:G92)+G86</f>
        <v>7</v>
      </c>
      <c r="H94" s="905">
        <f t="shared" si="30"/>
        <v>7</v>
      </c>
      <c r="I94" s="905">
        <f t="shared" si="30"/>
        <v>7</v>
      </c>
      <c r="J94" s="905">
        <f t="shared" si="30"/>
        <v>7</v>
      </c>
      <c r="K94" s="905">
        <f t="shared" si="30"/>
        <v>7</v>
      </c>
      <c r="L94" s="905">
        <f t="shared" si="30"/>
        <v>7</v>
      </c>
      <c r="M94" s="905">
        <f t="shared" si="30"/>
        <v>7</v>
      </c>
      <c r="N94" s="131"/>
      <c r="O94" s="119"/>
      <c r="P94" s="30"/>
      <c r="Q94" s="220"/>
      <c r="R94" s="220"/>
      <c r="S94" s="220"/>
      <c r="T94" s="220"/>
      <c r="U94" s="220"/>
      <c r="V94" s="220"/>
      <c r="W94" s="220"/>
      <c r="X94" s="220"/>
      <c r="Y94" s="220"/>
      <c r="Z94" s="220"/>
      <c r="AA94" s="220"/>
      <c r="AB94" s="220"/>
      <c r="AC94" s="220"/>
      <c r="AD94" s="220"/>
      <c r="AE94" s="220"/>
    </row>
    <row r="95" ht="13.5" customHeight="1" outlineLevel="1">
      <c r="A95" s="814">
        <f t="shared" si="2"/>
        <v>95</v>
      </c>
      <c r="B95" s="107"/>
      <c r="C95" s="107"/>
      <c r="D95" s="914"/>
      <c r="E95" s="914"/>
      <c r="F95" s="914"/>
      <c r="G95" s="107"/>
      <c r="H95" s="107"/>
      <c r="I95" s="107"/>
      <c r="J95" s="908"/>
      <c r="K95" s="908"/>
      <c r="L95" s="908"/>
      <c r="M95" s="908"/>
      <c r="N95" s="131"/>
      <c r="O95" s="119"/>
      <c r="P95" s="30"/>
      <c r="Q95" s="220"/>
      <c r="R95" s="220"/>
      <c r="S95" s="220"/>
      <c r="T95" s="220"/>
      <c r="U95" s="220"/>
      <c r="V95" s="220"/>
      <c r="W95" s="220"/>
      <c r="X95" s="220"/>
      <c r="Y95" s="220"/>
      <c r="Z95" s="220"/>
      <c r="AA95" s="220"/>
      <c r="AB95" s="220"/>
      <c r="AC95" s="220"/>
      <c r="AD95" s="220"/>
      <c r="AE95" s="220"/>
    </row>
    <row r="96" ht="13.5" customHeight="1" outlineLevel="1">
      <c r="A96" s="814">
        <f t="shared" si="2"/>
        <v>96</v>
      </c>
      <c r="B96" s="36" t="s">
        <v>722</v>
      </c>
      <c r="C96" s="34"/>
      <c r="D96" s="909"/>
      <c r="E96" s="909"/>
      <c r="F96" s="909"/>
      <c r="G96" s="34"/>
      <c r="H96" s="34"/>
      <c r="I96" s="34"/>
      <c r="J96" s="911"/>
      <c r="K96" s="911"/>
      <c r="L96" s="911"/>
      <c r="M96" s="911"/>
      <c r="N96" s="131"/>
      <c r="O96" s="119"/>
      <c r="P96" s="30"/>
      <c r="Q96" s="220"/>
      <c r="R96" s="220"/>
      <c r="S96" s="220"/>
      <c r="T96" s="220"/>
      <c r="U96" s="220"/>
      <c r="V96" s="220"/>
      <c r="W96" s="220"/>
      <c r="X96" s="220"/>
      <c r="Y96" s="220"/>
      <c r="Z96" s="220"/>
      <c r="AA96" s="220"/>
      <c r="AB96" s="220"/>
      <c r="AC96" s="220"/>
      <c r="AD96" s="220"/>
      <c r="AE96" s="220"/>
    </row>
    <row r="97" ht="13.5" customHeight="1" outlineLevel="1">
      <c r="A97" s="814">
        <f t="shared" si="2"/>
        <v>97</v>
      </c>
      <c r="B97" s="915" t="s">
        <v>723</v>
      </c>
      <c r="C97" s="916" t="s">
        <v>715</v>
      </c>
      <c r="D97" s="917">
        <v>0.0</v>
      </c>
      <c r="E97" s="893"/>
      <c r="F97" s="893"/>
      <c r="G97" s="894">
        <f t="shared" ref="G97:M97" si="31">IF($C97&lt;=G$10,1,0)</f>
        <v>0</v>
      </c>
      <c r="H97" s="894">
        <f t="shared" si="31"/>
        <v>0</v>
      </c>
      <c r="I97" s="894">
        <f t="shared" si="31"/>
        <v>0</v>
      </c>
      <c r="J97" s="894">
        <f t="shared" si="31"/>
        <v>0</v>
      </c>
      <c r="K97" s="894">
        <f t="shared" si="31"/>
        <v>0</v>
      </c>
      <c r="L97" s="894">
        <f t="shared" si="31"/>
        <v>0</v>
      </c>
      <c r="M97" s="894">
        <f t="shared" si="31"/>
        <v>0</v>
      </c>
      <c r="N97" s="131"/>
      <c r="O97" s="119"/>
      <c r="P97" s="30"/>
      <c r="Q97" s="220"/>
      <c r="R97" s="220"/>
      <c r="S97" s="220"/>
      <c r="T97" s="220"/>
      <c r="U97" s="220"/>
      <c r="V97" s="220"/>
      <c r="W97" s="220"/>
      <c r="X97" s="220"/>
      <c r="Y97" s="220"/>
      <c r="Z97" s="220"/>
      <c r="AA97" s="220"/>
      <c r="AB97" s="220"/>
      <c r="AC97" s="220"/>
      <c r="AD97" s="220"/>
      <c r="AE97" s="220"/>
    </row>
    <row r="98" ht="13.5" customHeight="1" outlineLevel="1">
      <c r="A98" s="814">
        <f t="shared" si="2"/>
        <v>98</v>
      </c>
      <c r="B98" s="918" t="s">
        <v>724</v>
      </c>
      <c r="C98" s="919">
        <v>2025.0</v>
      </c>
      <c r="D98" s="920">
        <v>74337.0</v>
      </c>
      <c r="E98" s="782"/>
      <c r="F98" s="782"/>
      <c r="G98" s="898">
        <f t="shared" ref="G98:M98" si="32">IF($C98&lt;=G$10,1,0)</f>
        <v>1</v>
      </c>
      <c r="H98" s="898">
        <f t="shared" si="32"/>
        <v>1</v>
      </c>
      <c r="I98" s="898">
        <f t="shared" si="32"/>
        <v>1</v>
      </c>
      <c r="J98" s="898">
        <f t="shared" si="32"/>
        <v>1</v>
      </c>
      <c r="K98" s="898">
        <f t="shared" si="32"/>
        <v>1</v>
      </c>
      <c r="L98" s="898">
        <f t="shared" si="32"/>
        <v>1</v>
      </c>
      <c r="M98" s="898">
        <f t="shared" si="32"/>
        <v>1</v>
      </c>
      <c r="N98" s="131"/>
      <c r="O98" s="119"/>
      <c r="P98" s="30"/>
      <c r="Q98" s="220"/>
      <c r="R98" s="220"/>
      <c r="S98" s="220"/>
      <c r="T98" s="220"/>
      <c r="U98" s="220"/>
      <c r="V98" s="220"/>
      <c r="W98" s="220"/>
      <c r="X98" s="220"/>
      <c r="Y98" s="220"/>
      <c r="Z98" s="220"/>
      <c r="AA98" s="220"/>
      <c r="AB98" s="220"/>
      <c r="AC98" s="220"/>
      <c r="AD98" s="220"/>
      <c r="AE98" s="220"/>
    </row>
    <row r="99" ht="13.5" customHeight="1" outlineLevel="1">
      <c r="A99" s="814">
        <f t="shared" si="2"/>
        <v>99</v>
      </c>
      <c r="B99" s="918" t="s">
        <v>724</v>
      </c>
      <c r="C99" s="919">
        <v>2025.0</v>
      </c>
      <c r="D99" s="920">
        <v>70076.0</v>
      </c>
      <c r="E99" s="782"/>
      <c r="F99" s="782"/>
      <c r="G99" s="898">
        <f t="shared" ref="G99:M99" si="33">IF($C99&lt;=G$10,1,0)</f>
        <v>1</v>
      </c>
      <c r="H99" s="898">
        <f t="shared" si="33"/>
        <v>1</v>
      </c>
      <c r="I99" s="898">
        <f t="shared" si="33"/>
        <v>1</v>
      </c>
      <c r="J99" s="898">
        <f t="shared" si="33"/>
        <v>1</v>
      </c>
      <c r="K99" s="898">
        <f t="shared" si="33"/>
        <v>1</v>
      </c>
      <c r="L99" s="898">
        <f t="shared" si="33"/>
        <v>1</v>
      </c>
      <c r="M99" s="898">
        <f t="shared" si="33"/>
        <v>1</v>
      </c>
      <c r="N99" s="131"/>
      <c r="O99" s="119"/>
      <c r="P99" s="30"/>
      <c r="Q99" s="220"/>
      <c r="R99" s="220"/>
      <c r="S99" s="220"/>
      <c r="T99" s="220"/>
      <c r="U99" s="220"/>
      <c r="V99" s="220"/>
      <c r="W99" s="220"/>
      <c r="X99" s="220"/>
      <c r="Y99" s="220"/>
      <c r="Z99" s="220"/>
      <c r="AA99" s="220"/>
      <c r="AB99" s="220"/>
      <c r="AC99" s="220"/>
      <c r="AD99" s="220"/>
      <c r="AE99" s="220"/>
    </row>
    <row r="100" ht="13.5" customHeight="1" outlineLevel="1">
      <c r="A100" s="814">
        <f t="shared" si="2"/>
        <v>100</v>
      </c>
      <c r="B100" s="921"/>
      <c r="C100" s="922" t="s">
        <v>715</v>
      </c>
      <c r="D100" s="923">
        <v>0.0</v>
      </c>
      <c r="E100" s="782"/>
      <c r="F100" s="782"/>
      <c r="G100" s="898">
        <f t="shared" ref="G100:M100" si="34">IF($C100&lt;=G$10,1,0)</f>
        <v>0</v>
      </c>
      <c r="H100" s="898">
        <f t="shared" si="34"/>
        <v>0</v>
      </c>
      <c r="I100" s="898">
        <f t="shared" si="34"/>
        <v>0</v>
      </c>
      <c r="J100" s="898">
        <f t="shared" si="34"/>
        <v>0</v>
      </c>
      <c r="K100" s="898">
        <f t="shared" si="34"/>
        <v>0</v>
      </c>
      <c r="L100" s="898">
        <f t="shared" si="34"/>
        <v>0</v>
      </c>
      <c r="M100" s="898">
        <f t="shared" si="34"/>
        <v>0</v>
      </c>
      <c r="N100" s="131"/>
      <c r="O100" s="119"/>
      <c r="P100" s="30"/>
      <c r="Q100" s="220"/>
      <c r="R100" s="220"/>
      <c r="S100" s="220"/>
      <c r="T100" s="220"/>
      <c r="U100" s="220"/>
      <c r="V100" s="220"/>
      <c r="W100" s="220"/>
      <c r="X100" s="220"/>
      <c r="Y100" s="220"/>
      <c r="Z100" s="220"/>
      <c r="AA100" s="220"/>
      <c r="AB100" s="220"/>
      <c r="AC100" s="220"/>
      <c r="AD100" s="220"/>
      <c r="AE100" s="220"/>
    </row>
    <row r="101" ht="13.5" customHeight="1" outlineLevel="1">
      <c r="A101" s="814">
        <f t="shared" si="2"/>
        <v>101</v>
      </c>
      <c r="B101" s="921"/>
      <c r="C101" s="922" t="s">
        <v>715</v>
      </c>
      <c r="D101" s="923">
        <v>0.0</v>
      </c>
      <c r="E101" s="782"/>
      <c r="F101" s="782"/>
      <c r="G101" s="898">
        <f t="shared" ref="G101:M101" si="35">IF($C101&lt;=G$10,1,0)</f>
        <v>0</v>
      </c>
      <c r="H101" s="898">
        <f t="shared" si="35"/>
        <v>0</v>
      </c>
      <c r="I101" s="898">
        <f t="shared" si="35"/>
        <v>0</v>
      </c>
      <c r="J101" s="898">
        <f t="shared" si="35"/>
        <v>0</v>
      </c>
      <c r="K101" s="898">
        <f t="shared" si="35"/>
        <v>0</v>
      </c>
      <c r="L101" s="898">
        <f t="shared" si="35"/>
        <v>0</v>
      </c>
      <c r="M101" s="898">
        <f t="shared" si="35"/>
        <v>0</v>
      </c>
      <c r="N101" s="131"/>
      <c r="O101" s="119"/>
      <c r="P101" s="30"/>
      <c r="Q101" s="220"/>
      <c r="R101" s="220"/>
      <c r="S101" s="220"/>
      <c r="T101" s="220"/>
      <c r="U101" s="220"/>
      <c r="V101" s="220"/>
      <c r="W101" s="220"/>
      <c r="X101" s="220"/>
      <c r="Y101" s="220"/>
      <c r="Z101" s="220"/>
      <c r="AA101" s="220"/>
      <c r="AB101" s="220"/>
      <c r="AC101" s="220"/>
      <c r="AD101" s="220"/>
      <c r="AE101" s="220"/>
    </row>
    <row r="102" ht="13.5" customHeight="1" outlineLevel="1">
      <c r="A102" s="814">
        <f t="shared" si="2"/>
        <v>102</v>
      </c>
      <c r="B102" s="921"/>
      <c r="C102" s="922" t="s">
        <v>715</v>
      </c>
      <c r="D102" s="923">
        <v>0.0</v>
      </c>
      <c r="E102" s="782"/>
      <c r="F102" s="782"/>
      <c r="G102" s="898">
        <f t="shared" ref="G102:M102" si="36">IF($C102&lt;=G$10,1,0)</f>
        <v>0</v>
      </c>
      <c r="H102" s="898">
        <f t="shared" si="36"/>
        <v>0</v>
      </c>
      <c r="I102" s="898">
        <f t="shared" si="36"/>
        <v>0</v>
      </c>
      <c r="J102" s="898">
        <f t="shared" si="36"/>
        <v>0</v>
      </c>
      <c r="K102" s="898">
        <f t="shared" si="36"/>
        <v>0</v>
      </c>
      <c r="L102" s="898">
        <f t="shared" si="36"/>
        <v>0</v>
      </c>
      <c r="M102" s="898">
        <f t="shared" si="36"/>
        <v>0</v>
      </c>
      <c r="N102" s="131"/>
      <c r="O102" s="119"/>
      <c r="P102" s="30"/>
      <c r="Q102" s="220"/>
      <c r="R102" s="220"/>
      <c r="S102" s="220"/>
      <c r="T102" s="220"/>
      <c r="U102" s="220"/>
      <c r="V102" s="220"/>
      <c r="W102" s="220"/>
      <c r="X102" s="220"/>
      <c r="Y102" s="220"/>
      <c r="Z102" s="220"/>
      <c r="AA102" s="220"/>
      <c r="AB102" s="220"/>
      <c r="AC102" s="220"/>
      <c r="AD102" s="220"/>
      <c r="AE102" s="220"/>
    </row>
    <row r="103" ht="13.5" customHeight="1" outlineLevel="1">
      <c r="A103" s="814">
        <f t="shared" si="2"/>
        <v>103</v>
      </c>
      <c r="B103" s="921"/>
      <c r="C103" s="922" t="s">
        <v>715</v>
      </c>
      <c r="D103" s="923">
        <v>0.0</v>
      </c>
      <c r="E103" s="782"/>
      <c r="F103" s="782"/>
      <c r="G103" s="898">
        <f t="shared" ref="G103:M103" si="37">IF($C103&lt;=G$10,1,0)</f>
        <v>0</v>
      </c>
      <c r="H103" s="898">
        <f t="shared" si="37"/>
        <v>0</v>
      </c>
      <c r="I103" s="898">
        <f t="shared" si="37"/>
        <v>0</v>
      </c>
      <c r="J103" s="898">
        <f t="shared" si="37"/>
        <v>0</v>
      </c>
      <c r="K103" s="898">
        <f t="shared" si="37"/>
        <v>0</v>
      </c>
      <c r="L103" s="898">
        <f t="shared" si="37"/>
        <v>0</v>
      </c>
      <c r="M103" s="898">
        <f t="shared" si="37"/>
        <v>0</v>
      </c>
      <c r="N103" s="131"/>
      <c r="O103" s="119"/>
      <c r="P103" s="30"/>
      <c r="Q103" s="220"/>
      <c r="R103" s="220"/>
      <c r="S103" s="220"/>
      <c r="T103" s="220"/>
      <c r="U103" s="220"/>
      <c r="V103" s="220"/>
      <c r="W103" s="220"/>
      <c r="X103" s="220"/>
      <c r="Y103" s="220"/>
      <c r="Z103" s="220"/>
      <c r="AA103" s="220"/>
      <c r="AB103" s="220"/>
      <c r="AC103" s="220"/>
      <c r="AD103" s="220"/>
      <c r="AE103" s="220"/>
    </row>
    <row r="104" ht="13.5" customHeight="1" outlineLevel="1">
      <c r="A104" s="814">
        <f t="shared" si="2"/>
        <v>104</v>
      </c>
      <c r="B104" s="921"/>
      <c r="C104" s="922" t="s">
        <v>715</v>
      </c>
      <c r="D104" s="923">
        <v>0.0</v>
      </c>
      <c r="E104" s="782"/>
      <c r="F104" s="782"/>
      <c r="G104" s="898">
        <f t="shared" ref="G104:M104" si="38">IF($C104&lt;=G$10,1,0)</f>
        <v>0</v>
      </c>
      <c r="H104" s="898">
        <f t="shared" si="38"/>
        <v>0</v>
      </c>
      <c r="I104" s="898">
        <f t="shared" si="38"/>
        <v>0</v>
      </c>
      <c r="J104" s="898">
        <f t="shared" si="38"/>
        <v>0</v>
      </c>
      <c r="K104" s="898">
        <f t="shared" si="38"/>
        <v>0</v>
      </c>
      <c r="L104" s="898">
        <f t="shared" si="38"/>
        <v>0</v>
      </c>
      <c r="M104" s="898">
        <f t="shared" si="38"/>
        <v>0</v>
      </c>
      <c r="N104" s="131"/>
      <c r="O104" s="119"/>
      <c r="P104" s="30"/>
      <c r="Q104" s="220"/>
      <c r="R104" s="220"/>
      <c r="S104" s="220"/>
      <c r="T104" s="220"/>
      <c r="U104" s="220"/>
      <c r="V104" s="220"/>
      <c r="W104" s="220"/>
      <c r="X104" s="220"/>
      <c r="Y104" s="220"/>
      <c r="Z104" s="220"/>
      <c r="AA104" s="220"/>
      <c r="AB104" s="220"/>
      <c r="AC104" s="220"/>
      <c r="AD104" s="220"/>
      <c r="AE104" s="220"/>
    </row>
    <row r="105" ht="13.5" customHeight="1" outlineLevel="1">
      <c r="A105" s="814">
        <f t="shared" si="2"/>
        <v>105</v>
      </c>
      <c r="B105" s="921"/>
      <c r="C105" s="922" t="s">
        <v>715</v>
      </c>
      <c r="D105" s="923">
        <v>0.0</v>
      </c>
      <c r="E105" s="782"/>
      <c r="F105" s="782"/>
      <c r="G105" s="924">
        <f t="shared" ref="G105:M105" si="39">IF($C105&lt;=G$10,1,0)</f>
        <v>0</v>
      </c>
      <c r="H105" s="924">
        <f t="shared" si="39"/>
        <v>0</v>
      </c>
      <c r="I105" s="924">
        <f t="shared" si="39"/>
        <v>0</v>
      </c>
      <c r="J105" s="924">
        <f t="shared" si="39"/>
        <v>0</v>
      </c>
      <c r="K105" s="924">
        <f t="shared" si="39"/>
        <v>0</v>
      </c>
      <c r="L105" s="924">
        <f t="shared" si="39"/>
        <v>0</v>
      </c>
      <c r="M105" s="924">
        <f t="shared" si="39"/>
        <v>0</v>
      </c>
      <c r="N105" s="131"/>
      <c r="O105" s="119"/>
      <c r="P105" s="30"/>
      <c r="Q105" s="220"/>
      <c r="R105" s="220"/>
      <c r="S105" s="220"/>
      <c r="T105" s="220"/>
      <c r="U105" s="220"/>
      <c r="V105" s="220"/>
      <c r="W105" s="220"/>
      <c r="X105" s="220"/>
      <c r="Y105" s="220"/>
      <c r="Z105" s="220"/>
      <c r="AA105" s="220"/>
      <c r="AB105" s="220"/>
      <c r="AC105" s="220"/>
      <c r="AD105" s="220"/>
      <c r="AE105" s="220"/>
    </row>
    <row r="106" ht="13.5" customHeight="1" outlineLevel="1">
      <c r="A106" s="814">
        <f t="shared" si="2"/>
        <v>106</v>
      </c>
      <c r="B106" s="689" t="s">
        <v>725</v>
      </c>
      <c r="C106" s="689"/>
      <c r="D106" s="689"/>
      <c r="E106" s="689"/>
      <c r="F106" s="689"/>
      <c r="G106" s="230">
        <f t="shared" ref="G106:M106" si="40">SUM(G97:G105)</f>
        <v>2</v>
      </c>
      <c r="H106" s="925">
        <f t="shared" si="40"/>
        <v>2</v>
      </c>
      <c r="I106" s="905">
        <f t="shared" si="40"/>
        <v>2</v>
      </c>
      <c r="J106" s="905">
        <f t="shared" si="40"/>
        <v>2</v>
      </c>
      <c r="K106" s="905">
        <f t="shared" si="40"/>
        <v>2</v>
      </c>
      <c r="L106" s="905">
        <f t="shared" si="40"/>
        <v>2</v>
      </c>
      <c r="M106" s="905">
        <f t="shared" si="40"/>
        <v>2</v>
      </c>
      <c r="N106" s="131"/>
      <c r="O106" s="119"/>
      <c r="P106" s="30"/>
      <c r="Q106" s="220"/>
      <c r="R106" s="220"/>
      <c r="S106" s="220"/>
      <c r="T106" s="220"/>
      <c r="U106" s="220"/>
      <c r="V106" s="220"/>
      <c r="W106" s="220"/>
      <c r="X106" s="220"/>
      <c r="Y106" s="220"/>
      <c r="Z106" s="220"/>
      <c r="AA106" s="220"/>
      <c r="AB106" s="220"/>
      <c r="AC106" s="220"/>
      <c r="AD106" s="220"/>
      <c r="AE106" s="220"/>
    </row>
    <row r="107" ht="13.5" customHeight="1" outlineLevel="1">
      <c r="A107" s="814"/>
      <c r="B107" s="30" t="s">
        <v>726</v>
      </c>
      <c r="C107" s="63"/>
      <c r="D107" s="63"/>
      <c r="E107" s="63"/>
      <c r="F107" s="63"/>
      <c r="G107" s="926">
        <v>67.0</v>
      </c>
      <c r="H107" s="388">
        <f>+' Enrol &amp; Rev'!G51</f>
        <v>69.52</v>
      </c>
      <c r="I107" s="388">
        <f>+' Enrol &amp; Rev'!H51</f>
        <v>70.95</v>
      </c>
      <c r="J107" s="388">
        <f>+' Enrol &amp; Rev'!I51</f>
        <v>73.37</v>
      </c>
      <c r="K107" s="388">
        <f>+' Enrol &amp; Rev'!J51</f>
        <v>74.03</v>
      </c>
      <c r="L107" s="388">
        <f>+' Enrol &amp; Rev'!K51</f>
        <v>74.36</v>
      </c>
      <c r="M107" s="388">
        <f>+' Enrol &amp; Rev'!L51</f>
        <v>75.35</v>
      </c>
      <c r="N107" s="131"/>
      <c r="O107" s="119"/>
      <c r="P107" s="30"/>
      <c r="Q107" s="220"/>
      <c r="R107" s="220"/>
      <c r="S107" s="220"/>
      <c r="T107" s="220"/>
      <c r="U107" s="220"/>
      <c r="V107" s="220"/>
      <c r="W107" s="220"/>
      <c r="X107" s="220"/>
      <c r="Y107" s="220"/>
      <c r="Z107" s="220"/>
      <c r="AA107" s="220"/>
      <c r="AB107" s="220"/>
      <c r="AC107" s="220"/>
      <c r="AD107" s="220"/>
      <c r="AE107" s="220"/>
    </row>
    <row r="108" ht="13.5" customHeight="1" outlineLevel="1">
      <c r="A108" s="814"/>
      <c r="B108" s="30" t="s">
        <v>727</v>
      </c>
      <c r="C108" s="63"/>
      <c r="D108" s="63"/>
      <c r="E108" s="63"/>
      <c r="F108" s="63"/>
      <c r="G108" s="927">
        <v>25.0</v>
      </c>
      <c r="H108" s="388">
        <f t="shared" ref="H108:M108" si="41">IFERROR(H107/H106,0)</f>
        <v>34.76</v>
      </c>
      <c r="I108" s="388">
        <f t="shared" si="41"/>
        <v>35.475</v>
      </c>
      <c r="J108" s="388">
        <f t="shared" si="41"/>
        <v>36.685</v>
      </c>
      <c r="K108" s="388">
        <f t="shared" si="41"/>
        <v>37.015</v>
      </c>
      <c r="L108" s="388">
        <f t="shared" si="41"/>
        <v>37.18</v>
      </c>
      <c r="M108" s="388">
        <f t="shared" si="41"/>
        <v>37.675</v>
      </c>
      <c r="N108" s="131"/>
      <c r="O108" s="119"/>
      <c r="P108" s="30"/>
      <c r="Q108" s="220"/>
      <c r="R108" s="220"/>
      <c r="S108" s="220"/>
      <c r="T108" s="220"/>
      <c r="U108" s="220"/>
      <c r="V108" s="220"/>
      <c r="W108" s="220"/>
      <c r="X108" s="220"/>
      <c r="Y108" s="220"/>
      <c r="Z108" s="220"/>
      <c r="AA108" s="220"/>
      <c r="AB108" s="220"/>
      <c r="AC108" s="220"/>
      <c r="AD108" s="220"/>
      <c r="AE108" s="220"/>
    </row>
    <row r="109" ht="13.5" customHeight="1" outlineLevel="1">
      <c r="A109" s="814">
        <f t="shared" ref="A109:A253" si="42">ROW()</f>
        <v>109</v>
      </c>
      <c r="B109" s="928"/>
      <c r="C109" s="928"/>
      <c r="D109" s="928"/>
      <c r="E109" s="928"/>
      <c r="F109" s="928"/>
      <c r="G109" s="907"/>
      <c r="H109" s="907"/>
      <c r="I109" s="929"/>
      <c r="J109" s="929"/>
      <c r="K109" s="929"/>
      <c r="L109" s="929"/>
      <c r="M109" s="929"/>
      <c r="N109" s="131"/>
      <c r="O109" s="119"/>
      <c r="P109" s="30"/>
      <c r="Q109" s="220"/>
      <c r="R109" s="220"/>
      <c r="S109" s="220"/>
      <c r="T109" s="220"/>
      <c r="U109" s="220"/>
      <c r="V109" s="220"/>
      <c r="W109" s="220"/>
      <c r="X109" s="220"/>
      <c r="Y109" s="220"/>
      <c r="Z109" s="220"/>
      <c r="AA109" s="220"/>
      <c r="AB109" s="220"/>
      <c r="AC109" s="220"/>
      <c r="AD109" s="220"/>
      <c r="AE109" s="220"/>
    </row>
    <row r="110" ht="13.5" customHeight="1" outlineLevel="1">
      <c r="A110" s="814">
        <f t="shared" si="42"/>
        <v>110</v>
      </c>
      <c r="B110" s="930" t="s">
        <v>728</v>
      </c>
      <c r="C110" s="34"/>
      <c r="D110" s="909"/>
      <c r="E110" s="909"/>
      <c r="F110" s="909"/>
      <c r="G110" s="34"/>
      <c r="H110" s="34"/>
      <c r="I110" s="34"/>
      <c r="J110" s="911"/>
      <c r="K110" s="911"/>
      <c r="L110" s="911"/>
      <c r="M110" s="911"/>
      <c r="N110" s="131"/>
      <c r="O110" s="119"/>
      <c r="P110" s="30"/>
      <c r="Q110" s="220"/>
      <c r="R110" s="220"/>
      <c r="S110" s="220"/>
      <c r="T110" s="220"/>
      <c r="U110" s="220"/>
      <c r="V110" s="220"/>
      <c r="W110" s="220"/>
      <c r="X110" s="220"/>
      <c r="Y110" s="220"/>
      <c r="Z110" s="220"/>
      <c r="AA110" s="220"/>
      <c r="AB110" s="220"/>
      <c r="AC110" s="220"/>
      <c r="AD110" s="220"/>
      <c r="AE110" s="220"/>
    </row>
    <row r="111" ht="13.5" customHeight="1" outlineLevel="1">
      <c r="A111" s="814">
        <f t="shared" si="42"/>
        <v>111</v>
      </c>
      <c r="B111" s="915" t="s">
        <v>729</v>
      </c>
      <c r="C111" s="916">
        <v>2025.0</v>
      </c>
      <c r="D111" s="917">
        <v>58929.0</v>
      </c>
      <c r="E111" s="893"/>
      <c r="F111" s="893"/>
      <c r="G111" s="894">
        <f t="shared" ref="G111:M111" si="43">IF($C111&lt;=G$10,1,0)</f>
        <v>1</v>
      </c>
      <c r="H111" s="894">
        <f t="shared" si="43"/>
        <v>1</v>
      </c>
      <c r="I111" s="894">
        <f t="shared" si="43"/>
        <v>1</v>
      </c>
      <c r="J111" s="894">
        <f t="shared" si="43"/>
        <v>1</v>
      </c>
      <c r="K111" s="894">
        <f t="shared" si="43"/>
        <v>1</v>
      </c>
      <c r="L111" s="894">
        <f t="shared" si="43"/>
        <v>1</v>
      </c>
      <c r="M111" s="894">
        <f t="shared" si="43"/>
        <v>1</v>
      </c>
      <c r="N111" s="131"/>
      <c r="O111" s="119"/>
      <c r="P111" s="30"/>
      <c r="Q111" s="220"/>
      <c r="R111" s="220"/>
      <c r="S111" s="220"/>
      <c r="T111" s="220"/>
      <c r="U111" s="220"/>
      <c r="V111" s="220"/>
      <c r="W111" s="220"/>
      <c r="X111" s="220"/>
      <c r="Y111" s="220"/>
      <c r="Z111" s="220"/>
      <c r="AA111" s="220"/>
      <c r="AB111" s="220"/>
      <c r="AC111" s="220"/>
      <c r="AD111" s="220"/>
      <c r="AE111" s="220"/>
    </row>
    <row r="112" ht="13.5" customHeight="1" outlineLevel="1">
      <c r="A112" s="814">
        <f t="shared" si="42"/>
        <v>112</v>
      </c>
      <c r="B112" s="931"/>
      <c r="C112" s="922" t="s">
        <v>715</v>
      </c>
      <c r="D112" s="923">
        <v>0.0</v>
      </c>
      <c r="E112" s="782"/>
      <c r="F112" s="782"/>
      <c r="G112" s="898">
        <f t="shared" ref="G112:M112" si="44">IF($C112&lt;=G$10,1,0)</f>
        <v>0</v>
      </c>
      <c r="H112" s="898">
        <f t="shared" si="44"/>
        <v>0</v>
      </c>
      <c r="I112" s="898">
        <f t="shared" si="44"/>
        <v>0</v>
      </c>
      <c r="J112" s="898">
        <f t="shared" si="44"/>
        <v>0</v>
      </c>
      <c r="K112" s="898">
        <f t="shared" si="44"/>
        <v>0</v>
      </c>
      <c r="L112" s="898">
        <f t="shared" si="44"/>
        <v>0</v>
      </c>
      <c r="M112" s="898">
        <f t="shared" si="44"/>
        <v>0</v>
      </c>
      <c r="N112" s="131"/>
      <c r="O112" s="119"/>
      <c r="P112" s="30"/>
      <c r="Q112" s="220"/>
      <c r="R112" s="220"/>
      <c r="S112" s="220"/>
      <c r="T112" s="220"/>
      <c r="U112" s="220"/>
      <c r="V112" s="220"/>
      <c r="W112" s="220"/>
      <c r="X112" s="220"/>
      <c r="Y112" s="220"/>
      <c r="Z112" s="220"/>
      <c r="AA112" s="220"/>
      <c r="AB112" s="220"/>
      <c r="AC112" s="220"/>
      <c r="AD112" s="220"/>
      <c r="AE112" s="220"/>
    </row>
    <row r="113" ht="13.5" customHeight="1" outlineLevel="1">
      <c r="A113" s="814">
        <f t="shared" si="42"/>
        <v>113</v>
      </c>
      <c r="B113" s="931"/>
      <c r="C113" s="922" t="s">
        <v>715</v>
      </c>
      <c r="D113" s="923">
        <v>0.0</v>
      </c>
      <c r="E113" s="782"/>
      <c r="F113" s="782"/>
      <c r="G113" s="898">
        <f t="shared" ref="G113:M113" si="45">IF($C113&lt;=G$10,1,0)</f>
        <v>0</v>
      </c>
      <c r="H113" s="898">
        <f t="shared" si="45"/>
        <v>0</v>
      </c>
      <c r="I113" s="898">
        <f t="shared" si="45"/>
        <v>0</v>
      </c>
      <c r="J113" s="898">
        <f t="shared" si="45"/>
        <v>0</v>
      </c>
      <c r="K113" s="898">
        <f t="shared" si="45"/>
        <v>0</v>
      </c>
      <c r="L113" s="898">
        <f t="shared" si="45"/>
        <v>0</v>
      </c>
      <c r="M113" s="898">
        <f t="shared" si="45"/>
        <v>0</v>
      </c>
      <c r="N113" s="131"/>
      <c r="O113" s="119"/>
      <c r="P113" s="30"/>
      <c r="Q113" s="220"/>
      <c r="R113" s="220"/>
      <c r="S113" s="220"/>
      <c r="T113" s="220"/>
      <c r="U113" s="220"/>
      <c r="V113" s="220"/>
      <c r="W113" s="220"/>
      <c r="X113" s="220"/>
      <c r="Y113" s="220"/>
      <c r="Z113" s="220"/>
      <c r="AA113" s="220"/>
      <c r="AB113" s="220"/>
      <c r="AC113" s="220"/>
      <c r="AD113" s="220"/>
      <c r="AE113" s="220"/>
    </row>
    <row r="114" ht="13.5" customHeight="1" outlineLevel="1">
      <c r="A114" s="814">
        <f t="shared" si="42"/>
        <v>114</v>
      </c>
      <c r="B114" s="921"/>
      <c r="C114" s="922" t="s">
        <v>715</v>
      </c>
      <c r="D114" s="923">
        <v>0.0</v>
      </c>
      <c r="E114" s="782"/>
      <c r="F114" s="782"/>
      <c r="G114" s="898">
        <f t="shared" ref="G114:M114" si="46">IF($C114&lt;=G$10,1,0)</f>
        <v>0</v>
      </c>
      <c r="H114" s="898">
        <f t="shared" si="46"/>
        <v>0</v>
      </c>
      <c r="I114" s="898">
        <f t="shared" si="46"/>
        <v>0</v>
      </c>
      <c r="J114" s="898">
        <f t="shared" si="46"/>
        <v>0</v>
      </c>
      <c r="K114" s="898">
        <f t="shared" si="46"/>
        <v>0</v>
      </c>
      <c r="L114" s="898">
        <f t="shared" si="46"/>
        <v>0</v>
      </c>
      <c r="M114" s="898">
        <f t="shared" si="46"/>
        <v>0</v>
      </c>
      <c r="N114" s="131"/>
      <c r="O114" s="119"/>
      <c r="P114" s="30"/>
      <c r="Q114" s="220"/>
      <c r="R114" s="220"/>
      <c r="S114" s="220"/>
      <c r="T114" s="220"/>
      <c r="U114" s="220"/>
      <c r="V114" s="220"/>
      <c r="W114" s="220"/>
      <c r="X114" s="220"/>
      <c r="Y114" s="220"/>
      <c r="Z114" s="220"/>
      <c r="AA114" s="220"/>
      <c r="AB114" s="220"/>
      <c r="AC114" s="220"/>
      <c r="AD114" s="220"/>
      <c r="AE114" s="220"/>
    </row>
    <row r="115" ht="13.5" customHeight="1" outlineLevel="1">
      <c r="A115" s="814">
        <f t="shared" si="42"/>
        <v>115</v>
      </c>
      <c r="B115" s="921"/>
      <c r="C115" s="922" t="s">
        <v>715</v>
      </c>
      <c r="D115" s="923">
        <v>0.0</v>
      </c>
      <c r="E115" s="782"/>
      <c r="F115" s="782"/>
      <c r="G115" s="898">
        <f t="shared" ref="G115:M115" si="47">IF($C115&lt;=G$10,1,0)</f>
        <v>0</v>
      </c>
      <c r="H115" s="898">
        <f t="shared" si="47"/>
        <v>0</v>
      </c>
      <c r="I115" s="898">
        <f t="shared" si="47"/>
        <v>0</v>
      </c>
      <c r="J115" s="898">
        <f t="shared" si="47"/>
        <v>0</v>
      </c>
      <c r="K115" s="898">
        <f t="shared" si="47"/>
        <v>0</v>
      </c>
      <c r="L115" s="898">
        <f t="shared" si="47"/>
        <v>0</v>
      </c>
      <c r="M115" s="898">
        <f t="shared" si="47"/>
        <v>0</v>
      </c>
      <c r="N115" s="131"/>
      <c r="O115" s="119"/>
      <c r="P115" s="30"/>
      <c r="Q115" s="220"/>
      <c r="R115" s="220"/>
      <c r="S115" s="220"/>
      <c r="T115" s="220"/>
      <c r="U115" s="220"/>
      <c r="V115" s="220"/>
      <c r="W115" s="220"/>
      <c r="X115" s="220"/>
      <c r="Y115" s="220"/>
      <c r="Z115" s="220"/>
      <c r="AA115" s="220"/>
      <c r="AB115" s="220"/>
      <c r="AC115" s="220"/>
      <c r="AD115" s="220"/>
      <c r="AE115" s="220"/>
    </row>
    <row r="116" ht="13.5" customHeight="1" outlineLevel="1">
      <c r="A116" s="814">
        <f t="shared" si="42"/>
        <v>116</v>
      </c>
      <c r="B116" s="921"/>
      <c r="C116" s="922" t="s">
        <v>715</v>
      </c>
      <c r="D116" s="923">
        <v>0.0</v>
      </c>
      <c r="E116" s="782"/>
      <c r="F116" s="782"/>
      <c r="G116" s="898">
        <f t="shared" ref="G116:M116" si="48">IF($C116&lt;=G$10,1,0)</f>
        <v>0</v>
      </c>
      <c r="H116" s="898">
        <f t="shared" si="48"/>
        <v>0</v>
      </c>
      <c r="I116" s="898">
        <f t="shared" si="48"/>
        <v>0</v>
      </c>
      <c r="J116" s="898">
        <f t="shared" si="48"/>
        <v>0</v>
      </c>
      <c r="K116" s="898">
        <f t="shared" si="48"/>
        <v>0</v>
      </c>
      <c r="L116" s="898">
        <f t="shared" si="48"/>
        <v>0</v>
      </c>
      <c r="M116" s="898">
        <f t="shared" si="48"/>
        <v>0</v>
      </c>
      <c r="N116" s="131"/>
      <c r="O116" s="119"/>
      <c r="P116" s="30"/>
      <c r="Q116" s="220"/>
      <c r="R116" s="220"/>
      <c r="S116" s="220"/>
      <c r="T116" s="220"/>
      <c r="U116" s="220"/>
      <c r="V116" s="220"/>
      <c r="W116" s="220"/>
      <c r="X116" s="220"/>
      <c r="Y116" s="220"/>
      <c r="Z116" s="220"/>
      <c r="AA116" s="220"/>
      <c r="AB116" s="220"/>
      <c r="AC116" s="220"/>
      <c r="AD116" s="220"/>
      <c r="AE116" s="220"/>
    </row>
    <row r="117" ht="13.5" customHeight="1" outlineLevel="1">
      <c r="A117" s="814">
        <f t="shared" si="42"/>
        <v>117</v>
      </c>
      <c r="B117" s="921"/>
      <c r="C117" s="922" t="s">
        <v>715</v>
      </c>
      <c r="D117" s="923">
        <v>0.0</v>
      </c>
      <c r="E117" s="782"/>
      <c r="F117" s="782"/>
      <c r="G117" s="898">
        <f t="shared" ref="G117:M117" si="49">IF($C117&lt;=G$10,1,0)</f>
        <v>0</v>
      </c>
      <c r="H117" s="898">
        <f t="shared" si="49"/>
        <v>0</v>
      </c>
      <c r="I117" s="898">
        <f t="shared" si="49"/>
        <v>0</v>
      </c>
      <c r="J117" s="898">
        <f t="shared" si="49"/>
        <v>0</v>
      </c>
      <c r="K117" s="898">
        <f t="shared" si="49"/>
        <v>0</v>
      </c>
      <c r="L117" s="898">
        <f t="shared" si="49"/>
        <v>0</v>
      </c>
      <c r="M117" s="898">
        <f t="shared" si="49"/>
        <v>0</v>
      </c>
      <c r="N117" s="131"/>
      <c r="O117" s="119"/>
      <c r="P117" s="30"/>
      <c r="Q117" s="220"/>
      <c r="R117" s="220"/>
      <c r="S117" s="220"/>
      <c r="T117" s="220"/>
      <c r="U117" s="220"/>
      <c r="V117" s="220"/>
      <c r="W117" s="220"/>
      <c r="X117" s="220"/>
      <c r="Y117" s="220"/>
      <c r="Z117" s="220"/>
      <c r="AA117" s="220"/>
      <c r="AB117" s="220"/>
      <c r="AC117" s="220"/>
      <c r="AD117" s="220"/>
      <c r="AE117" s="220"/>
    </row>
    <row r="118" ht="13.5" customHeight="1" outlineLevel="1">
      <c r="A118" s="814">
        <f t="shared" si="42"/>
        <v>118</v>
      </c>
      <c r="B118" s="921"/>
      <c r="C118" s="922" t="s">
        <v>715</v>
      </c>
      <c r="D118" s="923">
        <v>0.0</v>
      </c>
      <c r="E118" s="782"/>
      <c r="F118" s="782"/>
      <c r="G118" s="898">
        <f t="shared" ref="G118:M118" si="50">IF($C118&lt;=G$10,1,0)</f>
        <v>0</v>
      </c>
      <c r="H118" s="898">
        <f t="shared" si="50"/>
        <v>0</v>
      </c>
      <c r="I118" s="898">
        <f t="shared" si="50"/>
        <v>0</v>
      </c>
      <c r="J118" s="898">
        <f t="shared" si="50"/>
        <v>0</v>
      </c>
      <c r="K118" s="898">
        <f t="shared" si="50"/>
        <v>0</v>
      </c>
      <c r="L118" s="898">
        <f t="shared" si="50"/>
        <v>0</v>
      </c>
      <c r="M118" s="898">
        <f t="shared" si="50"/>
        <v>0</v>
      </c>
      <c r="N118" s="131"/>
      <c r="O118" s="119"/>
      <c r="P118" s="30"/>
      <c r="Q118" s="220"/>
      <c r="R118" s="220"/>
      <c r="S118" s="220"/>
      <c r="T118" s="220"/>
      <c r="U118" s="220"/>
      <c r="V118" s="220"/>
      <c r="W118" s="220"/>
      <c r="X118" s="220"/>
      <c r="Y118" s="220"/>
      <c r="Z118" s="220"/>
      <c r="AA118" s="220"/>
      <c r="AB118" s="220"/>
      <c r="AC118" s="220"/>
      <c r="AD118" s="220"/>
      <c r="AE118" s="220"/>
    </row>
    <row r="119" ht="13.5" customHeight="1" outlineLevel="1">
      <c r="A119" s="814">
        <f t="shared" si="42"/>
        <v>119</v>
      </c>
      <c r="B119" s="921"/>
      <c r="C119" s="922" t="s">
        <v>715</v>
      </c>
      <c r="D119" s="923"/>
      <c r="E119" s="782"/>
      <c r="F119" s="782"/>
      <c r="G119" s="924">
        <f t="shared" ref="G119:M119" si="51">IF($C119&lt;=G$10,1,0)</f>
        <v>0</v>
      </c>
      <c r="H119" s="924">
        <f t="shared" si="51"/>
        <v>0</v>
      </c>
      <c r="I119" s="924">
        <f t="shared" si="51"/>
        <v>0</v>
      </c>
      <c r="J119" s="924">
        <f t="shared" si="51"/>
        <v>0</v>
      </c>
      <c r="K119" s="924">
        <f t="shared" si="51"/>
        <v>0</v>
      </c>
      <c r="L119" s="924">
        <f t="shared" si="51"/>
        <v>0</v>
      </c>
      <c r="M119" s="924">
        <f t="shared" si="51"/>
        <v>0</v>
      </c>
      <c r="N119" s="131"/>
      <c r="O119" s="119"/>
      <c r="P119" s="30"/>
      <c r="Q119" s="220"/>
      <c r="R119" s="220"/>
      <c r="S119" s="220"/>
      <c r="T119" s="220"/>
      <c r="U119" s="220"/>
      <c r="V119" s="220"/>
      <c r="W119" s="220"/>
      <c r="X119" s="220"/>
      <c r="Y119" s="220"/>
      <c r="Z119" s="220"/>
      <c r="AA119" s="220"/>
      <c r="AB119" s="220"/>
      <c r="AC119" s="220"/>
      <c r="AD119" s="220"/>
      <c r="AE119" s="220"/>
    </row>
    <row r="120" ht="13.5" customHeight="1" outlineLevel="1">
      <c r="A120" s="814">
        <f t="shared" si="42"/>
        <v>120</v>
      </c>
      <c r="B120" s="689" t="s">
        <v>730</v>
      </c>
      <c r="C120" s="689"/>
      <c r="D120" s="689"/>
      <c r="E120" s="689"/>
      <c r="F120" s="689"/>
      <c r="G120" s="230">
        <f t="shared" ref="G120:M120" si="52">SUM(G111:G119)</f>
        <v>1</v>
      </c>
      <c r="H120" s="230">
        <f t="shared" si="52"/>
        <v>1</v>
      </c>
      <c r="I120" s="932">
        <f t="shared" si="52"/>
        <v>1</v>
      </c>
      <c r="J120" s="932">
        <f t="shared" si="52"/>
        <v>1</v>
      </c>
      <c r="K120" s="932">
        <f t="shared" si="52"/>
        <v>1</v>
      </c>
      <c r="L120" s="932">
        <f t="shared" si="52"/>
        <v>1</v>
      </c>
      <c r="M120" s="932">
        <f t="shared" si="52"/>
        <v>1</v>
      </c>
      <c r="N120" s="131"/>
      <c r="O120" s="119"/>
      <c r="P120" s="30"/>
      <c r="Q120" s="220"/>
      <c r="R120" s="220"/>
      <c r="S120" s="220"/>
      <c r="T120" s="220"/>
      <c r="U120" s="220"/>
      <c r="V120" s="220"/>
      <c r="W120" s="220"/>
      <c r="X120" s="220"/>
      <c r="Y120" s="220"/>
      <c r="Z120" s="220"/>
      <c r="AA120" s="220"/>
      <c r="AB120" s="220"/>
      <c r="AC120" s="220"/>
      <c r="AD120" s="220"/>
      <c r="AE120" s="220"/>
    </row>
    <row r="121" ht="13.5" customHeight="1" outlineLevel="1">
      <c r="A121" s="814">
        <f t="shared" si="42"/>
        <v>121</v>
      </c>
      <c r="B121" s="928"/>
      <c r="C121" s="928"/>
      <c r="D121" s="928"/>
      <c r="E121" s="928"/>
      <c r="F121" s="928"/>
      <c r="G121" s="907"/>
      <c r="H121" s="907"/>
      <c r="I121" s="907"/>
      <c r="J121" s="907"/>
      <c r="K121" s="907"/>
      <c r="L121" s="907"/>
      <c r="M121" s="907"/>
      <c r="N121" s="131"/>
      <c r="O121" s="119"/>
      <c r="P121" s="30"/>
      <c r="Q121" s="220"/>
      <c r="R121" s="220"/>
      <c r="S121" s="220"/>
      <c r="T121" s="220"/>
      <c r="U121" s="220"/>
      <c r="V121" s="220"/>
      <c r="W121" s="220"/>
      <c r="X121" s="220"/>
      <c r="Y121" s="220"/>
      <c r="Z121" s="220"/>
      <c r="AA121" s="220"/>
      <c r="AB121" s="220"/>
      <c r="AC121" s="220"/>
      <c r="AD121" s="220"/>
      <c r="AE121" s="220"/>
    </row>
    <row r="122" ht="13.5" customHeight="1" outlineLevel="1">
      <c r="A122" s="814">
        <f t="shared" si="42"/>
        <v>122</v>
      </c>
      <c r="B122" s="930" t="s">
        <v>731</v>
      </c>
      <c r="C122" s="34"/>
      <c r="D122" s="909"/>
      <c r="E122" s="909"/>
      <c r="F122" s="909"/>
      <c r="G122" s="910"/>
      <c r="H122" s="910"/>
      <c r="I122" s="910"/>
      <c r="J122" s="910"/>
      <c r="K122" s="910"/>
      <c r="L122" s="910"/>
      <c r="M122" s="910"/>
      <c r="N122" s="131"/>
      <c r="O122" s="119"/>
      <c r="P122" s="30"/>
      <c r="Q122" s="220"/>
      <c r="R122" s="220"/>
      <c r="S122" s="220"/>
      <c r="T122" s="220"/>
      <c r="U122" s="220"/>
      <c r="V122" s="220"/>
      <c r="W122" s="220"/>
      <c r="X122" s="220"/>
      <c r="Y122" s="220"/>
      <c r="Z122" s="220"/>
      <c r="AA122" s="220"/>
      <c r="AB122" s="220"/>
      <c r="AC122" s="220"/>
      <c r="AD122" s="220"/>
      <c r="AE122" s="220"/>
    </row>
    <row r="123" ht="13.5" customHeight="1" outlineLevel="1">
      <c r="A123" s="814">
        <f t="shared" si="42"/>
        <v>123</v>
      </c>
      <c r="B123" s="933" t="s">
        <v>732</v>
      </c>
      <c r="C123" s="916">
        <v>2025.0</v>
      </c>
      <c r="D123" s="917">
        <v>26500.0</v>
      </c>
      <c r="E123" s="782"/>
      <c r="F123" s="782"/>
      <c r="G123" s="894">
        <f t="shared" ref="G123:M123" si="53">IF($C123&lt;=G$10,1,0)</f>
        <v>1</v>
      </c>
      <c r="H123" s="894">
        <f t="shared" si="53"/>
        <v>1</v>
      </c>
      <c r="I123" s="894">
        <f t="shared" si="53"/>
        <v>1</v>
      </c>
      <c r="J123" s="894">
        <f t="shared" si="53"/>
        <v>1</v>
      </c>
      <c r="K123" s="894">
        <f t="shared" si="53"/>
        <v>1</v>
      </c>
      <c r="L123" s="894">
        <f t="shared" si="53"/>
        <v>1</v>
      </c>
      <c r="M123" s="894">
        <f t="shared" si="53"/>
        <v>1</v>
      </c>
      <c r="N123" s="131"/>
      <c r="O123" s="119"/>
      <c r="P123" s="30"/>
      <c r="Q123" s="220"/>
      <c r="R123" s="220"/>
      <c r="S123" s="220"/>
      <c r="T123" s="220"/>
      <c r="U123" s="220"/>
      <c r="V123" s="220"/>
      <c r="W123" s="220"/>
      <c r="X123" s="220"/>
      <c r="Y123" s="220"/>
      <c r="Z123" s="220"/>
      <c r="AA123" s="220"/>
      <c r="AB123" s="220"/>
      <c r="AC123" s="220"/>
      <c r="AD123" s="220"/>
      <c r="AE123" s="220"/>
    </row>
    <row r="124" ht="13.5" customHeight="1" outlineLevel="1">
      <c r="A124" s="814">
        <f t="shared" si="42"/>
        <v>124</v>
      </c>
      <c r="B124" s="918" t="s">
        <v>733</v>
      </c>
      <c r="C124" s="919">
        <v>2025.0</v>
      </c>
      <c r="D124" s="920">
        <v>71479.0</v>
      </c>
      <c r="E124" s="782"/>
      <c r="F124" s="782"/>
      <c r="G124" s="898">
        <f t="shared" ref="G124:M124" si="54">IF($C124&lt;=G$10,1,0)</f>
        <v>1</v>
      </c>
      <c r="H124" s="898">
        <f t="shared" si="54"/>
        <v>1</v>
      </c>
      <c r="I124" s="898">
        <f t="shared" si="54"/>
        <v>1</v>
      </c>
      <c r="J124" s="898">
        <f t="shared" si="54"/>
        <v>1</v>
      </c>
      <c r="K124" s="898">
        <f t="shared" si="54"/>
        <v>1</v>
      </c>
      <c r="L124" s="898">
        <f t="shared" si="54"/>
        <v>1</v>
      </c>
      <c r="M124" s="898">
        <f t="shared" si="54"/>
        <v>1</v>
      </c>
      <c r="N124" s="131"/>
      <c r="O124" s="119"/>
      <c r="P124" s="30"/>
      <c r="Q124" s="220"/>
      <c r="R124" s="220"/>
      <c r="S124" s="220"/>
      <c r="T124" s="220"/>
      <c r="U124" s="220"/>
      <c r="V124" s="220"/>
      <c r="W124" s="220"/>
      <c r="X124" s="220"/>
      <c r="Y124" s="220"/>
      <c r="Z124" s="220"/>
      <c r="AA124" s="220"/>
      <c r="AB124" s="220"/>
      <c r="AC124" s="220"/>
      <c r="AD124" s="220"/>
      <c r="AE124" s="220"/>
    </row>
    <row r="125" ht="13.5" customHeight="1" outlineLevel="1">
      <c r="A125" s="814">
        <f t="shared" si="42"/>
        <v>125</v>
      </c>
      <c r="B125" s="934" t="s">
        <v>734</v>
      </c>
      <c r="C125" s="919">
        <v>2025.0</v>
      </c>
      <c r="D125" s="920">
        <v>80372.0</v>
      </c>
      <c r="E125" s="782"/>
      <c r="F125" s="782"/>
      <c r="G125" s="898">
        <f t="shared" ref="G125:M125" si="55">IF($C125&lt;=G$10,1,0)</f>
        <v>1</v>
      </c>
      <c r="H125" s="898">
        <f t="shared" si="55"/>
        <v>1</v>
      </c>
      <c r="I125" s="898">
        <f t="shared" si="55"/>
        <v>1</v>
      </c>
      <c r="J125" s="898">
        <f t="shared" si="55"/>
        <v>1</v>
      </c>
      <c r="K125" s="898">
        <f t="shared" si="55"/>
        <v>1</v>
      </c>
      <c r="L125" s="898">
        <f t="shared" si="55"/>
        <v>1</v>
      </c>
      <c r="M125" s="898">
        <f t="shared" si="55"/>
        <v>1</v>
      </c>
      <c r="N125" s="131"/>
      <c r="O125" s="119"/>
      <c r="P125" s="30"/>
      <c r="Q125" s="220"/>
      <c r="R125" s="220"/>
      <c r="S125" s="220"/>
      <c r="T125" s="220"/>
      <c r="U125" s="220"/>
      <c r="V125" s="220"/>
      <c r="W125" s="220"/>
      <c r="X125" s="220"/>
      <c r="Y125" s="220"/>
      <c r="Z125" s="220"/>
      <c r="AA125" s="220"/>
      <c r="AB125" s="220"/>
      <c r="AC125" s="220"/>
      <c r="AD125" s="220"/>
      <c r="AE125" s="220"/>
    </row>
    <row r="126" ht="13.5" customHeight="1" outlineLevel="1">
      <c r="A126" s="814">
        <f t="shared" si="42"/>
        <v>126</v>
      </c>
      <c r="B126" s="934"/>
      <c r="C126" s="919">
        <v>2025.0</v>
      </c>
      <c r="D126" s="935">
        <v>0.0</v>
      </c>
      <c r="E126" s="782"/>
      <c r="F126" s="782"/>
      <c r="G126" s="898">
        <f t="shared" ref="G126:M126" si="56">IF($C126&lt;=G$10,1,0)</f>
        <v>1</v>
      </c>
      <c r="H126" s="898">
        <f t="shared" si="56"/>
        <v>1</v>
      </c>
      <c r="I126" s="898">
        <f t="shared" si="56"/>
        <v>1</v>
      </c>
      <c r="J126" s="898">
        <f t="shared" si="56"/>
        <v>1</v>
      </c>
      <c r="K126" s="898">
        <f t="shared" si="56"/>
        <v>1</v>
      </c>
      <c r="L126" s="898">
        <f t="shared" si="56"/>
        <v>1</v>
      </c>
      <c r="M126" s="898">
        <f t="shared" si="56"/>
        <v>1</v>
      </c>
      <c r="N126" s="131"/>
      <c r="O126" s="119"/>
      <c r="P126" s="30"/>
      <c r="Q126" s="220"/>
      <c r="R126" s="220"/>
      <c r="S126" s="220"/>
      <c r="T126" s="220"/>
      <c r="U126" s="220"/>
      <c r="V126" s="220"/>
      <c r="W126" s="220"/>
      <c r="X126" s="220"/>
      <c r="Y126" s="220"/>
      <c r="Z126" s="220"/>
      <c r="AA126" s="220"/>
      <c r="AB126" s="220"/>
      <c r="AC126" s="220"/>
      <c r="AD126" s="220"/>
      <c r="AE126" s="220"/>
    </row>
    <row r="127" ht="13.5" customHeight="1" outlineLevel="1">
      <c r="A127" s="814">
        <f t="shared" si="42"/>
        <v>127</v>
      </c>
      <c r="B127" s="918" t="s">
        <v>735</v>
      </c>
      <c r="C127" s="919">
        <v>2025.0</v>
      </c>
      <c r="D127" s="920">
        <v>61200.0</v>
      </c>
      <c r="E127" s="782"/>
      <c r="F127" s="782"/>
      <c r="G127" s="898">
        <f t="shared" ref="G127:M127" si="57">IF($C127&lt;=G$10,1,0)</f>
        <v>1</v>
      </c>
      <c r="H127" s="898">
        <f t="shared" si="57"/>
        <v>1</v>
      </c>
      <c r="I127" s="898">
        <f t="shared" si="57"/>
        <v>1</v>
      </c>
      <c r="J127" s="898">
        <f t="shared" si="57"/>
        <v>1</v>
      </c>
      <c r="K127" s="898">
        <f t="shared" si="57"/>
        <v>1</v>
      </c>
      <c r="L127" s="898">
        <f t="shared" si="57"/>
        <v>1</v>
      </c>
      <c r="M127" s="898">
        <f t="shared" si="57"/>
        <v>1</v>
      </c>
      <c r="N127" s="131"/>
      <c r="O127" s="119"/>
      <c r="P127" s="30"/>
      <c r="Q127" s="220"/>
      <c r="R127" s="220"/>
      <c r="S127" s="220"/>
      <c r="T127" s="220"/>
      <c r="U127" s="220"/>
      <c r="V127" s="220"/>
      <c r="W127" s="220"/>
      <c r="X127" s="220"/>
      <c r="Y127" s="220"/>
      <c r="Z127" s="220"/>
      <c r="AA127" s="220"/>
      <c r="AB127" s="220"/>
      <c r="AC127" s="220"/>
      <c r="AD127" s="220"/>
      <c r="AE127" s="220"/>
    </row>
    <row r="128" ht="13.5" customHeight="1" outlineLevel="1">
      <c r="A128" s="814">
        <f t="shared" si="42"/>
        <v>128</v>
      </c>
      <c r="B128" s="934" t="s">
        <v>736</v>
      </c>
      <c r="C128" s="919">
        <v>2025.0</v>
      </c>
      <c r="D128" s="920">
        <v>51000.0</v>
      </c>
      <c r="E128" s="782"/>
      <c r="F128" s="782"/>
      <c r="G128" s="898">
        <f t="shared" ref="G128:M128" si="58">IF($C128&lt;=G$10,1,0)</f>
        <v>1</v>
      </c>
      <c r="H128" s="898">
        <f t="shared" si="58"/>
        <v>1</v>
      </c>
      <c r="I128" s="898">
        <f t="shared" si="58"/>
        <v>1</v>
      </c>
      <c r="J128" s="898">
        <f t="shared" si="58"/>
        <v>1</v>
      </c>
      <c r="K128" s="898">
        <f t="shared" si="58"/>
        <v>1</v>
      </c>
      <c r="L128" s="898">
        <f t="shared" si="58"/>
        <v>1</v>
      </c>
      <c r="M128" s="898">
        <f t="shared" si="58"/>
        <v>1</v>
      </c>
      <c r="N128" s="131"/>
      <c r="O128" s="119"/>
      <c r="P128" s="30"/>
      <c r="Q128" s="220"/>
      <c r="R128" s="220"/>
      <c r="S128" s="220"/>
      <c r="T128" s="220"/>
      <c r="U128" s="220"/>
      <c r="V128" s="220"/>
      <c r="W128" s="220"/>
      <c r="X128" s="220"/>
      <c r="Y128" s="220"/>
      <c r="Z128" s="220"/>
      <c r="AA128" s="220"/>
      <c r="AB128" s="220"/>
      <c r="AC128" s="220"/>
      <c r="AD128" s="220"/>
      <c r="AE128" s="220"/>
    </row>
    <row r="129" ht="13.5" customHeight="1" outlineLevel="1">
      <c r="A129" s="814">
        <f t="shared" si="42"/>
        <v>129</v>
      </c>
      <c r="B129" s="918" t="s">
        <v>737</v>
      </c>
      <c r="C129" s="919">
        <v>2025.0</v>
      </c>
      <c r="D129" s="920">
        <v>62832.0</v>
      </c>
      <c r="E129" s="782"/>
      <c r="F129" s="782"/>
      <c r="G129" s="898">
        <f t="shared" ref="G129:M129" si="59">IF($C129&lt;=G$10,1,0)</f>
        <v>1</v>
      </c>
      <c r="H129" s="898">
        <f t="shared" si="59"/>
        <v>1</v>
      </c>
      <c r="I129" s="898">
        <f t="shared" si="59"/>
        <v>1</v>
      </c>
      <c r="J129" s="898">
        <f t="shared" si="59"/>
        <v>1</v>
      </c>
      <c r="K129" s="898">
        <f t="shared" si="59"/>
        <v>1</v>
      </c>
      <c r="L129" s="898">
        <f t="shared" si="59"/>
        <v>1</v>
      </c>
      <c r="M129" s="898">
        <f t="shared" si="59"/>
        <v>1</v>
      </c>
      <c r="N129" s="131"/>
      <c r="O129" s="119"/>
      <c r="P129" s="30"/>
      <c r="Q129" s="220"/>
      <c r="R129" s="220"/>
      <c r="S129" s="220"/>
      <c r="T129" s="220"/>
      <c r="U129" s="220"/>
      <c r="V129" s="220"/>
      <c r="W129" s="220"/>
      <c r="X129" s="220"/>
      <c r="Y129" s="220"/>
      <c r="Z129" s="220"/>
      <c r="AA129" s="220"/>
      <c r="AB129" s="220"/>
      <c r="AC129" s="220"/>
      <c r="AD129" s="220"/>
      <c r="AE129" s="220"/>
    </row>
    <row r="130" ht="13.5" customHeight="1" outlineLevel="1">
      <c r="A130" s="814">
        <f t="shared" si="42"/>
        <v>130</v>
      </c>
      <c r="B130" s="918" t="s">
        <v>738</v>
      </c>
      <c r="C130" s="919">
        <v>2025.0</v>
      </c>
      <c r="D130" s="920">
        <v>45927.0</v>
      </c>
      <c r="E130" s="782"/>
      <c r="F130" s="782"/>
      <c r="G130" s="898">
        <f t="shared" ref="G130:M130" si="60">IF($C130&lt;=G$10,1,0)</f>
        <v>1</v>
      </c>
      <c r="H130" s="898">
        <f t="shared" si="60"/>
        <v>1</v>
      </c>
      <c r="I130" s="898">
        <f t="shared" si="60"/>
        <v>1</v>
      </c>
      <c r="J130" s="898">
        <f t="shared" si="60"/>
        <v>1</v>
      </c>
      <c r="K130" s="898">
        <f t="shared" si="60"/>
        <v>1</v>
      </c>
      <c r="L130" s="898">
        <f t="shared" si="60"/>
        <v>1</v>
      </c>
      <c r="M130" s="898">
        <f t="shared" si="60"/>
        <v>1</v>
      </c>
      <c r="N130" s="131"/>
      <c r="O130" s="119"/>
      <c r="P130" s="30"/>
      <c r="Q130" s="220"/>
      <c r="R130" s="220"/>
      <c r="S130" s="220"/>
      <c r="T130" s="220"/>
      <c r="U130" s="220"/>
      <c r="V130" s="220"/>
      <c r="W130" s="220"/>
      <c r="X130" s="220"/>
      <c r="Y130" s="220"/>
      <c r="Z130" s="220"/>
      <c r="AA130" s="220"/>
      <c r="AB130" s="220"/>
      <c r="AC130" s="220"/>
      <c r="AD130" s="220"/>
      <c r="AE130" s="220"/>
    </row>
    <row r="131" ht="13.5" customHeight="1" outlineLevel="1">
      <c r="A131" s="814">
        <f t="shared" si="42"/>
        <v>131</v>
      </c>
      <c r="B131" s="918" t="s">
        <v>738</v>
      </c>
      <c r="C131" s="919">
        <v>2025.0</v>
      </c>
      <c r="D131" s="920">
        <v>32900.0</v>
      </c>
      <c r="E131" s="782"/>
      <c r="F131" s="782"/>
      <c r="G131" s="898">
        <f t="shared" ref="G131:M131" si="61">IF($C131&lt;=G$10,1,0)</f>
        <v>1</v>
      </c>
      <c r="H131" s="898">
        <f t="shared" si="61"/>
        <v>1</v>
      </c>
      <c r="I131" s="898">
        <f t="shared" si="61"/>
        <v>1</v>
      </c>
      <c r="J131" s="898">
        <f t="shared" si="61"/>
        <v>1</v>
      </c>
      <c r="K131" s="898">
        <f t="shared" si="61"/>
        <v>1</v>
      </c>
      <c r="L131" s="898">
        <f t="shared" si="61"/>
        <v>1</v>
      </c>
      <c r="M131" s="898">
        <f t="shared" si="61"/>
        <v>1</v>
      </c>
      <c r="N131" s="131"/>
      <c r="O131" s="119"/>
      <c r="P131" s="30"/>
      <c r="Q131" s="220"/>
      <c r="R131" s="220"/>
      <c r="S131" s="220"/>
      <c r="T131" s="220"/>
      <c r="U131" s="220"/>
      <c r="V131" s="220"/>
      <c r="W131" s="220"/>
      <c r="X131" s="220"/>
      <c r="Y131" s="220"/>
      <c r="Z131" s="220"/>
      <c r="AA131" s="220"/>
      <c r="AB131" s="220"/>
      <c r="AC131" s="220"/>
      <c r="AD131" s="220"/>
      <c r="AE131" s="220"/>
    </row>
    <row r="132" ht="13.5" customHeight="1" outlineLevel="1">
      <c r="A132" s="814">
        <f t="shared" si="42"/>
        <v>132</v>
      </c>
      <c r="B132" s="921"/>
      <c r="C132" s="922" t="s">
        <v>715</v>
      </c>
      <c r="D132" s="923">
        <v>0.0</v>
      </c>
      <c r="E132" s="782"/>
      <c r="F132" s="782"/>
      <c r="G132" s="898">
        <f t="shared" ref="G132:M132" si="62">IF($C132&lt;=G$10,1,0)</f>
        <v>0</v>
      </c>
      <c r="H132" s="898">
        <f t="shared" si="62"/>
        <v>0</v>
      </c>
      <c r="I132" s="898">
        <f t="shared" si="62"/>
        <v>0</v>
      </c>
      <c r="J132" s="898">
        <f t="shared" si="62"/>
        <v>0</v>
      </c>
      <c r="K132" s="898">
        <f t="shared" si="62"/>
        <v>0</v>
      </c>
      <c r="L132" s="898">
        <f t="shared" si="62"/>
        <v>0</v>
      </c>
      <c r="M132" s="898">
        <f t="shared" si="62"/>
        <v>0</v>
      </c>
      <c r="N132" s="131"/>
      <c r="O132" s="119"/>
      <c r="P132" s="30"/>
      <c r="Q132" s="220"/>
      <c r="R132" s="220"/>
      <c r="S132" s="220"/>
      <c r="T132" s="220"/>
      <c r="U132" s="220"/>
      <c r="V132" s="220"/>
      <c r="W132" s="220"/>
      <c r="X132" s="220"/>
      <c r="Y132" s="220"/>
      <c r="Z132" s="220"/>
      <c r="AA132" s="220"/>
      <c r="AB132" s="220"/>
      <c r="AC132" s="220"/>
      <c r="AD132" s="220"/>
      <c r="AE132" s="220"/>
    </row>
    <row r="133" ht="13.5" customHeight="1" outlineLevel="1">
      <c r="A133" s="814">
        <f t="shared" si="42"/>
        <v>133</v>
      </c>
      <c r="B133" s="921"/>
      <c r="C133" s="922" t="s">
        <v>715</v>
      </c>
      <c r="D133" s="923"/>
      <c r="E133" s="782"/>
      <c r="F133" s="782"/>
      <c r="G133" s="924">
        <f t="shared" ref="G133:M133" si="63">IF($C133&lt;=G$10,1,0)</f>
        <v>0</v>
      </c>
      <c r="H133" s="924">
        <f t="shared" si="63"/>
        <v>0</v>
      </c>
      <c r="I133" s="924">
        <f t="shared" si="63"/>
        <v>0</v>
      </c>
      <c r="J133" s="924">
        <f t="shared" si="63"/>
        <v>0</v>
      </c>
      <c r="K133" s="924">
        <f t="shared" si="63"/>
        <v>0</v>
      </c>
      <c r="L133" s="924">
        <f t="shared" si="63"/>
        <v>0</v>
      </c>
      <c r="M133" s="924">
        <f t="shared" si="63"/>
        <v>0</v>
      </c>
      <c r="N133" s="131"/>
      <c r="O133" s="119"/>
      <c r="P133" s="30"/>
      <c r="Q133" s="220"/>
      <c r="R133" s="220"/>
      <c r="S133" s="220"/>
      <c r="T133" s="220"/>
      <c r="U133" s="220"/>
      <c r="V133" s="220"/>
      <c r="W133" s="220"/>
      <c r="X133" s="220"/>
      <c r="Y133" s="220"/>
      <c r="Z133" s="220"/>
      <c r="AA133" s="220"/>
      <c r="AB133" s="220"/>
      <c r="AC133" s="220"/>
      <c r="AD133" s="220"/>
      <c r="AE133" s="220"/>
    </row>
    <row r="134" ht="13.5" customHeight="1" outlineLevel="1">
      <c r="A134" s="814">
        <f t="shared" si="42"/>
        <v>134</v>
      </c>
      <c r="B134" s="689" t="s">
        <v>739</v>
      </c>
      <c r="C134" s="689"/>
      <c r="D134" s="689"/>
      <c r="E134" s="689"/>
      <c r="F134" s="689"/>
      <c r="G134" s="230">
        <f t="shared" ref="G134:M134" si="64">SUM(G123:G133)</f>
        <v>9</v>
      </c>
      <c r="H134" s="230">
        <f t="shared" si="64"/>
        <v>9</v>
      </c>
      <c r="I134" s="932">
        <f t="shared" si="64"/>
        <v>9</v>
      </c>
      <c r="J134" s="932">
        <f t="shared" si="64"/>
        <v>9</v>
      </c>
      <c r="K134" s="932">
        <f t="shared" si="64"/>
        <v>9</v>
      </c>
      <c r="L134" s="932">
        <f t="shared" si="64"/>
        <v>9</v>
      </c>
      <c r="M134" s="932">
        <f t="shared" si="64"/>
        <v>9</v>
      </c>
      <c r="N134" s="131"/>
      <c r="O134" s="119"/>
      <c r="P134" s="30"/>
      <c r="Q134" s="220"/>
      <c r="R134" s="220"/>
      <c r="S134" s="220"/>
      <c r="T134" s="220"/>
      <c r="U134" s="220"/>
      <c r="V134" s="220"/>
      <c r="W134" s="220"/>
      <c r="X134" s="220"/>
      <c r="Y134" s="220"/>
      <c r="Z134" s="220"/>
      <c r="AA134" s="220"/>
      <c r="AB134" s="220"/>
      <c r="AC134" s="220"/>
      <c r="AD134" s="220"/>
      <c r="AE134" s="220"/>
    </row>
    <row r="135" ht="13.5" customHeight="1" outlineLevel="1">
      <c r="A135" s="814">
        <f t="shared" si="42"/>
        <v>135</v>
      </c>
      <c r="B135" s="30"/>
      <c r="C135" s="30"/>
      <c r="D135" s="30"/>
      <c r="E135" s="30"/>
      <c r="F135" s="30"/>
      <c r="G135" s="131"/>
      <c r="H135" s="131"/>
      <c r="I135" s="131"/>
      <c r="J135" s="131"/>
      <c r="K135" s="131"/>
      <c r="L135" s="131"/>
      <c r="M135" s="131"/>
      <c r="N135" s="131"/>
      <c r="O135" s="119"/>
      <c r="P135" s="30"/>
      <c r="Q135" s="220"/>
      <c r="R135" s="220"/>
      <c r="S135" s="220"/>
      <c r="T135" s="220"/>
      <c r="U135" s="220"/>
      <c r="V135" s="220"/>
      <c r="W135" s="220"/>
      <c r="X135" s="220"/>
      <c r="Y135" s="220"/>
      <c r="Z135" s="220"/>
      <c r="AA135" s="220"/>
      <c r="AB135" s="220"/>
      <c r="AC135" s="220"/>
      <c r="AD135" s="220"/>
      <c r="AE135" s="220"/>
    </row>
    <row r="136" ht="13.5" customHeight="1" outlineLevel="1">
      <c r="A136" s="814">
        <f t="shared" si="42"/>
        <v>136</v>
      </c>
      <c r="B136" s="689" t="s">
        <v>740</v>
      </c>
      <c r="C136" s="689"/>
      <c r="D136" s="689"/>
      <c r="E136" s="689"/>
      <c r="F136" s="689"/>
      <c r="G136" s="230">
        <f t="shared" ref="G136:M136" si="65">+G106+G120+G134</f>
        <v>12</v>
      </c>
      <c r="H136" s="230">
        <f t="shared" si="65"/>
        <v>12</v>
      </c>
      <c r="I136" s="932">
        <f t="shared" si="65"/>
        <v>12</v>
      </c>
      <c r="J136" s="932">
        <f t="shared" si="65"/>
        <v>12</v>
      </c>
      <c r="K136" s="932">
        <f t="shared" si="65"/>
        <v>12</v>
      </c>
      <c r="L136" s="932">
        <f t="shared" si="65"/>
        <v>12</v>
      </c>
      <c r="M136" s="932">
        <f t="shared" si="65"/>
        <v>12</v>
      </c>
      <c r="N136" s="131"/>
      <c r="O136" s="119"/>
      <c r="P136" s="30"/>
      <c r="Q136" s="220"/>
      <c r="R136" s="220"/>
      <c r="S136" s="220"/>
      <c r="T136" s="220"/>
      <c r="U136" s="220"/>
      <c r="V136" s="220"/>
      <c r="W136" s="220"/>
      <c r="X136" s="220"/>
      <c r="Y136" s="220"/>
      <c r="Z136" s="220"/>
      <c r="AA136" s="220"/>
      <c r="AB136" s="220"/>
      <c r="AC136" s="220"/>
      <c r="AD136" s="220"/>
      <c r="AE136" s="220"/>
    </row>
    <row r="137" ht="13.5" customHeight="1" outlineLevel="1">
      <c r="A137" s="814">
        <f t="shared" si="42"/>
        <v>137</v>
      </c>
      <c r="B137" s="689" t="s">
        <v>741</v>
      </c>
      <c r="C137" s="689"/>
      <c r="D137" s="689"/>
      <c r="E137" s="689"/>
      <c r="F137" s="689"/>
      <c r="G137" s="932">
        <f t="shared" ref="G137:M137" si="66">+G136+G94</f>
        <v>19</v>
      </c>
      <c r="H137" s="932">
        <f t="shared" si="66"/>
        <v>19</v>
      </c>
      <c r="I137" s="932">
        <f t="shared" si="66"/>
        <v>19</v>
      </c>
      <c r="J137" s="932">
        <f t="shared" si="66"/>
        <v>19</v>
      </c>
      <c r="K137" s="932">
        <f t="shared" si="66"/>
        <v>19</v>
      </c>
      <c r="L137" s="932">
        <f t="shared" si="66"/>
        <v>19</v>
      </c>
      <c r="M137" s="932">
        <f t="shared" si="66"/>
        <v>19</v>
      </c>
      <c r="N137" s="131"/>
      <c r="O137" s="119"/>
      <c r="P137" s="30"/>
      <c r="Q137" s="220"/>
      <c r="R137" s="220"/>
      <c r="S137" s="220"/>
      <c r="T137" s="220"/>
      <c r="U137" s="220"/>
      <c r="V137" s="220"/>
      <c r="W137" s="220"/>
      <c r="X137" s="220"/>
      <c r="Y137" s="220"/>
      <c r="Z137" s="220"/>
      <c r="AA137" s="220"/>
      <c r="AB137" s="220"/>
      <c r="AC137" s="220"/>
      <c r="AD137" s="220"/>
      <c r="AE137" s="220"/>
    </row>
    <row r="138" ht="13.5" customHeight="1" outlineLevel="1">
      <c r="A138" s="814">
        <f t="shared" si="42"/>
        <v>138</v>
      </c>
      <c r="B138" s="107"/>
      <c r="C138" s="107"/>
      <c r="D138" s="107"/>
      <c r="E138" s="107"/>
      <c r="F138" s="107"/>
      <c r="G138" s="928"/>
      <c r="H138" s="107"/>
      <c r="I138" s="107"/>
      <c r="J138" s="107"/>
      <c r="K138" s="107"/>
      <c r="L138" s="107"/>
      <c r="M138" s="908"/>
      <c r="N138" s="131"/>
      <c r="O138" s="119"/>
      <c r="P138" s="30"/>
      <c r="Q138" s="220"/>
      <c r="R138" s="220"/>
      <c r="S138" s="220"/>
      <c r="T138" s="220"/>
      <c r="U138" s="220"/>
      <c r="V138" s="220"/>
      <c r="W138" s="220"/>
      <c r="X138" s="220"/>
      <c r="Y138" s="220"/>
      <c r="Z138" s="220"/>
      <c r="AA138" s="220"/>
      <c r="AB138" s="220"/>
      <c r="AC138" s="220"/>
      <c r="AD138" s="220"/>
      <c r="AE138" s="220"/>
    </row>
    <row r="139" ht="13.5" customHeight="1" outlineLevel="1">
      <c r="A139" s="814">
        <f t="shared" si="42"/>
        <v>139</v>
      </c>
      <c r="B139" s="930" t="s">
        <v>742</v>
      </c>
      <c r="C139" s="34"/>
      <c r="D139" s="34"/>
      <c r="E139" s="34"/>
      <c r="F139" s="34"/>
      <c r="G139" s="36"/>
      <c r="H139" s="34"/>
      <c r="I139" s="34"/>
      <c r="J139" s="34"/>
      <c r="K139" s="34"/>
      <c r="L139" s="34"/>
      <c r="M139" s="911"/>
      <c r="N139" s="131"/>
      <c r="O139" s="119"/>
      <c r="P139" s="30"/>
      <c r="Q139" s="220"/>
      <c r="R139" s="220"/>
      <c r="S139" s="220"/>
      <c r="T139" s="220"/>
      <c r="U139" s="220"/>
      <c r="V139" s="220"/>
      <c r="W139" s="220"/>
      <c r="X139" s="220"/>
      <c r="Y139" s="220"/>
      <c r="Z139" s="220"/>
      <c r="AA139" s="220"/>
      <c r="AB139" s="220"/>
      <c r="AC139" s="220"/>
      <c r="AD139" s="220"/>
      <c r="AE139" s="220"/>
    </row>
    <row r="140" ht="13.5" customHeight="1" outlineLevel="1">
      <c r="A140" s="814">
        <f t="shared" si="42"/>
        <v>140</v>
      </c>
      <c r="B140" s="208" t="s">
        <v>743</v>
      </c>
      <c r="C140" s="99" t="s">
        <v>744</v>
      </c>
      <c r="D140" s="99" t="s">
        <v>745</v>
      </c>
      <c r="E140" s="99" t="s">
        <v>705</v>
      </c>
      <c r="F140" s="208" t="s">
        <v>746</v>
      </c>
      <c r="G140" s="208" t="s">
        <v>747</v>
      </c>
      <c r="H140" s="936">
        <v>2026.0</v>
      </c>
      <c r="I140" s="208"/>
      <c r="J140" s="208"/>
      <c r="K140" s="30"/>
      <c r="L140" s="131"/>
      <c r="M140" s="30"/>
      <c r="N140" s="131"/>
      <c r="O140" s="119"/>
      <c r="P140" s="30"/>
      <c r="Q140" s="220"/>
      <c r="R140" s="220"/>
      <c r="S140" s="220"/>
      <c r="T140" s="220"/>
      <c r="U140" s="220"/>
      <c r="V140" s="220"/>
      <c r="W140" s="220"/>
      <c r="X140" s="220"/>
      <c r="Y140" s="220"/>
      <c r="Z140" s="220"/>
      <c r="AA140" s="220"/>
      <c r="AB140" s="220"/>
      <c r="AC140" s="220"/>
      <c r="AD140" s="220"/>
      <c r="AE140" s="220"/>
    </row>
    <row r="141" ht="13.5" customHeight="1" outlineLevel="1">
      <c r="A141" s="814">
        <f t="shared" si="42"/>
        <v>141</v>
      </c>
      <c r="B141" s="880" t="s">
        <v>706</v>
      </c>
      <c r="C141" s="81"/>
      <c r="D141" s="81">
        <f>' Enrol &amp; Rev'!$G$10</f>
        <v>2025</v>
      </c>
      <c r="E141" s="36"/>
      <c r="F141" s="36"/>
      <c r="G141" s="34"/>
      <c r="H141" s="34"/>
      <c r="I141" s="881"/>
      <c r="J141" s="881"/>
      <c r="K141" s="881"/>
      <c r="L141" s="911"/>
      <c r="M141" s="34"/>
      <c r="N141" s="131"/>
      <c r="O141" s="119"/>
      <c r="P141" s="30"/>
      <c r="Q141" s="220"/>
      <c r="R141" s="220"/>
      <c r="S141" s="220"/>
      <c r="T141" s="220"/>
      <c r="U141" s="220"/>
      <c r="V141" s="220"/>
      <c r="W141" s="220"/>
      <c r="X141" s="220"/>
      <c r="Y141" s="220"/>
      <c r="Z141" s="220"/>
      <c r="AA141" s="220"/>
      <c r="AB141" s="220"/>
      <c r="AC141" s="220"/>
      <c r="AD141" s="220"/>
      <c r="AE141" s="220"/>
    </row>
    <row r="142" ht="13.5" customHeight="1" outlineLevel="1">
      <c r="A142" s="814">
        <f t="shared" si="42"/>
        <v>142</v>
      </c>
      <c r="B142" s="30"/>
      <c r="C142" s="66"/>
      <c r="D142" s="66"/>
      <c r="E142" s="63"/>
      <c r="F142" s="63"/>
      <c r="G142" s="30" t="s">
        <v>748</v>
      </c>
      <c r="H142" s="30"/>
      <c r="I142" s="30"/>
      <c r="J142" s="30"/>
      <c r="K142" s="30"/>
      <c r="L142" s="131"/>
      <c r="M142" s="30"/>
      <c r="N142" s="131"/>
      <c r="O142" s="119"/>
      <c r="P142" s="30"/>
      <c r="Q142" s="220"/>
      <c r="R142" s="220"/>
      <c r="S142" s="220"/>
      <c r="T142" s="220"/>
      <c r="U142" s="220"/>
      <c r="V142" s="220"/>
      <c r="W142" s="220"/>
      <c r="X142" s="220"/>
      <c r="Y142" s="220"/>
      <c r="Z142" s="220"/>
      <c r="AA142" s="220"/>
      <c r="AB142" s="220"/>
      <c r="AC142" s="220"/>
      <c r="AD142" s="220"/>
      <c r="AE142" s="220"/>
    </row>
    <row r="143" ht="13.5" customHeight="1" outlineLevel="1">
      <c r="A143" s="814">
        <f t="shared" si="42"/>
        <v>143</v>
      </c>
      <c r="B143" s="937" t="s">
        <v>749</v>
      </c>
      <c r="C143" s="901" t="s">
        <v>715</v>
      </c>
      <c r="D143" s="901" t="s">
        <v>750</v>
      </c>
      <c r="E143" s="753">
        <v>0.0</v>
      </c>
      <c r="F143" s="938" t="s">
        <v>751</v>
      </c>
      <c r="G143" s="898">
        <f t="shared" ref="G143:M143" si="67">IF($D143&lt;=G$10,1,0)</f>
        <v>0</v>
      </c>
      <c r="H143" s="898">
        <f t="shared" si="67"/>
        <v>0</v>
      </c>
      <c r="I143" s="898">
        <f t="shared" si="67"/>
        <v>0</v>
      </c>
      <c r="J143" s="898">
        <f t="shared" si="67"/>
        <v>0</v>
      </c>
      <c r="K143" s="898">
        <f t="shared" si="67"/>
        <v>0</v>
      </c>
      <c r="L143" s="898">
        <f t="shared" si="67"/>
        <v>0</v>
      </c>
      <c r="M143" s="898">
        <f t="shared" si="67"/>
        <v>0</v>
      </c>
      <c r="N143" s="30"/>
      <c r="O143" s="119"/>
      <c r="P143" s="30"/>
      <c r="Q143" s="220"/>
      <c r="R143" s="220"/>
      <c r="S143" s="220"/>
      <c r="T143" s="220"/>
      <c r="U143" s="220"/>
      <c r="V143" s="220"/>
      <c r="W143" s="220"/>
      <c r="X143" s="220"/>
      <c r="Y143" s="220"/>
      <c r="Z143" s="220"/>
      <c r="AA143" s="220"/>
      <c r="AB143" s="220"/>
      <c r="AC143" s="220"/>
      <c r="AD143" s="220"/>
      <c r="AE143" s="220"/>
    </row>
    <row r="144" ht="13.5" customHeight="1" outlineLevel="1">
      <c r="A144" s="814">
        <f t="shared" si="42"/>
        <v>144</v>
      </c>
      <c r="B144" s="937" t="s">
        <v>749</v>
      </c>
      <c r="C144" s="901" t="s">
        <v>715</v>
      </c>
      <c r="D144" s="901" t="s">
        <v>750</v>
      </c>
      <c r="E144" s="756">
        <v>0.0</v>
      </c>
      <c r="F144" s="938" t="s">
        <v>751</v>
      </c>
      <c r="G144" s="898">
        <f t="shared" ref="G144:M144" si="68">IF($D144&lt;=G$10,1,0)</f>
        <v>0</v>
      </c>
      <c r="H144" s="898">
        <f t="shared" si="68"/>
        <v>0</v>
      </c>
      <c r="I144" s="898">
        <f t="shared" si="68"/>
        <v>0</v>
      </c>
      <c r="J144" s="898">
        <f t="shared" si="68"/>
        <v>0</v>
      </c>
      <c r="K144" s="898">
        <f t="shared" si="68"/>
        <v>0</v>
      </c>
      <c r="L144" s="898">
        <f t="shared" si="68"/>
        <v>0</v>
      </c>
      <c r="M144" s="898">
        <f t="shared" si="68"/>
        <v>0</v>
      </c>
      <c r="N144" s="30"/>
      <c r="O144" s="119"/>
      <c r="P144" s="30"/>
      <c r="Q144" s="220"/>
      <c r="R144" s="220"/>
      <c r="S144" s="220"/>
      <c r="T144" s="220"/>
      <c r="U144" s="220"/>
      <c r="V144" s="220"/>
      <c r="W144" s="220"/>
      <c r="X144" s="220"/>
      <c r="Y144" s="220"/>
      <c r="Z144" s="220"/>
      <c r="AA144" s="220"/>
      <c r="AB144" s="220"/>
      <c r="AC144" s="220"/>
      <c r="AD144" s="220"/>
      <c r="AE144" s="220"/>
    </row>
    <row r="145" ht="13.5" customHeight="1" outlineLevel="1">
      <c r="A145" s="814">
        <f t="shared" si="42"/>
        <v>145</v>
      </c>
      <c r="B145" s="937" t="s">
        <v>749</v>
      </c>
      <c r="C145" s="901" t="s">
        <v>715</v>
      </c>
      <c r="D145" s="901" t="s">
        <v>750</v>
      </c>
      <c r="E145" s="756">
        <v>0.0</v>
      </c>
      <c r="F145" s="938" t="s">
        <v>751</v>
      </c>
      <c r="G145" s="898">
        <f t="shared" ref="G145:M145" si="69">IF($D145&lt;=G$10,1,0)</f>
        <v>0</v>
      </c>
      <c r="H145" s="898">
        <f t="shared" si="69"/>
        <v>0</v>
      </c>
      <c r="I145" s="898">
        <f t="shared" si="69"/>
        <v>0</v>
      </c>
      <c r="J145" s="898">
        <f t="shared" si="69"/>
        <v>0</v>
      </c>
      <c r="K145" s="898">
        <f t="shared" si="69"/>
        <v>0</v>
      </c>
      <c r="L145" s="898">
        <f t="shared" si="69"/>
        <v>0</v>
      </c>
      <c r="M145" s="898">
        <f t="shared" si="69"/>
        <v>0</v>
      </c>
      <c r="N145" s="30"/>
      <c r="O145" s="119"/>
      <c r="P145" s="30"/>
      <c r="Q145" s="220"/>
      <c r="R145" s="220"/>
      <c r="S145" s="220"/>
      <c r="T145" s="220"/>
      <c r="U145" s="220"/>
      <c r="V145" s="220"/>
      <c r="W145" s="220"/>
      <c r="X145" s="220"/>
      <c r="Y145" s="220"/>
      <c r="Z145" s="220"/>
      <c r="AA145" s="220"/>
      <c r="AB145" s="220"/>
      <c r="AC145" s="220"/>
      <c r="AD145" s="220"/>
      <c r="AE145" s="220"/>
    </row>
    <row r="146" ht="13.5" customHeight="1" outlineLevel="1">
      <c r="A146" s="814">
        <f t="shared" si="42"/>
        <v>146</v>
      </c>
      <c r="B146" s="939"/>
      <c r="C146" s="940"/>
      <c r="D146" s="940"/>
      <c r="E146" s="941"/>
      <c r="F146" s="942"/>
      <c r="G146" s="131"/>
      <c r="H146" s="131"/>
      <c r="I146" s="131"/>
      <c r="J146" s="131"/>
      <c r="K146" s="131"/>
      <c r="L146" s="131"/>
      <c r="M146" s="131"/>
      <c r="N146" s="30"/>
      <c r="O146" s="119"/>
      <c r="P146" s="30"/>
      <c r="Q146" s="220"/>
      <c r="R146" s="220"/>
      <c r="S146" s="220"/>
      <c r="T146" s="220"/>
      <c r="U146" s="220"/>
      <c r="V146" s="220"/>
      <c r="W146" s="220"/>
      <c r="X146" s="220"/>
      <c r="Y146" s="220"/>
      <c r="Z146" s="220"/>
      <c r="AA146" s="220"/>
      <c r="AB146" s="220"/>
      <c r="AC146" s="220"/>
      <c r="AD146" s="220"/>
      <c r="AE146" s="220"/>
    </row>
    <row r="147" ht="13.5" customHeight="1" outlineLevel="1">
      <c r="A147" s="814">
        <f t="shared" si="42"/>
        <v>147</v>
      </c>
      <c r="B147" s="943" t="s">
        <v>752</v>
      </c>
      <c r="C147" s="896">
        <v>2025.0</v>
      </c>
      <c r="D147" s="944" t="s">
        <v>750</v>
      </c>
      <c r="E147" s="945">
        <v>53356.0</v>
      </c>
      <c r="F147" s="946" t="s">
        <v>751</v>
      </c>
      <c r="G147" s="947">
        <v>1.0</v>
      </c>
      <c r="H147" s="947">
        <v>1.0</v>
      </c>
      <c r="I147" s="947">
        <v>1.0</v>
      </c>
      <c r="J147" s="947">
        <v>1.0</v>
      </c>
      <c r="K147" s="947">
        <v>1.0</v>
      </c>
      <c r="L147" s="947">
        <v>1.0</v>
      </c>
      <c r="M147" s="947">
        <v>1.0</v>
      </c>
      <c r="N147" s="30"/>
      <c r="O147" s="119"/>
      <c r="P147" s="30"/>
      <c r="Q147" s="220"/>
      <c r="R147" s="220"/>
      <c r="S147" s="220"/>
      <c r="T147" s="220"/>
      <c r="U147" s="220"/>
      <c r="V147" s="220"/>
      <c r="W147" s="220"/>
      <c r="X147" s="220"/>
      <c r="Y147" s="220"/>
      <c r="Z147" s="220"/>
      <c r="AA147" s="220"/>
      <c r="AB147" s="220"/>
      <c r="AC147" s="220"/>
      <c r="AD147" s="220"/>
      <c r="AE147" s="220"/>
    </row>
    <row r="148" ht="13.5" customHeight="1" outlineLevel="1">
      <c r="A148" s="814">
        <f t="shared" si="42"/>
        <v>148</v>
      </c>
      <c r="B148" s="943" t="s">
        <v>752</v>
      </c>
      <c r="C148" s="896">
        <v>2025.0</v>
      </c>
      <c r="D148" s="944" t="s">
        <v>750</v>
      </c>
      <c r="E148" s="897">
        <v>64500.0</v>
      </c>
      <c r="F148" s="946" t="s">
        <v>751</v>
      </c>
      <c r="G148" s="947">
        <v>1.0</v>
      </c>
      <c r="H148" s="947">
        <v>1.0</v>
      </c>
      <c r="I148" s="947">
        <v>1.0</v>
      </c>
      <c r="J148" s="947">
        <v>1.0</v>
      </c>
      <c r="K148" s="947">
        <v>1.0</v>
      </c>
      <c r="L148" s="947">
        <v>1.0</v>
      </c>
      <c r="M148" s="947">
        <v>1.0</v>
      </c>
      <c r="N148" s="30"/>
      <c r="O148" s="119"/>
      <c r="P148" s="30"/>
      <c r="Q148" s="220"/>
      <c r="R148" s="220"/>
      <c r="S148" s="220"/>
      <c r="T148" s="220"/>
      <c r="U148" s="220"/>
      <c r="V148" s="220"/>
      <c r="W148" s="220"/>
      <c r="X148" s="220"/>
      <c r="Y148" s="220"/>
      <c r="Z148" s="220"/>
      <c r="AA148" s="220"/>
      <c r="AB148" s="220"/>
      <c r="AC148" s="220"/>
      <c r="AD148" s="220"/>
      <c r="AE148" s="220"/>
    </row>
    <row r="149" ht="13.5" customHeight="1" outlineLevel="1">
      <c r="A149" s="814">
        <f t="shared" si="42"/>
        <v>149</v>
      </c>
      <c r="B149" s="937" t="s">
        <v>752</v>
      </c>
      <c r="C149" s="901" t="s">
        <v>715</v>
      </c>
      <c r="D149" s="901" t="s">
        <v>750</v>
      </c>
      <c r="E149" s="756">
        <v>0.0</v>
      </c>
      <c r="F149" s="938" t="s">
        <v>751</v>
      </c>
      <c r="G149" s="898">
        <f t="shared" ref="G149:M149" si="70">IF($D149&lt;=G$10,1,0)</f>
        <v>0</v>
      </c>
      <c r="H149" s="898">
        <f t="shared" si="70"/>
        <v>0</v>
      </c>
      <c r="I149" s="898">
        <f t="shared" si="70"/>
        <v>0</v>
      </c>
      <c r="J149" s="898">
        <f t="shared" si="70"/>
        <v>0</v>
      </c>
      <c r="K149" s="898">
        <f t="shared" si="70"/>
        <v>0</v>
      </c>
      <c r="L149" s="898">
        <f t="shared" si="70"/>
        <v>0</v>
      </c>
      <c r="M149" s="898">
        <f t="shared" si="70"/>
        <v>0</v>
      </c>
      <c r="N149" s="30"/>
      <c r="O149" s="119"/>
      <c r="P149" s="30"/>
      <c r="Q149" s="220"/>
      <c r="R149" s="220"/>
      <c r="S149" s="220"/>
      <c r="T149" s="220"/>
      <c r="U149" s="220"/>
      <c r="V149" s="220"/>
      <c r="W149" s="220"/>
      <c r="X149" s="220"/>
      <c r="Y149" s="220"/>
      <c r="Z149" s="220"/>
      <c r="AA149" s="220"/>
      <c r="AB149" s="220"/>
      <c r="AC149" s="220"/>
      <c r="AD149" s="220"/>
      <c r="AE149" s="220"/>
    </row>
    <row r="150" ht="13.5" customHeight="1" outlineLevel="1">
      <c r="A150" s="814">
        <f t="shared" si="42"/>
        <v>150</v>
      </c>
      <c r="B150" s="937" t="s">
        <v>752</v>
      </c>
      <c r="C150" s="901" t="s">
        <v>715</v>
      </c>
      <c r="D150" s="901" t="s">
        <v>750</v>
      </c>
      <c r="E150" s="756">
        <v>0.0</v>
      </c>
      <c r="F150" s="938" t="s">
        <v>751</v>
      </c>
      <c r="G150" s="898">
        <f t="shared" ref="G150:M150" si="71">IF($D150&lt;=G$10,1,0)</f>
        <v>0</v>
      </c>
      <c r="H150" s="898">
        <f t="shared" si="71"/>
        <v>0</v>
      </c>
      <c r="I150" s="898">
        <f t="shared" si="71"/>
        <v>0</v>
      </c>
      <c r="J150" s="898">
        <f t="shared" si="71"/>
        <v>0</v>
      </c>
      <c r="K150" s="898">
        <f t="shared" si="71"/>
        <v>0</v>
      </c>
      <c r="L150" s="898">
        <f t="shared" si="71"/>
        <v>0</v>
      </c>
      <c r="M150" s="898">
        <f t="shared" si="71"/>
        <v>0</v>
      </c>
      <c r="N150" s="30"/>
      <c r="O150" s="119"/>
      <c r="P150" s="30"/>
      <c r="Q150" s="220"/>
      <c r="R150" s="220"/>
      <c r="S150" s="220"/>
      <c r="T150" s="220"/>
      <c r="U150" s="220"/>
      <c r="V150" s="220"/>
      <c r="W150" s="220"/>
      <c r="X150" s="220"/>
      <c r="Y150" s="220"/>
      <c r="Z150" s="220"/>
      <c r="AA150" s="220"/>
      <c r="AB150" s="220"/>
      <c r="AC150" s="220"/>
      <c r="AD150" s="220"/>
      <c r="AE150" s="220"/>
    </row>
    <row r="151" ht="13.5" customHeight="1" outlineLevel="1">
      <c r="A151" s="814">
        <f t="shared" si="42"/>
        <v>151</v>
      </c>
      <c r="B151" s="937"/>
      <c r="C151" s="901" t="s">
        <v>715</v>
      </c>
      <c r="D151" s="901" t="s">
        <v>750</v>
      </c>
      <c r="E151" s="756">
        <v>0.0</v>
      </c>
      <c r="F151" s="938"/>
      <c r="G151" s="898">
        <f t="shared" ref="G151:M151" si="72">IF($D151&lt;=G$10,1,0)</f>
        <v>0</v>
      </c>
      <c r="H151" s="898">
        <f t="shared" si="72"/>
        <v>0</v>
      </c>
      <c r="I151" s="898">
        <f t="shared" si="72"/>
        <v>0</v>
      </c>
      <c r="J151" s="898">
        <f t="shared" si="72"/>
        <v>0</v>
      </c>
      <c r="K151" s="898">
        <f t="shared" si="72"/>
        <v>0</v>
      </c>
      <c r="L151" s="898">
        <f t="shared" si="72"/>
        <v>0</v>
      </c>
      <c r="M151" s="898">
        <f t="shared" si="72"/>
        <v>0</v>
      </c>
      <c r="N151" s="30"/>
      <c r="O151" s="119"/>
      <c r="P151" s="30"/>
      <c r="Q151" s="220"/>
      <c r="R151" s="220"/>
      <c r="S151" s="220"/>
      <c r="T151" s="220"/>
      <c r="U151" s="220"/>
      <c r="V151" s="220"/>
      <c r="W151" s="220"/>
      <c r="X151" s="220"/>
      <c r="Y151" s="220"/>
      <c r="Z151" s="220"/>
      <c r="AA151" s="220"/>
      <c r="AB151" s="220"/>
      <c r="AC151" s="220"/>
      <c r="AD151" s="220"/>
      <c r="AE151" s="220"/>
    </row>
    <row r="152" ht="13.5" customHeight="1" outlineLevel="1">
      <c r="A152" s="814">
        <f t="shared" si="42"/>
        <v>152</v>
      </c>
      <c r="B152" s="939"/>
      <c r="C152" s="940"/>
      <c r="D152" s="940"/>
      <c r="E152" s="948"/>
      <c r="F152" s="948"/>
      <c r="G152" s="131"/>
      <c r="H152" s="131"/>
      <c r="I152" s="131"/>
      <c r="J152" s="131"/>
      <c r="K152" s="131"/>
      <c r="L152" s="131"/>
      <c r="M152" s="131"/>
      <c r="N152" s="30"/>
      <c r="O152" s="119"/>
      <c r="P152" s="30"/>
      <c r="Q152" s="220"/>
      <c r="R152" s="220"/>
      <c r="S152" s="220"/>
      <c r="T152" s="220"/>
      <c r="U152" s="220"/>
      <c r="V152" s="220"/>
      <c r="W152" s="220"/>
      <c r="X152" s="220"/>
      <c r="Y152" s="220"/>
      <c r="Z152" s="220"/>
      <c r="AA152" s="220"/>
      <c r="AB152" s="220"/>
      <c r="AC152" s="220"/>
      <c r="AD152" s="220"/>
      <c r="AE152" s="220"/>
    </row>
    <row r="153" ht="13.5" customHeight="1" outlineLevel="1">
      <c r="A153" s="814">
        <f t="shared" si="42"/>
        <v>153</v>
      </c>
      <c r="B153" s="943" t="s">
        <v>753</v>
      </c>
      <c r="C153" s="896">
        <v>2025.0</v>
      </c>
      <c r="D153" s="944" t="s">
        <v>750</v>
      </c>
      <c r="E153" s="945">
        <v>65793.0</v>
      </c>
      <c r="F153" s="946" t="s">
        <v>751</v>
      </c>
      <c r="G153" s="947">
        <v>1.0</v>
      </c>
      <c r="H153" s="947">
        <v>1.0</v>
      </c>
      <c r="I153" s="947">
        <v>1.0</v>
      </c>
      <c r="J153" s="947">
        <v>1.0</v>
      </c>
      <c r="K153" s="947">
        <v>1.0</v>
      </c>
      <c r="L153" s="947">
        <v>1.0</v>
      </c>
      <c r="M153" s="947">
        <v>1.0</v>
      </c>
      <c r="N153" s="30"/>
      <c r="O153" s="119"/>
      <c r="P153" s="30"/>
      <c r="Q153" s="220"/>
      <c r="R153" s="220"/>
      <c r="S153" s="220"/>
      <c r="T153" s="220"/>
      <c r="U153" s="220"/>
      <c r="V153" s="220"/>
      <c r="W153" s="220"/>
      <c r="X153" s="220"/>
      <c r="Y153" s="220"/>
      <c r="Z153" s="220"/>
      <c r="AA153" s="220"/>
      <c r="AB153" s="220"/>
      <c r="AC153" s="220"/>
      <c r="AD153" s="220"/>
      <c r="AE153" s="220"/>
    </row>
    <row r="154" ht="13.5" customHeight="1" outlineLevel="1">
      <c r="A154" s="814">
        <f t="shared" si="42"/>
        <v>154</v>
      </c>
      <c r="B154" s="943" t="s">
        <v>753</v>
      </c>
      <c r="C154" s="896">
        <v>2025.0</v>
      </c>
      <c r="D154" s="944" t="s">
        <v>750</v>
      </c>
      <c r="E154" s="897">
        <v>81427.0</v>
      </c>
      <c r="F154" s="946" t="s">
        <v>751</v>
      </c>
      <c r="G154" s="947">
        <v>1.0</v>
      </c>
      <c r="H154" s="947">
        <v>1.0</v>
      </c>
      <c r="I154" s="947">
        <v>1.0</v>
      </c>
      <c r="J154" s="947">
        <v>1.0</v>
      </c>
      <c r="K154" s="947">
        <v>1.0</v>
      </c>
      <c r="L154" s="947">
        <v>1.0</v>
      </c>
      <c r="M154" s="947">
        <v>1.0</v>
      </c>
      <c r="N154" s="30"/>
      <c r="O154" s="119"/>
      <c r="P154" s="30"/>
      <c r="Q154" s="220"/>
      <c r="R154" s="220"/>
      <c r="S154" s="220"/>
      <c r="T154" s="220"/>
      <c r="U154" s="220"/>
      <c r="V154" s="220"/>
      <c r="W154" s="220"/>
      <c r="X154" s="220"/>
      <c r="Y154" s="220"/>
      <c r="Z154" s="220"/>
      <c r="AA154" s="220"/>
      <c r="AB154" s="220"/>
      <c r="AC154" s="220"/>
      <c r="AD154" s="220"/>
      <c r="AE154" s="220"/>
    </row>
    <row r="155" ht="13.5" customHeight="1" outlineLevel="1">
      <c r="A155" s="814">
        <f t="shared" si="42"/>
        <v>155</v>
      </c>
      <c r="B155" s="937" t="s">
        <v>753</v>
      </c>
      <c r="C155" s="901" t="s">
        <v>715</v>
      </c>
      <c r="D155" s="901" t="s">
        <v>750</v>
      </c>
      <c r="E155" s="756">
        <v>0.0</v>
      </c>
      <c r="F155" s="938" t="s">
        <v>751</v>
      </c>
      <c r="G155" s="898"/>
      <c r="H155" s="898">
        <f t="shared" ref="H155:M155" si="73">IF($D155&lt;=H$10,1,0)</f>
        <v>0</v>
      </c>
      <c r="I155" s="898">
        <f t="shared" si="73"/>
        <v>0</v>
      </c>
      <c r="J155" s="898">
        <f t="shared" si="73"/>
        <v>0</v>
      </c>
      <c r="K155" s="898">
        <f t="shared" si="73"/>
        <v>0</v>
      </c>
      <c r="L155" s="898">
        <f t="shared" si="73"/>
        <v>0</v>
      </c>
      <c r="M155" s="898">
        <f t="shared" si="73"/>
        <v>0</v>
      </c>
      <c r="N155" s="30"/>
      <c r="O155" s="119"/>
      <c r="P155" s="30"/>
      <c r="Q155" s="220"/>
      <c r="R155" s="220"/>
      <c r="S155" s="220"/>
      <c r="T155" s="220"/>
      <c r="U155" s="220"/>
      <c r="V155" s="220"/>
      <c r="W155" s="220"/>
      <c r="X155" s="220"/>
      <c r="Y155" s="220"/>
      <c r="Z155" s="220"/>
      <c r="AA155" s="220"/>
      <c r="AB155" s="220"/>
      <c r="AC155" s="220"/>
      <c r="AD155" s="220"/>
      <c r="AE155" s="220"/>
    </row>
    <row r="156" ht="13.5" customHeight="1" outlineLevel="1">
      <c r="A156" s="814">
        <f t="shared" si="42"/>
        <v>156</v>
      </c>
      <c r="B156" s="937" t="s">
        <v>753</v>
      </c>
      <c r="C156" s="901" t="s">
        <v>715</v>
      </c>
      <c r="D156" s="901" t="s">
        <v>750</v>
      </c>
      <c r="E156" s="756">
        <v>0.0</v>
      </c>
      <c r="F156" s="938" t="s">
        <v>751</v>
      </c>
      <c r="G156" s="898">
        <f t="shared" ref="G156:M156" si="74">IF($D156&lt;=G$10,1,0)</f>
        <v>0</v>
      </c>
      <c r="H156" s="898">
        <f t="shared" si="74"/>
        <v>0</v>
      </c>
      <c r="I156" s="898">
        <f t="shared" si="74"/>
        <v>0</v>
      </c>
      <c r="J156" s="898">
        <f t="shared" si="74"/>
        <v>0</v>
      </c>
      <c r="K156" s="898">
        <f t="shared" si="74"/>
        <v>0</v>
      </c>
      <c r="L156" s="898">
        <f t="shared" si="74"/>
        <v>0</v>
      </c>
      <c r="M156" s="898">
        <f t="shared" si="74"/>
        <v>0</v>
      </c>
      <c r="N156" s="30"/>
      <c r="O156" s="119"/>
      <c r="P156" s="30"/>
      <c r="Q156" s="220"/>
      <c r="R156" s="220"/>
      <c r="S156" s="220"/>
      <c r="T156" s="220"/>
      <c r="U156" s="220"/>
      <c r="V156" s="220"/>
      <c r="W156" s="220"/>
      <c r="X156" s="220"/>
      <c r="Y156" s="220"/>
      <c r="Z156" s="220"/>
      <c r="AA156" s="220"/>
      <c r="AB156" s="220"/>
      <c r="AC156" s="220"/>
      <c r="AD156" s="220"/>
      <c r="AE156" s="220"/>
    </row>
    <row r="157" ht="13.5" customHeight="1" outlineLevel="1">
      <c r="A157" s="814">
        <f t="shared" si="42"/>
        <v>157</v>
      </c>
      <c r="B157" s="937"/>
      <c r="C157" s="901" t="s">
        <v>715</v>
      </c>
      <c r="D157" s="901" t="s">
        <v>750</v>
      </c>
      <c r="E157" s="756">
        <v>0.0</v>
      </c>
      <c r="F157" s="938"/>
      <c r="G157" s="898">
        <f t="shared" ref="G157:M157" si="75">IF($D157&lt;=G$10,1,0)</f>
        <v>0</v>
      </c>
      <c r="H157" s="898">
        <f t="shared" si="75"/>
        <v>0</v>
      </c>
      <c r="I157" s="898">
        <f t="shared" si="75"/>
        <v>0</v>
      </c>
      <c r="J157" s="898">
        <f t="shared" si="75"/>
        <v>0</v>
      </c>
      <c r="K157" s="898">
        <f t="shared" si="75"/>
        <v>0</v>
      </c>
      <c r="L157" s="898">
        <f t="shared" si="75"/>
        <v>0</v>
      </c>
      <c r="M157" s="898">
        <f t="shared" si="75"/>
        <v>0</v>
      </c>
      <c r="N157" s="30"/>
      <c r="O157" s="119"/>
      <c r="P157" s="30"/>
      <c r="Q157" s="220"/>
      <c r="R157" s="220"/>
      <c r="S157" s="220"/>
      <c r="T157" s="220"/>
      <c r="U157" s="220"/>
      <c r="V157" s="220"/>
      <c r="W157" s="220"/>
      <c r="X157" s="220"/>
      <c r="Y157" s="220"/>
      <c r="Z157" s="220"/>
      <c r="AA157" s="220"/>
      <c r="AB157" s="220"/>
      <c r="AC157" s="220"/>
      <c r="AD157" s="220"/>
      <c r="AE157" s="220"/>
    </row>
    <row r="158" ht="13.5" customHeight="1" outlineLevel="1">
      <c r="A158" s="814">
        <f t="shared" si="42"/>
        <v>158</v>
      </c>
      <c r="B158" s="939"/>
      <c r="C158" s="940"/>
      <c r="D158" s="942"/>
      <c r="E158" s="948"/>
      <c r="F158" s="948"/>
      <c r="G158" s="131"/>
      <c r="H158" s="131"/>
      <c r="I158" s="131"/>
      <c r="J158" s="131"/>
      <c r="K158" s="131"/>
      <c r="L158" s="131"/>
      <c r="M158" s="131"/>
      <c r="N158" s="30"/>
      <c r="O158" s="119"/>
      <c r="P158" s="30"/>
      <c r="Q158" s="220"/>
      <c r="R158" s="220"/>
      <c r="S158" s="220"/>
      <c r="T158" s="220"/>
      <c r="U158" s="220"/>
      <c r="V158" s="220"/>
      <c r="W158" s="220"/>
      <c r="X158" s="220"/>
      <c r="Y158" s="220"/>
      <c r="Z158" s="220"/>
      <c r="AA158" s="220"/>
      <c r="AB158" s="220"/>
      <c r="AC158" s="220"/>
      <c r="AD158" s="220"/>
      <c r="AE158" s="220"/>
    </row>
    <row r="159" ht="13.5" customHeight="1" outlineLevel="1">
      <c r="A159" s="814">
        <f t="shared" si="42"/>
        <v>159</v>
      </c>
      <c r="B159" s="943" t="s">
        <v>754</v>
      </c>
      <c r="C159" s="896">
        <v>2025.0</v>
      </c>
      <c r="D159" s="944" t="s">
        <v>750</v>
      </c>
      <c r="E159" s="945">
        <v>70057.0</v>
      </c>
      <c r="F159" s="946" t="s">
        <v>751</v>
      </c>
      <c r="G159" s="947">
        <v>1.0</v>
      </c>
      <c r="H159" s="947">
        <v>1.0</v>
      </c>
      <c r="I159" s="947">
        <v>1.0</v>
      </c>
      <c r="J159" s="947">
        <v>1.0</v>
      </c>
      <c r="K159" s="947">
        <v>1.0</v>
      </c>
      <c r="L159" s="947">
        <v>1.0</v>
      </c>
      <c r="M159" s="947">
        <v>1.0</v>
      </c>
      <c r="N159" s="30"/>
      <c r="O159" s="119"/>
      <c r="P159" s="30"/>
      <c r="Q159" s="220"/>
      <c r="R159" s="220"/>
      <c r="S159" s="220"/>
      <c r="T159" s="220"/>
      <c r="U159" s="220"/>
      <c r="V159" s="220"/>
      <c r="W159" s="220"/>
      <c r="X159" s="220"/>
      <c r="Y159" s="220"/>
      <c r="Z159" s="220"/>
      <c r="AA159" s="220"/>
      <c r="AB159" s="220"/>
      <c r="AC159" s="220"/>
      <c r="AD159" s="220"/>
      <c r="AE159" s="220"/>
    </row>
    <row r="160" ht="13.5" customHeight="1" outlineLevel="1">
      <c r="A160" s="814">
        <f t="shared" si="42"/>
        <v>160</v>
      </c>
      <c r="B160" s="937" t="s">
        <v>754</v>
      </c>
      <c r="C160" s="901" t="s">
        <v>715</v>
      </c>
      <c r="D160" s="901" t="s">
        <v>750</v>
      </c>
      <c r="E160" s="756">
        <v>0.0</v>
      </c>
      <c r="F160" s="938" t="s">
        <v>751</v>
      </c>
      <c r="G160" s="898">
        <f t="shared" ref="G160:M160" si="76">IF($D160&lt;=G$10,1,0)</f>
        <v>0</v>
      </c>
      <c r="H160" s="898">
        <f t="shared" si="76"/>
        <v>0</v>
      </c>
      <c r="I160" s="898">
        <f t="shared" si="76"/>
        <v>0</v>
      </c>
      <c r="J160" s="898">
        <f t="shared" si="76"/>
        <v>0</v>
      </c>
      <c r="K160" s="898">
        <f t="shared" si="76"/>
        <v>0</v>
      </c>
      <c r="L160" s="898">
        <f t="shared" si="76"/>
        <v>0</v>
      </c>
      <c r="M160" s="898">
        <f t="shared" si="76"/>
        <v>0</v>
      </c>
      <c r="N160" s="30"/>
      <c r="O160" s="119"/>
      <c r="P160" s="30"/>
      <c r="Q160" s="220"/>
      <c r="R160" s="220"/>
      <c r="S160" s="220"/>
      <c r="T160" s="220"/>
      <c r="U160" s="220"/>
      <c r="V160" s="220"/>
      <c r="W160" s="220"/>
      <c r="X160" s="220"/>
      <c r="Y160" s="220"/>
      <c r="Z160" s="220"/>
      <c r="AA160" s="220"/>
      <c r="AB160" s="220"/>
      <c r="AC160" s="220"/>
      <c r="AD160" s="220"/>
      <c r="AE160" s="220"/>
    </row>
    <row r="161" ht="13.5" customHeight="1" outlineLevel="1">
      <c r="A161" s="814">
        <f t="shared" si="42"/>
        <v>161</v>
      </c>
      <c r="B161" s="937" t="s">
        <v>754</v>
      </c>
      <c r="C161" s="901" t="s">
        <v>715</v>
      </c>
      <c r="D161" s="901" t="s">
        <v>750</v>
      </c>
      <c r="E161" s="756">
        <v>0.0</v>
      </c>
      <c r="F161" s="938" t="s">
        <v>751</v>
      </c>
      <c r="G161" s="898">
        <f t="shared" ref="G161:M161" si="77">IF($D161&lt;=G$10,1,0)</f>
        <v>0</v>
      </c>
      <c r="H161" s="898">
        <f t="shared" si="77"/>
        <v>0</v>
      </c>
      <c r="I161" s="898">
        <f t="shared" si="77"/>
        <v>0</v>
      </c>
      <c r="J161" s="898">
        <f t="shared" si="77"/>
        <v>0</v>
      </c>
      <c r="K161" s="898">
        <f t="shared" si="77"/>
        <v>0</v>
      </c>
      <c r="L161" s="898">
        <f t="shared" si="77"/>
        <v>0</v>
      </c>
      <c r="M161" s="898">
        <f t="shared" si="77"/>
        <v>0</v>
      </c>
      <c r="N161" s="30"/>
      <c r="O161" s="119"/>
      <c r="P161" s="30"/>
      <c r="Q161" s="220"/>
      <c r="R161" s="220"/>
      <c r="S161" s="220"/>
      <c r="T161" s="220"/>
      <c r="U161" s="220"/>
      <c r="V161" s="220"/>
      <c r="W161" s="220"/>
      <c r="X161" s="220"/>
      <c r="Y161" s="220"/>
      <c r="Z161" s="220"/>
      <c r="AA161" s="220"/>
      <c r="AB161" s="220"/>
      <c r="AC161" s="220"/>
      <c r="AD161" s="220"/>
      <c r="AE161" s="220"/>
    </row>
    <row r="162" ht="13.5" customHeight="1" outlineLevel="1">
      <c r="A162" s="814">
        <f t="shared" si="42"/>
        <v>162</v>
      </c>
      <c r="B162" s="937" t="s">
        <v>754</v>
      </c>
      <c r="C162" s="901" t="s">
        <v>715</v>
      </c>
      <c r="D162" s="901" t="s">
        <v>750</v>
      </c>
      <c r="E162" s="756">
        <v>0.0</v>
      </c>
      <c r="F162" s="938" t="s">
        <v>751</v>
      </c>
      <c r="G162" s="898">
        <f t="shared" ref="G162:M162" si="78">IF($D162&lt;=G$10,1,0)</f>
        <v>0</v>
      </c>
      <c r="H162" s="898">
        <f t="shared" si="78"/>
        <v>0</v>
      </c>
      <c r="I162" s="898">
        <f t="shared" si="78"/>
        <v>0</v>
      </c>
      <c r="J162" s="898">
        <f t="shared" si="78"/>
        <v>0</v>
      </c>
      <c r="K162" s="898">
        <f t="shared" si="78"/>
        <v>0</v>
      </c>
      <c r="L162" s="898">
        <f t="shared" si="78"/>
        <v>0</v>
      </c>
      <c r="M162" s="898">
        <f t="shared" si="78"/>
        <v>0</v>
      </c>
      <c r="N162" s="30"/>
      <c r="O162" s="119"/>
      <c r="P162" s="30"/>
      <c r="Q162" s="220"/>
      <c r="R162" s="220"/>
      <c r="S162" s="220"/>
      <c r="T162" s="220"/>
      <c r="U162" s="220"/>
      <c r="V162" s="220"/>
      <c r="W162" s="220"/>
      <c r="X162" s="220"/>
      <c r="Y162" s="220"/>
      <c r="Z162" s="220"/>
      <c r="AA162" s="220"/>
      <c r="AB162" s="220"/>
      <c r="AC162" s="220"/>
      <c r="AD162" s="220"/>
      <c r="AE162" s="220"/>
    </row>
    <row r="163" ht="13.5" customHeight="1" outlineLevel="1">
      <c r="A163" s="814">
        <f t="shared" si="42"/>
        <v>163</v>
      </c>
      <c r="B163" s="937"/>
      <c r="C163" s="901" t="s">
        <v>715</v>
      </c>
      <c r="D163" s="901" t="s">
        <v>750</v>
      </c>
      <c r="E163" s="756">
        <v>0.0</v>
      </c>
      <c r="F163" s="938"/>
      <c r="G163" s="898">
        <f t="shared" ref="G163:M163" si="79">IF($D163&lt;=G$10,1,0)</f>
        <v>0</v>
      </c>
      <c r="H163" s="898">
        <f t="shared" si="79"/>
        <v>0</v>
      </c>
      <c r="I163" s="898">
        <f t="shared" si="79"/>
        <v>0</v>
      </c>
      <c r="J163" s="898">
        <f t="shared" si="79"/>
        <v>0</v>
      </c>
      <c r="K163" s="898">
        <f t="shared" si="79"/>
        <v>0</v>
      </c>
      <c r="L163" s="898">
        <f t="shared" si="79"/>
        <v>0</v>
      </c>
      <c r="M163" s="898">
        <f t="shared" si="79"/>
        <v>0</v>
      </c>
      <c r="N163" s="30"/>
      <c r="O163" s="119"/>
      <c r="P163" s="30"/>
      <c r="Q163" s="220"/>
      <c r="R163" s="220"/>
      <c r="S163" s="220"/>
      <c r="T163" s="220"/>
      <c r="U163" s="220"/>
      <c r="V163" s="220"/>
      <c r="W163" s="220"/>
      <c r="X163" s="220"/>
      <c r="Y163" s="220"/>
      <c r="Z163" s="220"/>
      <c r="AA163" s="220"/>
      <c r="AB163" s="220"/>
      <c r="AC163" s="220"/>
      <c r="AD163" s="220"/>
      <c r="AE163" s="220"/>
    </row>
    <row r="164" ht="13.5" customHeight="1" outlineLevel="1">
      <c r="A164" s="814">
        <f t="shared" si="42"/>
        <v>164</v>
      </c>
      <c r="B164" s="943" t="s">
        <v>755</v>
      </c>
      <c r="C164" s="896">
        <v>2025.0</v>
      </c>
      <c r="D164" s="944" t="s">
        <v>750</v>
      </c>
      <c r="E164" s="945">
        <v>83055.0</v>
      </c>
      <c r="F164" s="946" t="s">
        <v>751</v>
      </c>
      <c r="G164" s="947">
        <v>1.0</v>
      </c>
      <c r="H164" s="947">
        <v>1.0</v>
      </c>
      <c r="I164" s="947">
        <v>1.0</v>
      </c>
      <c r="J164" s="947">
        <v>1.0</v>
      </c>
      <c r="K164" s="947">
        <v>1.0</v>
      </c>
      <c r="L164" s="947">
        <v>1.0</v>
      </c>
      <c r="M164" s="947">
        <v>1.0</v>
      </c>
      <c r="N164" s="30"/>
      <c r="O164" s="119"/>
      <c r="P164" s="30"/>
      <c r="Q164" s="220"/>
      <c r="R164" s="220"/>
      <c r="S164" s="220"/>
      <c r="T164" s="220"/>
      <c r="U164" s="220"/>
      <c r="V164" s="220"/>
      <c r="W164" s="220"/>
      <c r="X164" s="220"/>
      <c r="Y164" s="220"/>
      <c r="Z164" s="220"/>
      <c r="AA164" s="220"/>
      <c r="AB164" s="220"/>
      <c r="AC164" s="220"/>
      <c r="AD164" s="220"/>
      <c r="AE164" s="220"/>
    </row>
    <row r="165" ht="13.5" customHeight="1" outlineLevel="1">
      <c r="A165" s="814">
        <f t="shared" si="42"/>
        <v>165</v>
      </c>
      <c r="B165" s="943" t="s">
        <v>755</v>
      </c>
      <c r="C165" s="896">
        <v>2025.0</v>
      </c>
      <c r="D165" s="944" t="s">
        <v>750</v>
      </c>
      <c r="E165" s="897">
        <v>47646.0</v>
      </c>
      <c r="F165" s="946" t="s">
        <v>751</v>
      </c>
      <c r="G165" s="947">
        <v>0.5</v>
      </c>
      <c r="H165" s="947">
        <v>1.0</v>
      </c>
      <c r="I165" s="947">
        <v>1.0</v>
      </c>
      <c r="J165" s="947">
        <v>1.0</v>
      </c>
      <c r="K165" s="947">
        <v>1.0</v>
      </c>
      <c r="L165" s="947">
        <v>1.0</v>
      </c>
      <c r="M165" s="947">
        <v>1.0</v>
      </c>
      <c r="N165" s="30"/>
      <c r="O165" s="119"/>
      <c r="P165" s="30"/>
      <c r="Q165" s="220"/>
      <c r="R165" s="220"/>
      <c r="S165" s="220"/>
      <c r="T165" s="220"/>
      <c r="U165" s="220"/>
      <c r="V165" s="220"/>
      <c r="W165" s="220"/>
      <c r="X165" s="220"/>
      <c r="Y165" s="220"/>
      <c r="Z165" s="220"/>
      <c r="AA165" s="220"/>
      <c r="AB165" s="220"/>
      <c r="AC165" s="220"/>
      <c r="AD165" s="220"/>
      <c r="AE165" s="220"/>
    </row>
    <row r="166" ht="13.5" customHeight="1" outlineLevel="1">
      <c r="A166" s="814">
        <f t="shared" si="42"/>
        <v>166</v>
      </c>
      <c r="N166" s="30"/>
      <c r="O166" s="119"/>
      <c r="P166" s="30"/>
      <c r="Q166" s="220"/>
      <c r="R166" s="220"/>
      <c r="S166" s="220"/>
      <c r="T166" s="220"/>
      <c r="U166" s="220"/>
      <c r="V166" s="220"/>
      <c r="W166" s="220"/>
      <c r="X166" s="220"/>
      <c r="Y166" s="220"/>
      <c r="Z166" s="220"/>
      <c r="AA166" s="220"/>
      <c r="AB166" s="220"/>
      <c r="AC166" s="220"/>
      <c r="AD166" s="220"/>
      <c r="AE166" s="220"/>
    </row>
    <row r="167" ht="13.5" customHeight="1" outlineLevel="1">
      <c r="A167" s="814">
        <f t="shared" si="42"/>
        <v>167</v>
      </c>
      <c r="B167" s="937" t="s">
        <v>755</v>
      </c>
      <c r="C167" s="901" t="s">
        <v>715</v>
      </c>
      <c r="D167" s="901" t="s">
        <v>750</v>
      </c>
      <c r="E167" s="756">
        <v>0.0</v>
      </c>
      <c r="F167" s="938" t="s">
        <v>751</v>
      </c>
      <c r="G167" s="898">
        <f t="shared" ref="G167:M167" si="80">IF($D167&lt;=G$10,1,0)</f>
        <v>0</v>
      </c>
      <c r="H167" s="898">
        <f t="shared" si="80"/>
        <v>0</v>
      </c>
      <c r="I167" s="898">
        <f t="shared" si="80"/>
        <v>0</v>
      </c>
      <c r="J167" s="898">
        <f t="shared" si="80"/>
        <v>0</v>
      </c>
      <c r="K167" s="898">
        <f t="shared" si="80"/>
        <v>0</v>
      </c>
      <c r="L167" s="898">
        <f t="shared" si="80"/>
        <v>0</v>
      </c>
      <c r="M167" s="898">
        <f t="shared" si="80"/>
        <v>0</v>
      </c>
      <c r="N167" s="30"/>
      <c r="O167" s="119"/>
      <c r="P167" s="30"/>
      <c r="Q167" s="220"/>
      <c r="R167" s="220"/>
      <c r="S167" s="220"/>
      <c r="T167" s="220"/>
      <c r="U167" s="220"/>
      <c r="V167" s="220"/>
      <c r="W167" s="220"/>
      <c r="X167" s="220"/>
      <c r="Y167" s="220"/>
      <c r="Z167" s="220"/>
      <c r="AA167" s="220"/>
      <c r="AB167" s="220"/>
      <c r="AC167" s="220"/>
      <c r="AD167" s="220"/>
      <c r="AE167" s="220"/>
    </row>
    <row r="168" ht="13.5" customHeight="1" outlineLevel="1">
      <c r="A168" s="814">
        <f t="shared" si="42"/>
        <v>168</v>
      </c>
      <c r="B168" s="937" t="s">
        <v>755</v>
      </c>
      <c r="C168" s="901" t="s">
        <v>715</v>
      </c>
      <c r="D168" s="901" t="s">
        <v>750</v>
      </c>
      <c r="E168" s="756">
        <v>0.0</v>
      </c>
      <c r="F168" s="938" t="s">
        <v>751</v>
      </c>
      <c r="G168" s="898">
        <f t="shared" ref="G168:M168" si="81">IF($D168&lt;=G$10,1,0)</f>
        <v>0</v>
      </c>
      <c r="H168" s="898">
        <f t="shared" si="81"/>
        <v>0</v>
      </c>
      <c r="I168" s="898">
        <f t="shared" si="81"/>
        <v>0</v>
      </c>
      <c r="J168" s="898">
        <f t="shared" si="81"/>
        <v>0</v>
      </c>
      <c r="K168" s="898">
        <f t="shared" si="81"/>
        <v>0</v>
      </c>
      <c r="L168" s="898">
        <f t="shared" si="81"/>
        <v>0</v>
      </c>
      <c r="M168" s="898">
        <f t="shared" si="81"/>
        <v>0</v>
      </c>
      <c r="N168" s="30"/>
      <c r="O168" s="119"/>
      <c r="P168" s="30"/>
      <c r="Q168" s="220"/>
      <c r="R168" s="220"/>
      <c r="S168" s="220"/>
      <c r="T168" s="220"/>
      <c r="U168" s="220"/>
      <c r="V168" s="220"/>
      <c r="W168" s="220"/>
      <c r="X168" s="220"/>
      <c r="Y168" s="220"/>
      <c r="Z168" s="220"/>
      <c r="AA168" s="220"/>
      <c r="AB168" s="220"/>
      <c r="AC168" s="220"/>
      <c r="AD168" s="220"/>
      <c r="AE168" s="220"/>
    </row>
    <row r="169" ht="13.5" customHeight="1" outlineLevel="1">
      <c r="A169" s="814">
        <f t="shared" si="42"/>
        <v>169</v>
      </c>
      <c r="B169" s="937"/>
      <c r="C169" s="901" t="s">
        <v>715</v>
      </c>
      <c r="D169" s="901" t="s">
        <v>750</v>
      </c>
      <c r="E169" s="756">
        <v>0.0</v>
      </c>
      <c r="F169" s="938"/>
      <c r="G169" s="898">
        <f t="shared" ref="G169:M169" si="82">IF($D169&lt;=G$10,1,0)</f>
        <v>0</v>
      </c>
      <c r="H169" s="898">
        <f t="shared" si="82"/>
        <v>0</v>
      </c>
      <c r="I169" s="898">
        <f t="shared" si="82"/>
        <v>0</v>
      </c>
      <c r="J169" s="898">
        <f t="shared" si="82"/>
        <v>0</v>
      </c>
      <c r="K169" s="898">
        <f t="shared" si="82"/>
        <v>0</v>
      </c>
      <c r="L169" s="898">
        <f t="shared" si="82"/>
        <v>0</v>
      </c>
      <c r="M169" s="898">
        <f t="shared" si="82"/>
        <v>0</v>
      </c>
      <c r="N169" s="30"/>
      <c r="O169" s="119"/>
      <c r="P169" s="30"/>
      <c r="Q169" s="220"/>
      <c r="R169" s="220"/>
      <c r="S169" s="220"/>
      <c r="T169" s="220"/>
      <c r="U169" s="220"/>
      <c r="V169" s="220"/>
      <c r="W169" s="220"/>
      <c r="X169" s="220"/>
      <c r="Y169" s="220"/>
      <c r="Z169" s="220"/>
      <c r="AA169" s="220"/>
      <c r="AB169" s="220"/>
      <c r="AC169" s="220"/>
      <c r="AD169" s="220"/>
      <c r="AE169" s="220"/>
    </row>
    <row r="170" ht="13.5" customHeight="1" outlineLevel="1">
      <c r="A170" s="814">
        <f t="shared" si="42"/>
        <v>170</v>
      </c>
      <c r="B170" s="939"/>
      <c r="C170" s="940"/>
      <c r="D170" s="942"/>
      <c r="E170" s="948"/>
      <c r="F170" s="949"/>
      <c r="G170" s="131"/>
      <c r="H170" s="131"/>
      <c r="I170" s="131"/>
      <c r="J170" s="131"/>
      <c r="K170" s="131"/>
      <c r="L170" s="131"/>
      <c r="M170" s="131"/>
      <c r="N170" s="30"/>
      <c r="O170" s="119"/>
      <c r="P170" s="30"/>
      <c r="Q170" s="220"/>
      <c r="R170" s="220"/>
      <c r="S170" s="220"/>
      <c r="T170" s="220"/>
      <c r="U170" s="220"/>
      <c r="V170" s="220"/>
      <c r="W170" s="220"/>
      <c r="X170" s="220"/>
      <c r="Y170" s="220"/>
      <c r="Z170" s="220"/>
      <c r="AA170" s="220"/>
      <c r="AB170" s="220"/>
      <c r="AC170" s="220"/>
      <c r="AD170" s="220"/>
      <c r="AE170" s="220"/>
    </row>
    <row r="171" ht="13.5" customHeight="1" outlineLevel="1">
      <c r="A171" s="814">
        <f t="shared" si="42"/>
        <v>171</v>
      </c>
      <c r="B171" s="943" t="s">
        <v>756</v>
      </c>
      <c r="C171" s="896">
        <v>2025.0</v>
      </c>
      <c r="D171" s="944" t="s">
        <v>750</v>
      </c>
      <c r="E171" s="945">
        <v>71478.0</v>
      </c>
      <c r="F171" s="946" t="s">
        <v>751</v>
      </c>
      <c r="G171" s="947">
        <v>1.0</v>
      </c>
      <c r="H171" s="947">
        <v>1.0</v>
      </c>
      <c r="I171" s="947">
        <v>1.0</v>
      </c>
      <c r="J171" s="947">
        <v>1.0</v>
      </c>
      <c r="K171" s="947">
        <v>1.0</v>
      </c>
      <c r="L171" s="947">
        <v>1.0</v>
      </c>
      <c r="M171" s="947">
        <v>1.0</v>
      </c>
      <c r="N171" s="30"/>
      <c r="O171" s="119"/>
      <c r="P171" s="30"/>
      <c r="Q171" s="220"/>
      <c r="R171" s="220"/>
      <c r="S171" s="220"/>
      <c r="T171" s="220"/>
      <c r="U171" s="220"/>
      <c r="V171" s="220"/>
      <c r="W171" s="220"/>
      <c r="X171" s="220"/>
      <c r="Y171" s="220"/>
      <c r="Z171" s="220"/>
      <c r="AA171" s="220"/>
      <c r="AB171" s="220"/>
      <c r="AC171" s="220"/>
      <c r="AD171" s="220"/>
      <c r="AE171" s="220"/>
    </row>
    <row r="172" ht="13.5" customHeight="1" outlineLevel="1">
      <c r="A172" s="814">
        <f t="shared" si="42"/>
        <v>172</v>
      </c>
      <c r="B172" s="937" t="s">
        <v>756</v>
      </c>
      <c r="C172" s="901" t="s">
        <v>715</v>
      </c>
      <c r="D172" s="901" t="s">
        <v>750</v>
      </c>
      <c r="E172" s="756">
        <v>0.0</v>
      </c>
      <c r="F172" s="938" t="s">
        <v>751</v>
      </c>
      <c r="G172" s="898">
        <f t="shared" ref="G172:M172" si="83">IF($D172&lt;=G$10,1,0)</f>
        <v>0</v>
      </c>
      <c r="H172" s="898">
        <f t="shared" si="83"/>
        <v>0</v>
      </c>
      <c r="I172" s="898">
        <f t="shared" si="83"/>
        <v>0</v>
      </c>
      <c r="J172" s="898">
        <f t="shared" si="83"/>
        <v>0</v>
      </c>
      <c r="K172" s="898">
        <f t="shared" si="83"/>
        <v>0</v>
      </c>
      <c r="L172" s="898">
        <f t="shared" si="83"/>
        <v>0</v>
      </c>
      <c r="M172" s="898">
        <f t="shared" si="83"/>
        <v>0</v>
      </c>
      <c r="N172" s="30"/>
      <c r="O172" s="119"/>
      <c r="P172" s="30"/>
      <c r="Q172" s="220"/>
      <c r="R172" s="220"/>
      <c r="S172" s="220"/>
      <c r="T172" s="220"/>
      <c r="U172" s="220"/>
      <c r="V172" s="220"/>
      <c r="W172" s="220"/>
      <c r="X172" s="220"/>
      <c r="Y172" s="220"/>
      <c r="Z172" s="220"/>
      <c r="AA172" s="220"/>
      <c r="AB172" s="220"/>
      <c r="AC172" s="220"/>
      <c r="AD172" s="220"/>
      <c r="AE172" s="220"/>
    </row>
    <row r="173" ht="13.5" customHeight="1" outlineLevel="1">
      <c r="A173" s="814">
        <f t="shared" si="42"/>
        <v>173</v>
      </c>
      <c r="B173" s="937" t="s">
        <v>756</v>
      </c>
      <c r="C173" s="901" t="s">
        <v>715</v>
      </c>
      <c r="D173" s="901" t="s">
        <v>750</v>
      </c>
      <c r="E173" s="756">
        <v>0.0</v>
      </c>
      <c r="F173" s="938" t="s">
        <v>751</v>
      </c>
      <c r="G173" s="898">
        <f t="shared" ref="G173:M173" si="84">IF($D173&lt;=G$10,1,0)</f>
        <v>0</v>
      </c>
      <c r="H173" s="898">
        <f t="shared" si="84"/>
        <v>0</v>
      </c>
      <c r="I173" s="898">
        <f t="shared" si="84"/>
        <v>0</v>
      </c>
      <c r="J173" s="898">
        <f t="shared" si="84"/>
        <v>0</v>
      </c>
      <c r="K173" s="898">
        <f t="shared" si="84"/>
        <v>0</v>
      </c>
      <c r="L173" s="898">
        <f t="shared" si="84"/>
        <v>0</v>
      </c>
      <c r="M173" s="898">
        <f t="shared" si="84"/>
        <v>0</v>
      </c>
      <c r="N173" s="30"/>
      <c r="O173" s="119"/>
      <c r="P173" s="30"/>
      <c r="Q173" s="220"/>
      <c r="R173" s="220"/>
      <c r="S173" s="220"/>
      <c r="T173" s="220"/>
      <c r="U173" s="220"/>
      <c r="V173" s="220"/>
      <c r="W173" s="220"/>
      <c r="X173" s="220"/>
      <c r="Y173" s="220"/>
      <c r="Z173" s="220"/>
      <c r="AA173" s="220"/>
      <c r="AB173" s="220"/>
      <c r="AC173" s="220"/>
      <c r="AD173" s="220"/>
      <c r="AE173" s="220"/>
    </row>
    <row r="174" ht="13.5" customHeight="1" outlineLevel="1">
      <c r="A174" s="814">
        <f t="shared" si="42"/>
        <v>174</v>
      </c>
      <c r="B174" s="937" t="s">
        <v>756</v>
      </c>
      <c r="C174" s="901" t="s">
        <v>715</v>
      </c>
      <c r="D174" s="901" t="s">
        <v>750</v>
      </c>
      <c r="E174" s="756">
        <v>0.0</v>
      </c>
      <c r="F174" s="938" t="s">
        <v>751</v>
      </c>
      <c r="G174" s="898">
        <f t="shared" ref="G174:M174" si="85">IF($D174&lt;=G$10,1,0)</f>
        <v>0</v>
      </c>
      <c r="H174" s="898">
        <f t="shared" si="85"/>
        <v>0</v>
      </c>
      <c r="I174" s="898">
        <f t="shared" si="85"/>
        <v>0</v>
      </c>
      <c r="J174" s="898">
        <f t="shared" si="85"/>
        <v>0</v>
      </c>
      <c r="K174" s="898">
        <f t="shared" si="85"/>
        <v>0</v>
      </c>
      <c r="L174" s="898">
        <f t="shared" si="85"/>
        <v>0</v>
      </c>
      <c r="M174" s="898">
        <f t="shared" si="85"/>
        <v>0</v>
      </c>
      <c r="N174" s="30"/>
      <c r="O174" s="119"/>
      <c r="P174" s="30"/>
      <c r="Q174" s="220"/>
      <c r="R174" s="220"/>
      <c r="S174" s="220"/>
      <c r="T174" s="220"/>
      <c r="U174" s="220"/>
      <c r="V174" s="220"/>
      <c r="W174" s="220"/>
      <c r="X174" s="220"/>
      <c r="Y174" s="220"/>
      <c r="Z174" s="220"/>
      <c r="AA174" s="220"/>
      <c r="AB174" s="220"/>
      <c r="AC174" s="220"/>
      <c r="AD174" s="220"/>
      <c r="AE174" s="220"/>
    </row>
    <row r="175" ht="13.5" customHeight="1" outlineLevel="1">
      <c r="A175" s="814">
        <f t="shared" si="42"/>
        <v>175</v>
      </c>
      <c r="B175" s="937"/>
      <c r="C175" s="901" t="s">
        <v>715</v>
      </c>
      <c r="D175" s="901" t="s">
        <v>750</v>
      </c>
      <c r="E175" s="756">
        <v>0.0</v>
      </c>
      <c r="F175" s="938"/>
      <c r="G175" s="898">
        <f t="shared" ref="G175:M175" si="86">IF($D175&lt;=G$10,1,0)</f>
        <v>0</v>
      </c>
      <c r="H175" s="898">
        <f t="shared" si="86"/>
        <v>0</v>
      </c>
      <c r="I175" s="898">
        <f t="shared" si="86"/>
        <v>0</v>
      </c>
      <c r="J175" s="898">
        <f t="shared" si="86"/>
        <v>0</v>
      </c>
      <c r="K175" s="898">
        <f t="shared" si="86"/>
        <v>0</v>
      </c>
      <c r="L175" s="898">
        <f t="shared" si="86"/>
        <v>0</v>
      </c>
      <c r="M175" s="898">
        <f t="shared" si="86"/>
        <v>0</v>
      </c>
      <c r="N175" s="30"/>
      <c r="O175" s="119"/>
      <c r="P175" s="30"/>
      <c r="Q175" s="220"/>
      <c r="R175" s="220"/>
      <c r="S175" s="220"/>
      <c r="T175" s="220"/>
      <c r="U175" s="220"/>
      <c r="V175" s="220"/>
      <c r="W175" s="220"/>
      <c r="X175" s="220"/>
      <c r="Y175" s="220"/>
      <c r="Z175" s="220"/>
      <c r="AA175" s="220"/>
      <c r="AB175" s="220"/>
      <c r="AC175" s="220"/>
      <c r="AD175" s="220"/>
      <c r="AE175" s="220"/>
    </row>
    <row r="176" ht="13.5" customHeight="1" outlineLevel="1">
      <c r="A176" s="814">
        <f t="shared" si="42"/>
        <v>176</v>
      </c>
      <c r="B176" s="939"/>
      <c r="C176" s="940"/>
      <c r="D176" s="940"/>
      <c r="E176" s="948"/>
      <c r="F176" s="949"/>
      <c r="G176" s="131"/>
      <c r="H176" s="131"/>
      <c r="I176" s="131"/>
      <c r="J176" s="131"/>
      <c r="K176" s="131"/>
      <c r="L176" s="131"/>
      <c r="M176" s="131"/>
      <c r="N176" s="30"/>
      <c r="O176" s="119"/>
      <c r="P176" s="30"/>
      <c r="Q176" s="220"/>
      <c r="R176" s="220"/>
      <c r="S176" s="220"/>
      <c r="T176" s="220"/>
      <c r="U176" s="220"/>
      <c r="V176" s="220"/>
      <c r="W176" s="220"/>
      <c r="X176" s="220"/>
      <c r="Y176" s="220"/>
      <c r="Z176" s="220"/>
      <c r="AA176" s="220"/>
      <c r="AB176" s="220"/>
      <c r="AC176" s="220"/>
      <c r="AD176" s="220"/>
      <c r="AE176" s="220"/>
    </row>
    <row r="177" ht="13.5" customHeight="1" outlineLevel="1">
      <c r="A177" s="814">
        <f t="shared" si="42"/>
        <v>177</v>
      </c>
      <c r="B177" s="943" t="s">
        <v>757</v>
      </c>
      <c r="C177" s="896">
        <v>2025.0</v>
      </c>
      <c r="D177" s="944" t="s">
        <v>750</v>
      </c>
      <c r="E177" s="945">
        <v>65896.0</v>
      </c>
      <c r="F177" s="946" t="s">
        <v>751</v>
      </c>
      <c r="G177" s="947">
        <v>1.0</v>
      </c>
      <c r="H177" s="947">
        <v>1.0</v>
      </c>
      <c r="I177" s="947">
        <v>1.0</v>
      </c>
      <c r="J177" s="947">
        <v>1.0</v>
      </c>
      <c r="K177" s="947">
        <v>1.0</v>
      </c>
      <c r="L177" s="947">
        <v>1.0</v>
      </c>
      <c r="M177" s="947">
        <v>1.0</v>
      </c>
      <c r="N177" s="30"/>
      <c r="O177" s="119"/>
      <c r="P177" s="30"/>
      <c r="Q177" s="220"/>
      <c r="R177" s="220"/>
      <c r="S177" s="220"/>
      <c r="T177" s="220"/>
      <c r="U177" s="220"/>
      <c r="V177" s="220"/>
      <c r="W177" s="220"/>
      <c r="X177" s="220"/>
      <c r="Y177" s="220"/>
      <c r="Z177" s="220"/>
      <c r="AA177" s="220"/>
      <c r="AB177" s="220"/>
      <c r="AC177" s="220"/>
      <c r="AD177" s="220"/>
      <c r="AE177" s="220"/>
    </row>
    <row r="178" ht="13.5" customHeight="1" outlineLevel="1">
      <c r="A178" s="814">
        <f t="shared" si="42"/>
        <v>178</v>
      </c>
      <c r="B178" s="943" t="s">
        <v>757</v>
      </c>
      <c r="C178" s="896">
        <v>2025.0</v>
      </c>
      <c r="D178" s="944" t="s">
        <v>750</v>
      </c>
      <c r="E178" s="950">
        <v>81427.0</v>
      </c>
      <c r="F178" s="946" t="s">
        <v>751</v>
      </c>
      <c r="G178" s="947">
        <v>1.0</v>
      </c>
      <c r="H178" s="947">
        <v>1.0</v>
      </c>
      <c r="I178" s="947">
        <v>1.0</v>
      </c>
      <c r="J178" s="947">
        <v>1.0</v>
      </c>
      <c r="K178" s="947">
        <v>1.0</v>
      </c>
      <c r="L178" s="947">
        <v>1.0</v>
      </c>
      <c r="M178" s="947">
        <v>1.0</v>
      </c>
      <c r="N178" s="30"/>
      <c r="O178" s="119"/>
      <c r="P178" s="30"/>
      <c r="Q178" s="220"/>
      <c r="R178" s="220"/>
      <c r="S178" s="220"/>
      <c r="T178" s="220"/>
      <c r="U178" s="220"/>
      <c r="V178" s="220"/>
      <c r="W178" s="220"/>
      <c r="X178" s="220"/>
      <c r="Y178" s="220"/>
      <c r="Z178" s="220"/>
      <c r="AA178" s="220"/>
      <c r="AB178" s="220"/>
      <c r="AC178" s="220"/>
      <c r="AD178" s="220"/>
      <c r="AE178" s="220"/>
    </row>
    <row r="179" ht="13.5" customHeight="1" outlineLevel="1">
      <c r="A179" s="814">
        <f t="shared" si="42"/>
        <v>179</v>
      </c>
      <c r="B179" s="943" t="s">
        <v>757</v>
      </c>
      <c r="C179" s="896">
        <v>2025.0</v>
      </c>
      <c r="D179" s="944" t="s">
        <v>750</v>
      </c>
      <c r="E179" s="897">
        <v>24740.0</v>
      </c>
      <c r="F179" s="946" t="s">
        <v>751</v>
      </c>
      <c r="G179" s="947">
        <v>1.0</v>
      </c>
      <c r="H179" s="947">
        <v>1.0</v>
      </c>
      <c r="I179" s="947">
        <v>1.0</v>
      </c>
      <c r="J179" s="947">
        <v>1.0</v>
      </c>
      <c r="K179" s="947">
        <v>1.0</v>
      </c>
      <c r="L179" s="947">
        <v>1.0</v>
      </c>
      <c r="M179" s="947">
        <v>1.0</v>
      </c>
      <c r="N179" s="951"/>
      <c r="O179" s="119"/>
      <c r="P179" s="30"/>
      <c r="Q179" s="220"/>
      <c r="R179" s="220"/>
      <c r="S179" s="220"/>
      <c r="T179" s="220"/>
      <c r="U179" s="220"/>
      <c r="V179" s="220"/>
      <c r="W179" s="220"/>
      <c r="X179" s="220"/>
      <c r="Y179" s="220"/>
      <c r="Z179" s="220"/>
      <c r="AA179" s="220"/>
      <c r="AB179" s="220"/>
      <c r="AC179" s="220"/>
      <c r="AD179" s="220"/>
      <c r="AE179" s="220"/>
    </row>
    <row r="180" ht="13.5" customHeight="1" outlineLevel="1">
      <c r="A180" s="814">
        <f t="shared" si="42"/>
        <v>180</v>
      </c>
      <c r="B180" s="937" t="s">
        <v>757</v>
      </c>
      <c r="C180" s="901" t="s">
        <v>715</v>
      </c>
      <c r="D180" s="901" t="s">
        <v>750</v>
      </c>
      <c r="E180" s="756">
        <v>0.0</v>
      </c>
      <c r="F180" s="938" t="s">
        <v>751</v>
      </c>
      <c r="G180" s="898">
        <f t="shared" ref="G180:M180" si="87">IF($D180&lt;=G$10,1,0)</f>
        <v>0</v>
      </c>
      <c r="H180" s="898">
        <f t="shared" si="87"/>
        <v>0</v>
      </c>
      <c r="I180" s="898">
        <f t="shared" si="87"/>
        <v>0</v>
      </c>
      <c r="J180" s="898">
        <f t="shared" si="87"/>
        <v>0</v>
      </c>
      <c r="K180" s="898">
        <f t="shared" si="87"/>
        <v>0</v>
      </c>
      <c r="L180" s="898">
        <f t="shared" si="87"/>
        <v>0</v>
      </c>
      <c r="M180" s="898">
        <f t="shared" si="87"/>
        <v>0</v>
      </c>
      <c r="N180" s="30"/>
      <c r="O180" s="119"/>
      <c r="P180" s="30"/>
      <c r="Q180" s="220"/>
      <c r="R180" s="220"/>
      <c r="S180" s="220"/>
      <c r="T180" s="220"/>
      <c r="U180" s="220"/>
      <c r="V180" s="220"/>
      <c r="W180" s="220"/>
      <c r="X180" s="220"/>
      <c r="Y180" s="220"/>
      <c r="Z180" s="220"/>
      <c r="AA180" s="220"/>
      <c r="AB180" s="220"/>
      <c r="AC180" s="220"/>
      <c r="AD180" s="220"/>
      <c r="AE180" s="220"/>
    </row>
    <row r="181" ht="13.5" customHeight="1" outlineLevel="1">
      <c r="A181" s="814">
        <f t="shared" si="42"/>
        <v>181</v>
      </c>
      <c r="B181" s="937"/>
      <c r="C181" s="901" t="s">
        <v>715</v>
      </c>
      <c r="D181" s="901" t="s">
        <v>750</v>
      </c>
      <c r="E181" s="756">
        <v>0.0</v>
      </c>
      <c r="F181" s="938"/>
      <c r="G181" s="898">
        <f t="shared" ref="G181:M181" si="88">IF($D181&lt;=G$10,1,0)</f>
        <v>0</v>
      </c>
      <c r="H181" s="898">
        <f t="shared" si="88"/>
        <v>0</v>
      </c>
      <c r="I181" s="898">
        <f t="shared" si="88"/>
        <v>0</v>
      </c>
      <c r="J181" s="898">
        <f t="shared" si="88"/>
        <v>0</v>
      </c>
      <c r="K181" s="898">
        <f t="shared" si="88"/>
        <v>0</v>
      </c>
      <c r="L181" s="898">
        <f t="shared" si="88"/>
        <v>0</v>
      </c>
      <c r="M181" s="898">
        <f t="shared" si="88"/>
        <v>0</v>
      </c>
      <c r="N181" s="30"/>
      <c r="O181" s="119"/>
      <c r="P181" s="30"/>
      <c r="Q181" s="220"/>
      <c r="R181" s="220"/>
      <c r="S181" s="220"/>
      <c r="T181" s="220"/>
      <c r="U181" s="220"/>
      <c r="V181" s="220"/>
      <c r="W181" s="220"/>
      <c r="X181" s="220"/>
      <c r="Y181" s="220"/>
      <c r="Z181" s="220"/>
      <c r="AA181" s="220"/>
      <c r="AB181" s="220"/>
      <c r="AC181" s="220"/>
      <c r="AD181" s="220"/>
      <c r="AE181" s="220"/>
    </row>
    <row r="182" ht="13.5" customHeight="1" outlineLevel="1">
      <c r="A182" s="814">
        <f t="shared" si="42"/>
        <v>182</v>
      </c>
      <c r="B182" s="939"/>
      <c r="C182" s="949"/>
      <c r="D182" s="942"/>
      <c r="E182" s="948"/>
      <c r="F182" s="949"/>
      <c r="G182" s="131"/>
      <c r="H182" s="131"/>
      <c r="I182" s="131"/>
      <c r="J182" s="131"/>
      <c r="K182" s="131"/>
      <c r="L182" s="131"/>
      <c r="M182" s="131"/>
      <c r="N182" s="30"/>
      <c r="O182" s="119"/>
      <c r="P182" s="30"/>
      <c r="Q182" s="220"/>
      <c r="R182" s="220"/>
      <c r="S182" s="220"/>
      <c r="T182" s="220"/>
      <c r="U182" s="220"/>
      <c r="V182" s="220"/>
      <c r="W182" s="220"/>
      <c r="X182" s="220"/>
      <c r="Y182" s="220"/>
      <c r="Z182" s="220"/>
      <c r="AA182" s="220"/>
      <c r="AB182" s="220"/>
      <c r="AC182" s="220"/>
      <c r="AD182" s="220"/>
      <c r="AE182" s="220"/>
    </row>
    <row r="183" ht="13.5" customHeight="1" outlineLevel="1">
      <c r="A183" s="814">
        <f t="shared" si="42"/>
        <v>183</v>
      </c>
      <c r="B183" s="937" t="s">
        <v>758</v>
      </c>
      <c r="C183" s="952" t="s">
        <v>715</v>
      </c>
      <c r="D183" s="901" t="s">
        <v>750</v>
      </c>
      <c r="E183" s="953"/>
      <c r="F183" s="938" t="s">
        <v>751</v>
      </c>
      <c r="G183" s="954"/>
      <c r="H183" s="898">
        <f t="shared" ref="H183:M183" si="89">IF($D183&lt;=H$10,1,0)</f>
        <v>0</v>
      </c>
      <c r="I183" s="898">
        <f t="shared" si="89"/>
        <v>0</v>
      </c>
      <c r="J183" s="898">
        <f t="shared" si="89"/>
        <v>0</v>
      </c>
      <c r="K183" s="898">
        <f t="shared" si="89"/>
        <v>0</v>
      </c>
      <c r="L183" s="898">
        <f t="shared" si="89"/>
        <v>0</v>
      </c>
      <c r="M183" s="898">
        <f t="shared" si="89"/>
        <v>0</v>
      </c>
      <c r="N183" s="30"/>
      <c r="O183" s="119"/>
      <c r="P183" s="30"/>
      <c r="Q183" s="220"/>
      <c r="R183" s="220"/>
      <c r="S183" s="220"/>
      <c r="T183" s="220"/>
      <c r="U183" s="220"/>
      <c r="V183" s="220"/>
      <c r="W183" s="220"/>
      <c r="X183" s="220"/>
      <c r="Y183" s="220"/>
      <c r="Z183" s="220"/>
      <c r="AA183" s="220"/>
      <c r="AB183" s="220"/>
      <c r="AC183" s="220"/>
      <c r="AD183" s="220"/>
      <c r="AE183" s="220"/>
    </row>
    <row r="184" ht="13.5" customHeight="1" outlineLevel="1">
      <c r="A184" s="814">
        <f t="shared" si="42"/>
        <v>184</v>
      </c>
      <c r="B184" s="937" t="s">
        <v>758</v>
      </c>
      <c r="C184" s="952" t="s">
        <v>715</v>
      </c>
      <c r="D184" s="901" t="s">
        <v>750</v>
      </c>
      <c r="E184" s="955"/>
      <c r="F184" s="938" t="s">
        <v>751</v>
      </c>
      <c r="G184" s="954"/>
      <c r="H184" s="898">
        <f t="shared" ref="H184:M184" si="90">IF($D184&lt;=H$10,1,0)</f>
        <v>0</v>
      </c>
      <c r="I184" s="898">
        <f t="shared" si="90"/>
        <v>0</v>
      </c>
      <c r="J184" s="898">
        <f t="shared" si="90"/>
        <v>0</v>
      </c>
      <c r="K184" s="898">
        <f t="shared" si="90"/>
        <v>0</v>
      </c>
      <c r="L184" s="898">
        <f t="shared" si="90"/>
        <v>0</v>
      </c>
      <c r="M184" s="898">
        <f t="shared" si="90"/>
        <v>0</v>
      </c>
      <c r="N184" s="30"/>
      <c r="O184" s="119"/>
      <c r="P184" s="30"/>
      <c r="Q184" s="220"/>
      <c r="R184" s="220"/>
      <c r="S184" s="220"/>
      <c r="T184" s="220"/>
      <c r="U184" s="220"/>
      <c r="V184" s="220"/>
      <c r="W184" s="220"/>
      <c r="X184" s="220"/>
      <c r="Y184" s="220"/>
      <c r="Z184" s="220"/>
      <c r="AA184" s="220"/>
      <c r="AB184" s="220"/>
      <c r="AC184" s="220"/>
      <c r="AD184" s="220"/>
      <c r="AE184" s="220"/>
    </row>
    <row r="185" ht="13.5" customHeight="1" outlineLevel="1">
      <c r="A185" s="814">
        <f t="shared" si="42"/>
        <v>185</v>
      </c>
      <c r="B185" s="937" t="s">
        <v>758</v>
      </c>
      <c r="C185" s="901" t="s">
        <v>715</v>
      </c>
      <c r="D185" s="901" t="s">
        <v>750</v>
      </c>
      <c r="E185" s="756">
        <v>0.0</v>
      </c>
      <c r="F185" s="938" t="s">
        <v>751</v>
      </c>
      <c r="G185" s="898">
        <f t="shared" ref="G185:M185" si="91">IF($D185&lt;=G$10,1,0)</f>
        <v>0</v>
      </c>
      <c r="H185" s="898">
        <f t="shared" si="91"/>
        <v>0</v>
      </c>
      <c r="I185" s="898">
        <f t="shared" si="91"/>
        <v>0</v>
      </c>
      <c r="J185" s="898">
        <f t="shared" si="91"/>
        <v>0</v>
      </c>
      <c r="K185" s="898">
        <f t="shared" si="91"/>
        <v>0</v>
      </c>
      <c r="L185" s="898">
        <f t="shared" si="91"/>
        <v>0</v>
      </c>
      <c r="M185" s="898">
        <f t="shared" si="91"/>
        <v>0</v>
      </c>
      <c r="N185" s="30"/>
      <c r="O185" s="119"/>
      <c r="P185" s="30"/>
      <c r="Q185" s="220"/>
      <c r="R185" s="220"/>
      <c r="S185" s="220"/>
      <c r="T185" s="220"/>
      <c r="U185" s="220"/>
      <c r="V185" s="220"/>
      <c r="W185" s="220"/>
      <c r="X185" s="220"/>
      <c r="Y185" s="220"/>
      <c r="Z185" s="220"/>
      <c r="AA185" s="220"/>
      <c r="AB185" s="220"/>
      <c r="AC185" s="220"/>
      <c r="AD185" s="220"/>
      <c r="AE185" s="220"/>
    </row>
    <row r="186" ht="13.5" customHeight="1" outlineLevel="1">
      <c r="A186" s="814">
        <f t="shared" si="42"/>
        <v>186</v>
      </c>
      <c r="B186" s="937" t="s">
        <v>758</v>
      </c>
      <c r="C186" s="901" t="s">
        <v>715</v>
      </c>
      <c r="D186" s="901" t="s">
        <v>750</v>
      </c>
      <c r="E186" s="756">
        <v>0.0</v>
      </c>
      <c r="F186" s="938" t="s">
        <v>751</v>
      </c>
      <c r="G186" s="898">
        <f t="shared" ref="G186:M186" si="92">IF($D186&lt;=G$10,1,0)</f>
        <v>0</v>
      </c>
      <c r="H186" s="898">
        <f t="shared" si="92"/>
        <v>0</v>
      </c>
      <c r="I186" s="898">
        <f t="shared" si="92"/>
        <v>0</v>
      </c>
      <c r="J186" s="898">
        <f t="shared" si="92"/>
        <v>0</v>
      </c>
      <c r="K186" s="898">
        <f t="shared" si="92"/>
        <v>0</v>
      </c>
      <c r="L186" s="898">
        <f t="shared" si="92"/>
        <v>0</v>
      </c>
      <c r="M186" s="898">
        <f t="shared" si="92"/>
        <v>0</v>
      </c>
      <c r="N186" s="30"/>
      <c r="O186" s="119"/>
      <c r="P186" s="30"/>
      <c r="Q186" s="220"/>
      <c r="R186" s="220"/>
      <c r="S186" s="220"/>
      <c r="T186" s="220"/>
      <c r="U186" s="220"/>
      <c r="V186" s="220"/>
      <c r="W186" s="220"/>
      <c r="X186" s="220"/>
      <c r="Y186" s="220"/>
      <c r="Z186" s="220"/>
      <c r="AA186" s="220"/>
      <c r="AB186" s="220"/>
      <c r="AC186" s="220"/>
      <c r="AD186" s="220"/>
      <c r="AE186" s="220"/>
    </row>
    <row r="187" ht="13.5" customHeight="1" outlineLevel="1">
      <c r="A187" s="814">
        <f t="shared" si="42"/>
        <v>187</v>
      </c>
      <c r="B187" s="937"/>
      <c r="C187" s="901" t="s">
        <v>715</v>
      </c>
      <c r="D187" s="901" t="s">
        <v>750</v>
      </c>
      <c r="E187" s="756">
        <v>0.0</v>
      </c>
      <c r="F187" s="938" t="s">
        <v>751</v>
      </c>
      <c r="G187" s="898">
        <f t="shared" ref="G187:M187" si="93">IF($D187&lt;=G$10,1,0)</f>
        <v>0</v>
      </c>
      <c r="H187" s="898">
        <f t="shared" si="93"/>
        <v>0</v>
      </c>
      <c r="I187" s="898">
        <f t="shared" si="93"/>
        <v>0</v>
      </c>
      <c r="J187" s="898">
        <f t="shared" si="93"/>
        <v>0</v>
      </c>
      <c r="K187" s="898">
        <f t="shared" si="93"/>
        <v>0</v>
      </c>
      <c r="L187" s="898">
        <f t="shared" si="93"/>
        <v>0</v>
      </c>
      <c r="M187" s="898">
        <f t="shared" si="93"/>
        <v>0</v>
      </c>
      <c r="N187" s="30"/>
      <c r="O187" s="119"/>
      <c r="P187" s="30"/>
      <c r="Q187" s="220"/>
      <c r="R187" s="220"/>
      <c r="S187" s="220"/>
      <c r="T187" s="220"/>
      <c r="U187" s="220"/>
      <c r="V187" s="220"/>
      <c r="W187" s="220"/>
      <c r="X187" s="220"/>
      <c r="Y187" s="220"/>
      <c r="Z187" s="220"/>
      <c r="AA187" s="220"/>
      <c r="AB187" s="220"/>
      <c r="AC187" s="220"/>
      <c r="AD187" s="220"/>
      <c r="AE187" s="220"/>
    </row>
    <row r="188" ht="13.5" customHeight="1" outlineLevel="1">
      <c r="A188" s="814">
        <f t="shared" si="42"/>
        <v>188</v>
      </c>
      <c r="B188" s="939"/>
      <c r="C188" s="940"/>
      <c r="D188" s="940"/>
      <c r="E188" s="948"/>
      <c r="F188" s="949"/>
      <c r="G188" s="131"/>
      <c r="H188" s="131"/>
      <c r="I188" s="131"/>
      <c r="J188" s="131"/>
      <c r="K188" s="131"/>
      <c r="L188" s="131"/>
      <c r="M188" s="131"/>
      <c r="N188" s="30"/>
      <c r="O188" s="119"/>
      <c r="P188" s="30"/>
      <c r="Q188" s="220"/>
      <c r="R188" s="220"/>
      <c r="S188" s="220"/>
      <c r="T188" s="220"/>
      <c r="U188" s="220"/>
      <c r="V188" s="220"/>
      <c r="W188" s="220"/>
      <c r="X188" s="220"/>
      <c r="Y188" s="220"/>
      <c r="Z188" s="220"/>
      <c r="AA188" s="220"/>
      <c r="AB188" s="220"/>
      <c r="AC188" s="220"/>
      <c r="AD188" s="220"/>
      <c r="AE188" s="220"/>
    </row>
    <row r="189" ht="13.5" customHeight="1" outlineLevel="1">
      <c r="A189" s="814">
        <f t="shared" si="42"/>
        <v>189</v>
      </c>
      <c r="B189" s="937" t="s">
        <v>759</v>
      </c>
      <c r="C189" s="901" t="s">
        <v>715</v>
      </c>
      <c r="D189" s="901" t="s">
        <v>750</v>
      </c>
      <c r="E189" s="753">
        <v>0.0</v>
      </c>
      <c r="F189" s="938" t="s">
        <v>751</v>
      </c>
      <c r="G189" s="898">
        <f t="shared" ref="G189:M189" si="94">IF($D189&lt;=G$10,1,0)</f>
        <v>0</v>
      </c>
      <c r="H189" s="898">
        <f t="shared" si="94"/>
        <v>0</v>
      </c>
      <c r="I189" s="898">
        <f t="shared" si="94"/>
        <v>0</v>
      </c>
      <c r="J189" s="898">
        <f t="shared" si="94"/>
        <v>0</v>
      </c>
      <c r="K189" s="898">
        <f t="shared" si="94"/>
        <v>0</v>
      </c>
      <c r="L189" s="898">
        <f t="shared" si="94"/>
        <v>0</v>
      </c>
      <c r="M189" s="898">
        <f t="shared" si="94"/>
        <v>0</v>
      </c>
      <c r="N189" s="30"/>
      <c r="O189" s="119"/>
      <c r="P189" s="30"/>
      <c r="Q189" s="220"/>
      <c r="R189" s="220"/>
      <c r="S189" s="220"/>
      <c r="T189" s="220"/>
      <c r="U189" s="220"/>
      <c r="V189" s="220"/>
      <c r="W189" s="220"/>
      <c r="X189" s="220"/>
      <c r="Y189" s="220"/>
      <c r="Z189" s="220"/>
      <c r="AA189" s="220"/>
      <c r="AB189" s="220"/>
      <c r="AC189" s="220"/>
      <c r="AD189" s="220"/>
      <c r="AE189" s="220"/>
    </row>
    <row r="190" ht="13.5" customHeight="1" outlineLevel="1">
      <c r="A190" s="814">
        <f t="shared" si="42"/>
        <v>190</v>
      </c>
      <c r="B190" s="937" t="s">
        <v>759</v>
      </c>
      <c r="C190" s="901" t="s">
        <v>715</v>
      </c>
      <c r="D190" s="901" t="s">
        <v>750</v>
      </c>
      <c r="E190" s="756">
        <v>0.0</v>
      </c>
      <c r="F190" s="938" t="s">
        <v>751</v>
      </c>
      <c r="G190" s="898">
        <f t="shared" ref="G190:M190" si="95">IF($D190&lt;=G$10,1,0)</f>
        <v>0</v>
      </c>
      <c r="H190" s="898">
        <f t="shared" si="95"/>
        <v>0</v>
      </c>
      <c r="I190" s="898">
        <f t="shared" si="95"/>
        <v>0</v>
      </c>
      <c r="J190" s="898">
        <f t="shared" si="95"/>
        <v>0</v>
      </c>
      <c r="K190" s="898">
        <f t="shared" si="95"/>
        <v>0</v>
      </c>
      <c r="L190" s="898">
        <f t="shared" si="95"/>
        <v>0</v>
      </c>
      <c r="M190" s="898">
        <f t="shared" si="95"/>
        <v>0</v>
      </c>
      <c r="N190" s="30"/>
      <c r="O190" s="119"/>
      <c r="P190" s="30"/>
      <c r="Q190" s="220"/>
      <c r="R190" s="220"/>
      <c r="S190" s="220"/>
      <c r="T190" s="220"/>
      <c r="U190" s="220"/>
      <c r="V190" s="220"/>
      <c r="W190" s="220"/>
      <c r="X190" s="220"/>
      <c r="Y190" s="220"/>
      <c r="Z190" s="220"/>
      <c r="AA190" s="220"/>
      <c r="AB190" s="220"/>
      <c r="AC190" s="220"/>
      <c r="AD190" s="220"/>
      <c r="AE190" s="220"/>
    </row>
    <row r="191" ht="13.5" customHeight="1" outlineLevel="1">
      <c r="A191" s="814">
        <f t="shared" si="42"/>
        <v>191</v>
      </c>
      <c r="B191" s="937" t="s">
        <v>759</v>
      </c>
      <c r="C191" s="901" t="s">
        <v>715</v>
      </c>
      <c r="D191" s="901" t="s">
        <v>750</v>
      </c>
      <c r="E191" s="756">
        <v>0.0</v>
      </c>
      <c r="F191" s="938" t="s">
        <v>751</v>
      </c>
      <c r="G191" s="898">
        <f t="shared" ref="G191:M191" si="96">IF($D191&lt;=G$10,1,0)</f>
        <v>0</v>
      </c>
      <c r="H191" s="898">
        <f t="shared" si="96"/>
        <v>0</v>
      </c>
      <c r="I191" s="898">
        <f t="shared" si="96"/>
        <v>0</v>
      </c>
      <c r="J191" s="898">
        <f t="shared" si="96"/>
        <v>0</v>
      </c>
      <c r="K191" s="898">
        <f t="shared" si="96"/>
        <v>0</v>
      </c>
      <c r="L191" s="898">
        <f t="shared" si="96"/>
        <v>0</v>
      </c>
      <c r="M191" s="898">
        <f t="shared" si="96"/>
        <v>0</v>
      </c>
      <c r="N191" s="30"/>
      <c r="O191" s="119"/>
      <c r="P191" s="30"/>
      <c r="Q191" s="220"/>
      <c r="R191" s="220"/>
      <c r="S191" s="220"/>
      <c r="T191" s="220"/>
      <c r="U191" s="220"/>
      <c r="V191" s="220"/>
      <c r="W191" s="220"/>
      <c r="X191" s="220"/>
      <c r="Y191" s="220"/>
      <c r="Z191" s="220"/>
      <c r="AA191" s="220"/>
      <c r="AB191" s="220"/>
      <c r="AC191" s="220"/>
      <c r="AD191" s="220"/>
      <c r="AE191" s="220"/>
    </row>
    <row r="192" ht="13.5" customHeight="1" outlineLevel="1">
      <c r="A192" s="814">
        <f t="shared" si="42"/>
        <v>192</v>
      </c>
      <c r="B192" s="937" t="s">
        <v>759</v>
      </c>
      <c r="C192" s="901" t="s">
        <v>715</v>
      </c>
      <c r="D192" s="901" t="s">
        <v>750</v>
      </c>
      <c r="E192" s="756">
        <v>0.0</v>
      </c>
      <c r="F192" s="938" t="s">
        <v>751</v>
      </c>
      <c r="G192" s="898">
        <f t="shared" ref="G192:M192" si="97">IF($D192&lt;=G$10,1,0)</f>
        <v>0</v>
      </c>
      <c r="H192" s="898">
        <f t="shared" si="97"/>
        <v>0</v>
      </c>
      <c r="I192" s="898">
        <f t="shared" si="97"/>
        <v>0</v>
      </c>
      <c r="J192" s="898">
        <f t="shared" si="97"/>
        <v>0</v>
      </c>
      <c r="K192" s="898">
        <f t="shared" si="97"/>
        <v>0</v>
      </c>
      <c r="L192" s="898">
        <f t="shared" si="97"/>
        <v>0</v>
      </c>
      <c r="M192" s="898">
        <f t="shared" si="97"/>
        <v>0</v>
      </c>
      <c r="N192" s="30"/>
      <c r="O192" s="119"/>
      <c r="P192" s="30"/>
      <c r="Q192" s="220"/>
      <c r="R192" s="220"/>
      <c r="S192" s="220"/>
      <c r="T192" s="220"/>
      <c r="U192" s="220"/>
      <c r="V192" s="220"/>
      <c r="W192" s="220"/>
      <c r="X192" s="220"/>
      <c r="Y192" s="220"/>
      <c r="Z192" s="220"/>
      <c r="AA192" s="220"/>
      <c r="AB192" s="220"/>
      <c r="AC192" s="220"/>
      <c r="AD192" s="220"/>
      <c r="AE192" s="220"/>
    </row>
    <row r="193" ht="13.5" customHeight="1" outlineLevel="1">
      <c r="A193" s="814">
        <f t="shared" si="42"/>
        <v>193</v>
      </c>
      <c r="B193" s="937"/>
      <c r="C193" s="901" t="s">
        <v>715</v>
      </c>
      <c r="D193" s="901" t="s">
        <v>750</v>
      </c>
      <c r="E193" s="756">
        <v>0.0</v>
      </c>
      <c r="F193" s="938" t="s">
        <v>751</v>
      </c>
      <c r="G193" s="898">
        <f t="shared" ref="G193:M193" si="98">IF($D193&lt;=G$10,1,0)</f>
        <v>0</v>
      </c>
      <c r="H193" s="898">
        <f t="shared" si="98"/>
        <v>0</v>
      </c>
      <c r="I193" s="898">
        <f t="shared" si="98"/>
        <v>0</v>
      </c>
      <c r="J193" s="898">
        <f t="shared" si="98"/>
        <v>0</v>
      </c>
      <c r="K193" s="898">
        <f t="shared" si="98"/>
        <v>0</v>
      </c>
      <c r="L193" s="898">
        <f t="shared" si="98"/>
        <v>0</v>
      </c>
      <c r="M193" s="898">
        <f t="shared" si="98"/>
        <v>0</v>
      </c>
      <c r="N193" s="30"/>
      <c r="O193" s="119"/>
      <c r="P193" s="30"/>
      <c r="Q193" s="220"/>
      <c r="R193" s="220"/>
      <c r="S193" s="220"/>
      <c r="T193" s="220"/>
      <c r="U193" s="220"/>
      <c r="V193" s="220"/>
      <c r="W193" s="220"/>
      <c r="X193" s="220"/>
      <c r="Y193" s="220"/>
      <c r="Z193" s="220"/>
      <c r="AA193" s="220"/>
      <c r="AB193" s="220"/>
      <c r="AC193" s="220"/>
      <c r="AD193" s="220"/>
      <c r="AE193" s="220"/>
    </row>
    <row r="194" ht="13.5" customHeight="1" outlineLevel="1">
      <c r="A194" s="814">
        <f t="shared" si="42"/>
        <v>194</v>
      </c>
      <c r="B194" s="937"/>
      <c r="C194" s="901" t="s">
        <v>715</v>
      </c>
      <c r="D194" s="901" t="s">
        <v>750</v>
      </c>
      <c r="E194" s="938"/>
      <c r="F194" s="938" t="s">
        <v>751</v>
      </c>
      <c r="G194" s="898">
        <f t="shared" ref="G194:M194" si="99">IF($D194&lt;=G$10,1,0)</f>
        <v>0</v>
      </c>
      <c r="H194" s="898">
        <f t="shared" si="99"/>
        <v>0</v>
      </c>
      <c r="I194" s="898">
        <f t="shared" si="99"/>
        <v>0</v>
      </c>
      <c r="J194" s="898">
        <f t="shared" si="99"/>
        <v>0</v>
      </c>
      <c r="K194" s="898">
        <f t="shared" si="99"/>
        <v>0</v>
      </c>
      <c r="L194" s="898">
        <f t="shared" si="99"/>
        <v>0</v>
      </c>
      <c r="M194" s="898">
        <f t="shared" si="99"/>
        <v>0</v>
      </c>
      <c r="N194" s="30"/>
      <c r="O194" s="119"/>
      <c r="P194" s="30"/>
      <c r="Q194" s="220"/>
      <c r="R194" s="220"/>
      <c r="S194" s="220"/>
      <c r="T194" s="220"/>
      <c r="U194" s="220"/>
      <c r="V194" s="220"/>
      <c r="W194" s="220"/>
      <c r="X194" s="220"/>
      <c r="Y194" s="220"/>
      <c r="Z194" s="220"/>
      <c r="AA194" s="220"/>
      <c r="AB194" s="220"/>
      <c r="AC194" s="220"/>
      <c r="AD194" s="220"/>
      <c r="AE194" s="220"/>
    </row>
    <row r="195" ht="13.5" customHeight="1" outlineLevel="1">
      <c r="A195" s="814">
        <f t="shared" si="42"/>
        <v>195</v>
      </c>
      <c r="B195" s="460"/>
      <c r="C195" s="956"/>
      <c r="D195" s="956"/>
      <c r="E195" s="957"/>
      <c r="F195" s="949"/>
      <c r="G195" s="131"/>
      <c r="H195" s="131"/>
      <c r="I195" s="131"/>
      <c r="J195" s="131"/>
      <c r="K195" s="131"/>
      <c r="L195" s="131"/>
      <c r="M195" s="131"/>
      <c r="N195" s="30"/>
      <c r="O195" s="119"/>
      <c r="P195" s="30"/>
      <c r="Q195" s="220"/>
      <c r="R195" s="220"/>
      <c r="S195" s="220"/>
      <c r="T195" s="220"/>
      <c r="U195" s="220"/>
      <c r="V195" s="220"/>
      <c r="W195" s="220"/>
      <c r="X195" s="220"/>
      <c r="Y195" s="220"/>
      <c r="Z195" s="220"/>
      <c r="AA195" s="220"/>
      <c r="AB195" s="220"/>
      <c r="AC195" s="220"/>
      <c r="AD195" s="220"/>
      <c r="AE195" s="220"/>
    </row>
    <row r="196" ht="13.5" customHeight="1" outlineLevel="1">
      <c r="A196" s="814">
        <f t="shared" si="42"/>
        <v>196</v>
      </c>
      <c r="B196" s="937" t="s">
        <v>760</v>
      </c>
      <c r="C196" s="952" t="s">
        <v>715</v>
      </c>
      <c r="D196" s="901" t="s">
        <v>750</v>
      </c>
      <c r="E196" s="953"/>
      <c r="F196" s="938" t="s">
        <v>751</v>
      </c>
      <c r="G196" s="954"/>
      <c r="H196" s="898">
        <f t="shared" ref="H196:M196" si="100">IF($D196&lt;=H$10,1,0)</f>
        <v>0</v>
      </c>
      <c r="I196" s="898">
        <f t="shared" si="100"/>
        <v>0</v>
      </c>
      <c r="J196" s="898">
        <f t="shared" si="100"/>
        <v>0</v>
      </c>
      <c r="K196" s="898">
        <f t="shared" si="100"/>
        <v>0</v>
      </c>
      <c r="L196" s="898">
        <f t="shared" si="100"/>
        <v>0</v>
      </c>
      <c r="M196" s="898">
        <f t="shared" si="100"/>
        <v>0</v>
      </c>
      <c r="N196" s="30"/>
      <c r="O196" s="119"/>
      <c r="P196" s="30"/>
      <c r="Q196" s="220"/>
      <c r="R196" s="220"/>
      <c r="S196" s="220"/>
      <c r="T196" s="220"/>
      <c r="U196" s="220"/>
      <c r="V196" s="220"/>
      <c r="W196" s="220"/>
      <c r="X196" s="220"/>
      <c r="Y196" s="220"/>
      <c r="Z196" s="220"/>
      <c r="AA196" s="220"/>
      <c r="AB196" s="220"/>
      <c r="AC196" s="220"/>
      <c r="AD196" s="220"/>
      <c r="AE196" s="220"/>
    </row>
    <row r="197" ht="13.5" customHeight="1" outlineLevel="1">
      <c r="A197" s="814">
        <f t="shared" si="42"/>
        <v>197</v>
      </c>
      <c r="B197" s="937" t="s">
        <v>760</v>
      </c>
      <c r="C197" s="901" t="s">
        <v>715</v>
      </c>
      <c r="D197" s="901" t="s">
        <v>750</v>
      </c>
      <c r="E197" s="756">
        <v>0.0</v>
      </c>
      <c r="F197" s="938" t="s">
        <v>751</v>
      </c>
      <c r="G197" s="898">
        <f t="shared" ref="G197:M197" si="101">IF($D197&lt;=G$10,1,0)</f>
        <v>0</v>
      </c>
      <c r="H197" s="898">
        <f t="shared" si="101"/>
        <v>0</v>
      </c>
      <c r="I197" s="898">
        <f t="shared" si="101"/>
        <v>0</v>
      </c>
      <c r="J197" s="898">
        <f t="shared" si="101"/>
        <v>0</v>
      </c>
      <c r="K197" s="898">
        <f t="shared" si="101"/>
        <v>0</v>
      </c>
      <c r="L197" s="898">
        <f t="shared" si="101"/>
        <v>0</v>
      </c>
      <c r="M197" s="898">
        <f t="shared" si="101"/>
        <v>0</v>
      </c>
      <c r="N197" s="30"/>
      <c r="O197" s="119"/>
      <c r="P197" s="30"/>
      <c r="Q197" s="220"/>
      <c r="R197" s="220"/>
      <c r="S197" s="220"/>
      <c r="T197" s="220"/>
      <c r="U197" s="220"/>
      <c r="V197" s="220"/>
      <c r="W197" s="220"/>
      <c r="X197" s="220"/>
      <c r="Y197" s="220"/>
      <c r="Z197" s="220"/>
      <c r="AA197" s="220"/>
      <c r="AB197" s="220"/>
      <c r="AC197" s="220"/>
      <c r="AD197" s="220"/>
      <c r="AE197" s="220"/>
    </row>
    <row r="198" ht="13.5" customHeight="1" outlineLevel="1">
      <c r="A198" s="814">
        <f t="shared" si="42"/>
        <v>198</v>
      </c>
      <c r="B198" s="937" t="s">
        <v>760</v>
      </c>
      <c r="C198" s="901" t="s">
        <v>715</v>
      </c>
      <c r="D198" s="901" t="s">
        <v>750</v>
      </c>
      <c r="E198" s="756">
        <v>0.0</v>
      </c>
      <c r="F198" s="938" t="s">
        <v>751</v>
      </c>
      <c r="G198" s="898">
        <f t="shared" ref="G198:M198" si="102">IF($D198&lt;=G$10,1,0)</f>
        <v>0</v>
      </c>
      <c r="H198" s="898">
        <f t="shared" si="102"/>
        <v>0</v>
      </c>
      <c r="I198" s="898">
        <f t="shared" si="102"/>
        <v>0</v>
      </c>
      <c r="J198" s="898">
        <f t="shared" si="102"/>
        <v>0</v>
      </c>
      <c r="K198" s="898">
        <f t="shared" si="102"/>
        <v>0</v>
      </c>
      <c r="L198" s="898">
        <f t="shared" si="102"/>
        <v>0</v>
      </c>
      <c r="M198" s="898">
        <f t="shared" si="102"/>
        <v>0</v>
      </c>
      <c r="N198" s="30"/>
      <c r="O198" s="119"/>
      <c r="P198" s="30"/>
      <c r="Q198" s="220"/>
      <c r="R198" s="220"/>
      <c r="S198" s="220"/>
      <c r="T198" s="220"/>
      <c r="U198" s="220"/>
      <c r="V198" s="220"/>
      <c r="W198" s="220"/>
      <c r="X198" s="220"/>
      <c r="Y198" s="220"/>
      <c r="Z198" s="220"/>
      <c r="AA198" s="220"/>
      <c r="AB198" s="220"/>
      <c r="AC198" s="220"/>
      <c r="AD198" s="220"/>
      <c r="AE198" s="220"/>
    </row>
    <row r="199" ht="13.5" customHeight="1" outlineLevel="1">
      <c r="A199" s="814">
        <f t="shared" si="42"/>
        <v>199</v>
      </c>
      <c r="B199" s="937" t="s">
        <v>760</v>
      </c>
      <c r="C199" s="901" t="s">
        <v>715</v>
      </c>
      <c r="D199" s="901" t="s">
        <v>750</v>
      </c>
      <c r="E199" s="756">
        <v>0.0</v>
      </c>
      <c r="F199" s="938" t="s">
        <v>751</v>
      </c>
      <c r="G199" s="898">
        <f t="shared" ref="G199:M199" si="103">IF($D199&lt;=G$10,1,0)</f>
        <v>0</v>
      </c>
      <c r="H199" s="898">
        <f t="shared" si="103"/>
        <v>0</v>
      </c>
      <c r="I199" s="898">
        <f t="shared" si="103"/>
        <v>0</v>
      </c>
      <c r="J199" s="898">
        <f t="shared" si="103"/>
        <v>0</v>
      </c>
      <c r="K199" s="898">
        <f t="shared" si="103"/>
        <v>0</v>
      </c>
      <c r="L199" s="898">
        <f t="shared" si="103"/>
        <v>0</v>
      </c>
      <c r="M199" s="898">
        <f t="shared" si="103"/>
        <v>0</v>
      </c>
      <c r="N199" s="30"/>
      <c r="O199" s="119"/>
      <c r="P199" s="30"/>
      <c r="Q199" s="220"/>
      <c r="R199" s="220"/>
      <c r="S199" s="220"/>
      <c r="T199" s="220"/>
      <c r="U199" s="220"/>
      <c r="V199" s="220"/>
      <c r="W199" s="220"/>
      <c r="X199" s="220"/>
      <c r="Y199" s="220"/>
      <c r="Z199" s="220"/>
      <c r="AA199" s="220"/>
      <c r="AB199" s="220"/>
      <c r="AC199" s="220"/>
      <c r="AD199" s="220"/>
      <c r="AE199" s="220"/>
    </row>
    <row r="200" ht="13.5" customHeight="1" outlineLevel="1">
      <c r="A200" s="814">
        <f t="shared" si="42"/>
        <v>200</v>
      </c>
      <c r="B200" s="937"/>
      <c r="C200" s="901" t="s">
        <v>715</v>
      </c>
      <c r="D200" s="901" t="s">
        <v>750</v>
      </c>
      <c r="E200" s="756">
        <v>0.0</v>
      </c>
      <c r="F200" s="938" t="s">
        <v>751</v>
      </c>
      <c r="G200" s="898">
        <f t="shared" ref="G200:M200" si="104">IF($D200&lt;=G$10,1,0)</f>
        <v>0</v>
      </c>
      <c r="H200" s="898">
        <f t="shared" si="104"/>
        <v>0</v>
      </c>
      <c r="I200" s="898">
        <f t="shared" si="104"/>
        <v>0</v>
      </c>
      <c r="J200" s="898">
        <f t="shared" si="104"/>
        <v>0</v>
      </c>
      <c r="K200" s="898">
        <f t="shared" si="104"/>
        <v>0</v>
      </c>
      <c r="L200" s="898">
        <f t="shared" si="104"/>
        <v>0</v>
      </c>
      <c r="M200" s="898">
        <f t="shared" si="104"/>
        <v>0</v>
      </c>
      <c r="N200" s="30"/>
      <c r="O200" s="119"/>
      <c r="P200" s="30"/>
      <c r="Q200" s="220"/>
      <c r="R200" s="220"/>
      <c r="S200" s="220"/>
      <c r="T200" s="220"/>
      <c r="U200" s="220"/>
      <c r="V200" s="220"/>
      <c r="W200" s="220"/>
      <c r="X200" s="220"/>
      <c r="Y200" s="220"/>
      <c r="Z200" s="220"/>
      <c r="AA200" s="220"/>
      <c r="AB200" s="220"/>
      <c r="AC200" s="220"/>
      <c r="AD200" s="220"/>
      <c r="AE200" s="220"/>
    </row>
    <row r="201" ht="13.5" customHeight="1" outlineLevel="1">
      <c r="A201" s="814">
        <f t="shared" si="42"/>
        <v>201</v>
      </c>
      <c r="B201" s="30"/>
      <c r="C201" s="942"/>
      <c r="D201" s="942"/>
      <c r="E201" s="948"/>
      <c r="F201" s="949"/>
      <c r="G201" s="131"/>
      <c r="H201" s="131"/>
      <c r="I201" s="131"/>
      <c r="J201" s="131"/>
      <c r="K201" s="131"/>
      <c r="L201" s="131"/>
      <c r="M201" s="131"/>
      <c r="N201" s="30"/>
      <c r="O201" s="119"/>
      <c r="P201" s="30"/>
      <c r="Q201" s="220"/>
      <c r="R201" s="220"/>
      <c r="S201" s="220"/>
      <c r="T201" s="220"/>
      <c r="U201" s="220"/>
      <c r="V201" s="220"/>
      <c r="W201" s="220"/>
      <c r="X201" s="220"/>
      <c r="Y201" s="220"/>
      <c r="Z201" s="220"/>
      <c r="AA201" s="220"/>
      <c r="AB201" s="220"/>
      <c r="AC201" s="220"/>
      <c r="AD201" s="220"/>
      <c r="AE201" s="220"/>
    </row>
    <row r="202" ht="13.5" customHeight="1" outlineLevel="1">
      <c r="A202" s="814">
        <f t="shared" si="42"/>
        <v>202</v>
      </c>
      <c r="B202" s="943" t="s">
        <v>761</v>
      </c>
      <c r="C202" s="896">
        <v>2025.0</v>
      </c>
      <c r="D202" s="944" t="s">
        <v>750</v>
      </c>
      <c r="E202" s="945">
        <v>51961.0</v>
      </c>
      <c r="F202" s="946" t="s">
        <v>751</v>
      </c>
      <c r="G202" s="947">
        <v>1.0</v>
      </c>
      <c r="H202" s="958">
        <v>1.0</v>
      </c>
      <c r="I202" s="958">
        <v>1.0</v>
      </c>
      <c r="J202" s="958">
        <v>1.0</v>
      </c>
      <c r="K202" s="958">
        <v>1.0</v>
      </c>
      <c r="L202" s="958">
        <v>1.0</v>
      </c>
      <c r="M202" s="958">
        <v>1.0</v>
      </c>
      <c r="N202" s="30"/>
      <c r="O202" s="119"/>
      <c r="P202" s="30"/>
      <c r="Q202" s="220"/>
      <c r="R202" s="220"/>
      <c r="S202" s="220"/>
      <c r="T202" s="220"/>
      <c r="U202" s="220"/>
      <c r="V202" s="220"/>
      <c r="W202" s="220"/>
      <c r="X202" s="220"/>
      <c r="Y202" s="220"/>
      <c r="Z202" s="220"/>
      <c r="AA202" s="220"/>
      <c r="AB202" s="220"/>
      <c r="AC202" s="220"/>
      <c r="AD202" s="220"/>
      <c r="AE202" s="220"/>
    </row>
    <row r="203" ht="13.5" customHeight="1" outlineLevel="1">
      <c r="A203" s="814">
        <f t="shared" si="42"/>
        <v>203</v>
      </c>
      <c r="B203" s="937" t="s">
        <v>761</v>
      </c>
      <c r="C203" s="901" t="s">
        <v>715</v>
      </c>
      <c r="D203" s="901" t="s">
        <v>750</v>
      </c>
      <c r="E203" s="756">
        <v>0.0</v>
      </c>
      <c r="F203" s="938" t="s">
        <v>751</v>
      </c>
      <c r="G203" s="898">
        <f t="shared" ref="G203:M203" si="105">IF($D203&lt;=G$10,1,0)</f>
        <v>0</v>
      </c>
      <c r="H203" s="898">
        <f t="shared" si="105"/>
        <v>0</v>
      </c>
      <c r="I203" s="898">
        <f t="shared" si="105"/>
        <v>0</v>
      </c>
      <c r="J203" s="898">
        <f t="shared" si="105"/>
        <v>0</v>
      </c>
      <c r="K203" s="898">
        <f t="shared" si="105"/>
        <v>0</v>
      </c>
      <c r="L203" s="898">
        <f t="shared" si="105"/>
        <v>0</v>
      </c>
      <c r="M203" s="898">
        <f t="shared" si="105"/>
        <v>0</v>
      </c>
      <c r="N203" s="30"/>
      <c r="O203" s="119"/>
      <c r="P203" s="30"/>
      <c r="Q203" s="220"/>
      <c r="R203" s="220"/>
      <c r="S203" s="220"/>
      <c r="T203" s="220"/>
      <c r="U203" s="220"/>
      <c r="V203" s="220"/>
      <c r="W203" s="220"/>
      <c r="X203" s="220"/>
      <c r="Y203" s="220"/>
      <c r="Z203" s="220"/>
      <c r="AA203" s="220"/>
      <c r="AB203" s="220"/>
      <c r="AC203" s="220"/>
      <c r="AD203" s="220"/>
      <c r="AE203" s="220"/>
    </row>
    <row r="204" ht="13.5" customHeight="1" outlineLevel="1">
      <c r="A204" s="814">
        <f t="shared" si="42"/>
        <v>204</v>
      </c>
      <c r="B204" s="937" t="s">
        <v>749</v>
      </c>
      <c r="C204" s="901" t="s">
        <v>715</v>
      </c>
      <c r="D204" s="901" t="s">
        <v>750</v>
      </c>
      <c r="E204" s="756">
        <v>0.0</v>
      </c>
      <c r="F204" s="938" t="s">
        <v>751</v>
      </c>
      <c r="G204" s="898">
        <f t="shared" ref="G204:M204" si="106">IF($D204&lt;=G$10,1,0)</f>
        <v>0</v>
      </c>
      <c r="H204" s="898">
        <f t="shared" si="106"/>
        <v>0</v>
      </c>
      <c r="I204" s="898">
        <f t="shared" si="106"/>
        <v>0</v>
      </c>
      <c r="J204" s="898">
        <f t="shared" si="106"/>
        <v>0</v>
      </c>
      <c r="K204" s="898">
        <f t="shared" si="106"/>
        <v>0</v>
      </c>
      <c r="L204" s="898">
        <f t="shared" si="106"/>
        <v>0</v>
      </c>
      <c r="M204" s="898">
        <f t="shared" si="106"/>
        <v>0</v>
      </c>
      <c r="N204" s="30"/>
      <c r="O204" s="119"/>
      <c r="P204" s="30"/>
      <c r="Q204" s="220"/>
      <c r="R204" s="220"/>
      <c r="S204" s="220"/>
      <c r="T204" s="220"/>
      <c r="U204" s="220"/>
      <c r="V204" s="220"/>
      <c r="W204" s="220"/>
      <c r="X204" s="220"/>
      <c r="Y204" s="220"/>
      <c r="Z204" s="220"/>
      <c r="AA204" s="220"/>
      <c r="AB204" s="220"/>
      <c r="AC204" s="220"/>
      <c r="AD204" s="220"/>
      <c r="AE204" s="220"/>
    </row>
    <row r="205" ht="13.5" customHeight="1" outlineLevel="1">
      <c r="A205" s="814">
        <f t="shared" si="42"/>
        <v>205</v>
      </c>
      <c r="B205" s="937" t="s">
        <v>749</v>
      </c>
      <c r="C205" s="901" t="s">
        <v>715</v>
      </c>
      <c r="D205" s="901" t="s">
        <v>750</v>
      </c>
      <c r="E205" s="756">
        <v>0.0</v>
      </c>
      <c r="F205" s="938" t="s">
        <v>751</v>
      </c>
      <c r="G205" s="898">
        <f t="shared" ref="G205:M205" si="107">IF($D205&lt;=G$10,1,0)</f>
        <v>0</v>
      </c>
      <c r="H205" s="898">
        <f t="shared" si="107"/>
        <v>0</v>
      </c>
      <c r="I205" s="898">
        <f t="shared" si="107"/>
        <v>0</v>
      </c>
      <c r="J205" s="898">
        <f t="shared" si="107"/>
        <v>0</v>
      </c>
      <c r="K205" s="898">
        <f t="shared" si="107"/>
        <v>0</v>
      </c>
      <c r="L205" s="898">
        <f t="shared" si="107"/>
        <v>0</v>
      </c>
      <c r="M205" s="898">
        <f t="shared" si="107"/>
        <v>0</v>
      </c>
      <c r="N205" s="30"/>
      <c r="O205" s="119"/>
      <c r="P205" s="30"/>
      <c r="Q205" s="220"/>
      <c r="R205" s="220"/>
      <c r="S205" s="220"/>
      <c r="T205" s="220"/>
      <c r="U205" s="220"/>
      <c r="V205" s="220"/>
      <c r="W205" s="220"/>
      <c r="X205" s="220"/>
      <c r="Y205" s="220"/>
      <c r="Z205" s="220"/>
      <c r="AA205" s="220"/>
      <c r="AB205" s="220"/>
      <c r="AC205" s="220"/>
      <c r="AD205" s="220"/>
      <c r="AE205" s="220"/>
    </row>
    <row r="206" ht="13.5" customHeight="1" outlineLevel="1">
      <c r="A206" s="814">
        <f t="shared" si="42"/>
        <v>206</v>
      </c>
      <c r="B206" s="937" t="s">
        <v>749</v>
      </c>
      <c r="C206" s="901" t="s">
        <v>715</v>
      </c>
      <c r="D206" s="901" t="s">
        <v>750</v>
      </c>
      <c r="E206" s="756">
        <v>0.0</v>
      </c>
      <c r="F206" s="938" t="s">
        <v>751</v>
      </c>
      <c r="G206" s="898">
        <f t="shared" ref="G206:M206" si="108">IF($D206&lt;=G$10,1,0)</f>
        <v>0</v>
      </c>
      <c r="H206" s="898">
        <f t="shared" si="108"/>
        <v>0</v>
      </c>
      <c r="I206" s="898">
        <f t="shared" si="108"/>
        <v>0</v>
      </c>
      <c r="J206" s="898">
        <f t="shared" si="108"/>
        <v>0</v>
      </c>
      <c r="K206" s="898">
        <f t="shared" si="108"/>
        <v>0</v>
      </c>
      <c r="L206" s="898">
        <f t="shared" si="108"/>
        <v>0</v>
      </c>
      <c r="M206" s="898">
        <f t="shared" si="108"/>
        <v>0</v>
      </c>
      <c r="N206" s="30"/>
      <c r="O206" s="119"/>
      <c r="P206" s="30"/>
      <c r="Q206" s="220"/>
      <c r="R206" s="220"/>
      <c r="S206" s="220"/>
      <c r="T206" s="220"/>
      <c r="U206" s="220"/>
      <c r="V206" s="220"/>
      <c r="W206" s="220"/>
      <c r="X206" s="220"/>
      <c r="Y206" s="220"/>
      <c r="Z206" s="220"/>
      <c r="AA206" s="220"/>
      <c r="AB206" s="220"/>
      <c r="AC206" s="220"/>
      <c r="AD206" s="220"/>
      <c r="AE206" s="220"/>
    </row>
    <row r="207" ht="13.5" customHeight="1" outlineLevel="1">
      <c r="A207" s="814">
        <f t="shared" si="42"/>
        <v>207</v>
      </c>
      <c r="B207" s="30"/>
      <c r="C207" s="942"/>
      <c r="D207" s="942"/>
      <c r="E207" s="948"/>
      <c r="F207" s="949"/>
      <c r="G207" s="131"/>
      <c r="H207" s="131"/>
      <c r="I207" s="131"/>
      <c r="J207" s="131"/>
      <c r="K207" s="131"/>
      <c r="L207" s="131"/>
      <c r="M207" s="131"/>
      <c r="N207" s="30"/>
      <c r="O207" s="119"/>
      <c r="P207" s="30"/>
      <c r="Q207" s="220"/>
      <c r="R207" s="220"/>
      <c r="S207" s="220"/>
      <c r="T207" s="220"/>
      <c r="U207" s="220"/>
      <c r="V207" s="220"/>
      <c r="W207" s="220"/>
      <c r="X207" s="220"/>
      <c r="Y207" s="220"/>
      <c r="Z207" s="220"/>
      <c r="AA207" s="220"/>
      <c r="AB207" s="220"/>
      <c r="AC207" s="220"/>
      <c r="AD207" s="220"/>
      <c r="AE207" s="220"/>
    </row>
    <row r="208" ht="13.5" customHeight="1" outlineLevel="1">
      <c r="A208" s="814">
        <f t="shared" si="42"/>
        <v>208</v>
      </c>
      <c r="B208" s="937" t="s">
        <v>762</v>
      </c>
      <c r="C208" s="901" t="s">
        <v>715</v>
      </c>
      <c r="D208" s="901" t="s">
        <v>750</v>
      </c>
      <c r="E208" s="753">
        <v>0.0</v>
      </c>
      <c r="F208" s="938" t="s">
        <v>751</v>
      </c>
      <c r="G208" s="898">
        <f t="shared" ref="G208:M208" si="109">IF($D208&lt;=G$10,1,0)</f>
        <v>0</v>
      </c>
      <c r="H208" s="898">
        <f t="shared" si="109"/>
        <v>0</v>
      </c>
      <c r="I208" s="898">
        <f t="shared" si="109"/>
        <v>0</v>
      </c>
      <c r="J208" s="898">
        <f t="shared" si="109"/>
        <v>0</v>
      </c>
      <c r="K208" s="898">
        <f t="shared" si="109"/>
        <v>0</v>
      </c>
      <c r="L208" s="898">
        <f t="shared" si="109"/>
        <v>0</v>
      </c>
      <c r="M208" s="898">
        <f t="shared" si="109"/>
        <v>0</v>
      </c>
      <c r="N208" s="30"/>
      <c r="O208" s="119"/>
      <c r="P208" s="30"/>
      <c r="Q208" s="220"/>
      <c r="R208" s="220"/>
      <c r="S208" s="220"/>
      <c r="T208" s="220"/>
      <c r="U208" s="220"/>
      <c r="V208" s="220"/>
      <c r="W208" s="220"/>
      <c r="X208" s="220"/>
      <c r="Y208" s="220"/>
      <c r="Z208" s="220"/>
      <c r="AA208" s="220"/>
      <c r="AB208" s="220"/>
      <c r="AC208" s="220"/>
      <c r="AD208" s="220"/>
      <c r="AE208" s="220"/>
    </row>
    <row r="209" ht="13.5" customHeight="1" outlineLevel="1">
      <c r="A209" s="814">
        <f t="shared" si="42"/>
        <v>209</v>
      </c>
      <c r="B209" s="937" t="s">
        <v>762</v>
      </c>
      <c r="C209" s="901" t="s">
        <v>715</v>
      </c>
      <c r="D209" s="901" t="s">
        <v>750</v>
      </c>
      <c r="E209" s="756">
        <v>0.0</v>
      </c>
      <c r="F209" s="938" t="s">
        <v>751</v>
      </c>
      <c r="G209" s="898">
        <f t="shared" ref="G209:M209" si="110">IF($D209&lt;=G$10,1,0)</f>
        <v>0</v>
      </c>
      <c r="H209" s="898">
        <f t="shared" si="110"/>
        <v>0</v>
      </c>
      <c r="I209" s="898">
        <f t="shared" si="110"/>
        <v>0</v>
      </c>
      <c r="J209" s="898">
        <f t="shared" si="110"/>
        <v>0</v>
      </c>
      <c r="K209" s="898">
        <f t="shared" si="110"/>
        <v>0</v>
      </c>
      <c r="L209" s="898">
        <f t="shared" si="110"/>
        <v>0</v>
      </c>
      <c r="M209" s="898">
        <f t="shared" si="110"/>
        <v>0</v>
      </c>
      <c r="N209" s="30"/>
      <c r="O209" s="119"/>
      <c r="P209" s="30"/>
      <c r="Q209" s="220"/>
      <c r="R209" s="220"/>
      <c r="S209" s="220"/>
      <c r="T209" s="220"/>
      <c r="U209" s="220"/>
      <c r="V209" s="220"/>
      <c r="W209" s="220"/>
      <c r="X209" s="220"/>
      <c r="Y209" s="220"/>
      <c r="Z209" s="220"/>
      <c r="AA209" s="220"/>
      <c r="AB209" s="220"/>
      <c r="AC209" s="220"/>
      <c r="AD209" s="220"/>
      <c r="AE209" s="220"/>
    </row>
    <row r="210" ht="13.5" customHeight="1" outlineLevel="1">
      <c r="A210" s="814">
        <f t="shared" si="42"/>
        <v>210</v>
      </c>
      <c r="B210" s="937" t="s">
        <v>749</v>
      </c>
      <c r="C210" s="901" t="s">
        <v>715</v>
      </c>
      <c r="D210" s="901" t="s">
        <v>750</v>
      </c>
      <c r="E210" s="756">
        <v>0.0</v>
      </c>
      <c r="F210" s="938" t="s">
        <v>751</v>
      </c>
      <c r="G210" s="898">
        <f t="shared" ref="G210:M210" si="111">IF($D210&lt;=G$10,1,0)</f>
        <v>0</v>
      </c>
      <c r="H210" s="898">
        <f t="shared" si="111"/>
        <v>0</v>
      </c>
      <c r="I210" s="898">
        <f t="shared" si="111"/>
        <v>0</v>
      </c>
      <c r="J210" s="898">
        <f t="shared" si="111"/>
        <v>0</v>
      </c>
      <c r="K210" s="898">
        <f t="shared" si="111"/>
        <v>0</v>
      </c>
      <c r="L210" s="898">
        <f t="shared" si="111"/>
        <v>0</v>
      </c>
      <c r="M210" s="898">
        <f t="shared" si="111"/>
        <v>0</v>
      </c>
      <c r="N210" s="30"/>
      <c r="O210" s="119"/>
      <c r="P210" s="30"/>
      <c r="Q210" s="220"/>
      <c r="R210" s="220"/>
      <c r="S210" s="220"/>
      <c r="T210" s="220"/>
      <c r="U210" s="220"/>
      <c r="V210" s="220"/>
      <c r="W210" s="220"/>
      <c r="X210" s="220"/>
      <c r="Y210" s="220"/>
      <c r="Z210" s="220"/>
      <c r="AA210" s="220"/>
      <c r="AB210" s="220"/>
      <c r="AC210" s="220"/>
      <c r="AD210" s="220"/>
      <c r="AE210" s="220"/>
    </row>
    <row r="211" ht="13.5" customHeight="1" outlineLevel="1">
      <c r="A211" s="814">
        <f t="shared" si="42"/>
        <v>211</v>
      </c>
      <c r="B211" s="937" t="s">
        <v>749</v>
      </c>
      <c r="C211" s="901" t="s">
        <v>715</v>
      </c>
      <c r="D211" s="901" t="s">
        <v>750</v>
      </c>
      <c r="E211" s="756">
        <v>0.0</v>
      </c>
      <c r="F211" s="938" t="s">
        <v>751</v>
      </c>
      <c r="G211" s="898">
        <f t="shared" ref="G211:M211" si="112">IF($D211&lt;=G$10,1,0)</f>
        <v>0</v>
      </c>
      <c r="H211" s="898">
        <f t="shared" si="112"/>
        <v>0</v>
      </c>
      <c r="I211" s="898">
        <f t="shared" si="112"/>
        <v>0</v>
      </c>
      <c r="J211" s="898">
        <f t="shared" si="112"/>
        <v>0</v>
      </c>
      <c r="K211" s="898">
        <f t="shared" si="112"/>
        <v>0</v>
      </c>
      <c r="L211" s="898">
        <f t="shared" si="112"/>
        <v>0</v>
      </c>
      <c r="M211" s="898">
        <f t="shared" si="112"/>
        <v>0</v>
      </c>
      <c r="N211" s="30"/>
      <c r="O211" s="119"/>
      <c r="P211" s="30"/>
      <c r="Q211" s="220"/>
      <c r="R211" s="220"/>
      <c r="S211" s="220"/>
      <c r="T211" s="220"/>
      <c r="U211" s="220"/>
      <c r="V211" s="220"/>
      <c r="W211" s="220"/>
      <c r="X211" s="220"/>
      <c r="Y211" s="220"/>
      <c r="Z211" s="220"/>
      <c r="AA211" s="220"/>
      <c r="AB211" s="220"/>
      <c r="AC211" s="220"/>
      <c r="AD211" s="220"/>
      <c r="AE211" s="220"/>
    </row>
    <row r="212" ht="13.5" customHeight="1" outlineLevel="1">
      <c r="A212" s="814">
        <f t="shared" si="42"/>
        <v>212</v>
      </c>
      <c r="B212" s="937" t="s">
        <v>749</v>
      </c>
      <c r="C212" s="901" t="s">
        <v>715</v>
      </c>
      <c r="D212" s="901" t="s">
        <v>750</v>
      </c>
      <c r="E212" s="756">
        <v>0.0</v>
      </c>
      <c r="F212" s="938" t="s">
        <v>751</v>
      </c>
      <c r="G212" s="898">
        <f t="shared" ref="G212:M212" si="113">IF($D212&lt;=G$10,1,0)</f>
        <v>0</v>
      </c>
      <c r="H212" s="898">
        <f t="shared" si="113"/>
        <v>0</v>
      </c>
      <c r="I212" s="898">
        <f t="shared" si="113"/>
        <v>0</v>
      </c>
      <c r="J212" s="898">
        <f t="shared" si="113"/>
        <v>0</v>
      </c>
      <c r="K212" s="898">
        <f t="shared" si="113"/>
        <v>0</v>
      </c>
      <c r="L212" s="898">
        <f t="shared" si="113"/>
        <v>0</v>
      </c>
      <c r="M212" s="898">
        <f t="shared" si="113"/>
        <v>0</v>
      </c>
      <c r="N212" s="30"/>
      <c r="O212" s="119"/>
      <c r="P212" s="30"/>
      <c r="Q212" s="220"/>
      <c r="R212" s="220"/>
      <c r="S212" s="220"/>
      <c r="T212" s="220"/>
      <c r="U212" s="220"/>
      <c r="V212" s="220"/>
      <c r="W212" s="220"/>
      <c r="X212" s="220"/>
      <c r="Y212" s="220"/>
      <c r="Z212" s="220"/>
      <c r="AA212" s="220"/>
      <c r="AB212" s="220"/>
      <c r="AC212" s="220"/>
      <c r="AD212" s="220"/>
      <c r="AE212" s="220"/>
    </row>
    <row r="213" ht="13.5" customHeight="1" outlineLevel="1">
      <c r="A213" s="814">
        <f t="shared" si="42"/>
        <v>213</v>
      </c>
      <c r="B213" s="30"/>
      <c r="C213" s="949"/>
      <c r="D213" s="949"/>
      <c r="E213" s="959"/>
      <c r="F213" s="949"/>
      <c r="G213" s="131"/>
      <c r="H213" s="131"/>
      <c r="I213" s="131"/>
      <c r="J213" s="131"/>
      <c r="K213" s="131"/>
      <c r="L213" s="131"/>
      <c r="M213" s="131"/>
      <c r="N213" s="30"/>
      <c r="O213" s="119"/>
      <c r="P213" s="30"/>
      <c r="Q213" s="220"/>
      <c r="R213" s="220"/>
      <c r="S213" s="220"/>
      <c r="T213" s="220"/>
      <c r="U213" s="220"/>
      <c r="V213" s="220"/>
      <c r="W213" s="220"/>
      <c r="X213" s="220"/>
      <c r="Y213" s="220"/>
      <c r="Z213" s="220"/>
      <c r="AA213" s="220"/>
      <c r="AB213" s="220"/>
      <c r="AC213" s="220"/>
      <c r="AD213" s="220"/>
      <c r="AE213" s="220"/>
    </row>
    <row r="214" ht="13.5" customHeight="1" outlineLevel="1">
      <c r="A214" s="814">
        <f t="shared" si="42"/>
        <v>214</v>
      </c>
      <c r="B214" s="937" t="s">
        <v>763</v>
      </c>
      <c r="C214" s="901" t="s">
        <v>715</v>
      </c>
      <c r="D214" s="901" t="s">
        <v>750</v>
      </c>
      <c r="E214" s="753">
        <v>0.0</v>
      </c>
      <c r="F214" s="938" t="s">
        <v>751</v>
      </c>
      <c r="G214" s="898">
        <f t="shared" ref="G214:M214" si="114">IF($D214&lt;=G$10,1,0)</f>
        <v>0</v>
      </c>
      <c r="H214" s="898">
        <f t="shared" si="114"/>
        <v>0</v>
      </c>
      <c r="I214" s="898">
        <f t="shared" si="114"/>
        <v>0</v>
      </c>
      <c r="J214" s="898">
        <f t="shared" si="114"/>
        <v>0</v>
      </c>
      <c r="K214" s="898">
        <f t="shared" si="114"/>
        <v>0</v>
      </c>
      <c r="L214" s="898">
        <f t="shared" si="114"/>
        <v>0</v>
      </c>
      <c r="M214" s="898">
        <f t="shared" si="114"/>
        <v>0</v>
      </c>
      <c r="N214" s="30"/>
      <c r="O214" s="119"/>
      <c r="P214" s="30"/>
      <c r="Q214" s="220"/>
      <c r="R214" s="220"/>
      <c r="S214" s="220"/>
      <c r="T214" s="220"/>
      <c r="U214" s="220"/>
      <c r="V214" s="220"/>
      <c r="W214" s="220"/>
      <c r="X214" s="220"/>
      <c r="Y214" s="220"/>
      <c r="Z214" s="220"/>
      <c r="AA214" s="220"/>
      <c r="AB214" s="220"/>
      <c r="AC214" s="220"/>
      <c r="AD214" s="220"/>
      <c r="AE214" s="220"/>
    </row>
    <row r="215" ht="13.5" customHeight="1" outlineLevel="1">
      <c r="A215" s="814">
        <f t="shared" si="42"/>
        <v>215</v>
      </c>
      <c r="B215" s="960" t="s">
        <v>764</v>
      </c>
      <c r="C215" s="896">
        <v>2025.0</v>
      </c>
      <c r="D215" s="944" t="s">
        <v>750</v>
      </c>
      <c r="E215" s="897">
        <v>71478.0</v>
      </c>
      <c r="F215" s="946" t="s">
        <v>751</v>
      </c>
      <c r="G215" s="947">
        <v>1.0</v>
      </c>
      <c r="H215" s="947">
        <v>1.0</v>
      </c>
      <c r="I215" s="947">
        <v>1.0</v>
      </c>
      <c r="J215" s="961">
        <f t="shared" ref="J215:M215" si="115">IF($D215&lt;=J$10,1,0)</f>
        <v>0</v>
      </c>
      <c r="K215" s="961">
        <f t="shared" si="115"/>
        <v>0</v>
      </c>
      <c r="L215" s="961">
        <f t="shared" si="115"/>
        <v>0</v>
      </c>
      <c r="M215" s="961">
        <f t="shared" si="115"/>
        <v>0</v>
      </c>
      <c r="N215" s="30"/>
      <c r="O215" s="119"/>
      <c r="P215" s="30"/>
      <c r="Q215" s="220"/>
      <c r="R215" s="220"/>
      <c r="S215" s="220"/>
      <c r="T215" s="220"/>
      <c r="U215" s="220"/>
      <c r="V215" s="220"/>
      <c r="W215" s="220"/>
      <c r="X215" s="220"/>
      <c r="Y215" s="220"/>
      <c r="Z215" s="220"/>
      <c r="AA215" s="220"/>
      <c r="AB215" s="220"/>
      <c r="AC215" s="220"/>
      <c r="AD215" s="220"/>
      <c r="AE215" s="220"/>
    </row>
    <row r="216" ht="13.5" customHeight="1" outlineLevel="1">
      <c r="A216" s="814">
        <f t="shared" si="42"/>
        <v>216</v>
      </c>
      <c r="B216" s="960" t="s">
        <v>765</v>
      </c>
      <c r="C216" s="896">
        <v>2025.0</v>
      </c>
      <c r="D216" s="944" t="s">
        <v>750</v>
      </c>
      <c r="E216" s="950">
        <v>82415.0</v>
      </c>
      <c r="F216" s="962" t="s">
        <v>766</v>
      </c>
      <c r="G216" s="947">
        <v>1.0</v>
      </c>
      <c r="H216" s="958">
        <v>1.0</v>
      </c>
      <c r="I216" s="958">
        <v>1.0</v>
      </c>
      <c r="J216" s="958">
        <v>1.0</v>
      </c>
      <c r="K216" s="958">
        <v>1.0</v>
      </c>
      <c r="L216" s="958">
        <v>1.0</v>
      </c>
      <c r="M216" s="958">
        <v>1.0</v>
      </c>
      <c r="N216" s="30"/>
      <c r="O216" s="119"/>
      <c r="P216" s="30"/>
      <c r="Q216" s="220"/>
      <c r="R216" s="220"/>
      <c r="S216" s="220"/>
      <c r="T216" s="220"/>
      <c r="U216" s="220"/>
      <c r="V216" s="220"/>
      <c r="W216" s="220"/>
      <c r="X216" s="220"/>
      <c r="Y216" s="220"/>
      <c r="Z216" s="220"/>
      <c r="AA216" s="220"/>
      <c r="AB216" s="220"/>
      <c r="AC216" s="220"/>
      <c r="AD216" s="220"/>
      <c r="AE216" s="220"/>
    </row>
    <row r="217" ht="13.5" customHeight="1" outlineLevel="1">
      <c r="A217" s="814">
        <f t="shared" si="42"/>
        <v>217</v>
      </c>
      <c r="B217" s="960" t="s">
        <v>767</v>
      </c>
      <c r="C217" s="896">
        <v>2025.0</v>
      </c>
      <c r="D217" s="944" t="s">
        <v>750</v>
      </c>
      <c r="E217" s="950">
        <v>51961.0</v>
      </c>
      <c r="F217" s="946" t="s">
        <v>751</v>
      </c>
      <c r="G217" s="947">
        <v>1.0</v>
      </c>
      <c r="H217" s="958">
        <v>1.0</v>
      </c>
      <c r="I217" s="958">
        <v>1.0</v>
      </c>
      <c r="J217" s="958">
        <v>1.0</v>
      </c>
      <c r="K217" s="958">
        <v>1.0</v>
      </c>
      <c r="L217" s="958">
        <v>1.0</v>
      </c>
      <c r="M217" s="958">
        <v>1.0</v>
      </c>
      <c r="N217" s="30"/>
      <c r="O217" s="119"/>
      <c r="P217" s="30"/>
      <c r="Q217" s="220"/>
      <c r="R217" s="220"/>
      <c r="S217" s="220"/>
      <c r="T217" s="220"/>
      <c r="U217" s="220"/>
      <c r="V217" s="220"/>
      <c r="W217" s="220"/>
      <c r="X217" s="220"/>
      <c r="Y217" s="220"/>
      <c r="Z217" s="220"/>
      <c r="AA217" s="220"/>
      <c r="AB217" s="220"/>
      <c r="AC217" s="220"/>
      <c r="AD217" s="220"/>
      <c r="AE217" s="220"/>
    </row>
    <row r="218" ht="13.5" customHeight="1" outlineLevel="1">
      <c r="A218" s="814">
        <f t="shared" si="42"/>
        <v>218</v>
      </c>
      <c r="B218" s="943"/>
      <c r="C218" s="896" t="s">
        <v>715</v>
      </c>
      <c r="D218" s="944" t="s">
        <v>750</v>
      </c>
      <c r="E218" s="963">
        <v>0.0</v>
      </c>
      <c r="F218" s="946" t="s">
        <v>751</v>
      </c>
      <c r="G218" s="947"/>
      <c r="H218" s="958"/>
      <c r="I218" s="958"/>
      <c r="J218" s="958"/>
      <c r="K218" s="958"/>
      <c r="L218" s="958"/>
      <c r="M218" s="958"/>
      <c r="N218" s="30"/>
      <c r="O218" s="119"/>
      <c r="P218" s="30"/>
      <c r="Q218" s="220"/>
      <c r="R218" s="220"/>
      <c r="S218" s="220"/>
      <c r="T218" s="220"/>
      <c r="U218" s="220"/>
      <c r="V218" s="220"/>
      <c r="W218" s="220"/>
      <c r="X218" s="220"/>
      <c r="Y218" s="220"/>
      <c r="Z218" s="220"/>
      <c r="AA218" s="220"/>
      <c r="AB218" s="220"/>
      <c r="AC218" s="220"/>
      <c r="AD218" s="220"/>
      <c r="AE218" s="220"/>
    </row>
    <row r="219" ht="13.5" customHeight="1" outlineLevel="1">
      <c r="A219" s="814">
        <f t="shared" si="42"/>
        <v>219</v>
      </c>
      <c r="B219" s="30"/>
      <c r="C219" s="949"/>
      <c r="D219" s="949"/>
      <c r="E219" s="948"/>
      <c r="F219" s="949"/>
      <c r="G219" s="131"/>
      <c r="H219" s="131"/>
      <c r="I219" s="131"/>
      <c r="J219" s="131"/>
      <c r="K219" s="131"/>
      <c r="L219" s="131"/>
      <c r="M219" s="131"/>
      <c r="N219" s="30"/>
      <c r="O219" s="119"/>
      <c r="P219" s="30"/>
      <c r="Q219" s="220"/>
      <c r="R219" s="220"/>
      <c r="S219" s="220"/>
      <c r="T219" s="220"/>
      <c r="U219" s="220"/>
      <c r="V219" s="220"/>
      <c r="W219" s="220"/>
      <c r="X219" s="220"/>
      <c r="Y219" s="220"/>
      <c r="Z219" s="220"/>
      <c r="AA219" s="220"/>
      <c r="AB219" s="220"/>
      <c r="AC219" s="220"/>
      <c r="AD219" s="220"/>
      <c r="AE219" s="220"/>
    </row>
    <row r="220" ht="13.5" customHeight="1" outlineLevel="1">
      <c r="A220" s="814">
        <f t="shared" si="42"/>
        <v>220</v>
      </c>
      <c r="B220" s="960" t="s">
        <v>768</v>
      </c>
      <c r="C220" s="896">
        <v>2025.0</v>
      </c>
      <c r="D220" s="944" t="s">
        <v>750</v>
      </c>
      <c r="E220" s="945">
        <v>71478.0</v>
      </c>
      <c r="F220" s="946" t="s">
        <v>751</v>
      </c>
      <c r="G220" s="947">
        <v>1.0</v>
      </c>
      <c r="H220" s="958">
        <v>1.0</v>
      </c>
      <c r="I220" s="958">
        <v>1.0</v>
      </c>
      <c r="J220" s="958">
        <v>1.0</v>
      </c>
      <c r="K220" s="958">
        <v>1.0</v>
      </c>
      <c r="L220" s="958">
        <v>1.0</v>
      </c>
      <c r="M220" s="958">
        <v>1.0</v>
      </c>
      <c r="N220" s="30"/>
      <c r="O220" s="119"/>
      <c r="P220" s="30"/>
      <c r="Q220" s="220"/>
      <c r="R220" s="220"/>
      <c r="S220" s="220"/>
      <c r="T220" s="220"/>
      <c r="U220" s="220"/>
      <c r="V220" s="220"/>
      <c r="W220" s="220"/>
      <c r="X220" s="220"/>
      <c r="Y220" s="220"/>
      <c r="Z220" s="220"/>
      <c r="AA220" s="220"/>
      <c r="AB220" s="220"/>
      <c r="AC220" s="220"/>
      <c r="AD220" s="220"/>
      <c r="AE220" s="220"/>
    </row>
    <row r="221" ht="13.5" customHeight="1" outlineLevel="1">
      <c r="A221" s="814">
        <f t="shared" si="42"/>
        <v>221</v>
      </c>
      <c r="B221" s="960" t="s">
        <v>769</v>
      </c>
      <c r="C221" s="896">
        <v>2025.0</v>
      </c>
      <c r="D221" s="944" t="s">
        <v>750</v>
      </c>
      <c r="E221" s="950">
        <v>56143.0</v>
      </c>
      <c r="F221" s="946" t="s">
        <v>751</v>
      </c>
      <c r="G221" s="947">
        <v>1.0</v>
      </c>
      <c r="H221" s="958">
        <v>1.0</v>
      </c>
      <c r="I221" s="958">
        <v>1.0</v>
      </c>
      <c r="J221" s="958">
        <v>1.0</v>
      </c>
      <c r="K221" s="958">
        <v>1.0</v>
      </c>
      <c r="L221" s="958">
        <v>1.0</v>
      </c>
      <c r="M221" s="958">
        <v>1.0</v>
      </c>
      <c r="N221" s="30"/>
      <c r="O221" s="119"/>
      <c r="P221" s="30"/>
      <c r="Q221" s="220"/>
      <c r="R221" s="220"/>
      <c r="S221" s="220"/>
      <c r="T221" s="220"/>
      <c r="U221" s="220"/>
      <c r="V221" s="220"/>
      <c r="W221" s="220"/>
      <c r="X221" s="220"/>
      <c r="Y221" s="220"/>
      <c r="Z221" s="220"/>
      <c r="AA221" s="220"/>
      <c r="AB221" s="220"/>
      <c r="AC221" s="220"/>
      <c r="AD221" s="220"/>
      <c r="AE221" s="220"/>
    </row>
    <row r="222" ht="13.5" customHeight="1" outlineLevel="1">
      <c r="A222" s="814">
        <f t="shared" si="42"/>
        <v>222</v>
      </c>
      <c r="B222" s="960" t="s">
        <v>770</v>
      </c>
      <c r="C222" s="896">
        <v>2025.0</v>
      </c>
      <c r="D222" s="944" t="s">
        <v>750</v>
      </c>
      <c r="E222" s="897">
        <v>68683.0</v>
      </c>
      <c r="F222" s="946" t="s">
        <v>751</v>
      </c>
      <c r="G222" s="947">
        <v>1.0</v>
      </c>
      <c r="H222" s="958">
        <v>1.0</v>
      </c>
      <c r="I222" s="958">
        <v>1.0</v>
      </c>
      <c r="J222" s="958">
        <v>1.0</v>
      </c>
      <c r="K222" s="958">
        <v>1.0</v>
      </c>
      <c r="L222" s="958">
        <v>1.0</v>
      </c>
      <c r="M222" s="958">
        <v>1.0</v>
      </c>
      <c r="N222" s="30"/>
      <c r="O222" s="119"/>
      <c r="P222" s="30"/>
      <c r="Q222" s="220"/>
      <c r="R222" s="220"/>
      <c r="S222" s="220"/>
      <c r="T222" s="220"/>
      <c r="U222" s="220"/>
      <c r="V222" s="220"/>
      <c r="W222" s="220"/>
      <c r="X222" s="220"/>
      <c r="Y222" s="220"/>
      <c r="Z222" s="220"/>
      <c r="AA222" s="220"/>
      <c r="AB222" s="220"/>
      <c r="AC222" s="220"/>
      <c r="AD222" s="220"/>
      <c r="AE222" s="220"/>
    </row>
    <row r="223" ht="13.5" customHeight="1" outlineLevel="1">
      <c r="A223" s="814">
        <f t="shared" si="42"/>
        <v>223</v>
      </c>
      <c r="B223" s="960" t="s">
        <v>765</v>
      </c>
      <c r="C223" s="896">
        <v>2025.0</v>
      </c>
      <c r="D223" s="944" t="s">
        <v>750</v>
      </c>
      <c r="E223" s="897">
        <v>83055.0</v>
      </c>
      <c r="F223" s="946" t="s">
        <v>751</v>
      </c>
      <c r="G223" s="947">
        <v>1.0</v>
      </c>
      <c r="H223" s="958">
        <v>1.0</v>
      </c>
      <c r="I223" s="958">
        <v>1.0</v>
      </c>
      <c r="J223" s="958">
        <v>1.0</v>
      </c>
      <c r="K223" s="958">
        <v>1.0</v>
      </c>
      <c r="L223" s="958">
        <v>1.0</v>
      </c>
      <c r="M223" s="958">
        <v>1.0</v>
      </c>
      <c r="N223" s="30"/>
      <c r="O223" s="119"/>
      <c r="P223" s="30"/>
      <c r="Q223" s="220"/>
      <c r="R223" s="220"/>
      <c r="S223" s="220"/>
      <c r="T223" s="220"/>
      <c r="U223" s="220"/>
      <c r="V223" s="220"/>
      <c r="W223" s="220"/>
      <c r="X223" s="220"/>
      <c r="Y223" s="220"/>
      <c r="Z223" s="220"/>
      <c r="AA223" s="220"/>
      <c r="AB223" s="220"/>
      <c r="AC223" s="220"/>
      <c r="AD223" s="220"/>
      <c r="AE223" s="220"/>
    </row>
    <row r="224" ht="13.5" customHeight="1" outlineLevel="1">
      <c r="A224" s="814">
        <f t="shared" si="42"/>
        <v>224</v>
      </c>
      <c r="B224" s="960" t="s">
        <v>771</v>
      </c>
      <c r="C224" s="896">
        <v>2025.0</v>
      </c>
      <c r="D224" s="944" t="s">
        <v>750</v>
      </c>
      <c r="E224" s="897">
        <v>60323.0</v>
      </c>
      <c r="F224" s="946" t="s">
        <v>751</v>
      </c>
      <c r="G224" s="947">
        <v>1.0</v>
      </c>
      <c r="H224" s="958">
        <v>1.0</v>
      </c>
      <c r="I224" s="958">
        <v>1.0</v>
      </c>
      <c r="J224" s="958">
        <v>1.0</v>
      </c>
      <c r="K224" s="958">
        <v>1.0</v>
      </c>
      <c r="L224" s="958">
        <v>1.0</v>
      </c>
      <c r="M224" s="958">
        <v>1.0</v>
      </c>
      <c r="N224" s="30"/>
      <c r="O224" s="119"/>
      <c r="P224" s="30"/>
      <c r="Q224" s="220"/>
      <c r="R224" s="220"/>
      <c r="S224" s="220"/>
      <c r="T224" s="220"/>
      <c r="U224" s="220"/>
      <c r="V224" s="220"/>
      <c r="W224" s="220"/>
      <c r="X224" s="220"/>
      <c r="Y224" s="220"/>
      <c r="Z224" s="220"/>
      <c r="AA224" s="220"/>
      <c r="AB224" s="220"/>
      <c r="AC224" s="220"/>
      <c r="AD224" s="220"/>
      <c r="AE224" s="220"/>
    </row>
    <row r="225" ht="13.5" customHeight="1" outlineLevel="1">
      <c r="A225" s="814">
        <f t="shared" si="42"/>
        <v>225</v>
      </c>
      <c r="B225" s="30"/>
      <c r="C225" s="942"/>
      <c r="D225" s="942"/>
      <c r="E225" s="948"/>
      <c r="F225" s="949"/>
      <c r="G225" s="131"/>
      <c r="H225" s="131"/>
      <c r="I225" s="131"/>
      <c r="J225" s="131"/>
      <c r="K225" s="131"/>
      <c r="L225" s="131"/>
      <c r="M225" s="131"/>
      <c r="N225" s="30"/>
      <c r="O225" s="119"/>
      <c r="P225" s="30"/>
      <c r="Q225" s="220"/>
      <c r="R225" s="220"/>
      <c r="S225" s="220"/>
      <c r="T225" s="220"/>
      <c r="U225" s="220"/>
      <c r="V225" s="220"/>
      <c r="W225" s="220"/>
      <c r="X225" s="220"/>
      <c r="Y225" s="220"/>
      <c r="Z225" s="220"/>
      <c r="AA225" s="220"/>
      <c r="AB225" s="220"/>
      <c r="AC225" s="220"/>
      <c r="AD225" s="220"/>
      <c r="AE225" s="220"/>
    </row>
    <row r="226" ht="13.5" customHeight="1" outlineLevel="1">
      <c r="A226" s="814">
        <f t="shared" si="42"/>
        <v>226</v>
      </c>
      <c r="B226" s="960" t="s">
        <v>764</v>
      </c>
      <c r="C226" s="896">
        <v>2025.0</v>
      </c>
      <c r="D226" s="944" t="s">
        <v>750</v>
      </c>
      <c r="E226" s="945">
        <v>59472.0</v>
      </c>
      <c r="F226" s="946" t="s">
        <v>751</v>
      </c>
      <c r="G226" s="947">
        <v>1.0</v>
      </c>
      <c r="H226" s="958">
        <v>1.0</v>
      </c>
      <c r="I226" s="958">
        <v>1.0</v>
      </c>
      <c r="J226" s="958">
        <v>1.0</v>
      </c>
      <c r="K226" s="958">
        <v>1.0</v>
      </c>
      <c r="L226" s="958">
        <v>1.0</v>
      </c>
      <c r="M226" s="958">
        <v>1.0</v>
      </c>
      <c r="N226" s="30"/>
      <c r="O226" s="119"/>
      <c r="P226" s="30"/>
      <c r="Q226" s="220"/>
      <c r="R226" s="220"/>
      <c r="S226" s="220"/>
      <c r="T226" s="220"/>
      <c r="U226" s="220"/>
      <c r="V226" s="220"/>
      <c r="W226" s="220"/>
      <c r="X226" s="220"/>
      <c r="Y226" s="220"/>
      <c r="Z226" s="220"/>
      <c r="AA226" s="220"/>
      <c r="AB226" s="220"/>
      <c r="AC226" s="220"/>
      <c r="AD226" s="220"/>
      <c r="AE226" s="220"/>
    </row>
    <row r="227" ht="13.5" customHeight="1" outlineLevel="1">
      <c r="A227" s="814">
        <f t="shared" si="42"/>
        <v>227</v>
      </c>
      <c r="B227" s="960" t="s">
        <v>771</v>
      </c>
      <c r="C227" s="896">
        <v>2025.0</v>
      </c>
      <c r="D227" s="944" t="s">
        <v>750</v>
      </c>
      <c r="E227" s="950">
        <v>68683.0</v>
      </c>
      <c r="F227" s="946" t="s">
        <v>751</v>
      </c>
      <c r="G227" s="947">
        <v>1.0</v>
      </c>
      <c r="H227" s="958">
        <v>1.0</v>
      </c>
      <c r="I227" s="958">
        <v>1.0</v>
      </c>
      <c r="J227" s="958">
        <v>1.0</v>
      </c>
      <c r="K227" s="958">
        <v>1.0</v>
      </c>
      <c r="L227" s="958">
        <v>1.0</v>
      </c>
      <c r="M227" s="958">
        <v>1.0</v>
      </c>
      <c r="N227" s="30"/>
      <c r="O227" s="119"/>
      <c r="P227" s="30"/>
      <c r="Q227" s="220"/>
      <c r="R227" s="220"/>
      <c r="S227" s="220"/>
      <c r="T227" s="220"/>
      <c r="U227" s="220"/>
      <c r="V227" s="220"/>
      <c r="W227" s="220"/>
      <c r="X227" s="220"/>
      <c r="Y227" s="220"/>
      <c r="Z227" s="220"/>
      <c r="AA227" s="220"/>
      <c r="AB227" s="220"/>
      <c r="AC227" s="220"/>
      <c r="AD227" s="220"/>
      <c r="AE227" s="220"/>
    </row>
    <row r="228" ht="13.5" customHeight="1" outlineLevel="1">
      <c r="A228" s="814">
        <f t="shared" si="42"/>
        <v>228</v>
      </c>
      <c r="B228" s="960" t="s">
        <v>771</v>
      </c>
      <c r="C228" s="896">
        <v>2025.0</v>
      </c>
      <c r="D228" s="944" t="s">
        <v>750</v>
      </c>
      <c r="E228" s="950">
        <v>81427.0</v>
      </c>
      <c r="F228" s="946" t="s">
        <v>751</v>
      </c>
      <c r="G228" s="947">
        <v>1.0</v>
      </c>
      <c r="H228" s="958">
        <v>1.0</v>
      </c>
      <c r="I228" s="958">
        <v>1.0</v>
      </c>
      <c r="J228" s="958">
        <v>1.0</v>
      </c>
      <c r="K228" s="958">
        <v>1.0</v>
      </c>
      <c r="L228" s="958">
        <v>1.0</v>
      </c>
      <c r="M228" s="958">
        <v>1.0</v>
      </c>
      <c r="N228" s="30"/>
      <c r="O228" s="119"/>
      <c r="P228" s="30"/>
      <c r="Q228" s="220"/>
      <c r="R228" s="220"/>
      <c r="S228" s="220"/>
      <c r="T228" s="220"/>
      <c r="U228" s="220"/>
      <c r="V228" s="220"/>
      <c r="W228" s="220"/>
      <c r="X228" s="220"/>
      <c r="Y228" s="220"/>
      <c r="Z228" s="220"/>
      <c r="AA228" s="220"/>
      <c r="AB228" s="220"/>
      <c r="AC228" s="220"/>
      <c r="AD228" s="220"/>
      <c r="AE228" s="220"/>
    </row>
    <row r="229" ht="13.5" customHeight="1" outlineLevel="1">
      <c r="A229" s="814">
        <f t="shared" si="42"/>
        <v>229</v>
      </c>
      <c r="B229" s="960" t="s">
        <v>764</v>
      </c>
      <c r="C229" s="896">
        <v>2025.0</v>
      </c>
      <c r="D229" s="944" t="s">
        <v>750</v>
      </c>
      <c r="E229" s="897">
        <v>63110.0</v>
      </c>
      <c r="F229" s="946" t="s">
        <v>751</v>
      </c>
      <c r="G229" s="947">
        <v>1.0</v>
      </c>
      <c r="H229" s="958">
        <v>1.0</v>
      </c>
      <c r="I229" s="958">
        <v>1.0</v>
      </c>
      <c r="J229" s="958">
        <v>1.0</v>
      </c>
      <c r="K229" s="958">
        <v>1.0</v>
      </c>
      <c r="L229" s="958">
        <v>1.0</v>
      </c>
      <c r="M229" s="958">
        <v>1.0</v>
      </c>
      <c r="N229" s="30"/>
      <c r="O229" s="119"/>
      <c r="P229" s="30"/>
      <c r="Q229" s="220"/>
      <c r="R229" s="220"/>
      <c r="S229" s="220"/>
      <c r="T229" s="220"/>
      <c r="U229" s="220"/>
      <c r="V229" s="220"/>
      <c r="W229" s="220"/>
      <c r="X229" s="220"/>
      <c r="Y229" s="220"/>
      <c r="Z229" s="220"/>
      <c r="AA229" s="220"/>
      <c r="AB229" s="220"/>
      <c r="AC229" s="220"/>
      <c r="AD229" s="220"/>
      <c r="AE229" s="220"/>
    </row>
    <row r="230" ht="13.5" customHeight="1" outlineLevel="1">
      <c r="A230" s="814">
        <f t="shared" si="42"/>
        <v>230</v>
      </c>
      <c r="B230" s="960" t="s">
        <v>765</v>
      </c>
      <c r="C230" s="896">
        <v>2025.0</v>
      </c>
      <c r="D230" s="944" t="s">
        <v>750</v>
      </c>
      <c r="E230" s="897">
        <v>58929.0</v>
      </c>
      <c r="F230" s="946" t="s">
        <v>751</v>
      </c>
      <c r="G230" s="947">
        <v>1.0</v>
      </c>
      <c r="H230" s="958">
        <v>1.0</v>
      </c>
      <c r="I230" s="958">
        <v>1.0</v>
      </c>
      <c r="J230" s="958">
        <v>1.0</v>
      </c>
      <c r="K230" s="958">
        <v>1.0</v>
      </c>
      <c r="L230" s="958">
        <v>1.0</v>
      </c>
      <c r="M230" s="958">
        <v>1.0</v>
      </c>
      <c r="N230" s="30"/>
      <c r="O230" s="119"/>
      <c r="P230" s="30"/>
      <c r="Q230" s="220"/>
      <c r="R230" s="220"/>
      <c r="S230" s="220"/>
      <c r="T230" s="220"/>
      <c r="U230" s="220"/>
      <c r="V230" s="220"/>
      <c r="W230" s="220"/>
      <c r="X230" s="220"/>
      <c r="Y230" s="220"/>
      <c r="Z230" s="220"/>
      <c r="AA230" s="220"/>
      <c r="AB230" s="220"/>
      <c r="AC230" s="220"/>
      <c r="AD230" s="220"/>
      <c r="AE230" s="220"/>
    </row>
    <row r="231" ht="13.5" customHeight="1" outlineLevel="1">
      <c r="A231" s="814">
        <f t="shared" si="42"/>
        <v>231</v>
      </c>
      <c r="B231" s="30"/>
      <c r="C231" s="942"/>
      <c r="D231" s="942"/>
      <c r="E231" s="948"/>
      <c r="F231" s="949"/>
      <c r="G231" s="131"/>
      <c r="H231" s="131"/>
      <c r="I231" s="131"/>
      <c r="J231" s="131"/>
      <c r="K231" s="131"/>
      <c r="L231" s="131"/>
      <c r="M231" s="131"/>
      <c r="N231" s="30"/>
      <c r="O231" s="119"/>
      <c r="P231" s="30"/>
      <c r="Q231" s="220"/>
      <c r="R231" s="220"/>
      <c r="S231" s="220"/>
      <c r="T231" s="220"/>
      <c r="U231" s="220"/>
      <c r="V231" s="220"/>
      <c r="W231" s="220"/>
      <c r="X231" s="220"/>
      <c r="Y231" s="220"/>
      <c r="Z231" s="220"/>
      <c r="AA231" s="220"/>
      <c r="AB231" s="220"/>
      <c r="AC231" s="220"/>
      <c r="AD231" s="220"/>
      <c r="AE231" s="220"/>
    </row>
    <row r="232" ht="13.5" customHeight="1" outlineLevel="1">
      <c r="A232" s="814">
        <f t="shared" si="42"/>
        <v>232</v>
      </c>
      <c r="B232" s="960" t="s">
        <v>772</v>
      </c>
      <c r="C232" s="896">
        <v>2025.0</v>
      </c>
      <c r="D232" s="944" t="s">
        <v>750</v>
      </c>
      <c r="E232" s="945">
        <v>41500.0</v>
      </c>
      <c r="F232" s="946" t="s">
        <v>751</v>
      </c>
      <c r="G232" s="947">
        <v>6.0</v>
      </c>
      <c r="H232" s="947">
        <v>6.0</v>
      </c>
      <c r="I232" s="947">
        <v>6.0</v>
      </c>
      <c r="J232" s="947">
        <v>6.0</v>
      </c>
      <c r="K232" s="947">
        <v>6.0</v>
      </c>
      <c r="L232" s="947">
        <v>6.0</v>
      </c>
      <c r="M232" s="947">
        <v>6.0</v>
      </c>
      <c r="N232" s="30"/>
      <c r="O232" s="119"/>
      <c r="P232" s="30"/>
      <c r="Q232" s="220"/>
      <c r="R232" s="220"/>
      <c r="S232" s="220"/>
      <c r="T232" s="220"/>
      <c r="U232" s="220"/>
      <c r="V232" s="220"/>
      <c r="W232" s="220"/>
      <c r="X232" s="220"/>
      <c r="Y232" s="220"/>
      <c r="Z232" s="220"/>
      <c r="AA232" s="220"/>
      <c r="AB232" s="220"/>
      <c r="AC232" s="220"/>
      <c r="AD232" s="220"/>
      <c r="AE232" s="220"/>
    </row>
    <row r="233" ht="13.5" customHeight="1" outlineLevel="1">
      <c r="A233" s="814">
        <f t="shared" si="42"/>
        <v>233</v>
      </c>
      <c r="B233" s="937" t="s">
        <v>749</v>
      </c>
      <c r="C233" s="901" t="s">
        <v>715</v>
      </c>
      <c r="D233" s="901" t="s">
        <v>750</v>
      </c>
      <c r="E233" s="756">
        <v>0.0</v>
      </c>
      <c r="F233" s="938" t="s">
        <v>751</v>
      </c>
      <c r="G233" s="898">
        <f t="shared" ref="G233:M233" si="116">IF($D233&lt;=G$10,1,0)</f>
        <v>0</v>
      </c>
      <c r="H233" s="898">
        <f t="shared" si="116"/>
        <v>0</v>
      </c>
      <c r="I233" s="898">
        <f t="shared" si="116"/>
        <v>0</v>
      </c>
      <c r="J233" s="898">
        <f t="shared" si="116"/>
        <v>0</v>
      </c>
      <c r="K233" s="898">
        <f t="shared" si="116"/>
        <v>0</v>
      </c>
      <c r="L233" s="898">
        <f t="shared" si="116"/>
        <v>0</v>
      </c>
      <c r="M233" s="898">
        <f t="shared" si="116"/>
        <v>0</v>
      </c>
      <c r="N233" s="30"/>
      <c r="O233" s="119"/>
      <c r="P233" s="30"/>
      <c r="Q233" s="220"/>
      <c r="R233" s="220"/>
      <c r="S233" s="220"/>
      <c r="T233" s="220"/>
      <c r="U233" s="220"/>
      <c r="V233" s="220"/>
      <c r="W233" s="220"/>
      <c r="X233" s="220"/>
      <c r="Y233" s="220"/>
      <c r="Z233" s="220"/>
      <c r="AA233" s="220"/>
      <c r="AB233" s="220"/>
      <c r="AC233" s="220"/>
      <c r="AD233" s="220"/>
      <c r="AE233" s="220"/>
    </row>
    <row r="234" ht="13.5" customHeight="1" outlineLevel="1">
      <c r="A234" s="814">
        <f t="shared" si="42"/>
        <v>234</v>
      </c>
      <c r="B234" s="937" t="s">
        <v>749</v>
      </c>
      <c r="C234" s="901" t="s">
        <v>715</v>
      </c>
      <c r="D234" s="901" t="s">
        <v>750</v>
      </c>
      <c r="E234" s="756">
        <v>0.0</v>
      </c>
      <c r="F234" s="938" t="s">
        <v>751</v>
      </c>
      <c r="G234" s="898">
        <f t="shared" ref="G234:M234" si="117">IF($D234&lt;=G$10,1,0)</f>
        <v>0</v>
      </c>
      <c r="H234" s="898">
        <f t="shared" si="117"/>
        <v>0</v>
      </c>
      <c r="I234" s="898">
        <f t="shared" si="117"/>
        <v>0</v>
      </c>
      <c r="J234" s="898">
        <f t="shared" si="117"/>
        <v>0</v>
      </c>
      <c r="K234" s="898">
        <f t="shared" si="117"/>
        <v>0</v>
      </c>
      <c r="L234" s="898">
        <f t="shared" si="117"/>
        <v>0</v>
      </c>
      <c r="M234" s="898">
        <f t="shared" si="117"/>
        <v>0</v>
      </c>
      <c r="N234" s="30"/>
      <c r="O234" s="119"/>
      <c r="P234" s="30"/>
      <c r="Q234" s="220"/>
      <c r="R234" s="220"/>
      <c r="S234" s="220"/>
      <c r="T234" s="220"/>
      <c r="U234" s="220"/>
      <c r="V234" s="220"/>
      <c r="W234" s="220"/>
      <c r="X234" s="220"/>
      <c r="Y234" s="220"/>
      <c r="Z234" s="220"/>
      <c r="AA234" s="220"/>
      <c r="AB234" s="220"/>
      <c r="AC234" s="220"/>
      <c r="AD234" s="220"/>
      <c r="AE234" s="220"/>
    </row>
    <row r="235" ht="13.5" customHeight="1" outlineLevel="1">
      <c r="A235" s="814">
        <f t="shared" si="42"/>
        <v>235</v>
      </c>
      <c r="B235" s="937" t="s">
        <v>749</v>
      </c>
      <c r="C235" s="901" t="s">
        <v>715</v>
      </c>
      <c r="D235" s="901" t="s">
        <v>750</v>
      </c>
      <c r="E235" s="756">
        <v>0.0</v>
      </c>
      <c r="F235" s="938" t="s">
        <v>751</v>
      </c>
      <c r="G235" s="898">
        <f t="shared" ref="G235:M235" si="118">IF($D235&lt;=G$10,1,0)</f>
        <v>0</v>
      </c>
      <c r="H235" s="898">
        <f t="shared" si="118"/>
        <v>0</v>
      </c>
      <c r="I235" s="898">
        <f t="shared" si="118"/>
        <v>0</v>
      </c>
      <c r="J235" s="898">
        <f t="shared" si="118"/>
        <v>0</v>
      </c>
      <c r="K235" s="898">
        <f t="shared" si="118"/>
        <v>0</v>
      </c>
      <c r="L235" s="898">
        <f t="shared" si="118"/>
        <v>0</v>
      </c>
      <c r="M235" s="898">
        <f t="shared" si="118"/>
        <v>0</v>
      </c>
      <c r="N235" s="30"/>
      <c r="O235" s="119"/>
      <c r="P235" s="30"/>
      <c r="Q235" s="220"/>
      <c r="R235" s="220"/>
      <c r="S235" s="220"/>
      <c r="T235" s="220"/>
      <c r="U235" s="220"/>
      <c r="V235" s="220"/>
      <c r="W235" s="220"/>
      <c r="X235" s="220"/>
      <c r="Y235" s="220"/>
      <c r="Z235" s="220"/>
      <c r="AA235" s="220"/>
      <c r="AB235" s="220"/>
      <c r="AC235" s="220"/>
      <c r="AD235" s="220"/>
      <c r="AE235" s="220"/>
    </row>
    <row r="236" ht="13.5" customHeight="1" outlineLevel="1">
      <c r="A236" s="814">
        <f t="shared" si="42"/>
        <v>236</v>
      </c>
      <c r="B236" s="937" t="s">
        <v>749</v>
      </c>
      <c r="C236" s="901" t="s">
        <v>715</v>
      </c>
      <c r="D236" s="901" t="s">
        <v>750</v>
      </c>
      <c r="E236" s="756">
        <v>0.0</v>
      </c>
      <c r="F236" s="938" t="s">
        <v>751</v>
      </c>
      <c r="G236" s="898">
        <f t="shared" ref="G236:M236" si="119">IF($D236&lt;=G$10,1,0)</f>
        <v>0</v>
      </c>
      <c r="H236" s="898">
        <f t="shared" si="119"/>
        <v>0</v>
      </c>
      <c r="I236" s="898">
        <f t="shared" si="119"/>
        <v>0</v>
      </c>
      <c r="J236" s="898">
        <f t="shared" si="119"/>
        <v>0</v>
      </c>
      <c r="K236" s="898">
        <f t="shared" si="119"/>
        <v>0</v>
      </c>
      <c r="L236" s="898">
        <f t="shared" si="119"/>
        <v>0</v>
      </c>
      <c r="M236" s="898">
        <f t="shared" si="119"/>
        <v>0</v>
      </c>
      <c r="N236" s="30"/>
      <c r="O236" s="119"/>
      <c r="P236" s="30"/>
      <c r="Q236" s="220"/>
      <c r="R236" s="220"/>
      <c r="S236" s="220"/>
      <c r="T236" s="220"/>
      <c r="U236" s="220"/>
      <c r="V236" s="220"/>
      <c r="W236" s="220"/>
      <c r="X236" s="220"/>
      <c r="Y236" s="220"/>
      <c r="Z236" s="220"/>
      <c r="AA236" s="220"/>
      <c r="AB236" s="220"/>
      <c r="AC236" s="220"/>
      <c r="AD236" s="220"/>
      <c r="AE236" s="220"/>
    </row>
    <row r="237" ht="13.5" customHeight="1">
      <c r="A237" s="814">
        <f t="shared" si="42"/>
        <v>237</v>
      </c>
      <c r="B237" s="30"/>
      <c r="C237" s="964"/>
      <c r="D237" s="964"/>
      <c r="E237" s="965"/>
      <c r="F237" s="965"/>
      <c r="G237" s="833"/>
      <c r="H237" s="833"/>
      <c r="I237" s="833"/>
      <c r="J237" s="833"/>
      <c r="K237" s="131"/>
      <c r="L237" s="131"/>
      <c r="M237" s="131"/>
      <c r="N237" s="30"/>
      <c r="O237" s="119"/>
      <c r="P237" s="30"/>
      <c r="Q237" s="220"/>
      <c r="R237" s="220"/>
      <c r="S237" s="220"/>
      <c r="T237" s="220"/>
      <c r="U237" s="220"/>
      <c r="V237" s="220"/>
      <c r="W237" s="220"/>
      <c r="X237" s="220"/>
      <c r="Y237" s="220"/>
      <c r="Z237" s="220"/>
      <c r="AA237" s="220"/>
      <c r="AB237" s="220"/>
      <c r="AC237" s="220"/>
      <c r="AD237" s="220"/>
      <c r="AE237" s="220"/>
    </row>
    <row r="238" ht="13.5" customHeight="1">
      <c r="A238" s="814">
        <f t="shared" si="42"/>
        <v>238</v>
      </c>
      <c r="B238" s="689" t="s">
        <v>773</v>
      </c>
      <c r="C238" s="966"/>
      <c r="D238" s="966"/>
      <c r="E238" s="689"/>
      <c r="F238" s="689"/>
      <c r="G238" s="230">
        <f t="shared" ref="G238:M238" si="120">SUM(G143:G236)</f>
        <v>30.5</v>
      </c>
      <c r="H238" s="932">
        <f t="shared" si="120"/>
        <v>31</v>
      </c>
      <c r="I238" s="932">
        <f t="shared" si="120"/>
        <v>31</v>
      </c>
      <c r="J238" s="932">
        <f t="shared" si="120"/>
        <v>30</v>
      </c>
      <c r="K238" s="932">
        <f t="shared" si="120"/>
        <v>30</v>
      </c>
      <c r="L238" s="932">
        <f t="shared" si="120"/>
        <v>30</v>
      </c>
      <c r="M238" s="932">
        <f t="shared" si="120"/>
        <v>30</v>
      </c>
      <c r="N238" s="63"/>
      <c r="O238" s="119"/>
      <c r="P238" s="30"/>
      <c r="Q238" s="220"/>
      <c r="R238" s="220"/>
      <c r="S238" s="220"/>
      <c r="T238" s="220"/>
      <c r="U238" s="220"/>
      <c r="V238" s="220"/>
      <c r="W238" s="220"/>
      <c r="X238" s="220"/>
      <c r="Y238" s="220"/>
      <c r="Z238" s="220"/>
      <c r="AA238" s="220"/>
      <c r="AB238" s="220"/>
      <c r="AC238" s="220"/>
      <c r="AD238" s="220"/>
      <c r="AE238" s="220"/>
    </row>
    <row r="239" ht="13.5" customHeight="1">
      <c r="A239" s="814">
        <f t="shared" si="42"/>
        <v>239</v>
      </c>
      <c r="B239" s="30" t="s">
        <v>774</v>
      </c>
      <c r="C239" s="30"/>
      <c r="D239" s="30"/>
      <c r="E239" s="30"/>
      <c r="F239" s="30"/>
      <c r="G239" s="383">
        <f t="shared" ref="G239:M239" si="121">+G238+G136</f>
        <v>42.5</v>
      </c>
      <c r="H239" s="383">
        <f t="shared" si="121"/>
        <v>43</v>
      </c>
      <c r="I239" s="383">
        <f t="shared" si="121"/>
        <v>43</v>
      </c>
      <c r="J239" s="383">
        <f t="shared" si="121"/>
        <v>42</v>
      </c>
      <c r="K239" s="383">
        <f t="shared" si="121"/>
        <v>42</v>
      </c>
      <c r="L239" s="383">
        <f t="shared" si="121"/>
        <v>42</v>
      </c>
      <c r="M239" s="383">
        <f t="shared" si="121"/>
        <v>42</v>
      </c>
      <c r="N239" s="30"/>
      <c r="O239" s="119"/>
      <c r="P239" s="30"/>
      <c r="Q239" s="220"/>
      <c r="R239" s="220"/>
      <c r="S239" s="220"/>
      <c r="T239" s="220"/>
      <c r="U239" s="220"/>
      <c r="V239" s="220"/>
      <c r="W239" s="220"/>
      <c r="X239" s="220"/>
      <c r="Y239" s="220"/>
      <c r="Z239" s="220"/>
      <c r="AA239" s="220"/>
      <c r="AB239" s="220"/>
      <c r="AC239" s="220"/>
      <c r="AD239" s="220"/>
      <c r="AE239" s="220"/>
    </row>
    <row r="240" ht="13.5" customHeight="1">
      <c r="A240" s="814">
        <f t="shared" si="42"/>
        <v>240</v>
      </c>
      <c r="B240" s="30"/>
      <c r="C240" s="30"/>
      <c r="D240" s="30"/>
      <c r="E240" s="30"/>
      <c r="F240" s="30"/>
      <c r="G240" s="833"/>
      <c r="H240" s="833"/>
      <c r="I240" s="833"/>
      <c r="J240" s="833"/>
      <c r="K240" s="833"/>
      <c r="L240" s="388"/>
      <c r="M240" s="388"/>
      <c r="N240" s="30"/>
      <c r="O240" s="119"/>
      <c r="P240" s="30"/>
      <c r="Q240" s="220"/>
      <c r="R240" s="220"/>
      <c r="S240" s="220"/>
      <c r="T240" s="220"/>
      <c r="U240" s="220"/>
      <c r="V240" s="220"/>
      <c r="W240" s="220"/>
      <c r="X240" s="220"/>
      <c r="Y240" s="220"/>
      <c r="Z240" s="220"/>
      <c r="AA240" s="220"/>
      <c r="AB240" s="220"/>
      <c r="AC240" s="220"/>
      <c r="AD240" s="220"/>
      <c r="AE240" s="220"/>
    </row>
    <row r="241" ht="13.5" customHeight="1">
      <c r="A241" s="814">
        <f t="shared" si="42"/>
        <v>241</v>
      </c>
      <c r="B241" s="967" t="s">
        <v>775</v>
      </c>
      <c r="C241" s="967"/>
      <c r="D241" s="967"/>
      <c r="E241" s="967"/>
      <c r="F241" s="967"/>
      <c r="G241" s="968"/>
      <c r="H241" s="968"/>
      <c r="I241" s="968"/>
      <c r="J241" s="968"/>
      <c r="K241" s="968"/>
      <c r="L241" s="969"/>
      <c r="M241" s="969"/>
      <c r="N241" s="30"/>
      <c r="O241" s="119"/>
      <c r="P241" s="30"/>
      <c r="Q241" s="220"/>
      <c r="R241" s="220"/>
      <c r="S241" s="220"/>
      <c r="T241" s="220"/>
      <c r="U241" s="220"/>
      <c r="V241" s="220"/>
      <c r="W241" s="220"/>
      <c r="X241" s="220"/>
      <c r="Y241" s="220"/>
      <c r="Z241" s="220"/>
      <c r="AA241" s="220"/>
      <c r="AB241" s="220"/>
      <c r="AC241" s="220"/>
      <c r="AD241" s="220"/>
      <c r="AE241" s="220"/>
    </row>
    <row r="242" ht="13.5" customHeight="1" outlineLevel="1">
      <c r="A242" s="814">
        <f t="shared" si="42"/>
        <v>242</v>
      </c>
      <c r="B242" s="385"/>
      <c r="C242" s="30"/>
      <c r="D242" s="30"/>
      <c r="E242" s="30"/>
      <c r="F242" s="30"/>
      <c r="G242" s="833"/>
      <c r="H242" s="833"/>
      <c r="I242" s="833"/>
      <c r="J242" s="833"/>
      <c r="K242" s="833"/>
      <c r="L242" s="388"/>
      <c r="M242" s="30"/>
      <c r="N242" s="388"/>
      <c r="O242" s="119"/>
      <c r="P242" s="30"/>
      <c r="Q242" s="220"/>
      <c r="R242" s="220"/>
      <c r="S242" s="220"/>
      <c r="T242" s="220"/>
      <c r="U242" s="220"/>
      <c r="V242" s="220"/>
      <c r="W242" s="220"/>
      <c r="X242" s="220"/>
      <c r="Y242" s="220"/>
      <c r="Z242" s="220"/>
      <c r="AA242" s="220"/>
      <c r="AB242" s="220"/>
      <c r="AC242" s="220"/>
      <c r="AD242" s="220"/>
      <c r="AE242" s="220"/>
    </row>
    <row r="243" ht="13.5" customHeight="1" outlineLevel="1">
      <c r="A243" s="814">
        <f t="shared" si="42"/>
        <v>243</v>
      </c>
      <c r="B243" s="36" t="str">
        <f>$B$79</f>
        <v>Administrators (Full-time &amp; Part-Time w/benefits)</v>
      </c>
      <c r="C243" s="34"/>
      <c r="D243" s="34"/>
      <c r="E243" s="34"/>
      <c r="F243" s="34"/>
      <c r="G243" s="833"/>
      <c r="H243" s="833"/>
      <c r="I243" s="833"/>
      <c r="J243" s="833"/>
      <c r="K243" s="833"/>
      <c r="L243" s="388"/>
      <c r="M243" s="30"/>
      <c r="N243" s="388"/>
      <c r="O243" s="119"/>
      <c r="P243" s="30"/>
      <c r="Q243" s="220"/>
      <c r="R243" s="220"/>
      <c r="S243" s="220"/>
      <c r="T243" s="220"/>
      <c r="U243" s="220"/>
      <c r="V243" s="220"/>
      <c r="W243" s="220"/>
      <c r="X243" s="220"/>
      <c r="Y243" s="220"/>
      <c r="Z243" s="220"/>
      <c r="AA243" s="220"/>
      <c r="AB243" s="220"/>
      <c r="AC243" s="220"/>
      <c r="AD243" s="220"/>
      <c r="AE243" s="220"/>
    </row>
    <row r="244" ht="13.5" customHeight="1" outlineLevel="1">
      <c r="A244" s="814">
        <f t="shared" si="42"/>
        <v>244</v>
      </c>
      <c r="B244" s="30" t="str">
        <f t="shared" ref="B244:B248" si="123">$B80</f>
        <v>Principal</v>
      </c>
      <c r="C244" s="142">
        <f t="shared" ref="C244:C249" si="124">SUM(G244:M244)</f>
        <v>798819</v>
      </c>
      <c r="D244" s="174"/>
      <c r="E244" s="174"/>
      <c r="F244" s="174"/>
      <c r="G244" s="970">
        <f t="shared" ref="G244:G248" si="125">G80*$D80</f>
        <v>114117</v>
      </c>
      <c r="H244" s="970">
        <f t="shared" ref="H244:M244" si="122">(H80*$D80)</f>
        <v>114117</v>
      </c>
      <c r="I244" s="970">
        <f t="shared" si="122"/>
        <v>114117</v>
      </c>
      <c r="J244" s="970">
        <f t="shared" si="122"/>
        <v>114117</v>
      </c>
      <c r="K244" s="970">
        <f t="shared" si="122"/>
        <v>114117</v>
      </c>
      <c r="L244" s="970">
        <f t="shared" si="122"/>
        <v>114117</v>
      </c>
      <c r="M244" s="970">
        <f t="shared" si="122"/>
        <v>114117</v>
      </c>
      <c r="N244" s="30"/>
      <c r="O244" s="119"/>
      <c r="P244" s="30"/>
      <c r="Q244" s="220"/>
      <c r="R244" s="220"/>
      <c r="S244" s="220"/>
      <c r="T244" s="220"/>
      <c r="U244" s="220"/>
      <c r="V244" s="220"/>
      <c r="W244" s="220"/>
      <c r="X244" s="220"/>
      <c r="Y244" s="220"/>
      <c r="Z244" s="220"/>
      <c r="AA244" s="220"/>
      <c r="AB244" s="220"/>
      <c r="AC244" s="220"/>
      <c r="AD244" s="220"/>
      <c r="AE244" s="220"/>
    </row>
    <row r="245" ht="13.5" customHeight="1" outlineLevel="1">
      <c r="A245" s="814">
        <f t="shared" si="42"/>
        <v>245</v>
      </c>
      <c r="B245" s="30" t="str">
        <f t="shared" si="123"/>
        <v>Vice Principal</v>
      </c>
      <c r="C245" s="115">
        <f t="shared" si="124"/>
        <v>664552</v>
      </c>
      <c r="D245" s="388"/>
      <c r="E245" s="388"/>
      <c r="F245" s="174"/>
      <c r="G245" s="756">
        <f t="shared" si="125"/>
        <v>94936</v>
      </c>
      <c r="H245" s="756">
        <f t="shared" ref="H245:M245" si="126">(H81*$D81)</f>
        <v>94936</v>
      </c>
      <c r="I245" s="756">
        <f t="shared" si="126"/>
        <v>94936</v>
      </c>
      <c r="J245" s="756">
        <f t="shared" si="126"/>
        <v>94936</v>
      </c>
      <c r="K245" s="756">
        <f t="shared" si="126"/>
        <v>94936</v>
      </c>
      <c r="L245" s="756">
        <f t="shared" si="126"/>
        <v>94936</v>
      </c>
      <c r="M245" s="756">
        <f t="shared" si="126"/>
        <v>94936</v>
      </c>
      <c r="N245" s="30"/>
      <c r="O245" s="119"/>
      <c r="P245" s="30"/>
      <c r="Q245" s="220"/>
      <c r="R245" s="220"/>
      <c r="S245" s="220"/>
      <c r="T245" s="220"/>
      <c r="U245" s="220"/>
      <c r="V245" s="220"/>
      <c r="W245" s="220"/>
      <c r="X245" s="220"/>
      <c r="Y245" s="220"/>
      <c r="Z245" s="220"/>
      <c r="AA245" s="220"/>
      <c r="AB245" s="220"/>
      <c r="AC245" s="220"/>
      <c r="AD245" s="220"/>
      <c r="AE245" s="220"/>
    </row>
    <row r="246" ht="13.5" customHeight="1" outlineLevel="1">
      <c r="A246" s="814">
        <f t="shared" si="42"/>
        <v>246</v>
      </c>
      <c r="B246" s="30" t="str">
        <f t="shared" si="123"/>
        <v>Superintendent</v>
      </c>
      <c r="C246" s="115">
        <f t="shared" si="124"/>
        <v>1228682</v>
      </c>
      <c r="D246" s="388"/>
      <c r="E246" s="388"/>
      <c r="F246" s="174"/>
      <c r="G246" s="756">
        <f t="shared" si="125"/>
        <v>175526</v>
      </c>
      <c r="H246" s="756">
        <f t="shared" ref="H246:M246" si="127">(H82*$D82)</f>
        <v>175526</v>
      </c>
      <c r="I246" s="756">
        <f t="shared" si="127"/>
        <v>175526</v>
      </c>
      <c r="J246" s="756">
        <f t="shared" si="127"/>
        <v>175526</v>
      </c>
      <c r="K246" s="756">
        <f t="shared" si="127"/>
        <v>175526</v>
      </c>
      <c r="L246" s="756">
        <f t="shared" si="127"/>
        <v>175526</v>
      </c>
      <c r="M246" s="756">
        <f t="shared" si="127"/>
        <v>175526</v>
      </c>
      <c r="N246" s="30"/>
      <c r="O246" s="119"/>
      <c r="P246" s="30"/>
      <c r="Q246" s="220"/>
      <c r="R246" s="220"/>
      <c r="S246" s="220"/>
      <c r="T246" s="220"/>
      <c r="U246" s="220"/>
      <c r="V246" s="220"/>
      <c r="W246" s="220"/>
      <c r="X246" s="220"/>
      <c r="Y246" s="220"/>
      <c r="Z246" s="220"/>
      <c r="AA246" s="220"/>
      <c r="AB246" s="220"/>
      <c r="AC246" s="220"/>
      <c r="AD246" s="220"/>
      <c r="AE246" s="220"/>
    </row>
    <row r="247" ht="13.5" customHeight="1" outlineLevel="1">
      <c r="A247" s="814">
        <f t="shared" si="42"/>
        <v>247</v>
      </c>
      <c r="B247" s="30" t="str">
        <f t="shared" si="123"/>
        <v/>
      </c>
      <c r="C247" s="115">
        <f t="shared" si="124"/>
        <v>0</v>
      </c>
      <c r="D247" s="388"/>
      <c r="E247" s="388"/>
      <c r="F247" s="174"/>
      <c r="G247" s="756">
        <f t="shared" si="125"/>
        <v>0</v>
      </c>
      <c r="H247" s="756">
        <f t="shared" ref="H247:M247" si="128">(H83*$D83)</f>
        <v>0</v>
      </c>
      <c r="I247" s="756">
        <f t="shared" si="128"/>
        <v>0</v>
      </c>
      <c r="J247" s="756">
        <f t="shared" si="128"/>
        <v>0</v>
      </c>
      <c r="K247" s="756">
        <f t="shared" si="128"/>
        <v>0</v>
      </c>
      <c r="L247" s="756">
        <f t="shared" si="128"/>
        <v>0</v>
      </c>
      <c r="M247" s="756">
        <f t="shared" si="128"/>
        <v>0</v>
      </c>
      <c r="N247" s="30"/>
      <c r="O247" s="119"/>
      <c r="P247" s="30"/>
      <c r="Q247" s="220"/>
      <c r="R247" s="220"/>
      <c r="S247" s="220"/>
      <c r="T247" s="220"/>
      <c r="U247" s="220"/>
      <c r="V247" s="220"/>
      <c r="W247" s="220"/>
      <c r="X247" s="220"/>
      <c r="Y247" s="220"/>
      <c r="Z247" s="220"/>
      <c r="AA247" s="220"/>
      <c r="AB247" s="220"/>
      <c r="AC247" s="220"/>
      <c r="AD247" s="220"/>
      <c r="AE247" s="220"/>
    </row>
    <row r="248" ht="13.5" customHeight="1" outlineLevel="1">
      <c r="A248" s="814">
        <f t="shared" si="42"/>
        <v>248</v>
      </c>
      <c r="B248" s="34" t="str">
        <f t="shared" si="123"/>
        <v/>
      </c>
      <c r="C248" s="971">
        <f t="shared" si="124"/>
        <v>0</v>
      </c>
      <c r="D248" s="972"/>
      <c r="E248" s="972"/>
      <c r="F248" s="972"/>
      <c r="G248" s="760">
        <f t="shared" si="125"/>
        <v>0</v>
      </c>
      <c r="H248" s="760">
        <f t="shared" ref="H248:M248" si="129">(H84*$D84)</f>
        <v>0</v>
      </c>
      <c r="I248" s="760">
        <f t="shared" si="129"/>
        <v>0</v>
      </c>
      <c r="J248" s="760">
        <f t="shared" si="129"/>
        <v>0</v>
      </c>
      <c r="K248" s="760">
        <f t="shared" si="129"/>
        <v>0</v>
      </c>
      <c r="L248" s="760">
        <f t="shared" si="129"/>
        <v>0</v>
      </c>
      <c r="M248" s="760">
        <f t="shared" si="129"/>
        <v>0</v>
      </c>
      <c r="N248" s="30"/>
      <c r="O248" s="119"/>
      <c r="P248" s="30"/>
      <c r="Q248" s="220"/>
      <c r="R248" s="220"/>
      <c r="S248" s="220"/>
      <c r="T248" s="220"/>
      <c r="U248" s="220"/>
      <c r="V248" s="220"/>
      <c r="W248" s="220"/>
      <c r="X248" s="220"/>
      <c r="Y248" s="220"/>
      <c r="Z248" s="220"/>
      <c r="AA248" s="220"/>
      <c r="AB248" s="220"/>
      <c r="AC248" s="220"/>
      <c r="AD248" s="220"/>
      <c r="AE248" s="220"/>
    </row>
    <row r="249" ht="13.5" customHeight="1" outlineLevel="1">
      <c r="A249" s="814">
        <f t="shared" si="42"/>
        <v>249</v>
      </c>
      <c r="B249" s="63" t="s">
        <v>776</v>
      </c>
      <c r="C249" s="115">
        <f t="shared" si="124"/>
        <v>2692053</v>
      </c>
      <c r="D249" s="388"/>
      <c r="E249" s="388"/>
      <c r="F249" s="388"/>
      <c r="G249" s="973">
        <f t="shared" ref="G249:M249" si="130">SUM(G244:G248)</f>
        <v>384579</v>
      </c>
      <c r="H249" s="384">
        <f t="shared" si="130"/>
        <v>384579</v>
      </c>
      <c r="I249" s="384">
        <f t="shared" si="130"/>
        <v>384579</v>
      </c>
      <c r="J249" s="384">
        <f t="shared" si="130"/>
        <v>384579</v>
      </c>
      <c r="K249" s="384">
        <f t="shared" si="130"/>
        <v>384579</v>
      </c>
      <c r="L249" s="384">
        <f t="shared" si="130"/>
        <v>384579</v>
      </c>
      <c r="M249" s="384">
        <f t="shared" si="130"/>
        <v>384579</v>
      </c>
      <c r="N249" s="30"/>
      <c r="O249" s="119"/>
      <c r="P249" s="30"/>
      <c r="Q249" s="220"/>
      <c r="R249" s="220"/>
      <c r="S249" s="220"/>
      <c r="T249" s="220"/>
      <c r="U249" s="220"/>
      <c r="V249" s="220"/>
      <c r="W249" s="220"/>
      <c r="X249" s="220"/>
      <c r="Y249" s="220"/>
      <c r="Z249" s="220"/>
      <c r="AA249" s="220"/>
      <c r="AB249" s="220"/>
      <c r="AC249" s="220"/>
      <c r="AD249" s="220"/>
      <c r="AE249" s="220"/>
    </row>
    <row r="250" ht="13.5" customHeight="1" outlineLevel="1">
      <c r="A250" s="814">
        <f t="shared" si="42"/>
        <v>250</v>
      </c>
      <c r="B250" s="63"/>
      <c r="C250" s="115"/>
      <c r="D250" s="388"/>
      <c r="E250" s="388"/>
      <c r="F250" s="388"/>
      <c r="G250" s="115"/>
      <c r="H250" s="115"/>
      <c r="I250" s="115"/>
      <c r="J250" s="115"/>
      <c r="K250" s="115"/>
      <c r="L250" s="115"/>
      <c r="M250" s="115"/>
      <c r="N250" s="30"/>
      <c r="O250" s="119"/>
      <c r="P250" s="30"/>
      <c r="Q250" s="220"/>
      <c r="R250" s="220"/>
      <c r="S250" s="220"/>
      <c r="T250" s="220"/>
      <c r="U250" s="220"/>
      <c r="V250" s="220"/>
      <c r="W250" s="220"/>
      <c r="X250" s="220"/>
      <c r="Y250" s="220"/>
      <c r="Z250" s="220"/>
      <c r="AA250" s="220"/>
      <c r="AB250" s="220"/>
      <c r="AC250" s="220"/>
      <c r="AD250" s="220"/>
      <c r="AE250" s="220"/>
    </row>
    <row r="251" ht="13.5" customHeight="1" outlineLevel="1">
      <c r="A251" s="814">
        <f t="shared" si="42"/>
        <v>251</v>
      </c>
      <c r="B251" s="36" t="str">
        <f>$B$88</f>
        <v>Office Staff (Full-time &amp; Part-Time w/benefits)</v>
      </c>
      <c r="C251" s="971"/>
      <c r="D251" s="972"/>
      <c r="E251" s="972"/>
      <c r="F251" s="972"/>
      <c r="G251" s="971"/>
      <c r="H251" s="971"/>
      <c r="I251" s="971"/>
      <c r="J251" s="971"/>
      <c r="K251" s="971"/>
      <c r="L251" s="971"/>
      <c r="M251" s="971"/>
      <c r="N251" s="30"/>
      <c r="O251" s="119"/>
      <c r="P251" s="30"/>
      <c r="Q251" s="220"/>
      <c r="R251" s="220"/>
      <c r="S251" s="220"/>
      <c r="T251" s="220"/>
      <c r="U251" s="220"/>
      <c r="V251" s="220"/>
      <c r="W251" s="220"/>
      <c r="X251" s="220"/>
      <c r="Y251" s="220"/>
      <c r="Z251" s="220"/>
      <c r="AA251" s="220"/>
      <c r="AB251" s="220"/>
      <c r="AC251" s="220"/>
      <c r="AD251" s="220"/>
      <c r="AE251" s="220"/>
    </row>
    <row r="252" ht="13.5" customHeight="1" outlineLevel="1">
      <c r="A252" s="814">
        <f t="shared" si="42"/>
        <v>252</v>
      </c>
      <c r="B252" s="30" t="str">
        <f t="shared" ref="B252:B255" si="132">$B89</f>
        <v>Finance Manager</v>
      </c>
      <c r="C252" s="115">
        <f t="shared" ref="C252:C256" si="133">SUM(G252:M252)</f>
        <v>479808</v>
      </c>
      <c r="D252" s="388"/>
      <c r="E252" s="388"/>
      <c r="F252" s="388"/>
      <c r="G252" s="756">
        <f t="shared" ref="G252:G255" si="134">G89*$D89</f>
        <v>68544</v>
      </c>
      <c r="H252" s="756">
        <f t="shared" ref="H252:M252" si="131">(H89*$D89)</f>
        <v>68544</v>
      </c>
      <c r="I252" s="756">
        <f t="shared" si="131"/>
        <v>68544</v>
      </c>
      <c r="J252" s="756">
        <f t="shared" si="131"/>
        <v>68544</v>
      </c>
      <c r="K252" s="756">
        <f t="shared" si="131"/>
        <v>68544</v>
      </c>
      <c r="L252" s="756">
        <f t="shared" si="131"/>
        <v>68544</v>
      </c>
      <c r="M252" s="756">
        <f t="shared" si="131"/>
        <v>68544</v>
      </c>
      <c r="N252" s="30"/>
      <c r="O252" s="119"/>
      <c r="P252" s="30"/>
      <c r="Q252" s="220"/>
      <c r="R252" s="220"/>
      <c r="S252" s="220"/>
      <c r="T252" s="220"/>
      <c r="U252" s="220"/>
      <c r="V252" s="220"/>
      <c r="W252" s="220"/>
      <c r="X252" s="220"/>
      <c r="Y252" s="220"/>
      <c r="Z252" s="220"/>
      <c r="AA252" s="220"/>
      <c r="AB252" s="220"/>
      <c r="AC252" s="220"/>
      <c r="AD252" s="220"/>
      <c r="AE252" s="220"/>
    </row>
    <row r="253" ht="13.5" customHeight="1" outlineLevel="1">
      <c r="A253" s="814">
        <f t="shared" si="42"/>
        <v>253</v>
      </c>
      <c r="B253" s="30" t="str">
        <f t="shared" si="132"/>
        <v>HR/Payroll</v>
      </c>
      <c r="C253" s="115">
        <f t="shared" si="133"/>
        <v>589664.04</v>
      </c>
      <c r="D253" s="388"/>
      <c r="E253" s="388"/>
      <c r="F253" s="388"/>
      <c r="G253" s="756">
        <f t="shared" si="134"/>
        <v>84237.72</v>
      </c>
      <c r="H253" s="756">
        <f t="shared" ref="H253:M253" si="135">(H90*$D90)</f>
        <v>84237.72</v>
      </c>
      <c r="I253" s="756">
        <f t="shared" si="135"/>
        <v>84237.72</v>
      </c>
      <c r="J253" s="756">
        <f t="shared" si="135"/>
        <v>84237.72</v>
      </c>
      <c r="K253" s="756">
        <f t="shared" si="135"/>
        <v>84237.72</v>
      </c>
      <c r="L253" s="756">
        <f t="shared" si="135"/>
        <v>84237.72</v>
      </c>
      <c r="M253" s="756">
        <f t="shared" si="135"/>
        <v>84237.72</v>
      </c>
      <c r="N253" s="30"/>
      <c r="O253" s="119"/>
      <c r="P253" s="30"/>
      <c r="Q253" s="220"/>
      <c r="R253" s="220"/>
      <c r="S253" s="220"/>
      <c r="T253" s="220"/>
      <c r="U253" s="220"/>
      <c r="V253" s="220"/>
      <c r="W253" s="220"/>
      <c r="X253" s="220"/>
      <c r="Y253" s="220"/>
      <c r="Z253" s="220"/>
      <c r="AA253" s="220"/>
      <c r="AB253" s="220"/>
      <c r="AC253" s="220"/>
      <c r="AD253" s="220"/>
      <c r="AE253" s="220"/>
    </row>
    <row r="254" ht="13.5" customHeight="1" outlineLevel="1">
      <c r="A254" s="814"/>
      <c r="B254" s="30" t="str">
        <f t="shared" si="132"/>
        <v>Office Specialist</v>
      </c>
      <c r="C254" s="115">
        <f t="shared" si="133"/>
        <v>261072</v>
      </c>
      <c r="D254" s="388"/>
      <c r="E254" s="388"/>
      <c r="F254" s="388"/>
      <c r="G254" s="756">
        <f t="shared" si="134"/>
        <v>37296</v>
      </c>
      <c r="H254" s="756">
        <f t="shared" ref="H254:M254" si="136">(H91*$D91)</f>
        <v>37296</v>
      </c>
      <c r="I254" s="756">
        <f t="shared" si="136"/>
        <v>37296</v>
      </c>
      <c r="J254" s="756">
        <f t="shared" si="136"/>
        <v>37296</v>
      </c>
      <c r="K254" s="756">
        <f t="shared" si="136"/>
        <v>37296</v>
      </c>
      <c r="L254" s="756">
        <f t="shared" si="136"/>
        <v>37296</v>
      </c>
      <c r="M254" s="756">
        <f t="shared" si="136"/>
        <v>37296</v>
      </c>
      <c r="N254" s="30"/>
      <c r="O254" s="119"/>
      <c r="P254" s="30"/>
      <c r="Q254" s="220"/>
      <c r="R254" s="220"/>
      <c r="S254" s="220"/>
      <c r="T254" s="220"/>
      <c r="U254" s="220"/>
      <c r="V254" s="220"/>
      <c r="W254" s="220"/>
      <c r="X254" s="220"/>
      <c r="Y254" s="220"/>
      <c r="Z254" s="220"/>
      <c r="AA254" s="220"/>
      <c r="AB254" s="220"/>
      <c r="AC254" s="220"/>
      <c r="AD254" s="220"/>
      <c r="AE254" s="220"/>
    </row>
    <row r="255" ht="13.5" customHeight="1" outlineLevel="1">
      <c r="A255" s="814">
        <f t="shared" ref="A255:A452" si="138">ROW()</f>
        <v>255</v>
      </c>
      <c r="B255" s="34" t="str">
        <f t="shared" si="132"/>
        <v>Office Specialist</v>
      </c>
      <c r="C255" s="971">
        <f t="shared" si="133"/>
        <v>261072</v>
      </c>
      <c r="D255" s="972"/>
      <c r="E255" s="972"/>
      <c r="F255" s="972"/>
      <c r="G255" s="756">
        <f t="shared" si="134"/>
        <v>37296</v>
      </c>
      <c r="H255" s="756">
        <f t="shared" ref="H255:M255" si="137">(H92*$D92)</f>
        <v>37296</v>
      </c>
      <c r="I255" s="756">
        <f t="shared" si="137"/>
        <v>37296</v>
      </c>
      <c r="J255" s="756">
        <f t="shared" si="137"/>
        <v>37296</v>
      </c>
      <c r="K255" s="756">
        <f t="shared" si="137"/>
        <v>37296</v>
      </c>
      <c r="L255" s="756">
        <f t="shared" si="137"/>
        <v>37296</v>
      </c>
      <c r="M255" s="756">
        <f t="shared" si="137"/>
        <v>37296</v>
      </c>
      <c r="N255" s="30"/>
      <c r="O255" s="119"/>
      <c r="P255" s="30"/>
      <c r="Q255" s="220"/>
      <c r="R255" s="220"/>
      <c r="S255" s="220"/>
      <c r="T255" s="220"/>
      <c r="U255" s="220"/>
      <c r="V255" s="220"/>
      <c r="W255" s="220"/>
      <c r="X255" s="220"/>
      <c r="Y255" s="220"/>
      <c r="Z255" s="220"/>
      <c r="AA255" s="220"/>
      <c r="AB255" s="220"/>
      <c r="AC255" s="220"/>
      <c r="AD255" s="220"/>
      <c r="AE255" s="220"/>
    </row>
    <row r="256" ht="13.5" customHeight="1" outlineLevel="1">
      <c r="A256" s="814">
        <f t="shared" si="138"/>
        <v>256</v>
      </c>
      <c r="B256" s="63" t="s">
        <v>777</v>
      </c>
      <c r="C256" s="115">
        <f t="shared" si="133"/>
        <v>1591616.04</v>
      </c>
      <c r="D256" s="388"/>
      <c r="E256" s="388"/>
      <c r="F256" s="388"/>
      <c r="G256" s="973">
        <f t="shared" ref="G256:M256" si="139">SUM(G252:G255)</f>
        <v>227373.72</v>
      </c>
      <c r="H256" s="384">
        <f t="shared" si="139"/>
        <v>227373.72</v>
      </c>
      <c r="I256" s="384">
        <f t="shared" si="139"/>
        <v>227373.72</v>
      </c>
      <c r="J256" s="384">
        <f t="shared" si="139"/>
        <v>227373.72</v>
      </c>
      <c r="K256" s="384">
        <f t="shared" si="139"/>
        <v>227373.72</v>
      </c>
      <c r="L256" s="384">
        <f t="shared" si="139"/>
        <v>227373.72</v>
      </c>
      <c r="M256" s="384">
        <f t="shared" si="139"/>
        <v>227373.72</v>
      </c>
      <c r="N256" s="30"/>
      <c r="O256" s="119"/>
      <c r="P256" s="30"/>
      <c r="Q256" s="220"/>
      <c r="R256" s="220"/>
      <c r="S256" s="220"/>
      <c r="T256" s="220"/>
      <c r="U256" s="220"/>
      <c r="V256" s="220"/>
      <c r="W256" s="220"/>
      <c r="X256" s="220"/>
      <c r="Y256" s="220"/>
      <c r="Z256" s="220"/>
      <c r="AA256" s="220"/>
      <c r="AB256" s="220"/>
      <c r="AC256" s="220"/>
      <c r="AD256" s="220"/>
      <c r="AE256" s="220"/>
    </row>
    <row r="257" ht="13.5" customHeight="1" outlineLevel="1">
      <c r="A257" s="814">
        <f t="shared" si="138"/>
        <v>257</v>
      </c>
      <c r="B257" s="30"/>
      <c r="C257" s="115"/>
      <c r="D257" s="388"/>
      <c r="E257" s="388"/>
      <c r="F257" s="388"/>
      <c r="G257" s="115"/>
      <c r="H257" s="115"/>
      <c r="I257" s="115"/>
      <c r="J257" s="115"/>
      <c r="K257" s="115"/>
      <c r="L257" s="115"/>
      <c r="M257" s="115"/>
      <c r="N257" s="30"/>
      <c r="O257" s="119"/>
      <c r="P257" s="30"/>
      <c r="Q257" s="220"/>
      <c r="R257" s="220"/>
      <c r="S257" s="220"/>
      <c r="T257" s="220"/>
      <c r="U257" s="220"/>
      <c r="V257" s="220"/>
      <c r="W257" s="220"/>
      <c r="X257" s="220"/>
      <c r="Y257" s="220"/>
      <c r="Z257" s="220"/>
      <c r="AA257" s="220"/>
      <c r="AB257" s="220"/>
      <c r="AC257" s="220"/>
      <c r="AD257" s="220"/>
      <c r="AE257" s="220"/>
    </row>
    <row r="258" ht="13.5" customHeight="1" outlineLevel="1">
      <c r="A258" s="814">
        <f t="shared" si="138"/>
        <v>258</v>
      </c>
      <c r="B258" s="974" t="str">
        <f>$B$94</f>
        <v>Total Administrators and Office Staff</v>
      </c>
      <c r="C258" s="975">
        <f>SUM(G258:M258)</f>
        <v>4283669.04</v>
      </c>
      <c r="D258" s="976"/>
      <c r="E258" s="976"/>
      <c r="F258" s="976"/>
      <c r="G258" s="977">
        <f t="shared" ref="G258:M258" si="140">+G249+G256</f>
        <v>611952.72</v>
      </c>
      <c r="H258" s="977">
        <f t="shared" si="140"/>
        <v>611952.72</v>
      </c>
      <c r="I258" s="977">
        <f t="shared" si="140"/>
        <v>611952.72</v>
      </c>
      <c r="J258" s="977">
        <f t="shared" si="140"/>
        <v>611952.72</v>
      </c>
      <c r="K258" s="977">
        <f t="shared" si="140"/>
        <v>611952.72</v>
      </c>
      <c r="L258" s="977">
        <f t="shared" si="140"/>
        <v>611952.72</v>
      </c>
      <c r="M258" s="977">
        <f t="shared" si="140"/>
        <v>611952.72</v>
      </c>
      <c r="N258" s="30"/>
      <c r="O258" s="119"/>
      <c r="P258" s="30"/>
      <c r="Q258" s="220"/>
      <c r="R258" s="220"/>
      <c r="S258" s="220"/>
      <c r="T258" s="220"/>
      <c r="U258" s="220"/>
      <c r="V258" s="220"/>
      <c r="W258" s="220"/>
      <c r="X258" s="220"/>
      <c r="Y258" s="220"/>
      <c r="Z258" s="220"/>
      <c r="AA258" s="220"/>
      <c r="AB258" s="220"/>
      <c r="AC258" s="220"/>
      <c r="AD258" s="220"/>
      <c r="AE258" s="220"/>
    </row>
    <row r="259" ht="13.5" customHeight="1" outlineLevel="1">
      <c r="A259" s="814">
        <f t="shared" si="138"/>
        <v>259</v>
      </c>
      <c r="B259" s="30"/>
      <c r="C259" s="30"/>
      <c r="D259" s="30"/>
      <c r="E259" s="30"/>
      <c r="F259" s="30"/>
      <c r="G259" s="211"/>
      <c r="H259" s="211"/>
      <c r="I259" s="211"/>
      <c r="J259" s="211"/>
      <c r="K259" s="211"/>
      <c r="L259" s="211"/>
      <c r="M259" s="211"/>
      <c r="N259" s="30"/>
      <c r="O259" s="119"/>
      <c r="P259" s="30"/>
      <c r="Q259" s="220"/>
      <c r="R259" s="220"/>
      <c r="S259" s="220"/>
      <c r="T259" s="220"/>
      <c r="U259" s="220"/>
      <c r="V259" s="220"/>
      <c r="W259" s="220"/>
      <c r="X259" s="220"/>
      <c r="Y259" s="220"/>
      <c r="Z259" s="220"/>
      <c r="AA259" s="220"/>
      <c r="AB259" s="220"/>
      <c r="AC259" s="220"/>
      <c r="AD259" s="220"/>
      <c r="AE259" s="220"/>
    </row>
    <row r="260" ht="13.5" customHeight="1" outlineLevel="1">
      <c r="A260" s="814">
        <f t="shared" si="138"/>
        <v>260</v>
      </c>
      <c r="B260" s="63"/>
      <c r="C260" s="115"/>
      <c r="D260" s="388"/>
      <c r="E260" s="388"/>
      <c r="F260" s="388"/>
      <c r="G260" s="115"/>
      <c r="H260" s="115"/>
      <c r="I260" s="115"/>
      <c r="J260" s="115"/>
      <c r="K260" s="115"/>
      <c r="L260" s="115"/>
      <c r="M260" s="115"/>
      <c r="N260" s="30"/>
      <c r="O260" s="119"/>
      <c r="P260" s="30"/>
      <c r="Q260" s="220"/>
      <c r="R260" s="220"/>
      <c r="S260" s="220"/>
      <c r="T260" s="220"/>
      <c r="U260" s="220"/>
      <c r="V260" s="220"/>
      <c r="W260" s="220"/>
      <c r="X260" s="220"/>
      <c r="Y260" s="220"/>
      <c r="Z260" s="220"/>
      <c r="AA260" s="220"/>
      <c r="AB260" s="220"/>
      <c r="AC260" s="220"/>
      <c r="AD260" s="220"/>
      <c r="AE260" s="220"/>
    </row>
    <row r="261" ht="13.5" customHeight="1" outlineLevel="1">
      <c r="A261" s="814">
        <f t="shared" si="138"/>
        <v>261</v>
      </c>
      <c r="B261" s="36" t="str">
        <f>$B$96</f>
        <v>Special Education (SPED) Teachers (Full-time &amp; Part-Time w/benefits)</v>
      </c>
      <c r="C261" s="971"/>
      <c r="D261" s="972"/>
      <c r="E261" s="972"/>
      <c r="F261" s="972"/>
      <c r="G261" s="971"/>
      <c r="H261" s="971"/>
      <c r="I261" s="971"/>
      <c r="J261" s="971"/>
      <c r="K261" s="971"/>
      <c r="L261" s="971"/>
      <c r="M261" s="971"/>
      <c r="N261" s="30"/>
      <c r="O261" s="119"/>
      <c r="P261" s="30"/>
      <c r="Q261" s="220"/>
      <c r="R261" s="220"/>
      <c r="S261" s="220"/>
      <c r="T261" s="220"/>
      <c r="U261" s="220"/>
      <c r="V261" s="220"/>
      <c r="W261" s="220"/>
      <c r="X261" s="220"/>
      <c r="Y261" s="220"/>
      <c r="Z261" s="220"/>
      <c r="AA261" s="220"/>
      <c r="AB261" s="220"/>
      <c r="AC261" s="220"/>
      <c r="AD261" s="220"/>
      <c r="AE261" s="220"/>
    </row>
    <row r="262" ht="13.5" customHeight="1" outlineLevel="1">
      <c r="A262" s="814">
        <f t="shared" si="138"/>
        <v>262</v>
      </c>
      <c r="B262" s="978" t="str">
        <f>$B$97</f>
        <v>Special Education SIEF</v>
      </c>
      <c r="C262" s="115">
        <f t="shared" ref="C262:C271" si="142">SUM(G262:M262)</f>
        <v>0</v>
      </c>
      <c r="D262" s="388"/>
      <c r="E262" s="388"/>
      <c r="F262" s="388"/>
      <c r="G262" s="756">
        <f t="shared" ref="G262:G270" si="143">G97*$D97</f>
        <v>0</v>
      </c>
      <c r="H262" s="756">
        <f t="shared" ref="H262:M262" si="141">(H97*$D97)</f>
        <v>0</v>
      </c>
      <c r="I262" s="756">
        <f t="shared" si="141"/>
        <v>0</v>
      </c>
      <c r="J262" s="756">
        <f t="shared" si="141"/>
        <v>0</v>
      </c>
      <c r="K262" s="756">
        <f t="shared" si="141"/>
        <v>0</v>
      </c>
      <c r="L262" s="756">
        <f t="shared" si="141"/>
        <v>0</v>
      </c>
      <c r="M262" s="756">
        <f t="shared" si="141"/>
        <v>0</v>
      </c>
      <c r="N262" s="30"/>
      <c r="O262" s="119"/>
      <c r="P262" s="30"/>
      <c r="Q262" s="220"/>
      <c r="R262" s="220"/>
      <c r="S262" s="220"/>
      <c r="T262" s="220"/>
      <c r="U262" s="220"/>
      <c r="V262" s="220"/>
      <c r="W262" s="220"/>
      <c r="X262" s="220"/>
      <c r="Y262" s="220"/>
      <c r="Z262" s="220"/>
      <c r="AA262" s="220"/>
      <c r="AB262" s="220"/>
      <c r="AC262" s="220"/>
      <c r="AD262" s="220"/>
      <c r="AE262" s="220"/>
    </row>
    <row r="263" ht="13.5" customHeight="1" outlineLevel="1">
      <c r="A263" s="814">
        <f t="shared" si="138"/>
        <v>263</v>
      </c>
      <c r="B263" s="978" t="str">
        <f>$B$98</f>
        <v>Special Education Teacher</v>
      </c>
      <c r="C263" s="115">
        <f t="shared" si="142"/>
        <v>520359</v>
      </c>
      <c r="D263" s="388"/>
      <c r="E263" s="388"/>
      <c r="F263" s="388"/>
      <c r="G263" s="756">
        <f t="shared" si="143"/>
        <v>74337</v>
      </c>
      <c r="H263" s="756">
        <f t="shared" ref="H263:M263" si="144">(H98*$D98)</f>
        <v>74337</v>
      </c>
      <c r="I263" s="756">
        <f t="shared" si="144"/>
        <v>74337</v>
      </c>
      <c r="J263" s="756">
        <f t="shared" si="144"/>
        <v>74337</v>
      </c>
      <c r="K263" s="756">
        <f t="shared" si="144"/>
        <v>74337</v>
      </c>
      <c r="L263" s="756">
        <f t="shared" si="144"/>
        <v>74337</v>
      </c>
      <c r="M263" s="756">
        <f t="shared" si="144"/>
        <v>74337</v>
      </c>
      <c r="N263" s="30"/>
      <c r="O263" s="119"/>
      <c r="P263" s="30"/>
      <c r="Q263" s="220"/>
      <c r="R263" s="220"/>
      <c r="S263" s="220"/>
      <c r="T263" s="220"/>
      <c r="U263" s="220"/>
      <c r="V263" s="220"/>
      <c r="W263" s="220"/>
      <c r="X263" s="220"/>
      <c r="Y263" s="220"/>
      <c r="Z263" s="220"/>
      <c r="AA263" s="220"/>
      <c r="AB263" s="220"/>
      <c r="AC263" s="220"/>
      <c r="AD263" s="220"/>
      <c r="AE263" s="220"/>
    </row>
    <row r="264" ht="13.5" customHeight="1" outlineLevel="1">
      <c r="A264" s="814">
        <f t="shared" si="138"/>
        <v>264</v>
      </c>
      <c r="B264" s="978" t="str">
        <f>$B$99</f>
        <v>Special Education Teacher</v>
      </c>
      <c r="C264" s="115">
        <f t="shared" si="142"/>
        <v>490532</v>
      </c>
      <c r="D264" s="388"/>
      <c r="E264" s="388"/>
      <c r="F264" s="388"/>
      <c r="G264" s="756">
        <f t="shared" si="143"/>
        <v>70076</v>
      </c>
      <c r="H264" s="756">
        <f t="shared" ref="H264:M264" si="145">(H99*$D99)</f>
        <v>70076</v>
      </c>
      <c r="I264" s="756">
        <f t="shared" si="145"/>
        <v>70076</v>
      </c>
      <c r="J264" s="756">
        <f t="shared" si="145"/>
        <v>70076</v>
      </c>
      <c r="K264" s="756">
        <f t="shared" si="145"/>
        <v>70076</v>
      </c>
      <c r="L264" s="756">
        <f t="shared" si="145"/>
        <v>70076</v>
      </c>
      <c r="M264" s="756">
        <f t="shared" si="145"/>
        <v>70076</v>
      </c>
      <c r="N264" s="30"/>
      <c r="O264" s="119"/>
      <c r="P264" s="30"/>
      <c r="Q264" s="220"/>
      <c r="R264" s="220"/>
      <c r="S264" s="220"/>
      <c r="T264" s="220"/>
      <c r="U264" s="220"/>
      <c r="V264" s="220"/>
      <c r="W264" s="220"/>
      <c r="X264" s="220"/>
      <c r="Y264" s="220"/>
      <c r="Z264" s="220"/>
      <c r="AA264" s="220"/>
      <c r="AB264" s="220"/>
      <c r="AC264" s="220"/>
      <c r="AD264" s="220"/>
      <c r="AE264" s="220"/>
    </row>
    <row r="265" ht="13.5" customHeight="1" outlineLevel="1">
      <c r="A265" s="814">
        <f t="shared" si="138"/>
        <v>265</v>
      </c>
      <c r="B265" s="978"/>
      <c r="C265" s="115">
        <f t="shared" si="142"/>
        <v>0</v>
      </c>
      <c r="D265" s="388"/>
      <c r="E265" s="388"/>
      <c r="F265" s="388"/>
      <c r="G265" s="756">
        <f t="shared" si="143"/>
        <v>0</v>
      </c>
      <c r="H265" s="756">
        <f t="shared" ref="H265:M265" si="146">(H100*$D100)</f>
        <v>0</v>
      </c>
      <c r="I265" s="756">
        <f t="shared" si="146"/>
        <v>0</v>
      </c>
      <c r="J265" s="756">
        <f t="shared" si="146"/>
        <v>0</v>
      </c>
      <c r="K265" s="756">
        <f t="shared" si="146"/>
        <v>0</v>
      </c>
      <c r="L265" s="756">
        <f t="shared" si="146"/>
        <v>0</v>
      </c>
      <c r="M265" s="756">
        <f t="shared" si="146"/>
        <v>0</v>
      </c>
      <c r="N265" s="30"/>
      <c r="O265" s="119"/>
      <c r="P265" s="30"/>
      <c r="Q265" s="220"/>
      <c r="R265" s="220"/>
      <c r="S265" s="220"/>
      <c r="T265" s="220"/>
      <c r="U265" s="220"/>
      <c r="V265" s="220"/>
      <c r="W265" s="220"/>
      <c r="X265" s="220"/>
      <c r="Y265" s="220"/>
      <c r="Z265" s="220"/>
      <c r="AA265" s="220"/>
      <c r="AB265" s="220"/>
      <c r="AC265" s="220"/>
      <c r="AD265" s="220"/>
      <c r="AE265" s="220"/>
    </row>
    <row r="266" ht="13.5" customHeight="1" outlineLevel="1">
      <c r="A266" s="814">
        <f t="shared" si="138"/>
        <v>266</v>
      </c>
      <c r="B266" s="978"/>
      <c r="C266" s="115">
        <f t="shared" si="142"/>
        <v>0</v>
      </c>
      <c r="D266" s="388"/>
      <c r="E266" s="388"/>
      <c r="F266" s="388"/>
      <c r="G266" s="756">
        <f t="shared" si="143"/>
        <v>0</v>
      </c>
      <c r="H266" s="756">
        <f t="shared" ref="H266:M266" si="147">(H101*$D101)</f>
        <v>0</v>
      </c>
      <c r="I266" s="756">
        <f t="shared" si="147"/>
        <v>0</v>
      </c>
      <c r="J266" s="756">
        <f t="shared" si="147"/>
        <v>0</v>
      </c>
      <c r="K266" s="756">
        <f t="shared" si="147"/>
        <v>0</v>
      </c>
      <c r="L266" s="756">
        <f t="shared" si="147"/>
        <v>0</v>
      </c>
      <c r="M266" s="756">
        <f t="shared" si="147"/>
        <v>0</v>
      </c>
      <c r="N266" s="30"/>
      <c r="O266" s="119"/>
      <c r="P266" s="30"/>
      <c r="Q266" s="220"/>
      <c r="R266" s="220"/>
      <c r="S266" s="220"/>
      <c r="T266" s="220"/>
      <c r="U266" s="220"/>
      <c r="V266" s="220"/>
      <c r="W266" s="220"/>
      <c r="X266" s="220"/>
      <c r="Y266" s="220"/>
      <c r="Z266" s="220"/>
      <c r="AA266" s="220"/>
      <c r="AB266" s="220"/>
      <c r="AC266" s="220"/>
      <c r="AD266" s="220"/>
      <c r="AE266" s="220"/>
    </row>
    <row r="267" ht="13.5" customHeight="1" outlineLevel="1">
      <c r="A267" s="814">
        <f t="shared" si="138"/>
        <v>267</v>
      </c>
      <c r="B267" s="978"/>
      <c r="C267" s="115">
        <f t="shared" si="142"/>
        <v>0</v>
      </c>
      <c r="D267" s="388"/>
      <c r="E267" s="388"/>
      <c r="F267" s="388"/>
      <c r="G267" s="756">
        <f t="shared" si="143"/>
        <v>0</v>
      </c>
      <c r="H267" s="756">
        <f t="shared" ref="H267:M267" si="148">(H102*$D102)</f>
        <v>0</v>
      </c>
      <c r="I267" s="756">
        <f t="shared" si="148"/>
        <v>0</v>
      </c>
      <c r="J267" s="756">
        <f t="shared" si="148"/>
        <v>0</v>
      </c>
      <c r="K267" s="756">
        <f t="shared" si="148"/>
        <v>0</v>
      </c>
      <c r="L267" s="756">
        <f t="shared" si="148"/>
        <v>0</v>
      </c>
      <c r="M267" s="756">
        <f t="shared" si="148"/>
        <v>0</v>
      </c>
      <c r="N267" s="30"/>
      <c r="O267" s="119"/>
      <c r="P267" s="30"/>
      <c r="Q267" s="220"/>
      <c r="R267" s="220"/>
      <c r="S267" s="220"/>
      <c r="T267" s="220"/>
      <c r="U267" s="220"/>
      <c r="V267" s="220"/>
      <c r="W267" s="220"/>
      <c r="X267" s="220"/>
      <c r="Y267" s="220"/>
      <c r="Z267" s="220"/>
      <c r="AA267" s="220"/>
      <c r="AB267" s="220"/>
      <c r="AC267" s="220"/>
      <c r="AD267" s="220"/>
      <c r="AE267" s="220"/>
    </row>
    <row r="268" ht="13.5" customHeight="1" outlineLevel="1">
      <c r="A268" s="814">
        <f t="shared" si="138"/>
        <v>268</v>
      </c>
      <c r="B268" s="978"/>
      <c r="C268" s="115">
        <f t="shared" si="142"/>
        <v>0</v>
      </c>
      <c r="D268" s="388"/>
      <c r="E268" s="388"/>
      <c r="F268" s="388"/>
      <c r="G268" s="756">
        <f t="shared" si="143"/>
        <v>0</v>
      </c>
      <c r="H268" s="756">
        <f t="shared" ref="H268:M268" si="149">(H103*$D103)</f>
        <v>0</v>
      </c>
      <c r="I268" s="756">
        <f t="shared" si="149"/>
        <v>0</v>
      </c>
      <c r="J268" s="756">
        <f t="shared" si="149"/>
        <v>0</v>
      </c>
      <c r="K268" s="756">
        <f t="shared" si="149"/>
        <v>0</v>
      </c>
      <c r="L268" s="756">
        <f t="shared" si="149"/>
        <v>0</v>
      </c>
      <c r="M268" s="756">
        <f t="shared" si="149"/>
        <v>0</v>
      </c>
      <c r="N268" s="30"/>
      <c r="O268" s="119"/>
      <c r="P268" s="30"/>
      <c r="Q268" s="220"/>
      <c r="R268" s="220"/>
      <c r="S268" s="220"/>
      <c r="T268" s="220"/>
      <c r="U268" s="220"/>
      <c r="V268" s="220"/>
      <c r="W268" s="220"/>
      <c r="X268" s="220"/>
      <c r="Y268" s="220"/>
      <c r="Z268" s="220"/>
      <c r="AA268" s="220"/>
      <c r="AB268" s="220"/>
      <c r="AC268" s="220"/>
      <c r="AD268" s="220"/>
      <c r="AE268" s="220"/>
    </row>
    <row r="269" ht="13.5" customHeight="1" outlineLevel="1">
      <c r="A269" s="814">
        <f t="shared" si="138"/>
        <v>269</v>
      </c>
      <c r="B269" s="978"/>
      <c r="C269" s="115">
        <f t="shared" si="142"/>
        <v>0</v>
      </c>
      <c r="D269" s="388"/>
      <c r="E269" s="388"/>
      <c r="F269" s="388"/>
      <c r="G269" s="756">
        <f t="shared" si="143"/>
        <v>0</v>
      </c>
      <c r="H269" s="756">
        <f t="shared" ref="H269:M269" si="150">(H104*$D104)</f>
        <v>0</v>
      </c>
      <c r="I269" s="756">
        <f t="shared" si="150"/>
        <v>0</v>
      </c>
      <c r="J269" s="756">
        <f t="shared" si="150"/>
        <v>0</v>
      </c>
      <c r="K269" s="756">
        <f t="shared" si="150"/>
        <v>0</v>
      </c>
      <c r="L269" s="756">
        <f t="shared" si="150"/>
        <v>0</v>
      </c>
      <c r="M269" s="756">
        <f t="shared" si="150"/>
        <v>0</v>
      </c>
      <c r="N269" s="30"/>
      <c r="O269" s="119"/>
      <c r="P269" s="30"/>
      <c r="Q269" s="220"/>
      <c r="R269" s="220"/>
      <c r="S269" s="220"/>
      <c r="T269" s="220"/>
      <c r="U269" s="220"/>
      <c r="V269" s="220"/>
      <c r="W269" s="220"/>
      <c r="X269" s="220"/>
      <c r="Y269" s="220"/>
      <c r="Z269" s="220"/>
      <c r="AA269" s="220"/>
      <c r="AB269" s="220"/>
      <c r="AC269" s="220"/>
      <c r="AD269" s="220"/>
      <c r="AE269" s="220"/>
    </row>
    <row r="270" ht="13.5" customHeight="1" outlineLevel="1">
      <c r="A270" s="814">
        <f t="shared" si="138"/>
        <v>270</v>
      </c>
      <c r="B270" s="978"/>
      <c r="C270" s="115">
        <f t="shared" si="142"/>
        <v>0</v>
      </c>
      <c r="D270" s="388"/>
      <c r="E270" s="388"/>
      <c r="F270" s="388"/>
      <c r="G270" s="756">
        <f t="shared" si="143"/>
        <v>0</v>
      </c>
      <c r="H270" s="756">
        <f t="shared" ref="H270:M270" si="151">(H105*$D105)</f>
        <v>0</v>
      </c>
      <c r="I270" s="756">
        <f t="shared" si="151"/>
        <v>0</v>
      </c>
      <c r="J270" s="756">
        <f t="shared" si="151"/>
        <v>0</v>
      </c>
      <c r="K270" s="756">
        <f t="shared" si="151"/>
        <v>0</v>
      </c>
      <c r="L270" s="756">
        <f t="shared" si="151"/>
        <v>0</v>
      </c>
      <c r="M270" s="756">
        <f t="shared" si="151"/>
        <v>0</v>
      </c>
      <c r="N270" s="30"/>
      <c r="O270" s="119"/>
      <c r="P270" s="30"/>
      <c r="Q270" s="220"/>
      <c r="R270" s="220"/>
      <c r="S270" s="220"/>
      <c r="T270" s="220"/>
      <c r="U270" s="220"/>
      <c r="V270" s="220"/>
      <c r="W270" s="220"/>
      <c r="X270" s="220"/>
      <c r="Y270" s="220"/>
      <c r="Z270" s="220"/>
      <c r="AA270" s="220"/>
      <c r="AB270" s="220"/>
      <c r="AC270" s="220"/>
      <c r="AD270" s="220"/>
      <c r="AE270" s="220"/>
    </row>
    <row r="271" ht="13.5" customHeight="1" outlineLevel="1">
      <c r="A271" s="814">
        <f t="shared" si="138"/>
        <v>271</v>
      </c>
      <c r="B271" s="974" t="str">
        <f>$B106</f>
        <v>Total Special EducationTeachers</v>
      </c>
      <c r="C271" s="979">
        <f t="shared" si="142"/>
        <v>1010891</v>
      </c>
      <c r="D271" s="980"/>
      <c r="E271" s="980"/>
      <c r="F271" s="980"/>
      <c r="G271" s="977">
        <f t="shared" ref="G271:M271" si="152">SUM(G262:G270)</f>
        <v>144413</v>
      </c>
      <c r="H271" s="977">
        <f t="shared" si="152"/>
        <v>144413</v>
      </c>
      <c r="I271" s="977">
        <f t="shared" si="152"/>
        <v>144413</v>
      </c>
      <c r="J271" s="977">
        <f t="shared" si="152"/>
        <v>144413</v>
      </c>
      <c r="K271" s="977">
        <f t="shared" si="152"/>
        <v>144413</v>
      </c>
      <c r="L271" s="977">
        <f t="shared" si="152"/>
        <v>144413</v>
      </c>
      <c r="M271" s="977">
        <f t="shared" si="152"/>
        <v>144413</v>
      </c>
      <c r="N271" s="30"/>
      <c r="O271" s="119"/>
      <c r="P271" s="30"/>
      <c r="Q271" s="220"/>
      <c r="R271" s="220"/>
      <c r="S271" s="220"/>
      <c r="T271" s="220"/>
      <c r="U271" s="220"/>
      <c r="V271" s="220"/>
      <c r="W271" s="220"/>
      <c r="X271" s="220"/>
      <c r="Y271" s="220"/>
      <c r="Z271" s="220"/>
      <c r="AA271" s="220"/>
      <c r="AB271" s="220"/>
      <c r="AC271" s="220"/>
      <c r="AD271" s="220"/>
      <c r="AE271" s="220"/>
    </row>
    <row r="272" ht="13.5" customHeight="1" outlineLevel="1">
      <c r="A272" s="814">
        <f t="shared" si="138"/>
        <v>272</v>
      </c>
      <c r="B272" s="30"/>
      <c r="C272" s="115"/>
      <c r="D272" s="388"/>
      <c r="E272" s="388"/>
      <c r="F272" s="388"/>
      <c r="G272" s="115"/>
      <c r="H272" s="115"/>
      <c r="I272" s="115"/>
      <c r="J272" s="115"/>
      <c r="K272" s="115"/>
      <c r="L272" s="115"/>
      <c r="M272" s="115"/>
      <c r="N272" s="30"/>
      <c r="O272" s="119"/>
      <c r="P272" s="30"/>
      <c r="Q272" s="220"/>
      <c r="R272" s="220"/>
      <c r="S272" s="220"/>
      <c r="T272" s="220"/>
      <c r="U272" s="220"/>
      <c r="V272" s="220"/>
      <c r="W272" s="220"/>
      <c r="X272" s="220"/>
      <c r="Y272" s="220"/>
      <c r="Z272" s="220"/>
      <c r="AA272" s="220"/>
      <c r="AB272" s="220"/>
      <c r="AC272" s="220"/>
      <c r="AD272" s="220"/>
      <c r="AE272" s="220"/>
    </row>
    <row r="273" ht="13.5" customHeight="1" outlineLevel="1">
      <c r="A273" s="814">
        <f t="shared" si="138"/>
        <v>273</v>
      </c>
      <c r="B273" s="36" t="str">
        <f t="shared" ref="B273:B274" si="153">$B110</f>
        <v>English Language Learner (ELL) Teachers (Full-time &amp; Part-Time w/benefits)</v>
      </c>
      <c r="C273" s="971"/>
      <c r="D273" s="972"/>
      <c r="E273" s="972"/>
      <c r="F273" s="972"/>
      <c r="G273" s="971"/>
      <c r="H273" s="971"/>
      <c r="I273" s="971"/>
      <c r="J273" s="971"/>
      <c r="K273" s="971"/>
      <c r="L273" s="971"/>
      <c r="M273" s="971"/>
      <c r="N273" s="30"/>
      <c r="O273" s="119"/>
      <c r="P273" s="30"/>
      <c r="Q273" s="220"/>
      <c r="R273" s="220"/>
      <c r="S273" s="220"/>
      <c r="T273" s="220"/>
      <c r="U273" s="220"/>
      <c r="V273" s="220"/>
      <c r="W273" s="220"/>
      <c r="X273" s="220"/>
      <c r="Y273" s="220"/>
      <c r="Z273" s="220"/>
      <c r="AA273" s="220"/>
      <c r="AB273" s="220"/>
      <c r="AC273" s="220"/>
      <c r="AD273" s="220"/>
      <c r="AE273" s="220"/>
    </row>
    <row r="274" ht="13.5" customHeight="1" outlineLevel="1">
      <c r="A274" s="814">
        <f t="shared" si="138"/>
        <v>274</v>
      </c>
      <c r="B274" s="978" t="str">
        <f t="shared" si="153"/>
        <v>Literacy Specialist</v>
      </c>
      <c r="C274" s="115">
        <f t="shared" ref="C274:C283" si="155">SUM(G274:M274)</f>
        <v>412503</v>
      </c>
      <c r="D274" s="388"/>
      <c r="E274" s="388"/>
      <c r="F274" s="388"/>
      <c r="G274" s="756">
        <f t="shared" ref="G274:G282" si="156">G111*$D111</f>
        <v>58929</v>
      </c>
      <c r="H274" s="756">
        <f t="shared" ref="H274:M274" si="154">(H111*$D111)</f>
        <v>58929</v>
      </c>
      <c r="I274" s="756">
        <f t="shared" si="154"/>
        <v>58929</v>
      </c>
      <c r="J274" s="756">
        <f t="shared" si="154"/>
        <v>58929</v>
      </c>
      <c r="K274" s="756">
        <f t="shared" si="154"/>
        <v>58929</v>
      </c>
      <c r="L274" s="756">
        <f t="shared" si="154"/>
        <v>58929</v>
      </c>
      <c r="M274" s="756">
        <f t="shared" si="154"/>
        <v>58929</v>
      </c>
      <c r="N274" s="30"/>
      <c r="O274" s="119"/>
      <c r="P274" s="30"/>
      <c r="Q274" s="220"/>
      <c r="R274" s="220"/>
      <c r="S274" s="220"/>
      <c r="T274" s="220"/>
      <c r="U274" s="220"/>
      <c r="V274" s="220"/>
      <c r="W274" s="220"/>
      <c r="X274" s="220"/>
      <c r="Y274" s="220"/>
      <c r="Z274" s="220"/>
      <c r="AA274" s="220"/>
      <c r="AB274" s="220"/>
      <c r="AC274" s="220"/>
      <c r="AD274" s="220"/>
      <c r="AE274" s="220"/>
    </row>
    <row r="275" ht="13.5" customHeight="1" outlineLevel="1">
      <c r="A275" s="814">
        <f t="shared" si="138"/>
        <v>275</v>
      </c>
      <c r="B275" s="978"/>
      <c r="C275" s="115">
        <f t="shared" si="155"/>
        <v>0</v>
      </c>
      <c r="D275" s="388"/>
      <c r="E275" s="388"/>
      <c r="F275" s="388"/>
      <c r="G275" s="756">
        <f t="shared" si="156"/>
        <v>0</v>
      </c>
      <c r="H275" s="756">
        <f t="shared" ref="H275:M275" si="157">(H112*$D112)</f>
        <v>0</v>
      </c>
      <c r="I275" s="756">
        <f t="shared" si="157"/>
        <v>0</v>
      </c>
      <c r="J275" s="756">
        <f t="shared" si="157"/>
        <v>0</v>
      </c>
      <c r="K275" s="756">
        <f t="shared" si="157"/>
        <v>0</v>
      </c>
      <c r="L275" s="756">
        <f t="shared" si="157"/>
        <v>0</v>
      </c>
      <c r="M275" s="756">
        <f t="shared" si="157"/>
        <v>0</v>
      </c>
      <c r="N275" s="30"/>
      <c r="O275" s="119"/>
      <c r="P275" s="30"/>
      <c r="Q275" s="220"/>
      <c r="R275" s="220"/>
      <c r="S275" s="220"/>
      <c r="T275" s="220"/>
      <c r="U275" s="220"/>
      <c r="V275" s="220"/>
      <c r="W275" s="220"/>
      <c r="X275" s="220"/>
      <c r="Y275" s="220"/>
      <c r="Z275" s="220"/>
      <c r="AA275" s="220"/>
      <c r="AB275" s="220"/>
      <c r="AC275" s="220"/>
      <c r="AD275" s="220"/>
      <c r="AE275" s="220"/>
    </row>
    <row r="276" ht="13.5" customHeight="1" outlineLevel="1">
      <c r="A276" s="814">
        <f t="shared" si="138"/>
        <v>276</v>
      </c>
      <c r="B276" s="978"/>
      <c r="C276" s="115">
        <f t="shared" si="155"/>
        <v>0</v>
      </c>
      <c r="D276" s="388"/>
      <c r="E276" s="388"/>
      <c r="F276" s="388"/>
      <c r="G276" s="756">
        <f t="shared" si="156"/>
        <v>0</v>
      </c>
      <c r="H276" s="756">
        <f t="shared" ref="H276:M276" si="158">(H113*$D113)</f>
        <v>0</v>
      </c>
      <c r="I276" s="756">
        <f t="shared" si="158"/>
        <v>0</v>
      </c>
      <c r="J276" s="756">
        <f t="shared" si="158"/>
        <v>0</v>
      </c>
      <c r="K276" s="756">
        <f t="shared" si="158"/>
        <v>0</v>
      </c>
      <c r="L276" s="756">
        <f t="shared" si="158"/>
        <v>0</v>
      </c>
      <c r="M276" s="756">
        <f t="shared" si="158"/>
        <v>0</v>
      </c>
      <c r="N276" s="30"/>
      <c r="O276" s="119"/>
      <c r="P276" s="30"/>
      <c r="Q276" s="220"/>
      <c r="R276" s="220"/>
      <c r="S276" s="220"/>
      <c r="T276" s="220"/>
      <c r="U276" s="220"/>
      <c r="V276" s="220"/>
      <c r="W276" s="220"/>
      <c r="X276" s="220"/>
      <c r="Y276" s="220"/>
      <c r="Z276" s="220"/>
      <c r="AA276" s="220"/>
      <c r="AB276" s="220"/>
      <c r="AC276" s="220"/>
      <c r="AD276" s="220"/>
      <c r="AE276" s="220"/>
    </row>
    <row r="277" ht="13.5" customHeight="1" outlineLevel="1">
      <c r="A277" s="814">
        <f t="shared" si="138"/>
        <v>277</v>
      </c>
      <c r="B277" s="978" t="str">
        <f t="shared" ref="B277:B283" si="160">$B114</f>
        <v/>
      </c>
      <c r="C277" s="115">
        <f t="shared" si="155"/>
        <v>0</v>
      </c>
      <c r="D277" s="388"/>
      <c r="E277" s="388"/>
      <c r="F277" s="388"/>
      <c r="G277" s="756">
        <f t="shared" si="156"/>
        <v>0</v>
      </c>
      <c r="H277" s="756">
        <f t="shared" ref="H277:M277" si="159">(H114*$D114)</f>
        <v>0</v>
      </c>
      <c r="I277" s="756">
        <f t="shared" si="159"/>
        <v>0</v>
      </c>
      <c r="J277" s="756">
        <f t="shared" si="159"/>
        <v>0</v>
      </c>
      <c r="K277" s="756">
        <f t="shared" si="159"/>
        <v>0</v>
      </c>
      <c r="L277" s="756">
        <f t="shared" si="159"/>
        <v>0</v>
      </c>
      <c r="M277" s="756">
        <f t="shared" si="159"/>
        <v>0</v>
      </c>
      <c r="N277" s="30"/>
      <c r="O277" s="119"/>
      <c r="P277" s="30"/>
      <c r="Q277" s="220"/>
      <c r="R277" s="220"/>
      <c r="S277" s="220"/>
      <c r="T277" s="220"/>
      <c r="U277" s="220"/>
      <c r="V277" s="220"/>
      <c r="W277" s="220"/>
      <c r="X277" s="220"/>
      <c r="Y277" s="220"/>
      <c r="Z277" s="220"/>
      <c r="AA277" s="220"/>
      <c r="AB277" s="220"/>
      <c r="AC277" s="220"/>
      <c r="AD277" s="220"/>
      <c r="AE277" s="220"/>
    </row>
    <row r="278" ht="13.5" customHeight="1" outlineLevel="1">
      <c r="A278" s="814">
        <f t="shared" si="138"/>
        <v>278</v>
      </c>
      <c r="B278" s="978" t="str">
        <f t="shared" si="160"/>
        <v/>
      </c>
      <c r="C278" s="115">
        <f t="shared" si="155"/>
        <v>0</v>
      </c>
      <c r="D278" s="388"/>
      <c r="E278" s="388"/>
      <c r="F278" s="388"/>
      <c r="G278" s="756">
        <f t="shared" si="156"/>
        <v>0</v>
      </c>
      <c r="H278" s="756">
        <f t="shared" ref="H278:M278" si="161">(H115*$D115)</f>
        <v>0</v>
      </c>
      <c r="I278" s="756">
        <f t="shared" si="161"/>
        <v>0</v>
      </c>
      <c r="J278" s="756">
        <f t="shared" si="161"/>
        <v>0</v>
      </c>
      <c r="K278" s="756">
        <f t="shared" si="161"/>
        <v>0</v>
      </c>
      <c r="L278" s="756">
        <f t="shared" si="161"/>
        <v>0</v>
      </c>
      <c r="M278" s="756">
        <f t="shared" si="161"/>
        <v>0</v>
      </c>
      <c r="N278" s="30"/>
      <c r="O278" s="119"/>
      <c r="P278" s="30"/>
      <c r="Q278" s="220"/>
      <c r="R278" s="220"/>
      <c r="S278" s="220"/>
      <c r="T278" s="220"/>
      <c r="U278" s="220"/>
      <c r="V278" s="220"/>
      <c r="W278" s="220"/>
      <c r="X278" s="220"/>
      <c r="Y278" s="220"/>
      <c r="Z278" s="220"/>
      <c r="AA278" s="220"/>
      <c r="AB278" s="220"/>
      <c r="AC278" s="220"/>
      <c r="AD278" s="220"/>
      <c r="AE278" s="220"/>
    </row>
    <row r="279" ht="13.5" customHeight="1" outlineLevel="1">
      <c r="A279" s="814">
        <f t="shared" si="138"/>
        <v>279</v>
      </c>
      <c r="B279" s="978" t="str">
        <f t="shared" si="160"/>
        <v/>
      </c>
      <c r="C279" s="115">
        <f t="shared" si="155"/>
        <v>0</v>
      </c>
      <c r="D279" s="388"/>
      <c r="E279" s="388"/>
      <c r="F279" s="388"/>
      <c r="G279" s="756">
        <f t="shared" si="156"/>
        <v>0</v>
      </c>
      <c r="H279" s="756">
        <f t="shared" ref="H279:M279" si="162">(H116*$D116)</f>
        <v>0</v>
      </c>
      <c r="I279" s="756">
        <f t="shared" si="162"/>
        <v>0</v>
      </c>
      <c r="J279" s="756">
        <f t="shared" si="162"/>
        <v>0</v>
      </c>
      <c r="K279" s="756">
        <f t="shared" si="162"/>
        <v>0</v>
      </c>
      <c r="L279" s="756">
        <f t="shared" si="162"/>
        <v>0</v>
      </c>
      <c r="M279" s="756">
        <f t="shared" si="162"/>
        <v>0</v>
      </c>
      <c r="N279" s="30"/>
      <c r="O279" s="119"/>
      <c r="P279" s="30"/>
      <c r="Q279" s="220"/>
      <c r="R279" s="220"/>
      <c r="S279" s="220"/>
      <c r="T279" s="220"/>
      <c r="U279" s="220"/>
      <c r="V279" s="220"/>
      <c r="W279" s="220"/>
      <c r="X279" s="220"/>
      <c r="Y279" s="220"/>
      <c r="Z279" s="220"/>
      <c r="AA279" s="220"/>
      <c r="AB279" s="220"/>
      <c r="AC279" s="220"/>
      <c r="AD279" s="220"/>
      <c r="AE279" s="220"/>
    </row>
    <row r="280" ht="13.5" customHeight="1" outlineLevel="1">
      <c r="A280" s="814">
        <f t="shared" si="138"/>
        <v>280</v>
      </c>
      <c r="B280" s="978" t="str">
        <f t="shared" si="160"/>
        <v/>
      </c>
      <c r="C280" s="115">
        <f t="shared" si="155"/>
        <v>0</v>
      </c>
      <c r="D280" s="388"/>
      <c r="E280" s="388"/>
      <c r="F280" s="388"/>
      <c r="G280" s="756">
        <f t="shared" si="156"/>
        <v>0</v>
      </c>
      <c r="H280" s="756">
        <f t="shared" ref="H280:M280" si="163">(H117*$D117)</f>
        <v>0</v>
      </c>
      <c r="I280" s="756">
        <f t="shared" si="163"/>
        <v>0</v>
      </c>
      <c r="J280" s="756">
        <f t="shared" si="163"/>
        <v>0</v>
      </c>
      <c r="K280" s="756">
        <f t="shared" si="163"/>
        <v>0</v>
      </c>
      <c r="L280" s="756">
        <f t="shared" si="163"/>
        <v>0</v>
      </c>
      <c r="M280" s="756">
        <f t="shared" si="163"/>
        <v>0</v>
      </c>
      <c r="N280" s="30"/>
      <c r="O280" s="119"/>
      <c r="P280" s="30"/>
      <c r="Q280" s="220"/>
      <c r="R280" s="220"/>
      <c r="S280" s="220"/>
      <c r="T280" s="220"/>
      <c r="U280" s="220"/>
      <c r="V280" s="220"/>
      <c r="W280" s="220"/>
      <c r="X280" s="220"/>
      <c r="Y280" s="220"/>
      <c r="Z280" s="220"/>
      <c r="AA280" s="220"/>
      <c r="AB280" s="220"/>
      <c r="AC280" s="220"/>
      <c r="AD280" s="220"/>
      <c r="AE280" s="220"/>
    </row>
    <row r="281" ht="13.5" customHeight="1" outlineLevel="1">
      <c r="A281" s="814">
        <f t="shared" si="138"/>
        <v>281</v>
      </c>
      <c r="B281" s="978" t="str">
        <f t="shared" si="160"/>
        <v/>
      </c>
      <c r="C281" s="115">
        <f t="shared" si="155"/>
        <v>0</v>
      </c>
      <c r="D281" s="388"/>
      <c r="E281" s="388"/>
      <c r="F281" s="388"/>
      <c r="G281" s="756">
        <f t="shared" si="156"/>
        <v>0</v>
      </c>
      <c r="H281" s="756">
        <f t="shared" ref="H281:M281" si="164">(H118*$D118)</f>
        <v>0</v>
      </c>
      <c r="I281" s="756">
        <f t="shared" si="164"/>
        <v>0</v>
      </c>
      <c r="J281" s="756">
        <f t="shared" si="164"/>
        <v>0</v>
      </c>
      <c r="K281" s="756">
        <f t="shared" si="164"/>
        <v>0</v>
      </c>
      <c r="L281" s="756">
        <f t="shared" si="164"/>
        <v>0</v>
      </c>
      <c r="M281" s="756">
        <f t="shared" si="164"/>
        <v>0</v>
      </c>
      <c r="N281" s="30"/>
      <c r="O281" s="119"/>
      <c r="P281" s="30"/>
      <c r="Q281" s="220"/>
      <c r="R281" s="220"/>
      <c r="S281" s="220"/>
      <c r="T281" s="220"/>
      <c r="U281" s="220"/>
      <c r="V281" s="220"/>
      <c r="W281" s="220"/>
      <c r="X281" s="220"/>
      <c r="Y281" s="220"/>
      <c r="Z281" s="220"/>
      <c r="AA281" s="220"/>
      <c r="AB281" s="220"/>
      <c r="AC281" s="220"/>
      <c r="AD281" s="220"/>
      <c r="AE281" s="220"/>
    </row>
    <row r="282" ht="13.5" customHeight="1" outlineLevel="1">
      <c r="A282" s="814">
        <f t="shared" si="138"/>
        <v>282</v>
      </c>
      <c r="B282" s="978" t="str">
        <f t="shared" si="160"/>
        <v/>
      </c>
      <c r="C282" s="115">
        <f t="shared" si="155"/>
        <v>0</v>
      </c>
      <c r="D282" s="388"/>
      <c r="E282" s="388"/>
      <c r="F282" s="388"/>
      <c r="G282" s="756">
        <f t="shared" si="156"/>
        <v>0</v>
      </c>
      <c r="H282" s="756">
        <f t="shared" ref="H282:M282" si="165">(H119*$D119)</f>
        <v>0</v>
      </c>
      <c r="I282" s="756">
        <f t="shared" si="165"/>
        <v>0</v>
      </c>
      <c r="J282" s="756">
        <f t="shared" si="165"/>
        <v>0</v>
      </c>
      <c r="K282" s="756">
        <f t="shared" si="165"/>
        <v>0</v>
      </c>
      <c r="L282" s="756">
        <f t="shared" si="165"/>
        <v>0</v>
      </c>
      <c r="M282" s="756">
        <f t="shared" si="165"/>
        <v>0</v>
      </c>
      <c r="N282" s="30"/>
      <c r="O282" s="119"/>
      <c r="P282" s="30"/>
      <c r="Q282" s="220"/>
      <c r="R282" s="220"/>
      <c r="S282" s="220"/>
      <c r="T282" s="220"/>
      <c r="U282" s="220"/>
      <c r="V282" s="220"/>
      <c r="W282" s="220"/>
      <c r="X282" s="220"/>
      <c r="Y282" s="220"/>
      <c r="Z282" s="220"/>
      <c r="AA282" s="220"/>
      <c r="AB282" s="220"/>
      <c r="AC282" s="220"/>
      <c r="AD282" s="220"/>
      <c r="AE282" s="220"/>
    </row>
    <row r="283" ht="13.5" customHeight="1" outlineLevel="1">
      <c r="A283" s="814">
        <f t="shared" si="138"/>
        <v>283</v>
      </c>
      <c r="B283" s="974" t="str">
        <f t="shared" si="160"/>
        <v>Total ELL Teachers</v>
      </c>
      <c r="C283" s="979">
        <f t="shared" si="155"/>
        <v>412503</v>
      </c>
      <c r="D283" s="976"/>
      <c r="E283" s="976"/>
      <c r="F283" s="976"/>
      <c r="G283" s="977">
        <f t="shared" ref="G283:M283" si="166">SUM(G274:G282)</f>
        <v>58929</v>
      </c>
      <c r="H283" s="977">
        <f t="shared" si="166"/>
        <v>58929</v>
      </c>
      <c r="I283" s="977">
        <f t="shared" si="166"/>
        <v>58929</v>
      </c>
      <c r="J283" s="977">
        <f t="shared" si="166"/>
        <v>58929</v>
      </c>
      <c r="K283" s="977">
        <f t="shared" si="166"/>
        <v>58929</v>
      </c>
      <c r="L283" s="977">
        <f t="shared" si="166"/>
        <v>58929</v>
      </c>
      <c r="M283" s="977">
        <f t="shared" si="166"/>
        <v>58929</v>
      </c>
      <c r="N283" s="30"/>
      <c r="O283" s="119"/>
      <c r="P283" s="30"/>
      <c r="Q283" s="220"/>
      <c r="R283" s="220"/>
      <c r="S283" s="220"/>
      <c r="T283" s="220"/>
      <c r="U283" s="220"/>
      <c r="V283" s="220"/>
      <c r="W283" s="220"/>
      <c r="X283" s="220"/>
      <c r="Y283" s="220"/>
      <c r="Z283" s="220"/>
      <c r="AA283" s="220"/>
      <c r="AB283" s="220"/>
      <c r="AC283" s="220"/>
      <c r="AD283" s="220"/>
      <c r="AE283" s="220"/>
    </row>
    <row r="284" ht="13.5" customHeight="1" outlineLevel="1">
      <c r="A284" s="814">
        <f t="shared" si="138"/>
        <v>284</v>
      </c>
      <c r="B284" s="30"/>
      <c r="C284" s="115"/>
      <c r="D284" s="388"/>
      <c r="E284" s="388"/>
      <c r="F284" s="388"/>
      <c r="G284" s="115"/>
      <c r="H284" s="115"/>
      <c r="I284" s="115"/>
      <c r="J284" s="115"/>
      <c r="K284" s="115"/>
      <c r="L284" s="115"/>
      <c r="M284" s="115"/>
      <c r="N284" s="30"/>
      <c r="O284" s="119"/>
      <c r="P284" s="30"/>
      <c r="Q284" s="220"/>
      <c r="R284" s="220"/>
      <c r="S284" s="220"/>
      <c r="T284" s="220"/>
      <c r="U284" s="220"/>
      <c r="V284" s="220"/>
      <c r="W284" s="220"/>
      <c r="X284" s="220"/>
      <c r="Y284" s="220"/>
      <c r="Z284" s="220"/>
      <c r="AA284" s="220"/>
      <c r="AB284" s="220"/>
      <c r="AC284" s="220"/>
      <c r="AD284" s="220"/>
      <c r="AE284" s="220"/>
    </row>
    <row r="285" ht="13.5" customHeight="1" outlineLevel="1">
      <c r="A285" s="814">
        <f t="shared" si="138"/>
        <v>285</v>
      </c>
      <c r="B285" s="36" t="str">
        <f t="shared" ref="B285:B297" si="167">$B122</f>
        <v>Guidance Counselor &amp; Other Staff (Full-time &amp; Part-Time w/benefits)</v>
      </c>
      <c r="C285" s="971"/>
      <c r="D285" s="972"/>
      <c r="E285" s="972"/>
      <c r="F285" s="972"/>
      <c r="G285" s="971"/>
      <c r="H285" s="971"/>
      <c r="I285" s="971"/>
      <c r="J285" s="971"/>
      <c r="K285" s="971"/>
      <c r="L285" s="971"/>
      <c r="M285" s="971"/>
      <c r="N285" s="30"/>
      <c r="O285" s="119"/>
      <c r="P285" s="30"/>
      <c r="Q285" s="220"/>
      <c r="R285" s="220"/>
      <c r="S285" s="220"/>
      <c r="T285" s="220"/>
      <c r="U285" s="220"/>
      <c r="V285" s="220"/>
      <c r="W285" s="220"/>
      <c r="X285" s="220"/>
      <c r="Y285" s="220"/>
      <c r="Z285" s="220"/>
      <c r="AA285" s="220"/>
      <c r="AB285" s="220"/>
      <c r="AC285" s="220"/>
      <c r="AD285" s="220"/>
      <c r="AE285" s="220"/>
    </row>
    <row r="286" ht="13.5" customHeight="1" outlineLevel="1">
      <c r="A286" s="814">
        <f t="shared" si="138"/>
        <v>286</v>
      </c>
      <c r="B286" s="978" t="str">
        <f t="shared" si="167"/>
        <v>Nurse</v>
      </c>
      <c r="C286" s="115">
        <f t="shared" ref="C286:C297" si="169">SUM(G286:M286)</f>
        <v>185500</v>
      </c>
      <c r="D286" s="388"/>
      <c r="E286" s="388"/>
      <c r="F286" s="388"/>
      <c r="G286" s="756">
        <f t="shared" ref="G286:G296" si="170">G123*$D123</f>
        <v>26500</v>
      </c>
      <c r="H286" s="756">
        <f t="shared" ref="H286:M286" si="168">(H123*$D123)</f>
        <v>26500</v>
      </c>
      <c r="I286" s="756">
        <f t="shared" si="168"/>
        <v>26500</v>
      </c>
      <c r="J286" s="756">
        <f t="shared" si="168"/>
        <v>26500</v>
      </c>
      <c r="K286" s="756">
        <f t="shared" si="168"/>
        <v>26500</v>
      </c>
      <c r="L286" s="756">
        <f t="shared" si="168"/>
        <v>26500</v>
      </c>
      <c r="M286" s="756">
        <f t="shared" si="168"/>
        <v>26500</v>
      </c>
      <c r="N286" s="30"/>
      <c r="O286" s="119"/>
      <c r="P286" s="30"/>
      <c r="Q286" s="220"/>
      <c r="R286" s="220"/>
      <c r="S286" s="220"/>
      <c r="T286" s="220"/>
      <c r="U286" s="220"/>
      <c r="V286" s="220"/>
      <c r="W286" s="220"/>
      <c r="X286" s="220"/>
      <c r="Y286" s="220"/>
      <c r="Z286" s="220"/>
      <c r="AA286" s="220"/>
      <c r="AB286" s="220"/>
      <c r="AC286" s="220"/>
      <c r="AD286" s="220"/>
      <c r="AE286" s="220"/>
    </row>
    <row r="287" ht="13.5" customHeight="1" outlineLevel="1">
      <c r="A287" s="814">
        <f t="shared" si="138"/>
        <v>287</v>
      </c>
      <c r="B287" s="978" t="str">
        <f t="shared" si="167"/>
        <v>Counselor</v>
      </c>
      <c r="C287" s="115">
        <f t="shared" si="169"/>
        <v>500353</v>
      </c>
      <c r="D287" s="388"/>
      <c r="E287" s="388"/>
      <c r="F287" s="388"/>
      <c r="G287" s="756">
        <f t="shared" si="170"/>
        <v>71479</v>
      </c>
      <c r="H287" s="756">
        <f t="shared" ref="H287:M287" si="171">(H124*$D124)</f>
        <v>71479</v>
      </c>
      <c r="I287" s="756">
        <f t="shared" si="171"/>
        <v>71479</v>
      </c>
      <c r="J287" s="756">
        <f t="shared" si="171"/>
        <v>71479</v>
      </c>
      <c r="K287" s="756">
        <f t="shared" si="171"/>
        <v>71479</v>
      </c>
      <c r="L287" s="756">
        <f t="shared" si="171"/>
        <v>71479</v>
      </c>
      <c r="M287" s="756">
        <f t="shared" si="171"/>
        <v>71479</v>
      </c>
      <c r="N287" s="30"/>
      <c r="O287" s="119"/>
      <c r="P287" s="30"/>
      <c r="Q287" s="220"/>
      <c r="R287" s="220"/>
      <c r="S287" s="220"/>
      <c r="T287" s="220"/>
      <c r="U287" s="220"/>
      <c r="V287" s="220"/>
      <c r="W287" s="220"/>
      <c r="X287" s="220"/>
      <c r="Y287" s="220"/>
      <c r="Z287" s="220"/>
      <c r="AA287" s="220"/>
      <c r="AB287" s="220"/>
      <c r="AC287" s="220"/>
      <c r="AD287" s="220"/>
      <c r="AE287" s="220"/>
    </row>
    <row r="288" ht="13.5" customHeight="1" outlineLevel="1">
      <c r="A288" s="814">
        <f t="shared" si="138"/>
        <v>288</v>
      </c>
      <c r="B288" s="978" t="str">
        <f t="shared" si="167"/>
        <v>Social Worker</v>
      </c>
      <c r="C288" s="115">
        <f t="shared" si="169"/>
        <v>562604</v>
      </c>
      <c r="D288" s="388"/>
      <c r="E288" s="388"/>
      <c r="F288" s="388"/>
      <c r="G288" s="756">
        <f t="shared" si="170"/>
        <v>80372</v>
      </c>
      <c r="H288" s="756">
        <f t="shared" ref="H288:M288" si="172">(H125*$D125)</f>
        <v>80372</v>
      </c>
      <c r="I288" s="756">
        <f t="shared" si="172"/>
        <v>80372</v>
      </c>
      <c r="J288" s="756">
        <f t="shared" si="172"/>
        <v>80372</v>
      </c>
      <c r="K288" s="756">
        <f t="shared" si="172"/>
        <v>80372</v>
      </c>
      <c r="L288" s="756">
        <f t="shared" si="172"/>
        <v>80372</v>
      </c>
      <c r="M288" s="756">
        <f t="shared" si="172"/>
        <v>80372</v>
      </c>
      <c r="N288" s="30"/>
      <c r="O288" s="119"/>
      <c r="P288" s="30"/>
      <c r="Q288" s="220"/>
      <c r="R288" s="220"/>
      <c r="S288" s="220"/>
      <c r="T288" s="220"/>
      <c r="U288" s="220"/>
      <c r="V288" s="220"/>
      <c r="W288" s="220"/>
      <c r="X288" s="220"/>
      <c r="Y288" s="220"/>
      <c r="Z288" s="220"/>
      <c r="AA288" s="220"/>
      <c r="AB288" s="220"/>
      <c r="AC288" s="220"/>
      <c r="AD288" s="220"/>
      <c r="AE288" s="220"/>
    </row>
    <row r="289" ht="13.5" customHeight="1" outlineLevel="1">
      <c r="A289" s="814">
        <f t="shared" si="138"/>
        <v>289</v>
      </c>
      <c r="B289" s="978" t="str">
        <f t="shared" si="167"/>
        <v/>
      </c>
      <c r="C289" s="115">
        <f t="shared" si="169"/>
        <v>0</v>
      </c>
      <c r="D289" s="388"/>
      <c r="E289" s="388"/>
      <c r="F289" s="388"/>
      <c r="G289" s="756">
        <f t="shared" si="170"/>
        <v>0</v>
      </c>
      <c r="H289" s="756">
        <f t="shared" ref="H289:M289" si="173">(H126*$D126)</f>
        <v>0</v>
      </c>
      <c r="I289" s="756">
        <f t="shared" si="173"/>
        <v>0</v>
      </c>
      <c r="J289" s="756">
        <f t="shared" si="173"/>
        <v>0</v>
      </c>
      <c r="K289" s="756">
        <f t="shared" si="173"/>
        <v>0</v>
      </c>
      <c r="L289" s="756">
        <f t="shared" si="173"/>
        <v>0</v>
      </c>
      <c r="M289" s="756">
        <f t="shared" si="173"/>
        <v>0</v>
      </c>
      <c r="N289" s="30"/>
      <c r="O289" s="119"/>
      <c r="P289" s="30"/>
      <c r="Q289" s="220"/>
      <c r="R289" s="220"/>
      <c r="S289" s="220"/>
      <c r="T289" s="220"/>
      <c r="U289" s="220"/>
      <c r="V289" s="220"/>
      <c r="W289" s="220"/>
      <c r="X289" s="220"/>
      <c r="Y289" s="220"/>
      <c r="Z289" s="220"/>
      <c r="AA289" s="220"/>
      <c r="AB289" s="220"/>
      <c r="AC289" s="220"/>
      <c r="AD289" s="220"/>
      <c r="AE289" s="220"/>
    </row>
    <row r="290" ht="13.5" customHeight="1" outlineLevel="1">
      <c r="A290" s="814">
        <f t="shared" si="138"/>
        <v>290</v>
      </c>
      <c r="B290" s="978" t="str">
        <f t="shared" si="167"/>
        <v>Registrar</v>
      </c>
      <c r="C290" s="115">
        <f t="shared" si="169"/>
        <v>428400</v>
      </c>
      <c r="D290" s="388"/>
      <c r="E290" s="388"/>
      <c r="F290" s="388"/>
      <c r="G290" s="756">
        <f t="shared" si="170"/>
        <v>61200</v>
      </c>
      <c r="H290" s="756">
        <f t="shared" ref="H290:M290" si="174">(H127*$D127)</f>
        <v>61200</v>
      </c>
      <c r="I290" s="756">
        <f t="shared" si="174"/>
        <v>61200</v>
      </c>
      <c r="J290" s="756">
        <f t="shared" si="174"/>
        <v>61200</v>
      </c>
      <c r="K290" s="756">
        <f t="shared" si="174"/>
        <v>61200</v>
      </c>
      <c r="L290" s="756">
        <f t="shared" si="174"/>
        <v>61200</v>
      </c>
      <c r="M290" s="756">
        <f t="shared" si="174"/>
        <v>61200</v>
      </c>
      <c r="N290" s="30"/>
      <c r="O290" s="119"/>
      <c r="P290" s="30"/>
      <c r="Q290" s="220"/>
      <c r="R290" s="220"/>
      <c r="S290" s="220"/>
      <c r="T290" s="220"/>
      <c r="U290" s="220"/>
      <c r="V290" s="220"/>
      <c r="W290" s="220"/>
      <c r="X290" s="220"/>
      <c r="Y290" s="220"/>
      <c r="Z290" s="220"/>
      <c r="AA290" s="220"/>
      <c r="AB290" s="220"/>
      <c r="AC290" s="220"/>
      <c r="AD290" s="220"/>
      <c r="AE290" s="220"/>
    </row>
    <row r="291" ht="13.5" customHeight="1" outlineLevel="1">
      <c r="A291" s="814">
        <f t="shared" si="138"/>
        <v>291</v>
      </c>
      <c r="B291" s="978" t="str">
        <f t="shared" si="167"/>
        <v>Custodial/grounds workers</v>
      </c>
      <c r="C291" s="115">
        <f t="shared" si="169"/>
        <v>357000</v>
      </c>
      <c r="D291" s="388"/>
      <c r="E291" s="388"/>
      <c r="F291" s="388"/>
      <c r="G291" s="756">
        <f t="shared" si="170"/>
        <v>51000</v>
      </c>
      <c r="H291" s="756">
        <f t="shared" ref="H291:M291" si="175">(H128*$D128)</f>
        <v>51000</v>
      </c>
      <c r="I291" s="756">
        <f t="shared" si="175"/>
        <v>51000</v>
      </c>
      <c r="J291" s="756">
        <f t="shared" si="175"/>
        <v>51000</v>
      </c>
      <c r="K291" s="756">
        <f t="shared" si="175"/>
        <v>51000</v>
      </c>
      <c r="L291" s="756">
        <f t="shared" si="175"/>
        <v>51000</v>
      </c>
      <c r="M291" s="756">
        <f t="shared" si="175"/>
        <v>51000</v>
      </c>
      <c r="N291" s="30"/>
      <c r="O291" s="119"/>
      <c r="P291" s="30"/>
      <c r="Q291" s="220"/>
      <c r="R291" s="220"/>
      <c r="S291" s="220"/>
      <c r="T291" s="220"/>
      <c r="U291" s="220"/>
      <c r="V291" s="220"/>
      <c r="W291" s="220"/>
      <c r="X291" s="220"/>
      <c r="Y291" s="220"/>
      <c r="Z291" s="220"/>
      <c r="AA291" s="220"/>
      <c r="AB291" s="220"/>
      <c r="AC291" s="220"/>
      <c r="AD291" s="220"/>
      <c r="AE291" s="220"/>
    </row>
    <row r="292" ht="13.5" customHeight="1" outlineLevel="1">
      <c r="A292" s="814">
        <f t="shared" si="138"/>
        <v>292</v>
      </c>
      <c r="B292" s="978" t="str">
        <f t="shared" si="167"/>
        <v>Technology Specialist</v>
      </c>
      <c r="C292" s="115">
        <f t="shared" si="169"/>
        <v>439824</v>
      </c>
      <c r="D292" s="388"/>
      <c r="E292" s="388"/>
      <c r="F292" s="388"/>
      <c r="G292" s="756">
        <f t="shared" si="170"/>
        <v>62832</v>
      </c>
      <c r="H292" s="756">
        <f t="shared" ref="H292:M292" si="176">(H129*$D129)</f>
        <v>62832</v>
      </c>
      <c r="I292" s="756">
        <f t="shared" si="176"/>
        <v>62832</v>
      </c>
      <c r="J292" s="756">
        <f t="shared" si="176"/>
        <v>62832</v>
      </c>
      <c r="K292" s="756">
        <f t="shared" si="176"/>
        <v>62832</v>
      </c>
      <c r="L292" s="756">
        <f t="shared" si="176"/>
        <v>62832</v>
      </c>
      <c r="M292" s="756">
        <f t="shared" si="176"/>
        <v>62832</v>
      </c>
      <c r="N292" s="30"/>
      <c r="O292" s="119"/>
      <c r="P292" s="30"/>
      <c r="Q292" s="220"/>
      <c r="R292" s="220"/>
      <c r="S292" s="220"/>
      <c r="T292" s="220"/>
      <c r="U292" s="220"/>
      <c r="V292" s="220"/>
      <c r="W292" s="220"/>
      <c r="X292" s="220"/>
      <c r="Y292" s="220"/>
      <c r="Z292" s="220"/>
      <c r="AA292" s="220"/>
      <c r="AB292" s="220"/>
      <c r="AC292" s="220"/>
      <c r="AD292" s="220"/>
      <c r="AE292" s="220"/>
    </row>
    <row r="293" ht="13.5" customHeight="1" outlineLevel="1">
      <c r="A293" s="814">
        <f t="shared" si="138"/>
        <v>293</v>
      </c>
      <c r="B293" s="978" t="str">
        <f t="shared" si="167"/>
        <v>FASA</v>
      </c>
      <c r="C293" s="115">
        <f t="shared" si="169"/>
        <v>321489</v>
      </c>
      <c r="D293" s="388"/>
      <c r="E293" s="388"/>
      <c r="F293" s="388"/>
      <c r="G293" s="756">
        <f t="shared" si="170"/>
        <v>45927</v>
      </c>
      <c r="H293" s="756">
        <f t="shared" ref="H293:M293" si="177">(H130*$D130)</f>
        <v>45927</v>
      </c>
      <c r="I293" s="756">
        <f t="shared" si="177"/>
        <v>45927</v>
      </c>
      <c r="J293" s="756">
        <f t="shared" si="177"/>
        <v>45927</v>
      </c>
      <c r="K293" s="756">
        <f t="shared" si="177"/>
        <v>45927</v>
      </c>
      <c r="L293" s="756">
        <f t="shared" si="177"/>
        <v>45927</v>
      </c>
      <c r="M293" s="756">
        <f t="shared" si="177"/>
        <v>45927</v>
      </c>
      <c r="N293" s="30"/>
      <c r="O293" s="119"/>
      <c r="P293" s="30"/>
      <c r="Q293" s="220"/>
      <c r="R293" s="220"/>
      <c r="S293" s="220"/>
      <c r="T293" s="220"/>
      <c r="U293" s="220"/>
      <c r="V293" s="220"/>
      <c r="W293" s="220"/>
      <c r="X293" s="220"/>
      <c r="Y293" s="220"/>
      <c r="Z293" s="220"/>
      <c r="AA293" s="220"/>
      <c r="AB293" s="220"/>
      <c r="AC293" s="220"/>
      <c r="AD293" s="220"/>
      <c r="AE293" s="220"/>
    </row>
    <row r="294" ht="13.5" customHeight="1" outlineLevel="1">
      <c r="A294" s="814">
        <f t="shared" si="138"/>
        <v>294</v>
      </c>
      <c r="B294" s="978" t="str">
        <f t="shared" si="167"/>
        <v>FASA</v>
      </c>
      <c r="C294" s="115">
        <f t="shared" si="169"/>
        <v>230300</v>
      </c>
      <c r="D294" s="388"/>
      <c r="E294" s="388"/>
      <c r="F294" s="388"/>
      <c r="G294" s="756">
        <f t="shared" si="170"/>
        <v>32900</v>
      </c>
      <c r="H294" s="756">
        <f t="shared" ref="H294:M294" si="178">(H131*$D131)</f>
        <v>32900</v>
      </c>
      <c r="I294" s="756">
        <f t="shared" si="178"/>
        <v>32900</v>
      </c>
      <c r="J294" s="756">
        <f t="shared" si="178"/>
        <v>32900</v>
      </c>
      <c r="K294" s="756">
        <f t="shared" si="178"/>
        <v>32900</v>
      </c>
      <c r="L294" s="756">
        <f t="shared" si="178"/>
        <v>32900</v>
      </c>
      <c r="M294" s="756">
        <f t="shared" si="178"/>
        <v>32900</v>
      </c>
      <c r="N294" s="30"/>
      <c r="O294" s="119"/>
      <c r="P294" s="30"/>
      <c r="Q294" s="220"/>
      <c r="R294" s="220"/>
      <c r="S294" s="220"/>
      <c r="T294" s="220"/>
      <c r="U294" s="220"/>
      <c r="V294" s="220"/>
      <c r="W294" s="220"/>
      <c r="X294" s="220"/>
      <c r="Y294" s="220"/>
      <c r="Z294" s="220"/>
      <c r="AA294" s="220"/>
      <c r="AB294" s="220"/>
      <c r="AC294" s="220"/>
      <c r="AD294" s="220"/>
      <c r="AE294" s="220"/>
    </row>
    <row r="295" ht="13.5" customHeight="1" outlineLevel="1">
      <c r="A295" s="814">
        <f t="shared" si="138"/>
        <v>295</v>
      </c>
      <c r="B295" s="978" t="str">
        <f t="shared" si="167"/>
        <v/>
      </c>
      <c r="C295" s="115">
        <f t="shared" si="169"/>
        <v>0</v>
      </c>
      <c r="D295" s="388"/>
      <c r="E295" s="388"/>
      <c r="F295" s="388"/>
      <c r="G295" s="756">
        <f t="shared" si="170"/>
        <v>0</v>
      </c>
      <c r="H295" s="756">
        <f t="shared" ref="H295:M295" si="179">(H132*$D132)</f>
        <v>0</v>
      </c>
      <c r="I295" s="756">
        <f t="shared" si="179"/>
        <v>0</v>
      </c>
      <c r="J295" s="756">
        <f t="shared" si="179"/>
        <v>0</v>
      </c>
      <c r="K295" s="756">
        <f t="shared" si="179"/>
        <v>0</v>
      </c>
      <c r="L295" s="756">
        <f t="shared" si="179"/>
        <v>0</v>
      </c>
      <c r="M295" s="756">
        <f t="shared" si="179"/>
        <v>0</v>
      </c>
      <c r="N295" s="30"/>
      <c r="O295" s="119"/>
      <c r="P295" s="30"/>
      <c r="Q295" s="220"/>
      <c r="R295" s="220"/>
      <c r="S295" s="220"/>
      <c r="T295" s="220"/>
      <c r="U295" s="220"/>
      <c r="V295" s="220"/>
      <c r="W295" s="220"/>
      <c r="X295" s="220"/>
      <c r="Y295" s="220"/>
      <c r="Z295" s="220"/>
      <c r="AA295" s="220"/>
      <c r="AB295" s="220"/>
      <c r="AC295" s="220"/>
      <c r="AD295" s="220"/>
      <c r="AE295" s="220"/>
    </row>
    <row r="296" ht="13.5" customHeight="1" outlineLevel="1">
      <c r="A296" s="814">
        <f t="shared" si="138"/>
        <v>296</v>
      </c>
      <c r="B296" s="978" t="str">
        <f t="shared" si="167"/>
        <v/>
      </c>
      <c r="C296" s="115">
        <f t="shared" si="169"/>
        <v>0</v>
      </c>
      <c r="D296" s="388"/>
      <c r="E296" s="388"/>
      <c r="F296" s="388"/>
      <c r="G296" s="756">
        <f t="shared" si="170"/>
        <v>0</v>
      </c>
      <c r="H296" s="756">
        <f t="shared" ref="H296:M296" si="180">(H133*$D133)</f>
        <v>0</v>
      </c>
      <c r="I296" s="756">
        <f t="shared" si="180"/>
        <v>0</v>
      </c>
      <c r="J296" s="756">
        <f t="shared" si="180"/>
        <v>0</v>
      </c>
      <c r="K296" s="756">
        <f t="shared" si="180"/>
        <v>0</v>
      </c>
      <c r="L296" s="756">
        <f t="shared" si="180"/>
        <v>0</v>
      </c>
      <c r="M296" s="756">
        <f t="shared" si="180"/>
        <v>0</v>
      </c>
      <c r="N296" s="30"/>
      <c r="O296" s="119"/>
      <c r="P296" s="30"/>
      <c r="Q296" s="220"/>
      <c r="R296" s="220"/>
      <c r="S296" s="220"/>
      <c r="T296" s="220"/>
      <c r="U296" s="220"/>
      <c r="V296" s="220"/>
      <c r="W296" s="220"/>
      <c r="X296" s="220"/>
      <c r="Y296" s="220"/>
      <c r="Z296" s="220"/>
      <c r="AA296" s="220"/>
      <c r="AB296" s="220"/>
      <c r="AC296" s="220"/>
      <c r="AD296" s="220"/>
      <c r="AE296" s="220"/>
    </row>
    <row r="297" ht="13.5" customHeight="1" outlineLevel="1">
      <c r="A297" s="814">
        <f t="shared" si="138"/>
        <v>297</v>
      </c>
      <c r="B297" s="981" t="str">
        <f t="shared" si="167"/>
        <v>Total Guidance Counselors/Other</v>
      </c>
      <c r="C297" s="979">
        <f t="shared" si="169"/>
        <v>3025470</v>
      </c>
      <c r="D297" s="980"/>
      <c r="E297" s="980"/>
      <c r="F297" s="980"/>
      <c r="G297" s="977">
        <f t="shared" ref="G297:M297" si="181">SUM(G286:G296)</f>
        <v>432210</v>
      </c>
      <c r="H297" s="977">
        <f t="shared" si="181"/>
        <v>432210</v>
      </c>
      <c r="I297" s="977">
        <f t="shared" si="181"/>
        <v>432210</v>
      </c>
      <c r="J297" s="977">
        <f t="shared" si="181"/>
        <v>432210</v>
      </c>
      <c r="K297" s="977">
        <f t="shared" si="181"/>
        <v>432210</v>
      </c>
      <c r="L297" s="977">
        <f t="shared" si="181"/>
        <v>432210</v>
      </c>
      <c r="M297" s="977">
        <f t="shared" si="181"/>
        <v>432210</v>
      </c>
      <c r="N297" s="30"/>
      <c r="O297" s="119"/>
      <c r="P297" s="30"/>
      <c r="Q297" s="220"/>
      <c r="R297" s="220"/>
      <c r="S297" s="220"/>
      <c r="T297" s="220"/>
      <c r="U297" s="220"/>
      <c r="V297" s="220"/>
      <c r="W297" s="220"/>
      <c r="X297" s="220"/>
      <c r="Y297" s="220"/>
      <c r="Z297" s="220"/>
      <c r="AA297" s="220"/>
      <c r="AB297" s="220"/>
      <c r="AC297" s="220"/>
      <c r="AD297" s="220"/>
      <c r="AE297" s="220"/>
    </row>
    <row r="298" ht="13.5" customHeight="1" outlineLevel="1">
      <c r="A298" s="814">
        <f t="shared" si="138"/>
        <v>298</v>
      </c>
      <c r="B298" s="30"/>
      <c r="C298" s="388"/>
      <c r="D298" s="388"/>
      <c r="E298" s="388"/>
      <c r="F298" s="388"/>
      <c r="G298" s="115"/>
      <c r="H298" s="115"/>
      <c r="I298" s="115"/>
      <c r="J298" s="115"/>
      <c r="K298" s="115"/>
      <c r="L298" s="115"/>
      <c r="M298" s="115"/>
      <c r="N298" s="30"/>
      <c r="O298" s="119"/>
      <c r="P298" s="30"/>
      <c r="Q298" s="220"/>
      <c r="R298" s="220"/>
      <c r="S298" s="220"/>
      <c r="T298" s="220"/>
      <c r="U298" s="220"/>
      <c r="V298" s="220"/>
      <c r="W298" s="220"/>
      <c r="X298" s="220"/>
      <c r="Y298" s="220"/>
      <c r="Z298" s="220"/>
      <c r="AA298" s="220"/>
      <c r="AB298" s="220"/>
      <c r="AC298" s="220"/>
      <c r="AD298" s="220"/>
      <c r="AE298" s="220"/>
    </row>
    <row r="299" ht="13.5" customHeight="1" outlineLevel="1">
      <c r="A299" s="814">
        <f t="shared" si="138"/>
        <v>299</v>
      </c>
      <c r="B299" s="978" t="str">
        <f t="shared" ref="B299:B301" si="183">$B143</f>
        <v>Grade Level Teacher</v>
      </c>
      <c r="C299" s="388">
        <f t="shared" ref="C299:C392" si="184">SUM(G299:M299)</f>
        <v>0</v>
      </c>
      <c r="D299" s="388"/>
      <c r="E299" s="388"/>
      <c r="F299" s="388"/>
      <c r="G299" s="756">
        <f t="shared" ref="G299:G301" si="185">G143*$E143</f>
        <v>0</v>
      </c>
      <c r="H299" s="756">
        <f t="shared" ref="H299:M299" si="182">(H143*$E143)</f>
        <v>0</v>
      </c>
      <c r="I299" s="756">
        <f t="shared" si="182"/>
        <v>0</v>
      </c>
      <c r="J299" s="756">
        <f t="shared" si="182"/>
        <v>0</v>
      </c>
      <c r="K299" s="756">
        <f t="shared" si="182"/>
        <v>0</v>
      </c>
      <c r="L299" s="756">
        <f t="shared" si="182"/>
        <v>0</v>
      </c>
      <c r="M299" s="756">
        <f t="shared" si="182"/>
        <v>0</v>
      </c>
      <c r="N299" s="30"/>
      <c r="O299" s="119"/>
      <c r="P299" s="30"/>
      <c r="Q299" s="220"/>
      <c r="R299" s="220"/>
      <c r="S299" s="220"/>
      <c r="T299" s="220"/>
      <c r="U299" s="220"/>
      <c r="V299" s="220"/>
      <c r="W299" s="220"/>
      <c r="X299" s="220"/>
      <c r="Y299" s="220"/>
      <c r="Z299" s="220"/>
      <c r="AA299" s="220"/>
      <c r="AB299" s="220"/>
      <c r="AC299" s="220"/>
      <c r="AD299" s="220"/>
      <c r="AE299" s="220"/>
    </row>
    <row r="300" ht="13.5" customHeight="1" outlineLevel="1">
      <c r="A300" s="814">
        <f t="shared" si="138"/>
        <v>300</v>
      </c>
      <c r="B300" s="978" t="str">
        <f t="shared" si="183"/>
        <v>Grade Level Teacher</v>
      </c>
      <c r="C300" s="388">
        <f t="shared" si="184"/>
        <v>0</v>
      </c>
      <c r="D300" s="388"/>
      <c r="E300" s="388"/>
      <c r="F300" s="388"/>
      <c r="G300" s="756">
        <f t="shared" si="185"/>
        <v>0</v>
      </c>
      <c r="H300" s="756">
        <f t="shared" ref="H300:M300" si="186">(H144*$E144)</f>
        <v>0</v>
      </c>
      <c r="I300" s="756">
        <f t="shared" si="186"/>
        <v>0</v>
      </c>
      <c r="J300" s="756">
        <f t="shared" si="186"/>
        <v>0</v>
      </c>
      <c r="K300" s="756">
        <f t="shared" si="186"/>
        <v>0</v>
      </c>
      <c r="L300" s="756">
        <f t="shared" si="186"/>
        <v>0</v>
      </c>
      <c r="M300" s="756">
        <f t="shared" si="186"/>
        <v>0</v>
      </c>
      <c r="N300" s="30"/>
      <c r="O300" s="119"/>
      <c r="P300" s="30"/>
      <c r="Q300" s="220"/>
      <c r="R300" s="220"/>
      <c r="S300" s="220"/>
      <c r="T300" s="220"/>
      <c r="U300" s="220"/>
      <c r="V300" s="220"/>
      <c r="W300" s="220"/>
      <c r="X300" s="220"/>
      <c r="Y300" s="220"/>
      <c r="Z300" s="220"/>
      <c r="AA300" s="220"/>
      <c r="AB300" s="220"/>
      <c r="AC300" s="220"/>
      <c r="AD300" s="220"/>
      <c r="AE300" s="220"/>
    </row>
    <row r="301" ht="13.5" customHeight="1" outlineLevel="1">
      <c r="A301" s="814">
        <f t="shared" si="138"/>
        <v>301</v>
      </c>
      <c r="B301" s="978" t="str">
        <f t="shared" si="183"/>
        <v>Grade Level Teacher</v>
      </c>
      <c r="C301" s="388">
        <f t="shared" si="184"/>
        <v>0</v>
      </c>
      <c r="D301" s="388"/>
      <c r="E301" s="388"/>
      <c r="F301" s="388"/>
      <c r="G301" s="756">
        <f t="shared" si="185"/>
        <v>0</v>
      </c>
      <c r="H301" s="756">
        <f t="shared" ref="H301:M301" si="187">(H145*$E145)</f>
        <v>0</v>
      </c>
      <c r="I301" s="756">
        <f t="shared" si="187"/>
        <v>0</v>
      </c>
      <c r="J301" s="756">
        <f t="shared" si="187"/>
        <v>0</v>
      </c>
      <c r="K301" s="756">
        <f t="shared" si="187"/>
        <v>0</v>
      </c>
      <c r="L301" s="756">
        <f t="shared" si="187"/>
        <v>0</v>
      </c>
      <c r="M301" s="756">
        <f t="shared" si="187"/>
        <v>0</v>
      </c>
      <c r="N301" s="30"/>
      <c r="O301" s="119"/>
      <c r="P301" s="30"/>
      <c r="Q301" s="220"/>
      <c r="R301" s="220"/>
      <c r="S301" s="220"/>
      <c r="T301" s="220"/>
      <c r="U301" s="220"/>
      <c r="V301" s="220"/>
      <c r="W301" s="220"/>
      <c r="X301" s="220"/>
      <c r="Y301" s="220"/>
      <c r="Z301" s="220"/>
      <c r="AA301" s="220"/>
      <c r="AB301" s="220"/>
      <c r="AC301" s="220"/>
      <c r="AD301" s="220"/>
      <c r="AE301" s="220"/>
    </row>
    <row r="302" ht="13.5" customHeight="1" outlineLevel="1">
      <c r="A302" s="814">
        <f t="shared" si="138"/>
        <v>302</v>
      </c>
      <c r="B302" s="978"/>
      <c r="C302" s="388">
        <f t="shared" si="184"/>
        <v>0</v>
      </c>
      <c r="D302" s="388"/>
      <c r="E302" s="388"/>
      <c r="F302" s="388"/>
      <c r="G302" s="756"/>
      <c r="H302" s="756"/>
      <c r="I302" s="756"/>
      <c r="J302" s="756"/>
      <c r="K302" s="756"/>
      <c r="L302" s="756"/>
      <c r="M302" s="756"/>
      <c r="N302" s="30"/>
      <c r="O302" s="119"/>
      <c r="P302" s="30"/>
      <c r="Q302" s="220"/>
      <c r="R302" s="220"/>
      <c r="S302" s="220"/>
      <c r="T302" s="220"/>
      <c r="U302" s="220"/>
      <c r="V302" s="220"/>
      <c r="W302" s="220"/>
      <c r="X302" s="220"/>
      <c r="Y302" s="220"/>
      <c r="Z302" s="220"/>
      <c r="AA302" s="220"/>
      <c r="AB302" s="220"/>
      <c r="AC302" s="220"/>
      <c r="AD302" s="220"/>
      <c r="AE302" s="220"/>
    </row>
    <row r="303" ht="13.5" customHeight="1" outlineLevel="1">
      <c r="A303" s="814">
        <f t="shared" si="138"/>
        <v>303</v>
      </c>
      <c r="B303" s="978" t="str">
        <f t="shared" ref="B303:B307" si="189">$B147</f>
        <v>Kindergarten Teacher</v>
      </c>
      <c r="C303" s="388">
        <f t="shared" si="184"/>
        <v>373492</v>
      </c>
      <c r="D303" s="388"/>
      <c r="E303" s="388"/>
      <c r="F303" s="388"/>
      <c r="G303" s="756">
        <f t="shared" ref="G303:G307" si="190">G147*$E147</f>
        <v>53356</v>
      </c>
      <c r="H303" s="756">
        <f t="shared" ref="H303:M303" si="188">(H147*$E147)</f>
        <v>53356</v>
      </c>
      <c r="I303" s="756">
        <f t="shared" si="188"/>
        <v>53356</v>
      </c>
      <c r="J303" s="756">
        <f t="shared" si="188"/>
        <v>53356</v>
      </c>
      <c r="K303" s="756">
        <f t="shared" si="188"/>
        <v>53356</v>
      </c>
      <c r="L303" s="756">
        <f t="shared" si="188"/>
        <v>53356</v>
      </c>
      <c r="M303" s="756">
        <f t="shared" si="188"/>
        <v>53356</v>
      </c>
      <c r="N303" s="30"/>
      <c r="O303" s="119"/>
      <c r="P303" s="30"/>
      <c r="Q303" s="220"/>
      <c r="R303" s="220"/>
      <c r="S303" s="220"/>
      <c r="T303" s="220"/>
      <c r="U303" s="220"/>
      <c r="V303" s="220"/>
      <c r="W303" s="220"/>
      <c r="X303" s="220"/>
      <c r="Y303" s="220"/>
      <c r="Z303" s="220"/>
      <c r="AA303" s="220"/>
      <c r="AB303" s="220"/>
      <c r="AC303" s="220"/>
      <c r="AD303" s="220"/>
      <c r="AE303" s="220"/>
    </row>
    <row r="304" ht="13.5" customHeight="1" outlineLevel="1">
      <c r="A304" s="814">
        <f t="shared" si="138"/>
        <v>304</v>
      </c>
      <c r="B304" s="978" t="str">
        <f t="shared" si="189"/>
        <v>Kindergarten Teacher</v>
      </c>
      <c r="C304" s="388">
        <f t="shared" si="184"/>
        <v>451500</v>
      </c>
      <c r="D304" s="388"/>
      <c r="E304" s="388"/>
      <c r="F304" s="388"/>
      <c r="G304" s="756">
        <f t="shared" si="190"/>
        <v>64500</v>
      </c>
      <c r="H304" s="756">
        <f t="shared" ref="H304:M304" si="191">(H148*$E148)</f>
        <v>64500</v>
      </c>
      <c r="I304" s="756">
        <f t="shared" si="191"/>
        <v>64500</v>
      </c>
      <c r="J304" s="756">
        <f t="shared" si="191"/>
        <v>64500</v>
      </c>
      <c r="K304" s="756">
        <f t="shared" si="191"/>
        <v>64500</v>
      </c>
      <c r="L304" s="756">
        <f t="shared" si="191"/>
        <v>64500</v>
      </c>
      <c r="M304" s="756">
        <f t="shared" si="191"/>
        <v>64500</v>
      </c>
      <c r="N304" s="30"/>
      <c r="O304" s="119"/>
      <c r="P304" s="30"/>
      <c r="Q304" s="220"/>
      <c r="R304" s="220"/>
      <c r="S304" s="220"/>
      <c r="T304" s="220"/>
      <c r="U304" s="220"/>
      <c r="V304" s="220"/>
      <c r="W304" s="220"/>
      <c r="X304" s="220"/>
      <c r="Y304" s="220"/>
      <c r="Z304" s="220"/>
      <c r="AA304" s="220"/>
      <c r="AB304" s="220"/>
      <c r="AC304" s="220"/>
      <c r="AD304" s="220"/>
      <c r="AE304" s="220"/>
    </row>
    <row r="305" ht="13.5" customHeight="1" outlineLevel="1">
      <c r="A305" s="814">
        <f t="shared" si="138"/>
        <v>305</v>
      </c>
      <c r="B305" s="978" t="str">
        <f t="shared" si="189"/>
        <v>Kindergarten Teacher</v>
      </c>
      <c r="C305" s="388">
        <f t="shared" si="184"/>
        <v>0</v>
      </c>
      <c r="D305" s="388"/>
      <c r="E305" s="388"/>
      <c r="F305" s="388"/>
      <c r="G305" s="756">
        <f t="shared" si="190"/>
        <v>0</v>
      </c>
      <c r="H305" s="756">
        <f t="shared" ref="H305:M305" si="192">(H149*$E149)</f>
        <v>0</v>
      </c>
      <c r="I305" s="756">
        <f t="shared" si="192"/>
        <v>0</v>
      </c>
      <c r="J305" s="756">
        <f t="shared" si="192"/>
        <v>0</v>
      </c>
      <c r="K305" s="756">
        <f t="shared" si="192"/>
        <v>0</v>
      </c>
      <c r="L305" s="756">
        <f t="shared" si="192"/>
        <v>0</v>
      </c>
      <c r="M305" s="756">
        <f t="shared" si="192"/>
        <v>0</v>
      </c>
      <c r="N305" s="30"/>
      <c r="O305" s="119"/>
      <c r="P305" s="30"/>
      <c r="Q305" s="220"/>
      <c r="R305" s="220"/>
      <c r="S305" s="220"/>
      <c r="T305" s="220"/>
      <c r="U305" s="220"/>
      <c r="V305" s="220"/>
      <c r="W305" s="220"/>
      <c r="X305" s="220"/>
      <c r="Y305" s="220"/>
      <c r="Z305" s="220"/>
      <c r="AA305" s="220"/>
      <c r="AB305" s="220"/>
      <c r="AC305" s="220"/>
      <c r="AD305" s="220"/>
      <c r="AE305" s="220"/>
    </row>
    <row r="306" ht="13.5" customHeight="1" outlineLevel="1">
      <c r="A306" s="814">
        <f t="shared" si="138"/>
        <v>306</v>
      </c>
      <c r="B306" s="978" t="str">
        <f t="shared" si="189"/>
        <v>Kindergarten Teacher</v>
      </c>
      <c r="C306" s="388">
        <f t="shared" si="184"/>
        <v>0</v>
      </c>
      <c r="D306" s="388"/>
      <c r="E306" s="388"/>
      <c r="F306" s="388"/>
      <c r="G306" s="756">
        <f t="shared" si="190"/>
        <v>0</v>
      </c>
      <c r="H306" s="756">
        <f t="shared" ref="H306:M306" si="193">(H150*$E150)</f>
        <v>0</v>
      </c>
      <c r="I306" s="756">
        <f t="shared" si="193"/>
        <v>0</v>
      </c>
      <c r="J306" s="756">
        <f t="shared" si="193"/>
        <v>0</v>
      </c>
      <c r="K306" s="756">
        <f t="shared" si="193"/>
        <v>0</v>
      </c>
      <c r="L306" s="756">
        <f t="shared" si="193"/>
        <v>0</v>
      </c>
      <c r="M306" s="756">
        <f t="shared" si="193"/>
        <v>0</v>
      </c>
      <c r="N306" s="30"/>
      <c r="O306" s="119"/>
      <c r="P306" s="30"/>
      <c r="Q306" s="220"/>
      <c r="R306" s="220"/>
      <c r="S306" s="220"/>
      <c r="T306" s="220"/>
      <c r="U306" s="220"/>
      <c r="V306" s="220"/>
      <c r="W306" s="220"/>
      <c r="X306" s="220"/>
      <c r="Y306" s="220"/>
      <c r="Z306" s="220"/>
      <c r="AA306" s="220"/>
      <c r="AB306" s="220"/>
      <c r="AC306" s="220"/>
      <c r="AD306" s="220"/>
      <c r="AE306" s="220"/>
    </row>
    <row r="307" ht="13.5" customHeight="1" outlineLevel="1">
      <c r="A307" s="814">
        <f t="shared" si="138"/>
        <v>307</v>
      </c>
      <c r="B307" s="978" t="str">
        <f t="shared" si="189"/>
        <v/>
      </c>
      <c r="C307" s="388">
        <f t="shared" si="184"/>
        <v>0</v>
      </c>
      <c r="D307" s="388"/>
      <c r="E307" s="388"/>
      <c r="F307" s="388"/>
      <c r="G307" s="756">
        <f t="shared" si="190"/>
        <v>0</v>
      </c>
      <c r="H307" s="756">
        <f t="shared" ref="H307:M307" si="194">(H151*$E151)</f>
        <v>0</v>
      </c>
      <c r="I307" s="756">
        <f t="shared" si="194"/>
        <v>0</v>
      </c>
      <c r="J307" s="756">
        <f t="shared" si="194"/>
        <v>0</v>
      </c>
      <c r="K307" s="756">
        <f t="shared" si="194"/>
        <v>0</v>
      </c>
      <c r="L307" s="756">
        <f t="shared" si="194"/>
        <v>0</v>
      </c>
      <c r="M307" s="756">
        <f t="shared" si="194"/>
        <v>0</v>
      </c>
      <c r="N307" s="30"/>
      <c r="O307" s="119"/>
      <c r="P307" s="30"/>
      <c r="Q307" s="220"/>
      <c r="R307" s="220"/>
      <c r="S307" s="220"/>
      <c r="T307" s="220"/>
      <c r="U307" s="220"/>
      <c r="V307" s="220"/>
      <c r="W307" s="220"/>
      <c r="X307" s="220"/>
      <c r="Y307" s="220"/>
      <c r="Z307" s="220"/>
      <c r="AA307" s="220"/>
      <c r="AB307" s="220"/>
      <c r="AC307" s="220"/>
      <c r="AD307" s="220"/>
      <c r="AE307" s="220"/>
    </row>
    <row r="308" ht="13.5" customHeight="1" outlineLevel="1">
      <c r="A308" s="814">
        <f t="shared" si="138"/>
        <v>308</v>
      </c>
      <c r="B308" s="978"/>
      <c r="C308" s="388">
        <f t="shared" si="184"/>
        <v>0</v>
      </c>
      <c r="D308" s="388"/>
      <c r="E308" s="388"/>
      <c r="F308" s="388"/>
      <c r="G308" s="756"/>
      <c r="H308" s="756"/>
      <c r="I308" s="756"/>
      <c r="J308" s="756"/>
      <c r="K308" s="756"/>
      <c r="L308" s="756"/>
      <c r="M308" s="756"/>
      <c r="N308" s="30"/>
      <c r="O308" s="119"/>
      <c r="P308" s="30"/>
      <c r="Q308" s="220"/>
      <c r="R308" s="220"/>
      <c r="S308" s="220"/>
      <c r="T308" s="220"/>
      <c r="U308" s="220"/>
      <c r="V308" s="220"/>
      <c r="W308" s="220"/>
      <c r="X308" s="220"/>
      <c r="Y308" s="220"/>
      <c r="Z308" s="220"/>
      <c r="AA308" s="220"/>
      <c r="AB308" s="220"/>
      <c r="AC308" s="220"/>
      <c r="AD308" s="220"/>
      <c r="AE308" s="220"/>
    </row>
    <row r="309" ht="13.5" customHeight="1" outlineLevel="1">
      <c r="A309" s="814">
        <f t="shared" si="138"/>
        <v>309</v>
      </c>
      <c r="B309" s="978" t="str">
        <f t="shared" ref="B309:B313" si="196">$B153</f>
        <v>1st Grade Teacher</v>
      </c>
      <c r="C309" s="388">
        <f t="shared" si="184"/>
        <v>460551</v>
      </c>
      <c r="D309" s="388"/>
      <c r="E309" s="388"/>
      <c r="F309" s="388"/>
      <c r="G309" s="756">
        <f t="shared" ref="G309:G313" si="197">G153*$E153</f>
        <v>65793</v>
      </c>
      <c r="H309" s="756">
        <f t="shared" ref="H309:M309" si="195">(H153*$E153)</f>
        <v>65793</v>
      </c>
      <c r="I309" s="756">
        <f t="shared" si="195"/>
        <v>65793</v>
      </c>
      <c r="J309" s="756">
        <f t="shared" si="195"/>
        <v>65793</v>
      </c>
      <c r="K309" s="756">
        <f t="shared" si="195"/>
        <v>65793</v>
      </c>
      <c r="L309" s="756">
        <f t="shared" si="195"/>
        <v>65793</v>
      </c>
      <c r="M309" s="756">
        <f t="shared" si="195"/>
        <v>65793</v>
      </c>
      <c r="N309" s="30"/>
      <c r="O309" s="119"/>
      <c r="P309" s="30"/>
      <c r="Q309" s="220"/>
      <c r="R309" s="220"/>
      <c r="S309" s="220"/>
      <c r="T309" s="220"/>
      <c r="U309" s="220"/>
      <c r="V309" s="220"/>
      <c r="W309" s="220"/>
      <c r="X309" s="220"/>
      <c r="Y309" s="220"/>
      <c r="Z309" s="220"/>
      <c r="AA309" s="220"/>
      <c r="AB309" s="220"/>
      <c r="AC309" s="220"/>
      <c r="AD309" s="220"/>
      <c r="AE309" s="220"/>
    </row>
    <row r="310" ht="13.5" customHeight="1" outlineLevel="1">
      <c r="A310" s="814">
        <f t="shared" si="138"/>
        <v>310</v>
      </c>
      <c r="B310" s="978" t="str">
        <f t="shared" si="196"/>
        <v>1st Grade Teacher</v>
      </c>
      <c r="C310" s="388">
        <f t="shared" si="184"/>
        <v>569989</v>
      </c>
      <c r="D310" s="388"/>
      <c r="E310" s="388"/>
      <c r="F310" s="388"/>
      <c r="G310" s="756">
        <f t="shared" si="197"/>
        <v>81427</v>
      </c>
      <c r="H310" s="756">
        <f t="shared" ref="H310:M310" si="198">(H154*$E154)</f>
        <v>81427</v>
      </c>
      <c r="I310" s="756">
        <f t="shared" si="198"/>
        <v>81427</v>
      </c>
      <c r="J310" s="756">
        <f t="shared" si="198"/>
        <v>81427</v>
      </c>
      <c r="K310" s="756">
        <f t="shared" si="198"/>
        <v>81427</v>
      </c>
      <c r="L310" s="756">
        <f t="shared" si="198"/>
        <v>81427</v>
      </c>
      <c r="M310" s="756">
        <f t="shared" si="198"/>
        <v>81427</v>
      </c>
      <c r="N310" s="30"/>
      <c r="O310" s="119"/>
      <c r="P310" s="30"/>
      <c r="Q310" s="220"/>
      <c r="R310" s="220"/>
      <c r="S310" s="220"/>
      <c r="T310" s="220"/>
      <c r="U310" s="220"/>
      <c r="V310" s="220"/>
      <c r="W310" s="220"/>
      <c r="X310" s="220"/>
      <c r="Y310" s="220"/>
      <c r="Z310" s="220"/>
      <c r="AA310" s="220"/>
      <c r="AB310" s="220"/>
      <c r="AC310" s="220"/>
      <c r="AD310" s="220"/>
      <c r="AE310" s="220"/>
    </row>
    <row r="311" ht="13.5" customHeight="1" outlineLevel="1">
      <c r="A311" s="814">
        <f t="shared" si="138"/>
        <v>311</v>
      </c>
      <c r="B311" s="978" t="str">
        <f t="shared" si="196"/>
        <v>1st Grade Teacher</v>
      </c>
      <c r="C311" s="388">
        <f t="shared" si="184"/>
        <v>0</v>
      </c>
      <c r="D311" s="388"/>
      <c r="E311" s="388"/>
      <c r="F311" s="388"/>
      <c r="G311" s="756">
        <f t="shared" si="197"/>
        <v>0</v>
      </c>
      <c r="H311" s="756">
        <f t="shared" ref="H311:M311" si="199">(H155*$E155)</f>
        <v>0</v>
      </c>
      <c r="I311" s="756">
        <f t="shared" si="199"/>
        <v>0</v>
      </c>
      <c r="J311" s="756">
        <f t="shared" si="199"/>
        <v>0</v>
      </c>
      <c r="K311" s="756">
        <f t="shared" si="199"/>
        <v>0</v>
      </c>
      <c r="L311" s="756">
        <f t="shared" si="199"/>
        <v>0</v>
      </c>
      <c r="M311" s="756">
        <f t="shared" si="199"/>
        <v>0</v>
      </c>
      <c r="N311" s="30"/>
      <c r="O311" s="119"/>
      <c r="P311" s="30"/>
      <c r="Q311" s="220"/>
      <c r="R311" s="220"/>
      <c r="S311" s="220"/>
      <c r="T311" s="220"/>
      <c r="U311" s="220"/>
      <c r="V311" s="220"/>
      <c r="W311" s="220"/>
      <c r="X311" s="220"/>
      <c r="Y311" s="220"/>
      <c r="Z311" s="220"/>
      <c r="AA311" s="220"/>
      <c r="AB311" s="220"/>
      <c r="AC311" s="220"/>
      <c r="AD311" s="220"/>
      <c r="AE311" s="220"/>
    </row>
    <row r="312" ht="13.5" customHeight="1" outlineLevel="1">
      <c r="A312" s="814">
        <f t="shared" si="138"/>
        <v>312</v>
      </c>
      <c r="B312" s="978" t="str">
        <f t="shared" si="196"/>
        <v>1st Grade Teacher</v>
      </c>
      <c r="C312" s="388">
        <f t="shared" si="184"/>
        <v>0</v>
      </c>
      <c r="D312" s="388"/>
      <c r="E312" s="388"/>
      <c r="F312" s="388"/>
      <c r="G312" s="756">
        <f t="shared" si="197"/>
        <v>0</v>
      </c>
      <c r="H312" s="756">
        <f t="shared" ref="H312:M312" si="200">(H156*$E156)</f>
        <v>0</v>
      </c>
      <c r="I312" s="756">
        <f t="shared" si="200"/>
        <v>0</v>
      </c>
      <c r="J312" s="756">
        <f t="shared" si="200"/>
        <v>0</v>
      </c>
      <c r="K312" s="756">
        <f t="shared" si="200"/>
        <v>0</v>
      </c>
      <c r="L312" s="756">
        <f t="shared" si="200"/>
        <v>0</v>
      </c>
      <c r="M312" s="756">
        <f t="shared" si="200"/>
        <v>0</v>
      </c>
      <c r="N312" s="30"/>
      <c r="O312" s="119"/>
      <c r="P312" s="30"/>
      <c r="Q312" s="220"/>
      <c r="R312" s="220"/>
      <c r="S312" s="220"/>
      <c r="T312" s="220"/>
      <c r="U312" s="220"/>
      <c r="V312" s="220"/>
      <c r="W312" s="220"/>
      <c r="X312" s="220"/>
      <c r="Y312" s="220"/>
      <c r="Z312" s="220"/>
      <c r="AA312" s="220"/>
      <c r="AB312" s="220"/>
      <c r="AC312" s="220"/>
      <c r="AD312" s="220"/>
      <c r="AE312" s="220"/>
    </row>
    <row r="313" ht="13.5" customHeight="1" outlineLevel="1">
      <c r="A313" s="814">
        <f t="shared" si="138"/>
        <v>313</v>
      </c>
      <c r="B313" s="978" t="str">
        <f t="shared" si="196"/>
        <v/>
      </c>
      <c r="C313" s="388">
        <f t="shared" si="184"/>
        <v>0</v>
      </c>
      <c r="D313" s="388"/>
      <c r="E313" s="388"/>
      <c r="F313" s="388"/>
      <c r="G313" s="756">
        <f t="shared" si="197"/>
        <v>0</v>
      </c>
      <c r="H313" s="756">
        <f t="shared" ref="H313:M313" si="201">(H157*$E157)</f>
        <v>0</v>
      </c>
      <c r="I313" s="756">
        <f t="shared" si="201"/>
        <v>0</v>
      </c>
      <c r="J313" s="756">
        <f t="shared" si="201"/>
        <v>0</v>
      </c>
      <c r="K313" s="756">
        <f t="shared" si="201"/>
        <v>0</v>
      </c>
      <c r="L313" s="756">
        <f t="shared" si="201"/>
        <v>0</v>
      </c>
      <c r="M313" s="756">
        <f t="shared" si="201"/>
        <v>0</v>
      </c>
      <c r="N313" s="30"/>
      <c r="O313" s="119"/>
      <c r="P313" s="30"/>
      <c r="Q313" s="220"/>
      <c r="R313" s="220"/>
      <c r="S313" s="220"/>
      <c r="T313" s="220"/>
      <c r="U313" s="220"/>
      <c r="V313" s="220"/>
      <c r="W313" s="220"/>
      <c r="X313" s="220"/>
      <c r="Y313" s="220"/>
      <c r="Z313" s="220"/>
      <c r="AA313" s="220"/>
      <c r="AB313" s="220"/>
      <c r="AC313" s="220"/>
      <c r="AD313" s="220"/>
      <c r="AE313" s="220"/>
    </row>
    <row r="314" ht="13.5" customHeight="1" outlineLevel="1">
      <c r="A314" s="814">
        <f t="shared" si="138"/>
        <v>314</v>
      </c>
      <c r="B314" s="978"/>
      <c r="C314" s="388">
        <f t="shared" si="184"/>
        <v>0</v>
      </c>
      <c r="D314" s="388"/>
      <c r="E314" s="388"/>
      <c r="F314" s="388"/>
      <c r="G314" s="756"/>
      <c r="H314" s="756"/>
      <c r="I314" s="756"/>
      <c r="J314" s="756"/>
      <c r="K314" s="756"/>
      <c r="L314" s="756"/>
      <c r="M314" s="756"/>
      <c r="N314" s="30"/>
      <c r="O314" s="119"/>
      <c r="P314" s="30"/>
      <c r="Q314" s="220"/>
      <c r="R314" s="220"/>
      <c r="S314" s="220"/>
      <c r="T314" s="220"/>
      <c r="U314" s="220"/>
      <c r="V314" s="220"/>
      <c r="W314" s="220"/>
      <c r="X314" s="220"/>
      <c r="Y314" s="220"/>
      <c r="Z314" s="220"/>
      <c r="AA314" s="220"/>
      <c r="AB314" s="220"/>
      <c r="AC314" s="220"/>
      <c r="AD314" s="220"/>
      <c r="AE314" s="220"/>
    </row>
    <row r="315" ht="13.5" customHeight="1" outlineLevel="1">
      <c r="A315" s="814">
        <f t="shared" si="138"/>
        <v>315</v>
      </c>
      <c r="B315" s="978" t="str">
        <f t="shared" ref="B315:B319" si="203">$B159</f>
        <v>2nd Grade Teacher</v>
      </c>
      <c r="C315" s="388">
        <f t="shared" si="184"/>
        <v>490399</v>
      </c>
      <c r="D315" s="388"/>
      <c r="E315" s="388"/>
      <c r="F315" s="388"/>
      <c r="G315" s="756">
        <f t="shared" ref="G315:G319" si="204">G159*$E159</f>
        <v>70057</v>
      </c>
      <c r="H315" s="756">
        <f t="shared" ref="H315:M315" si="202">(H159*$E159)</f>
        <v>70057</v>
      </c>
      <c r="I315" s="756">
        <f t="shared" si="202"/>
        <v>70057</v>
      </c>
      <c r="J315" s="756">
        <f t="shared" si="202"/>
        <v>70057</v>
      </c>
      <c r="K315" s="756">
        <f t="shared" si="202"/>
        <v>70057</v>
      </c>
      <c r="L315" s="756">
        <f t="shared" si="202"/>
        <v>70057</v>
      </c>
      <c r="M315" s="756">
        <f t="shared" si="202"/>
        <v>70057</v>
      </c>
      <c r="N315" s="30"/>
      <c r="O315" s="119"/>
      <c r="P315" s="30"/>
      <c r="Q315" s="220"/>
      <c r="R315" s="220"/>
      <c r="S315" s="220"/>
      <c r="T315" s="220"/>
      <c r="U315" s="220"/>
      <c r="V315" s="220"/>
      <c r="W315" s="220"/>
      <c r="X315" s="220"/>
      <c r="Y315" s="220"/>
      <c r="Z315" s="220"/>
      <c r="AA315" s="220"/>
      <c r="AB315" s="220"/>
      <c r="AC315" s="220"/>
      <c r="AD315" s="220"/>
      <c r="AE315" s="220"/>
    </row>
    <row r="316" ht="13.5" customHeight="1" outlineLevel="1">
      <c r="A316" s="814">
        <f t="shared" si="138"/>
        <v>316</v>
      </c>
      <c r="B316" s="978" t="str">
        <f t="shared" si="203"/>
        <v>2nd Grade Teacher</v>
      </c>
      <c r="C316" s="388">
        <f t="shared" si="184"/>
        <v>0</v>
      </c>
      <c r="D316" s="388"/>
      <c r="E316" s="388"/>
      <c r="F316" s="388"/>
      <c r="G316" s="756">
        <f t="shared" si="204"/>
        <v>0</v>
      </c>
      <c r="H316" s="756">
        <f t="shared" ref="H316:M316" si="205">(H160*$E160)</f>
        <v>0</v>
      </c>
      <c r="I316" s="756">
        <f t="shared" si="205"/>
        <v>0</v>
      </c>
      <c r="J316" s="756">
        <f t="shared" si="205"/>
        <v>0</v>
      </c>
      <c r="K316" s="756">
        <f t="shared" si="205"/>
        <v>0</v>
      </c>
      <c r="L316" s="756">
        <f t="shared" si="205"/>
        <v>0</v>
      </c>
      <c r="M316" s="756">
        <f t="shared" si="205"/>
        <v>0</v>
      </c>
      <c r="N316" s="30"/>
      <c r="O316" s="119"/>
      <c r="P316" s="30"/>
      <c r="Q316" s="220"/>
      <c r="R316" s="220"/>
      <c r="S316" s="220"/>
      <c r="T316" s="220"/>
      <c r="U316" s="220"/>
      <c r="V316" s="220"/>
      <c r="W316" s="220"/>
      <c r="X316" s="220"/>
      <c r="Y316" s="220"/>
      <c r="Z316" s="220"/>
      <c r="AA316" s="220"/>
      <c r="AB316" s="220"/>
      <c r="AC316" s="220"/>
      <c r="AD316" s="220"/>
      <c r="AE316" s="220"/>
    </row>
    <row r="317" ht="13.5" customHeight="1" outlineLevel="1">
      <c r="A317" s="814">
        <f t="shared" si="138"/>
        <v>317</v>
      </c>
      <c r="B317" s="978" t="str">
        <f t="shared" si="203"/>
        <v>2nd Grade Teacher</v>
      </c>
      <c r="C317" s="388">
        <f t="shared" si="184"/>
        <v>0</v>
      </c>
      <c r="D317" s="388"/>
      <c r="E317" s="388"/>
      <c r="F317" s="388"/>
      <c r="G317" s="756">
        <f t="shared" si="204"/>
        <v>0</v>
      </c>
      <c r="H317" s="756">
        <f t="shared" ref="H317:M317" si="206">(H161*$E161)</f>
        <v>0</v>
      </c>
      <c r="I317" s="756">
        <f t="shared" si="206"/>
        <v>0</v>
      </c>
      <c r="J317" s="756">
        <f t="shared" si="206"/>
        <v>0</v>
      </c>
      <c r="K317" s="756">
        <f t="shared" si="206"/>
        <v>0</v>
      </c>
      <c r="L317" s="756">
        <f t="shared" si="206"/>
        <v>0</v>
      </c>
      <c r="M317" s="756">
        <f t="shared" si="206"/>
        <v>0</v>
      </c>
      <c r="N317" s="30"/>
      <c r="O317" s="119"/>
      <c r="P317" s="30"/>
      <c r="Q317" s="220"/>
      <c r="R317" s="220"/>
      <c r="S317" s="220"/>
      <c r="T317" s="220"/>
      <c r="U317" s="220"/>
      <c r="V317" s="220"/>
      <c r="W317" s="220"/>
      <c r="X317" s="220"/>
      <c r="Y317" s="220"/>
      <c r="Z317" s="220"/>
      <c r="AA317" s="220"/>
      <c r="AB317" s="220"/>
      <c r="AC317" s="220"/>
      <c r="AD317" s="220"/>
      <c r="AE317" s="220"/>
    </row>
    <row r="318" ht="13.5" customHeight="1" outlineLevel="1">
      <c r="A318" s="814">
        <f t="shared" si="138"/>
        <v>318</v>
      </c>
      <c r="B318" s="978" t="str">
        <f t="shared" si="203"/>
        <v>2nd Grade Teacher</v>
      </c>
      <c r="C318" s="388">
        <f t="shared" si="184"/>
        <v>0</v>
      </c>
      <c r="D318" s="388"/>
      <c r="E318" s="388"/>
      <c r="F318" s="388"/>
      <c r="G318" s="756">
        <f t="shared" si="204"/>
        <v>0</v>
      </c>
      <c r="H318" s="756">
        <f t="shared" ref="H318:M318" si="207">(H162*$E162)</f>
        <v>0</v>
      </c>
      <c r="I318" s="756">
        <f t="shared" si="207"/>
        <v>0</v>
      </c>
      <c r="J318" s="756">
        <f t="shared" si="207"/>
        <v>0</v>
      </c>
      <c r="K318" s="756">
        <f t="shared" si="207"/>
        <v>0</v>
      </c>
      <c r="L318" s="756">
        <f t="shared" si="207"/>
        <v>0</v>
      </c>
      <c r="M318" s="756">
        <f t="shared" si="207"/>
        <v>0</v>
      </c>
      <c r="N318" s="30"/>
      <c r="O318" s="119"/>
      <c r="P318" s="30"/>
      <c r="Q318" s="220"/>
      <c r="R318" s="220"/>
      <c r="S318" s="220"/>
      <c r="T318" s="220"/>
      <c r="U318" s="220"/>
      <c r="V318" s="220"/>
      <c r="W318" s="220"/>
      <c r="X318" s="220"/>
      <c r="Y318" s="220"/>
      <c r="Z318" s="220"/>
      <c r="AA318" s="220"/>
      <c r="AB318" s="220"/>
      <c r="AC318" s="220"/>
      <c r="AD318" s="220"/>
      <c r="AE318" s="220"/>
    </row>
    <row r="319" ht="13.5" customHeight="1" outlineLevel="1">
      <c r="A319" s="814">
        <f t="shared" si="138"/>
        <v>319</v>
      </c>
      <c r="B319" s="978" t="str">
        <f t="shared" si="203"/>
        <v/>
      </c>
      <c r="C319" s="388">
        <f t="shared" si="184"/>
        <v>0</v>
      </c>
      <c r="D319" s="388"/>
      <c r="E319" s="388"/>
      <c r="F319" s="388"/>
      <c r="G319" s="756">
        <f t="shared" si="204"/>
        <v>0</v>
      </c>
      <c r="H319" s="756">
        <f t="shared" ref="H319:M319" si="208">(H163*$E163)</f>
        <v>0</v>
      </c>
      <c r="I319" s="756">
        <f t="shared" si="208"/>
        <v>0</v>
      </c>
      <c r="J319" s="756">
        <f t="shared" si="208"/>
        <v>0</v>
      </c>
      <c r="K319" s="756">
        <f t="shared" si="208"/>
        <v>0</v>
      </c>
      <c r="L319" s="756">
        <f t="shared" si="208"/>
        <v>0</v>
      </c>
      <c r="M319" s="756">
        <f t="shared" si="208"/>
        <v>0</v>
      </c>
      <c r="N319" s="30"/>
      <c r="O319" s="119"/>
      <c r="P319" s="30"/>
      <c r="Q319" s="220"/>
      <c r="R319" s="220"/>
      <c r="S319" s="220"/>
      <c r="T319" s="220"/>
      <c r="U319" s="220"/>
      <c r="V319" s="220"/>
      <c r="W319" s="220"/>
      <c r="X319" s="220"/>
      <c r="Y319" s="220"/>
      <c r="Z319" s="220"/>
      <c r="AA319" s="220"/>
      <c r="AB319" s="220"/>
      <c r="AC319" s="220"/>
      <c r="AD319" s="220"/>
      <c r="AE319" s="220"/>
    </row>
    <row r="320" ht="13.5" customHeight="1" outlineLevel="1">
      <c r="A320" s="814">
        <f t="shared" si="138"/>
        <v>320</v>
      </c>
      <c r="B320" s="978"/>
      <c r="C320" s="388">
        <f t="shared" si="184"/>
        <v>0</v>
      </c>
      <c r="D320" s="388"/>
      <c r="E320" s="388"/>
      <c r="F320" s="388"/>
      <c r="G320" s="756"/>
      <c r="H320" s="756"/>
      <c r="I320" s="756"/>
      <c r="J320" s="756"/>
      <c r="K320" s="756"/>
      <c r="L320" s="756"/>
      <c r="M320" s="756"/>
      <c r="N320" s="30"/>
      <c r="O320" s="119"/>
      <c r="P320" s="30"/>
      <c r="Q320" s="220"/>
      <c r="R320" s="220"/>
      <c r="S320" s="220"/>
      <c r="T320" s="220"/>
      <c r="U320" s="220"/>
      <c r="V320" s="220"/>
      <c r="W320" s="220"/>
      <c r="X320" s="220"/>
      <c r="Y320" s="220"/>
      <c r="Z320" s="220"/>
      <c r="AA320" s="220"/>
      <c r="AB320" s="220"/>
      <c r="AC320" s="220"/>
      <c r="AD320" s="220"/>
      <c r="AE320" s="220"/>
    </row>
    <row r="321" ht="13.5" customHeight="1" outlineLevel="1">
      <c r="A321" s="814">
        <f t="shared" si="138"/>
        <v>321</v>
      </c>
      <c r="B321" s="978" t="str">
        <f t="shared" ref="B321:B322" si="210">$B164</f>
        <v>3rd Grade Teacher</v>
      </c>
      <c r="C321" s="388">
        <f t="shared" si="184"/>
        <v>581385</v>
      </c>
      <c r="D321" s="388"/>
      <c r="E321" s="388"/>
      <c r="F321" s="388"/>
      <c r="G321" s="756">
        <f t="shared" ref="G321:G322" si="211">G164*$E164</f>
        <v>83055</v>
      </c>
      <c r="H321" s="756">
        <f t="shared" ref="H321:M321" si="209">(H164*$E164)</f>
        <v>83055</v>
      </c>
      <c r="I321" s="756">
        <f t="shared" si="209"/>
        <v>83055</v>
      </c>
      <c r="J321" s="756">
        <f t="shared" si="209"/>
        <v>83055</v>
      </c>
      <c r="K321" s="756">
        <f t="shared" si="209"/>
        <v>83055</v>
      </c>
      <c r="L321" s="756">
        <f t="shared" si="209"/>
        <v>83055</v>
      </c>
      <c r="M321" s="756">
        <f t="shared" si="209"/>
        <v>83055</v>
      </c>
      <c r="N321" s="30"/>
      <c r="O321" s="119"/>
      <c r="P321" s="30"/>
      <c r="Q321" s="220"/>
      <c r="R321" s="220"/>
      <c r="S321" s="220"/>
      <c r="T321" s="220"/>
      <c r="U321" s="220"/>
      <c r="V321" s="220"/>
      <c r="W321" s="220"/>
      <c r="X321" s="220"/>
      <c r="Y321" s="220"/>
      <c r="Z321" s="220"/>
      <c r="AA321" s="220"/>
      <c r="AB321" s="220"/>
      <c r="AC321" s="220"/>
      <c r="AD321" s="220"/>
      <c r="AE321" s="220"/>
    </row>
    <row r="322" ht="13.5" customHeight="1" outlineLevel="1">
      <c r="A322" s="814">
        <f t="shared" si="138"/>
        <v>322</v>
      </c>
      <c r="B322" s="978" t="str">
        <f t="shared" si="210"/>
        <v>3rd Grade Teacher</v>
      </c>
      <c r="C322" s="388">
        <f t="shared" si="184"/>
        <v>309699</v>
      </c>
      <c r="D322" s="388"/>
      <c r="E322" s="388"/>
      <c r="F322" s="388"/>
      <c r="G322" s="756">
        <f t="shared" si="211"/>
        <v>23823</v>
      </c>
      <c r="H322" s="756">
        <f t="shared" ref="H322:M322" si="212">(H165*$E165)</f>
        <v>47646</v>
      </c>
      <c r="I322" s="756">
        <f t="shared" si="212"/>
        <v>47646</v>
      </c>
      <c r="J322" s="756">
        <f t="shared" si="212"/>
        <v>47646</v>
      </c>
      <c r="K322" s="756">
        <f t="shared" si="212"/>
        <v>47646</v>
      </c>
      <c r="L322" s="756">
        <f t="shared" si="212"/>
        <v>47646</v>
      </c>
      <c r="M322" s="756">
        <f t="shared" si="212"/>
        <v>47646</v>
      </c>
      <c r="N322" s="30"/>
      <c r="O322" s="119"/>
      <c r="P322" s="30"/>
      <c r="Q322" s="220"/>
      <c r="R322" s="220"/>
      <c r="S322" s="220"/>
      <c r="T322" s="220"/>
      <c r="U322" s="220"/>
      <c r="V322" s="220"/>
      <c r="W322" s="220"/>
      <c r="X322" s="220"/>
      <c r="Y322" s="220"/>
      <c r="Z322" s="220"/>
      <c r="AA322" s="220"/>
      <c r="AB322" s="220"/>
      <c r="AC322" s="220"/>
      <c r="AD322" s="220"/>
      <c r="AE322" s="220"/>
    </row>
    <row r="323" ht="13.5" customHeight="1" outlineLevel="1">
      <c r="A323" s="814">
        <f t="shared" si="138"/>
        <v>323</v>
      </c>
      <c r="B323" s="978" t="str">
        <f t="shared" ref="B323:B325" si="214">$B167</f>
        <v>3rd Grade Teacher</v>
      </c>
      <c r="C323" s="388">
        <f t="shared" si="184"/>
        <v>0</v>
      </c>
      <c r="D323" s="388"/>
      <c r="E323" s="388"/>
      <c r="F323" s="388"/>
      <c r="G323" s="756">
        <f t="shared" ref="G323:G325" si="215">G167*$E167</f>
        <v>0</v>
      </c>
      <c r="H323" s="756">
        <f t="shared" ref="H323:M323" si="213">(H167*$E167)</f>
        <v>0</v>
      </c>
      <c r="I323" s="756">
        <f t="shared" si="213"/>
        <v>0</v>
      </c>
      <c r="J323" s="756">
        <f t="shared" si="213"/>
        <v>0</v>
      </c>
      <c r="K323" s="756">
        <f t="shared" si="213"/>
        <v>0</v>
      </c>
      <c r="L323" s="756">
        <f t="shared" si="213"/>
        <v>0</v>
      </c>
      <c r="M323" s="756">
        <f t="shared" si="213"/>
        <v>0</v>
      </c>
      <c r="N323" s="30"/>
      <c r="O323" s="119"/>
      <c r="P323" s="30"/>
      <c r="Q323" s="220"/>
      <c r="R323" s="220"/>
      <c r="S323" s="220"/>
      <c r="T323" s="220"/>
      <c r="U323" s="220"/>
      <c r="V323" s="220"/>
      <c r="W323" s="220"/>
      <c r="X323" s="220"/>
      <c r="Y323" s="220"/>
      <c r="Z323" s="220"/>
      <c r="AA323" s="220"/>
      <c r="AB323" s="220"/>
      <c r="AC323" s="220"/>
      <c r="AD323" s="220"/>
      <c r="AE323" s="220"/>
    </row>
    <row r="324" ht="13.5" customHeight="1" outlineLevel="1">
      <c r="A324" s="814">
        <f t="shared" si="138"/>
        <v>324</v>
      </c>
      <c r="B324" s="978" t="str">
        <f t="shared" si="214"/>
        <v>3rd Grade Teacher</v>
      </c>
      <c r="C324" s="388">
        <f t="shared" si="184"/>
        <v>0</v>
      </c>
      <c r="D324" s="388"/>
      <c r="E324" s="388"/>
      <c r="F324" s="388"/>
      <c r="G324" s="756">
        <f t="shared" si="215"/>
        <v>0</v>
      </c>
      <c r="H324" s="756">
        <f t="shared" ref="H324:M324" si="216">(H168*$E168)</f>
        <v>0</v>
      </c>
      <c r="I324" s="756">
        <f t="shared" si="216"/>
        <v>0</v>
      </c>
      <c r="J324" s="756">
        <f t="shared" si="216"/>
        <v>0</v>
      </c>
      <c r="K324" s="756">
        <f t="shared" si="216"/>
        <v>0</v>
      </c>
      <c r="L324" s="756">
        <f t="shared" si="216"/>
        <v>0</v>
      </c>
      <c r="M324" s="756">
        <f t="shared" si="216"/>
        <v>0</v>
      </c>
      <c r="N324" s="30"/>
      <c r="O324" s="119"/>
      <c r="P324" s="30"/>
      <c r="Q324" s="220"/>
      <c r="R324" s="220"/>
      <c r="S324" s="220"/>
      <c r="T324" s="220"/>
      <c r="U324" s="220"/>
      <c r="V324" s="220"/>
      <c r="W324" s="220"/>
      <c r="X324" s="220"/>
      <c r="Y324" s="220"/>
      <c r="Z324" s="220"/>
      <c r="AA324" s="220"/>
      <c r="AB324" s="220"/>
      <c r="AC324" s="220"/>
      <c r="AD324" s="220"/>
      <c r="AE324" s="220"/>
    </row>
    <row r="325" ht="13.5" customHeight="1" outlineLevel="1">
      <c r="A325" s="814">
        <f t="shared" si="138"/>
        <v>325</v>
      </c>
      <c r="B325" s="978" t="str">
        <f t="shared" si="214"/>
        <v/>
      </c>
      <c r="C325" s="388">
        <f t="shared" si="184"/>
        <v>0</v>
      </c>
      <c r="D325" s="388"/>
      <c r="E325" s="388"/>
      <c r="F325" s="388"/>
      <c r="G325" s="756">
        <f t="shared" si="215"/>
        <v>0</v>
      </c>
      <c r="H325" s="756">
        <f t="shared" ref="H325:M325" si="217">(H169*$E169)</f>
        <v>0</v>
      </c>
      <c r="I325" s="756">
        <f t="shared" si="217"/>
        <v>0</v>
      </c>
      <c r="J325" s="756">
        <f t="shared" si="217"/>
        <v>0</v>
      </c>
      <c r="K325" s="756">
        <f t="shared" si="217"/>
        <v>0</v>
      </c>
      <c r="L325" s="756">
        <f t="shared" si="217"/>
        <v>0</v>
      </c>
      <c r="M325" s="756">
        <f t="shared" si="217"/>
        <v>0</v>
      </c>
      <c r="N325" s="30"/>
      <c r="O325" s="119"/>
      <c r="P325" s="30"/>
      <c r="Q325" s="220"/>
      <c r="R325" s="220"/>
      <c r="S325" s="220"/>
      <c r="T325" s="220"/>
      <c r="U325" s="220"/>
      <c r="V325" s="220"/>
      <c r="W325" s="220"/>
      <c r="X325" s="220"/>
      <c r="Y325" s="220"/>
      <c r="Z325" s="220"/>
      <c r="AA325" s="220"/>
      <c r="AB325" s="220"/>
      <c r="AC325" s="220"/>
      <c r="AD325" s="220"/>
      <c r="AE325" s="220"/>
    </row>
    <row r="326" ht="13.5" customHeight="1" outlineLevel="1">
      <c r="A326" s="814">
        <f t="shared" si="138"/>
        <v>326</v>
      </c>
      <c r="B326" s="978"/>
      <c r="C326" s="388">
        <f t="shared" si="184"/>
        <v>0</v>
      </c>
      <c r="D326" s="388"/>
      <c r="E326" s="388"/>
      <c r="F326" s="388"/>
      <c r="G326" s="756"/>
      <c r="H326" s="756"/>
      <c r="I326" s="756"/>
      <c r="J326" s="756"/>
      <c r="K326" s="756"/>
      <c r="L326" s="756"/>
      <c r="M326" s="756"/>
      <c r="N326" s="30"/>
      <c r="O326" s="119"/>
      <c r="P326" s="30"/>
      <c r="Q326" s="220"/>
      <c r="R326" s="220"/>
      <c r="S326" s="220"/>
      <c r="T326" s="220"/>
      <c r="U326" s="220"/>
      <c r="V326" s="220"/>
      <c r="W326" s="220"/>
      <c r="X326" s="220"/>
      <c r="Y326" s="220"/>
      <c r="Z326" s="220"/>
      <c r="AA326" s="220"/>
      <c r="AB326" s="220"/>
      <c r="AC326" s="220"/>
      <c r="AD326" s="220"/>
      <c r="AE326" s="220"/>
    </row>
    <row r="327" ht="13.5" customHeight="1" outlineLevel="1">
      <c r="A327" s="814">
        <f t="shared" si="138"/>
        <v>327</v>
      </c>
      <c r="B327" s="978" t="str">
        <f t="shared" ref="B327:B331" si="219">$B171</f>
        <v>4th Grade Teacher</v>
      </c>
      <c r="C327" s="388">
        <f t="shared" si="184"/>
        <v>500346</v>
      </c>
      <c r="D327" s="388"/>
      <c r="E327" s="388"/>
      <c r="F327" s="388"/>
      <c r="G327" s="756">
        <f t="shared" ref="G327:G331" si="220">G171*$E171</f>
        <v>71478</v>
      </c>
      <c r="H327" s="756">
        <f t="shared" ref="H327:M327" si="218">(H171*$E171)</f>
        <v>71478</v>
      </c>
      <c r="I327" s="756">
        <f t="shared" si="218"/>
        <v>71478</v>
      </c>
      <c r="J327" s="756">
        <f t="shared" si="218"/>
        <v>71478</v>
      </c>
      <c r="K327" s="756">
        <f t="shared" si="218"/>
        <v>71478</v>
      </c>
      <c r="L327" s="756">
        <f t="shared" si="218"/>
        <v>71478</v>
      </c>
      <c r="M327" s="756">
        <f t="shared" si="218"/>
        <v>71478</v>
      </c>
      <c r="N327" s="30"/>
      <c r="O327" s="119"/>
      <c r="P327" s="30"/>
      <c r="Q327" s="220"/>
      <c r="R327" s="220"/>
      <c r="S327" s="220"/>
      <c r="T327" s="220"/>
      <c r="U327" s="220"/>
      <c r="V327" s="220"/>
      <c r="W327" s="220"/>
      <c r="X327" s="220"/>
      <c r="Y327" s="220"/>
      <c r="Z327" s="220"/>
      <c r="AA327" s="220"/>
      <c r="AB327" s="220"/>
      <c r="AC327" s="220"/>
      <c r="AD327" s="220"/>
      <c r="AE327" s="220"/>
    </row>
    <row r="328" ht="13.5" customHeight="1" outlineLevel="1">
      <c r="A328" s="814">
        <f t="shared" si="138"/>
        <v>328</v>
      </c>
      <c r="B328" s="978" t="str">
        <f t="shared" si="219"/>
        <v>4th Grade Teacher</v>
      </c>
      <c r="C328" s="388">
        <f t="shared" si="184"/>
        <v>0</v>
      </c>
      <c r="D328" s="388"/>
      <c r="E328" s="388"/>
      <c r="F328" s="388"/>
      <c r="G328" s="756">
        <f t="shared" si="220"/>
        <v>0</v>
      </c>
      <c r="H328" s="756">
        <f t="shared" ref="H328:M328" si="221">(H172*$E172)</f>
        <v>0</v>
      </c>
      <c r="I328" s="756">
        <f t="shared" si="221"/>
        <v>0</v>
      </c>
      <c r="J328" s="756">
        <f t="shared" si="221"/>
        <v>0</v>
      </c>
      <c r="K328" s="756">
        <f t="shared" si="221"/>
        <v>0</v>
      </c>
      <c r="L328" s="756">
        <f t="shared" si="221"/>
        <v>0</v>
      </c>
      <c r="M328" s="756">
        <f t="shared" si="221"/>
        <v>0</v>
      </c>
      <c r="N328" s="30"/>
      <c r="O328" s="119"/>
      <c r="P328" s="30"/>
      <c r="Q328" s="220"/>
      <c r="R328" s="220"/>
      <c r="S328" s="220"/>
      <c r="T328" s="220"/>
      <c r="U328" s="220"/>
      <c r="V328" s="220"/>
      <c r="W328" s="220"/>
      <c r="X328" s="220"/>
      <c r="Y328" s="220"/>
      <c r="Z328" s="220"/>
      <c r="AA328" s="220"/>
      <c r="AB328" s="220"/>
      <c r="AC328" s="220"/>
      <c r="AD328" s="220"/>
      <c r="AE328" s="220"/>
    </row>
    <row r="329" ht="13.5" customHeight="1" outlineLevel="1">
      <c r="A329" s="814">
        <f t="shared" si="138"/>
        <v>329</v>
      </c>
      <c r="B329" s="978" t="str">
        <f t="shared" si="219"/>
        <v>4th Grade Teacher</v>
      </c>
      <c r="C329" s="388">
        <f t="shared" si="184"/>
        <v>0</v>
      </c>
      <c r="D329" s="388"/>
      <c r="E329" s="388"/>
      <c r="F329" s="388"/>
      <c r="G329" s="756">
        <f t="shared" si="220"/>
        <v>0</v>
      </c>
      <c r="H329" s="756">
        <f t="shared" ref="H329:M329" si="222">(H173*$E173)</f>
        <v>0</v>
      </c>
      <c r="I329" s="756">
        <f t="shared" si="222"/>
        <v>0</v>
      </c>
      <c r="J329" s="756">
        <f t="shared" si="222"/>
        <v>0</v>
      </c>
      <c r="K329" s="756">
        <f t="shared" si="222"/>
        <v>0</v>
      </c>
      <c r="L329" s="756">
        <f t="shared" si="222"/>
        <v>0</v>
      </c>
      <c r="M329" s="756">
        <f t="shared" si="222"/>
        <v>0</v>
      </c>
      <c r="N329" s="30"/>
      <c r="O329" s="119"/>
      <c r="P329" s="30"/>
      <c r="Q329" s="220"/>
      <c r="R329" s="220"/>
      <c r="S329" s="220"/>
      <c r="T329" s="220"/>
      <c r="U329" s="220"/>
      <c r="V329" s="220"/>
      <c r="W329" s="220"/>
      <c r="X329" s="220"/>
      <c r="Y329" s="220"/>
      <c r="Z329" s="220"/>
      <c r="AA329" s="220"/>
      <c r="AB329" s="220"/>
      <c r="AC329" s="220"/>
      <c r="AD329" s="220"/>
      <c r="AE329" s="220"/>
    </row>
    <row r="330" ht="13.5" customHeight="1" outlineLevel="1">
      <c r="A330" s="814">
        <f t="shared" si="138"/>
        <v>330</v>
      </c>
      <c r="B330" s="978" t="str">
        <f t="shared" si="219"/>
        <v>4th Grade Teacher</v>
      </c>
      <c r="C330" s="388">
        <f t="shared" si="184"/>
        <v>0</v>
      </c>
      <c r="D330" s="388"/>
      <c r="E330" s="388"/>
      <c r="F330" s="388"/>
      <c r="G330" s="756">
        <f t="shared" si="220"/>
        <v>0</v>
      </c>
      <c r="H330" s="756">
        <f t="shared" ref="H330:M330" si="223">(H174*$E174)</f>
        <v>0</v>
      </c>
      <c r="I330" s="756">
        <f t="shared" si="223"/>
        <v>0</v>
      </c>
      <c r="J330" s="756">
        <f t="shared" si="223"/>
        <v>0</v>
      </c>
      <c r="K330" s="756">
        <f t="shared" si="223"/>
        <v>0</v>
      </c>
      <c r="L330" s="756">
        <f t="shared" si="223"/>
        <v>0</v>
      </c>
      <c r="M330" s="756">
        <f t="shared" si="223"/>
        <v>0</v>
      </c>
      <c r="N330" s="30"/>
      <c r="O330" s="119"/>
      <c r="P330" s="30"/>
      <c r="Q330" s="220"/>
      <c r="R330" s="220"/>
      <c r="S330" s="220"/>
      <c r="T330" s="220"/>
      <c r="U330" s="220"/>
      <c r="V330" s="220"/>
      <c r="W330" s="220"/>
      <c r="X330" s="220"/>
      <c r="Y330" s="220"/>
      <c r="Z330" s="220"/>
      <c r="AA330" s="220"/>
      <c r="AB330" s="220"/>
      <c r="AC330" s="220"/>
      <c r="AD330" s="220"/>
      <c r="AE330" s="220"/>
    </row>
    <row r="331" ht="13.5" customHeight="1" outlineLevel="1">
      <c r="A331" s="814">
        <f t="shared" si="138"/>
        <v>331</v>
      </c>
      <c r="B331" s="978" t="str">
        <f t="shared" si="219"/>
        <v/>
      </c>
      <c r="C331" s="388">
        <f t="shared" si="184"/>
        <v>0</v>
      </c>
      <c r="D331" s="388"/>
      <c r="E331" s="388"/>
      <c r="F331" s="388"/>
      <c r="G331" s="756">
        <f t="shared" si="220"/>
        <v>0</v>
      </c>
      <c r="H331" s="756">
        <f t="shared" ref="H331:M331" si="224">(H175*$E175)</f>
        <v>0</v>
      </c>
      <c r="I331" s="756">
        <f t="shared" si="224"/>
        <v>0</v>
      </c>
      <c r="J331" s="756">
        <f t="shared" si="224"/>
        <v>0</v>
      </c>
      <c r="K331" s="756">
        <f t="shared" si="224"/>
        <v>0</v>
      </c>
      <c r="L331" s="756">
        <f t="shared" si="224"/>
        <v>0</v>
      </c>
      <c r="M331" s="756">
        <f t="shared" si="224"/>
        <v>0</v>
      </c>
      <c r="N331" s="30"/>
      <c r="O331" s="119"/>
      <c r="P331" s="30"/>
      <c r="Q331" s="220"/>
      <c r="R331" s="220"/>
      <c r="S331" s="220"/>
      <c r="T331" s="220"/>
      <c r="U331" s="220"/>
      <c r="V331" s="220"/>
      <c r="W331" s="220"/>
      <c r="X331" s="220"/>
      <c r="Y331" s="220"/>
      <c r="Z331" s="220"/>
      <c r="AA331" s="220"/>
      <c r="AB331" s="220"/>
      <c r="AC331" s="220"/>
      <c r="AD331" s="220"/>
      <c r="AE331" s="220"/>
    </row>
    <row r="332" ht="13.5" customHeight="1" outlineLevel="1">
      <c r="A332" s="814">
        <f t="shared" si="138"/>
        <v>332</v>
      </c>
      <c r="B332" s="978"/>
      <c r="C332" s="388">
        <f t="shared" si="184"/>
        <v>0</v>
      </c>
      <c r="D332" s="388"/>
      <c r="E332" s="388"/>
      <c r="F332" s="388"/>
      <c r="G332" s="756"/>
      <c r="H332" s="756"/>
      <c r="I332" s="756"/>
      <c r="J332" s="756"/>
      <c r="K332" s="756"/>
      <c r="L332" s="756"/>
      <c r="M332" s="756"/>
      <c r="N332" s="30"/>
      <c r="O332" s="119"/>
      <c r="P332" s="30"/>
      <c r="Q332" s="220"/>
      <c r="R332" s="220"/>
      <c r="S332" s="220"/>
      <c r="T332" s="220"/>
      <c r="U332" s="220"/>
      <c r="V332" s="220"/>
      <c r="W332" s="220"/>
      <c r="X332" s="220"/>
      <c r="Y332" s="220"/>
      <c r="Z332" s="220"/>
      <c r="AA332" s="220"/>
      <c r="AB332" s="220"/>
      <c r="AC332" s="220"/>
      <c r="AD332" s="220"/>
      <c r="AE332" s="220"/>
    </row>
    <row r="333" ht="13.5" customHeight="1" outlineLevel="1">
      <c r="A333" s="814">
        <f t="shared" si="138"/>
        <v>333</v>
      </c>
      <c r="B333" s="978" t="str">
        <f t="shared" ref="B333:B337" si="226">$B177</f>
        <v>5th Grade Teacher</v>
      </c>
      <c r="C333" s="388">
        <f t="shared" si="184"/>
        <v>461272</v>
      </c>
      <c r="D333" s="388"/>
      <c r="E333" s="388"/>
      <c r="F333" s="388"/>
      <c r="G333" s="756">
        <f t="shared" ref="G333:G337" si="227">G177*$E177</f>
        <v>65896</v>
      </c>
      <c r="H333" s="756">
        <f t="shared" ref="H333:M333" si="225">(H177*$E177)</f>
        <v>65896</v>
      </c>
      <c r="I333" s="756">
        <f t="shared" si="225"/>
        <v>65896</v>
      </c>
      <c r="J333" s="756">
        <f t="shared" si="225"/>
        <v>65896</v>
      </c>
      <c r="K333" s="756">
        <f t="shared" si="225"/>
        <v>65896</v>
      </c>
      <c r="L333" s="756">
        <f t="shared" si="225"/>
        <v>65896</v>
      </c>
      <c r="M333" s="756">
        <f t="shared" si="225"/>
        <v>65896</v>
      </c>
      <c r="N333" s="30"/>
      <c r="O333" s="119"/>
      <c r="P333" s="30"/>
      <c r="Q333" s="220"/>
      <c r="R333" s="220"/>
      <c r="S333" s="220"/>
      <c r="T333" s="220"/>
      <c r="U333" s="220"/>
      <c r="V333" s="220"/>
      <c r="W333" s="220"/>
      <c r="X333" s="220"/>
      <c r="Y333" s="220"/>
      <c r="Z333" s="220"/>
      <c r="AA333" s="220"/>
      <c r="AB333" s="220"/>
      <c r="AC333" s="220"/>
      <c r="AD333" s="220"/>
      <c r="AE333" s="220"/>
    </row>
    <row r="334" ht="13.5" customHeight="1" outlineLevel="1">
      <c r="A334" s="814">
        <f t="shared" si="138"/>
        <v>334</v>
      </c>
      <c r="B334" s="978" t="str">
        <f t="shared" si="226"/>
        <v>5th Grade Teacher</v>
      </c>
      <c r="C334" s="388">
        <f t="shared" si="184"/>
        <v>569989</v>
      </c>
      <c r="D334" s="388"/>
      <c r="E334" s="388"/>
      <c r="F334" s="388"/>
      <c r="G334" s="756">
        <f t="shared" si="227"/>
        <v>81427</v>
      </c>
      <c r="H334" s="756">
        <f t="shared" ref="H334:M334" si="228">(H178*$E178)</f>
        <v>81427</v>
      </c>
      <c r="I334" s="756">
        <f t="shared" si="228"/>
        <v>81427</v>
      </c>
      <c r="J334" s="756">
        <f t="shared" si="228"/>
        <v>81427</v>
      </c>
      <c r="K334" s="756">
        <f t="shared" si="228"/>
        <v>81427</v>
      </c>
      <c r="L334" s="756">
        <f t="shared" si="228"/>
        <v>81427</v>
      </c>
      <c r="M334" s="756">
        <f t="shared" si="228"/>
        <v>81427</v>
      </c>
      <c r="N334" s="30"/>
      <c r="O334" s="119"/>
      <c r="P334" s="30"/>
      <c r="Q334" s="220"/>
      <c r="R334" s="220"/>
      <c r="S334" s="220"/>
      <c r="T334" s="220"/>
      <c r="U334" s="220"/>
      <c r="V334" s="220"/>
      <c r="W334" s="220"/>
      <c r="X334" s="220"/>
      <c r="Y334" s="220"/>
      <c r="Z334" s="220"/>
      <c r="AA334" s="220"/>
      <c r="AB334" s="220"/>
      <c r="AC334" s="220"/>
      <c r="AD334" s="220"/>
      <c r="AE334" s="220"/>
    </row>
    <row r="335" ht="13.5" customHeight="1" outlineLevel="1">
      <c r="A335" s="814">
        <f t="shared" si="138"/>
        <v>335</v>
      </c>
      <c r="B335" s="978" t="str">
        <f t="shared" si="226"/>
        <v>5th Grade Teacher</v>
      </c>
      <c r="C335" s="388">
        <f t="shared" si="184"/>
        <v>173180</v>
      </c>
      <c r="D335" s="388"/>
      <c r="E335" s="388"/>
      <c r="F335" s="388"/>
      <c r="G335" s="756">
        <f t="shared" si="227"/>
        <v>24740</v>
      </c>
      <c r="H335" s="756">
        <f t="shared" ref="H335:M335" si="229">(H179*$E179)</f>
        <v>24740</v>
      </c>
      <c r="I335" s="756">
        <f t="shared" si="229"/>
        <v>24740</v>
      </c>
      <c r="J335" s="756">
        <f t="shared" si="229"/>
        <v>24740</v>
      </c>
      <c r="K335" s="756">
        <f t="shared" si="229"/>
        <v>24740</v>
      </c>
      <c r="L335" s="756">
        <f t="shared" si="229"/>
        <v>24740</v>
      </c>
      <c r="M335" s="756">
        <f t="shared" si="229"/>
        <v>24740</v>
      </c>
      <c r="N335" s="30"/>
      <c r="O335" s="119"/>
      <c r="P335" s="30"/>
      <c r="Q335" s="220"/>
      <c r="R335" s="220"/>
      <c r="S335" s="220"/>
      <c r="T335" s="220"/>
      <c r="U335" s="220"/>
      <c r="V335" s="220"/>
      <c r="W335" s="220"/>
      <c r="X335" s="220"/>
      <c r="Y335" s="220"/>
      <c r="Z335" s="220"/>
      <c r="AA335" s="220"/>
      <c r="AB335" s="220"/>
      <c r="AC335" s="220"/>
      <c r="AD335" s="220"/>
      <c r="AE335" s="220"/>
    </row>
    <row r="336" ht="13.5" customHeight="1" outlineLevel="1">
      <c r="A336" s="814">
        <f t="shared" si="138"/>
        <v>336</v>
      </c>
      <c r="B336" s="978" t="str">
        <f t="shared" si="226"/>
        <v>5th Grade Teacher</v>
      </c>
      <c r="C336" s="388">
        <f t="shared" si="184"/>
        <v>0</v>
      </c>
      <c r="D336" s="388"/>
      <c r="E336" s="388"/>
      <c r="F336" s="388"/>
      <c r="G336" s="756">
        <f t="shared" si="227"/>
        <v>0</v>
      </c>
      <c r="H336" s="756">
        <f t="shared" ref="H336:M336" si="230">(H180*$E180)</f>
        <v>0</v>
      </c>
      <c r="I336" s="756">
        <f t="shared" si="230"/>
        <v>0</v>
      </c>
      <c r="J336" s="756">
        <f t="shared" si="230"/>
        <v>0</v>
      </c>
      <c r="K336" s="756">
        <f t="shared" si="230"/>
        <v>0</v>
      </c>
      <c r="L336" s="756">
        <f t="shared" si="230"/>
        <v>0</v>
      </c>
      <c r="M336" s="756">
        <f t="shared" si="230"/>
        <v>0</v>
      </c>
      <c r="N336" s="30"/>
      <c r="O336" s="119"/>
      <c r="P336" s="30"/>
      <c r="Q336" s="220"/>
      <c r="R336" s="220"/>
      <c r="S336" s="220"/>
      <c r="T336" s="220"/>
      <c r="U336" s="220"/>
      <c r="V336" s="220"/>
      <c r="W336" s="220"/>
      <c r="X336" s="220"/>
      <c r="Y336" s="220"/>
      <c r="Z336" s="220"/>
      <c r="AA336" s="220"/>
      <c r="AB336" s="220"/>
      <c r="AC336" s="220"/>
      <c r="AD336" s="220"/>
      <c r="AE336" s="220"/>
    </row>
    <row r="337" ht="13.5" customHeight="1" outlineLevel="1">
      <c r="A337" s="814">
        <f t="shared" si="138"/>
        <v>337</v>
      </c>
      <c r="B337" s="978" t="str">
        <f t="shared" si="226"/>
        <v/>
      </c>
      <c r="C337" s="388">
        <f t="shared" si="184"/>
        <v>0</v>
      </c>
      <c r="D337" s="388"/>
      <c r="E337" s="388"/>
      <c r="F337" s="388"/>
      <c r="G337" s="756">
        <f t="shared" si="227"/>
        <v>0</v>
      </c>
      <c r="H337" s="756">
        <f t="shared" ref="H337:M337" si="231">(H181*$E181)</f>
        <v>0</v>
      </c>
      <c r="I337" s="756">
        <f t="shared" si="231"/>
        <v>0</v>
      </c>
      <c r="J337" s="756">
        <f t="shared" si="231"/>
        <v>0</v>
      </c>
      <c r="K337" s="756">
        <f t="shared" si="231"/>
        <v>0</v>
      </c>
      <c r="L337" s="756">
        <f t="shared" si="231"/>
        <v>0</v>
      </c>
      <c r="M337" s="756">
        <f t="shared" si="231"/>
        <v>0</v>
      </c>
      <c r="N337" s="30"/>
      <c r="O337" s="119"/>
      <c r="P337" s="30"/>
      <c r="Q337" s="220"/>
      <c r="R337" s="220"/>
      <c r="S337" s="220"/>
      <c r="T337" s="220"/>
      <c r="U337" s="220"/>
      <c r="V337" s="220"/>
      <c r="W337" s="220"/>
      <c r="X337" s="220"/>
      <c r="Y337" s="220"/>
      <c r="Z337" s="220"/>
      <c r="AA337" s="220"/>
      <c r="AB337" s="220"/>
      <c r="AC337" s="220"/>
      <c r="AD337" s="220"/>
      <c r="AE337" s="220"/>
    </row>
    <row r="338" ht="13.5" customHeight="1" outlineLevel="1">
      <c r="A338" s="814">
        <f t="shared" si="138"/>
        <v>338</v>
      </c>
      <c r="B338" s="978"/>
      <c r="C338" s="388">
        <f t="shared" si="184"/>
        <v>0</v>
      </c>
      <c r="D338" s="388"/>
      <c r="E338" s="388"/>
      <c r="F338" s="388"/>
      <c r="G338" s="756"/>
      <c r="H338" s="756"/>
      <c r="I338" s="756"/>
      <c r="J338" s="756"/>
      <c r="K338" s="756"/>
      <c r="L338" s="756"/>
      <c r="M338" s="756"/>
      <c r="N338" s="30"/>
      <c r="O338" s="119"/>
      <c r="P338" s="30"/>
      <c r="Q338" s="220"/>
      <c r="R338" s="220"/>
      <c r="S338" s="220"/>
      <c r="T338" s="220"/>
      <c r="U338" s="220"/>
      <c r="V338" s="220"/>
      <c r="W338" s="220"/>
      <c r="X338" s="220"/>
      <c r="Y338" s="220"/>
      <c r="Z338" s="220"/>
      <c r="AA338" s="220"/>
      <c r="AB338" s="220"/>
      <c r="AC338" s="220"/>
      <c r="AD338" s="220"/>
      <c r="AE338" s="220"/>
    </row>
    <row r="339" ht="13.5" customHeight="1" outlineLevel="1">
      <c r="A339" s="814">
        <f t="shared" si="138"/>
        <v>339</v>
      </c>
      <c r="B339" s="978" t="str">
        <f t="shared" ref="B339:B343" si="233">$B183</f>
        <v>6th Grade Teacher</v>
      </c>
      <c r="C339" s="388">
        <f t="shared" si="184"/>
        <v>0</v>
      </c>
      <c r="D339" s="388"/>
      <c r="E339" s="388"/>
      <c r="F339" s="388"/>
      <c r="G339" s="756">
        <f t="shared" ref="G339:G343" si="234">G183*$E183</f>
        <v>0</v>
      </c>
      <c r="H339" s="756">
        <f t="shared" ref="H339:M339" si="232">(H183*$E183)</f>
        <v>0</v>
      </c>
      <c r="I339" s="756">
        <f t="shared" si="232"/>
        <v>0</v>
      </c>
      <c r="J339" s="756">
        <f t="shared" si="232"/>
        <v>0</v>
      </c>
      <c r="K339" s="756">
        <f t="shared" si="232"/>
        <v>0</v>
      </c>
      <c r="L339" s="756">
        <f t="shared" si="232"/>
        <v>0</v>
      </c>
      <c r="M339" s="756">
        <f t="shared" si="232"/>
        <v>0</v>
      </c>
      <c r="N339" s="30"/>
      <c r="O339" s="119"/>
      <c r="P339" s="30"/>
      <c r="Q339" s="220"/>
      <c r="R339" s="220"/>
      <c r="S339" s="220"/>
      <c r="T339" s="220"/>
      <c r="U339" s="220"/>
      <c r="V339" s="220"/>
      <c r="W339" s="220"/>
      <c r="X339" s="220"/>
      <c r="Y339" s="220"/>
      <c r="Z339" s="220"/>
      <c r="AA339" s="220"/>
      <c r="AB339" s="220"/>
      <c r="AC339" s="220"/>
      <c r="AD339" s="220"/>
      <c r="AE339" s="220"/>
    </row>
    <row r="340" ht="13.5" customHeight="1" outlineLevel="1">
      <c r="A340" s="814">
        <f t="shared" si="138"/>
        <v>340</v>
      </c>
      <c r="B340" s="978" t="str">
        <f t="shared" si="233"/>
        <v>6th Grade Teacher</v>
      </c>
      <c r="C340" s="388">
        <f t="shared" si="184"/>
        <v>0</v>
      </c>
      <c r="D340" s="388"/>
      <c r="E340" s="388"/>
      <c r="F340" s="388"/>
      <c r="G340" s="756">
        <f t="shared" si="234"/>
        <v>0</v>
      </c>
      <c r="H340" s="756">
        <f t="shared" ref="H340:M340" si="235">(H184*$E184)</f>
        <v>0</v>
      </c>
      <c r="I340" s="756">
        <f t="shared" si="235"/>
        <v>0</v>
      </c>
      <c r="J340" s="756">
        <f t="shared" si="235"/>
        <v>0</v>
      </c>
      <c r="K340" s="756">
        <f t="shared" si="235"/>
        <v>0</v>
      </c>
      <c r="L340" s="756">
        <f t="shared" si="235"/>
        <v>0</v>
      </c>
      <c r="M340" s="756">
        <f t="shared" si="235"/>
        <v>0</v>
      </c>
      <c r="N340" s="30"/>
      <c r="O340" s="119"/>
      <c r="P340" s="30"/>
      <c r="Q340" s="220"/>
      <c r="R340" s="220"/>
      <c r="S340" s="220"/>
      <c r="T340" s="220"/>
      <c r="U340" s="220"/>
      <c r="V340" s="220"/>
      <c r="W340" s="220"/>
      <c r="X340" s="220"/>
      <c r="Y340" s="220"/>
      <c r="Z340" s="220"/>
      <c r="AA340" s="220"/>
      <c r="AB340" s="220"/>
      <c r="AC340" s="220"/>
      <c r="AD340" s="220"/>
      <c r="AE340" s="220"/>
    </row>
    <row r="341" ht="13.5" customHeight="1" outlineLevel="1">
      <c r="A341" s="814">
        <f t="shared" si="138"/>
        <v>341</v>
      </c>
      <c r="B341" s="978" t="str">
        <f t="shared" si="233"/>
        <v>6th Grade Teacher</v>
      </c>
      <c r="C341" s="388">
        <f t="shared" si="184"/>
        <v>0</v>
      </c>
      <c r="D341" s="388"/>
      <c r="E341" s="388"/>
      <c r="F341" s="388"/>
      <c r="G341" s="756">
        <f t="shared" si="234"/>
        <v>0</v>
      </c>
      <c r="H341" s="756">
        <f t="shared" ref="H341:M341" si="236">(H185*$E185)</f>
        <v>0</v>
      </c>
      <c r="I341" s="756">
        <f t="shared" si="236"/>
        <v>0</v>
      </c>
      <c r="J341" s="756">
        <f t="shared" si="236"/>
        <v>0</v>
      </c>
      <c r="K341" s="756">
        <f t="shared" si="236"/>
        <v>0</v>
      </c>
      <c r="L341" s="756">
        <f t="shared" si="236"/>
        <v>0</v>
      </c>
      <c r="M341" s="756">
        <f t="shared" si="236"/>
        <v>0</v>
      </c>
      <c r="N341" s="30"/>
      <c r="O341" s="119"/>
      <c r="P341" s="30"/>
      <c r="Q341" s="220"/>
      <c r="R341" s="220"/>
      <c r="S341" s="220"/>
      <c r="T341" s="220"/>
      <c r="U341" s="220"/>
      <c r="V341" s="220"/>
      <c r="W341" s="220"/>
      <c r="X341" s="220"/>
      <c r="Y341" s="220"/>
      <c r="Z341" s="220"/>
      <c r="AA341" s="220"/>
      <c r="AB341" s="220"/>
      <c r="AC341" s="220"/>
      <c r="AD341" s="220"/>
      <c r="AE341" s="220"/>
    </row>
    <row r="342" ht="13.5" customHeight="1" outlineLevel="1">
      <c r="A342" s="814">
        <f t="shared" si="138"/>
        <v>342</v>
      </c>
      <c r="B342" s="978" t="str">
        <f t="shared" si="233"/>
        <v>6th Grade Teacher</v>
      </c>
      <c r="C342" s="388">
        <f t="shared" si="184"/>
        <v>0</v>
      </c>
      <c r="D342" s="388"/>
      <c r="E342" s="388"/>
      <c r="F342" s="388"/>
      <c r="G342" s="756">
        <f t="shared" si="234"/>
        <v>0</v>
      </c>
      <c r="H342" s="756">
        <f t="shared" ref="H342:M342" si="237">(H186*$E186)</f>
        <v>0</v>
      </c>
      <c r="I342" s="756">
        <f t="shared" si="237"/>
        <v>0</v>
      </c>
      <c r="J342" s="756">
        <f t="shared" si="237"/>
        <v>0</v>
      </c>
      <c r="K342" s="756">
        <f t="shared" si="237"/>
        <v>0</v>
      </c>
      <c r="L342" s="756">
        <f t="shared" si="237"/>
        <v>0</v>
      </c>
      <c r="M342" s="756">
        <f t="shared" si="237"/>
        <v>0</v>
      </c>
      <c r="N342" s="30"/>
      <c r="O342" s="119"/>
      <c r="P342" s="30"/>
      <c r="Q342" s="220"/>
      <c r="R342" s="220"/>
      <c r="S342" s="220"/>
      <c r="T342" s="220"/>
      <c r="U342" s="220"/>
      <c r="V342" s="220"/>
      <c r="W342" s="220"/>
      <c r="X342" s="220"/>
      <c r="Y342" s="220"/>
      <c r="Z342" s="220"/>
      <c r="AA342" s="220"/>
      <c r="AB342" s="220"/>
      <c r="AC342" s="220"/>
      <c r="AD342" s="220"/>
      <c r="AE342" s="220"/>
    </row>
    <row r="343" ht="13.5" customHeight="1" outlineLevel="1">
      <c r="A343" s="814">
        <f t="shared" si="138"/>
        <v>343</v>
      </c>
      <c r="B343" s="978" t="str">
        <f t="shared" si="233"/>
        <v/>
      </c>
      <c r="C343" s="388">
        <f t="shared" si="184"/>
        <v>0</v>
      </c>
      <c r="D343" s="388"/>
      <c r="E343" s="388"/>
      <c r="F343" s="388"/>
      <c r="G343" s="756">
        <f t="shared" si="234"/>
        <v>0</v>
      </c>
      <c r="H343" s="756">
        <f t="shared" ref="H343:M343" si="238">(H187*$E187)</f>
        <v>0</v>
      </c>
      <c r="I343" s="756">
        <f t="shared" si="238"/>
        <v>0</v>
      </c>
      <c r="J343" s="756">
        <f t="shared" si="238"/>
        <v>0</v>
      </c>
      <c r="K343" s="756">
        <f t="shared" si="238"/>
        <v>0</v>
      </c>
      <c r="L343" s="756">
        <f t="shared" si="238"/>
        <v>0</v>
      </c>
      <c r="M343" s="756">
        <f t="shared" si="238"/>
        <v>0</v>
      </c>
      <c r="N343" s="30"/>
      <c r="O343" s="119"/>
      <c r="P343" s="30"/>
      <c r="Q343" s="220"/>
      <c r="R343" s="220"/>
      <c r="S343" s="220"/>
      <c r="T343" s="220"/>
      <c r="U343" s="220"/>
      <c r="V343" s="220"/>
      <c r="W343" s="220"/>
      <c r="X343" s="220"/>
      <c r="Y343" s="220"/>
      <c r="Z343" s="220"/>
      <c r="AA343" s="220"/>
      <c r="AB343" s="220"/>
      <c r="AC343" s="220"/>
      <c r="AD343" s="220"/>
      <c r="AE343" s="220"/>
    </row>
    <row r="344" ht="13.5" customHeight="1" outlineLevel="1">
      <c r="A344" s="814">
        <f t="shared" si="138"/>
        <v>344</v>
      </c>
      <c r="B344" s="978"/>
      <c r="C344" s="388">
        <f t="shared" si="184"/>
        <v>0</v>
      </c>
      <c r="D344" s="388"/>
      <c r="E344" s="388"/>
      <c r="F344" s="388"/>
      <c r="G344" s="756"/>
      <c r="H344" s="756"/>
      <c r="I344" s="756"/>
      <c r="J344" s="756"/>
      <c r="K344" s="756"/>
      <c r="L344" s="756"/>
      <c r="M344" s="756"/>
      <c r="N344" s="30"/>
      <c r="O344" s="119"/>
      <c r="P344" s="30"/>
      <c r="Q344" s="220"/>
      <c r="R344" s="220"/>
      <c r="S344" s="220"/>
      <c r="T344" s="220"/>
      <c r="U344" s="220"/>
      <c r="V344" s="220"/>
      <c r="W344" s="220"/>
      <c r="X344" s="220"/>
      <c r="Y344" s="220"/>
      <c r="Z344" s="220"/>
      <c r="AA344" s="220"/>
      <c r="AB344" s="220"/>
      <c r="AC344" s="220"/>
      <c r="AD344" s="220"/>
      <c r="AE344" s="220"/>
    </row>
    <row r="345" ht="13.5" customHeight="1" outlineLevel="1">
      <c r="A345" s="814">
        <f t="shared" si="138"/>
        <v>345</v>
      </c>
      <c r="B345" s="978" t="str">
        <f t="shared" ref="B345:B350" si="240">$B189</f>
        <v>7th Grade Teacher</v>
      </c>
      <c r="C345" s="388">
        <f t="shared" si="184"/>
        <v>0</v>
      </c>
      <c r="D345" s="388"/>
      <c r="E345" s="388"/>
      <c r="F345" s="388"/>
      <c r="G345" s="756">
        <f t="shared" ref="G345:G350" si="241">G189*$E189</f>
        <v>0</v>
      </c>
      <c r="H345" s="756">
        <f t="shared" ref="H345:M345" si="239">(H189*$E189)</f>
        <v>0</v>
      </c>
      <c r="I345" s="756">
        <f t="shared" si="239"/>
        <v>0</v>
      </c>
      <c r="J345" s="756">
        <f t="shared" si="239"/>
        <v>0</v>
      </c>
      <c r="K345" s="756">
        <f t="shared" si="239"/>
        <v>0</v>
      </c>
      <c r="L345" s="756">
        <f t="shared" si="239"/>
        <v>0</v>
      </c>
      <c r="M345" s="756">
        <f t="shared" si="239"/>
        <v>0</v>
      </c>
      <c r="N345" s="30"/>
      <c r="O345" s="119"/>
      <c r="P345" s="30"/>
      <c r="Q345" s="220"/>
      <c r="R345" s="220"/>
      <c r="S345" s="220"/>
      <c r="T345" s="220"/>
      <c r="U345" s="220"/>
      <c r="V345" s="220"/>
      <c r="W345" s="220"/>
      <c r="X345" s="220"/>
      <c r="Y345" s="220"/>
      <c r="Z345" s="220"/>
      <c r="AA345" s="220"/>
      <c r="AB345" s="220"/>
      <c r="AC345" s="220"/>
      <c r="AD345" s="220"/>
      <c r="AE345" s="220"/>
    </row>
    <row r="346" ht="13.5" customHeight="1" outlineLevel="1">
      <c r="A346" s="814">
        <f t="shared" si="138"/>
        <v>346</v>
      </c>
      <c r="B346" s="978" t="str">
        <f t="shared" si="240"/>
        <v>7th Grade Teacher</v>
      </c>
      <c r="C346" s="388">
        <f t="shared" si="184"/>
        <v>0</v>
      </c>
      <c r="D346" s="388"/>
      <c r="E346" s="388"/>
      <c r="F346" s="388"/>
      <c r="G346" s="756">
        <f t="shared" si="241"/>
        <v>0</v>
      </c>
      <c r="H346" s="756">
        <f t="shared" ref="H346:M346" si="242">(H190*$E190)</f>
        <v>0</v>
      </c>
      <c r="I346" s="756">
        <f t="shared" si="242"/>
        <v>0</v>
      </c>
      <c r="J346" s="756">
        <f t="shared" si="242"/>
        <v>0</v>
      </c>
      <c r="K346" s="756">
        <f t="shared" si="242"/>
        <v>0</v>
      </c>
      <c r="L346" s="756">
        <f t="shared" si="242"/>
        <v>0</v>
      </c>
      <c r="M346" s="756">
        <f t="shared" si="242"/>
        <v>0</v>
      </c>
      <c r="N346" s="30"/>
      <c r="O346" s="119"/>
      <c r="P346" s="30"/>
      <c r="Q346" s="220"/>
      <c r="R346" s="220"/>
      <c r="S346" s="220"/>
      <c r="T346" s="220"/>
      <c r="U346" s="220"/>
      <c r="V346" s="220"/>
      <c r="W346" s="220"/>
      <c r="X346" s="220"/>
      <c r="Y346" s="220"/>
      <c r="Z346" s="220"/>
      <c r="AA346" s="220"/>
      <c r="AB346" s="220"/>
      <c r="AC346" s="220"/>
      <c r="AD346" s="220"/>
      <c r="AE346" s="220"/>
    </row>
    <row r="347" ht="13.5" customHeight="1" outlineLevel="1">
      <c r="A347" s="814">
        <f t="shared" si="138"/>
        <v>347</v>
      </c>
      <c r="B347" s="978" t="str">
        <f t="shared" si="240"/>
        <v>7th Grade Teacher</v>
      </c>
      <c r="C347" s="388">
        <f t="shared" si="184"/>
        <v>0</v>
      </c>
      <c r="D347" s="388"/>
      <c r="E347" s="388"/>
      <c r="F347" s="388"/>
      <c r="G347" s="756">
        <f t="shared" si="241"/>
        <v>0</v>
      </c>
      <c r="H347" s="756">
        <f t="shared" ref="H347:M347" si="243">(H191*$E191)</f>
        <v>0</v>
      </c>
      <c r="I347" s="756">
        <f t="shared" si="243"/>
        <v>0</v>
      </c>
      <c r="J347" s="756">
        <f t="shared" si="243"/>
        <v>0</v>
      </c>
      <c r="K347" s="756">
        <f t="shared" si="243"/>
        <v>0</v>
      </c>
      <c r="L347" s="756">
        <f t="shared" si="243"/>
        <v>0</v>
      </c>
      <c r="M347" s="756">
        <f t="shared" si="243"/>
        <v>0</v>
      </c>
      <c r="N347" s="30"/>
      <c r="O347" s="119"/>
      <c r="P347" s="30"/>
      <c r="Q347" s="220"/>
      <c r="R347" s="220"/>
      <c r="S347" s="220"/>
      <c r="T347" s="220"/>
      <c r="U347" s="220"/>
      <c r="V347" s="220"/>
      <c r="W347" s="220"/>
      <c r="X347" s="220"/>
      <c r="Y347" s="220"/>
      <c r="Z347" s="220"/>
      <c r="AA347" s="220"/>
      <c r="AB347" s="220"/>
      <c r="AC347" s="220"/>
      <c r="AD347" s="220"/>
      <c r="AE347" s="220"/>
    </row>
    <row r="348" ht="13.5" customHeight="1" outlineLevel="1">
      <c r="A348" s="814">
        <f t="shared" si="138"/>
        <v>348</v>
      </c>
      <c r="B348" s="978" t="str">
        <f t="shared" si="240"/>
        <v>7th Grade Teacher</v>
      </c>
      <c r="C348" s="388">
        <f t="shared" si="184"/>
        <v>0</v>
      </c>
      <c r="D348" s="388"/>
      <c r="E348" s="388"/>
      <c r="F348" s="388"/>
      <c r="G348" s="756">
        <f t="shared" si="241"/>
        <v>0</v>
      </c>
      <c r="H348" s="756">
        <f t="shared" ref="H348:M348" si="244">(H192*$E192)</f>
        <v>0</v>
      </c>
      <c r="I348" s="756">
        <f t="shared" si="244"/>
        <v>0</v>
      </c>
      <c r="J348" s="756">
        <f t="shared" si="244"/>
        <v>0</v>
      </c>
      <c r="K348" s="756">
        <f t="shared" si="244"/>
        <v>0</v>
      </c>
      <c r="L348" s="756">
        <f t="shared" si="244"/>
        <v>0</v>
      </c>
      <c r="M348" s="756">
        <f t="shared" si="244"/>
        <v>0</v>
      </c>
      <c r="N348" s="30"/>
      <c r="O348" s="119"/>
      <c r="P348" s="30"/>
      <c r="Q348" s="220"/>
      <c r="R348" s="220"/>
      <c r="S348" s="220"/>
      <c r="T348" s="220"/>
      <c r="U348" s="220"/>
      <c r="V348" s="220"/>
      <c r="W348" s="220"/>
      <c r="X348" s="220"/>
      <c r="Y348" s="220"/>
      <c r="Z348" s="220"/>
      <c r="AA348" s="220"/>
      <c r="AB348" s="220"/>
      <c r="AC348" s="220"/>
      <c r="AD348" s="220"/>
      <c r="AE348" s="220"/>
    </row>
    <row r="349" ht="13.5" customHeight="1" outlineLevel="1">
      <c r="A349" s="814">
        <f t="shared" si="138"/>
        <v>349</v>
      </c>
      <c r="B349" s="978" t="str">
        <f t="shared" si="240"/>
        <v/>
      </c>
      <c r="C349" s="388">
        <f t="shared" si="184"/>
        <v>0</v>
      </c>
      <c r="D349" s="388"/>
      <c r="E349" s="388"/>
      <c r="F349" s="388"/>
      <c r="G349" s="756">
        <f t="shared" si="241"/>
        <v>0</v>
      </c>
      <c r="H349" s="756">
        <f t="shared" ref="H349:M349" si="245">(H193*$E193)</f>
        <v>0</v>
      </c>
      <c r="I349" s="756">
        <f t="shared" si="245"/>
        <v>0</v>
      </c>
      <c r="J349" s="756">
        <f t="shared" si="245"/>
        <v>0</v>
      </c>
      <c r="K349" s="756">
        <f t="shared" si="245"/>
        <v>0</v>
      </c>
      <c r="L349" s="756">
        <f t="shared" si="245"/>
        <v>0</v>
      </c>
      <c r="M349" s="756">
        <f t="shared" si="245"/>
        <v>0</v>
      </c>
      <c r="N349" s="30"/>
      <c r="O349" s="119"/>
      <c r="P349" s="30"/>
      <c r="Q349" s="220"/>
      <c r="R349" s="220"/>
      <c r="S349" s="220"/>
      <c r="T349" s="220"/>
      <c r="U349" s="220"/>
      <c r="V349" s="220"/>
      <c r="W349" s="220"/>
      <c r="X349" s="220"/>
      <c r="Y349" s="220"/>
      <c r="Z349" s="220"/>
      <c r="AA349" s="220"/>
      <c r="AB349" s="220"/>
      <c r="AC349" s="220"/>
      <c r="AD349" s="220"/>
      <c r="AE349" s="220"/>
    </row>
    <row r="350" ht="13.5" customHeight="1" outlineLevel="1">
      <c r="A350" s="814">
        <f t="shared" si="138"/>
        <v>350</v>
      </c>
      <c r="B350" s="978" t="str">
        <f t="shared" si="240"/>
        <v/>
      </c>
      <c r="C350" s="388">
        <f t="shared" si="184"/>
        <v>0</v>
      </c>
      <c r="D350" s="388"/>
      <c r="E350" s="388"/>
      <c r="F350" s="388"/>
      <c r="G350" s="756">
        <f t="shared" si="241"/>
        <v>0</v>
      </c>
      <c r="H350" s="756">
        <f t="shared" ref="H350:M350" si="246">(H194*$E194)</f>
        <v>0</v>
      </c>
      <c r="I350" s="756">
        <f t="shared" si="246"/>
        <v>0</v>
      </c>
      <c r="J350" s="756">
        <f t="shared" si="246"/>
        <v>0</v>
      </c>
      <c r="K350" s="756">
        <f t="shared" si="246"/>
        <v>0</v>
      </c>
      <c r="L350" s="756">
        <f t="shared" si="246"/>
        <v>0</v>
      </c>
      <c r="M350" s="756">
        <f t="shared" si="246"/>
        <v>0</v>
      </c>
      <c r="N350" s="30"/>
      <c r="O350" s="119"/>
      <c r="P350" s="30"/>
      <c r="Q350" s="220"/>
      <c r="R350" s="220"/>
      <c r="S350" s="220"/>
      <c r="T350" s="220"/>
      <c r="U350" s="220"/>
      <c r="V350" s="220"/>
      <c r="W350" s="220"/>
      <c r="X350" s="220"/>
      <c r="Y350" s="220"/>
      <c r="Z350" s="220"/>
      <c r="AA350" s="220"/>
      <c r="AB350" s="220"/>
      <c r="AC350" s="220"/>
      <c r="AD350" s="220"/>
      <c r="AE350" s="220"/>
    </row>
    <row r="351" ht="13.5" customHeight="1" outlineLevel="1">
      <c r="A351" s="814">
        <f t="shared" si="138"/>
        <v>351</v>
      </c>
      <c r="B351" s="978"/>
      <c r="C351" s="388">
        <f t="shared" si="184"/>
        <v>0</v>
      </c>
      <c r="D351" s="388"/>
      <c r="E351" s="388"/>
      <c r="F351" s="388"/>
      <c r="G351" s="756"/>
      <c r="H351" s="756"/>
      <c r="I351" s="756"/>
      <c r="J351" s="756"/>
      <c r="K351" s="756"/>
      <c r="L351" s="756"/>
      <c r="M351" s="756"/>
      <c r="N351" s="30"/>
      <c r="O351" s="119"/>
      <c r="P351" s="30"/>
      <c r="Q351" s="220"/>
      <c r="R351" s="220"/>
      <c r="S351" s="220"/>
      <c r="T351" s="220"/>
      <c r="U351" s="220"/>
      <c r="V351" s="220"/>
      <c r="W351" s="220"/>
      <c r="X351" s="220"/>
      <c r="Y351" s="220"/>
      <c r="Z351" s="220"/>
      <c r="AA351" s="220"/>
      <c r="AB351" s="220"/>
      <c r="AC351" s="220"/>
      <c r="AD351" s="220"/>
      <c r="AE351" s="220"/>
    </row>
    <row r="352" ht="13.5" customHeight="1" outlineLevel="1">
      <c r="A352" s="814">
        <f t="shared" si="138"/>
        <v>352</v>
      </c>
      <c r="B352" s="978" t="str">
        <f>$B196</f>
        <v>8th Grade Teacher</v>
      </c>
      <c r="C352" s="388">
        <f t="shared" si="184"/>
        <v>0</v>
      </c>
      <c r="D352" s="388"/>
      <c r="E352" s="388"/>
      <c r="F352" s="388"/>
      <c r="G352" s="756">
        <f t="shared" ref="G352:G356" si="248">G196*$E196</f>
        <v>0</v>
      </c>
      <c r="H352" s="756">
        <f t="shared" ref="H352:M352" si="247">(H196*$E196)</f>
        <v>0</v>
      </c>
      <c r="I352" s="756">
        <f t="shared" si="247"/>
        <v>0</v>
      </c>
      <c r="J352" s="756">
        <f t="shared" si="247"/>
        <v>0</v>
      </c>
      <c r="K352" s="756">
        <f t="shared" si="247"/>
        <v>0</v>
      </c>
      <c r="L352" s="756">
        <f t="shared" si="247"/>
        <v>0</v>
      </c>
      <c r="M352" s="756">
        <f t="shared" si="247"/>
        <v>0</v>
      </c>
      <c r="N352" s="30"/>
      <c r="O352" s="119"/>
      <c r="P352" s="30"/>
      <c r="Q352" s="220"/>
      <c r="R352" s="220"/>
      <c r="S352" s="220"/>
      <c r="T352" s="220"/>
      <c r="U352" s="220"/>
      <c r="V352" s="220"/>
      <c r="W352" s="220"/>
      <c r="X352" s="220"/>
      <c r="Y352" s="220"/>
      <c r="Z352" s="220"/>
      <c r="AA352" s="220"/>
      <c r="AB352" s="220"/>
      <c r="AC352" s="220"/>
      <c r="AD352" s="220"/>
      <c r="AE352" s="220"/>
    </row>
    <row r="353" ht="13.5" customHeight="1" outlineLevel="1">
      <c r="A353" s="814">
        <f t="shared" si="138"/>
        <v>353</v>
      </c>
      <c r="B353" s="978" t="str">
        <f>$B$197</f>
        <v>8th Grade Teacher</v>
      </c>
      <c r="C353" s="388">
        <f t="shared" si="184"/>
        <v>0</v>
      </c>
      <c r="D353" s="388"/>
      <c r="E353" s="388"/>
      <c r="F353" s="388"/>
      <c r="G353" s="756">
        <f t="shared" si="248"/>
        <v>0</v>
      </c>
      <c r="H353" s="756">
        <f t="shared" ref="H353:M353" si="249">(H197*$E197)</f>
        <v>0</v>
      </c>
      <c r="I353" s="756">
        <f t="shared" si="249"/>
        <v>0</v>
      </c>
      <c r="J353" s="756">
        <f t="shared" si="249"/>
        <v>0</v>
      </c>
      <c r="K353" s="756">
        <f t="shared" si="249"/>
        <v>0</v>
      </c>
      <c r="L353" s="756">
        <f t="shared" si="249"/>
        <v>0</v>
      </c>
      <c r="M353" s="756">
        <f t="shared" si="249"/>
        <v>0</v>
      </c>
      <c r="N353" s="30"/>
      <c r="O353" s="119"/>
      <c r="P353" s="30"/>
      <c r="Q353" s="220"/>
      <c r="R353" s="220"/>
      <c r="S353" s="220"/>
      <c r="T353" s="220"/>
      <c r="U353" s="220"/>
      <c r="V353" s="220"/>
      <c r="W353" s="220"/>
      <c r="X353" s="220"/>
      <c r="Y353" s="220"/>
      <c r="Z353" s="220"/>
      <c r="AA353" s="220"/>
      <c r="AB353" s="220"/>
      <c r="AC353" s="220"/>
      <c r="AD353" s="220"/>
      <c r="AE353" s="220"/>
    </row>
    <row r="354" ht="13.5" customHeight="1" outlineLevel="1">
      <c r="A354" s="814">
        <f t="shared" si="138"/>
        <v>354</v>
      </c>
      <c r="B354" s="978" t="str">
        <f>$B$198</f>
        <v>8th Grade Teacher</v>
      </c>
      <c r="C354" s="388">
        <f t="shared" si="184"/>
        <v>0</v>
      </c>
      <c r="D354" s="388"/>
      <c r="E354" s="388"/>
      <c r="F354" s="388"/>
      <c r="G354" s="756">
        <f t="shared" si="248"/>
        <v>0</v>
      </c>
      <c r="H354" s="756">
        <f t="shared" ref="H354:M354" si="250">(H198*$E198)</f>
        <v>0</v>
      </c>
      <c r="I354" s="756">
        <f t="shared" si="250"/>
        <v>0</v>
      </c>
      <c r="J354" s="756">
        <f t="shared" si="250"/>
        <v>0</v>
      </c>
      <c r="K354" s="756">
        <f t="shared" si="250"/>
        <v>0</v>
      </c>
      <c r="L354" s="756">
        <f t="shared" si="250"/>
        <v>0</v>
      </c>
      <c r="M354" s="756">
        <f t="shared" si="250"/>
        <v>0</v>
      </c>
      <c r="N354" s="30"/>
      <c r="O354" s="119"/>
      <c r="P354" s="30"/>
      <c r="Q354" s="220"/>
      <c r="R354" s="220"/>
      <c r="S354" s="220"/>
      <c r="T354" s="220"/>
      <c r="U354" s="220"/>
      <c r="V354" s="220"/>
      <c r="W354" s="220"/>
      <c r="X354" s="220"/>
      <c r="Y354" s="220"/>
      <c r="Z354" s="220"/>
      <c r="AA354" s="220"/>
      <c r="AB354" s="220"/>
      <c r="AC354" s="220"/>
      <c r="AD354" s="220"/>
      <c r="AE354" s="220"/>
    </row>
    <row r="355" ht="13.5" customHeight="1" outlineLevel="1">
      <c r="A355" s="814">
        <f t="shared" si="138"/>
        <v>355</v>
      </c>
      <c r="B355" s="978" t="str">
        <f>$B$199</f>
        <v>8th Grade Teacher</v>
      </c>
      <c r="C355" s="388">
        <f t="shared" si="184"/>
        <v>0</v>
      </c>
      <c r="D355" s="388"/>
      <c r="E355" s="388"/>
      <c r="F355" s="388"/>
      <c r="G355" s="756">
        <f t="shared" si="248"/>
        <v>0</v>
      </c>
      <c r="H355" s="756">
        <f t="shared" ref="H355:M355" si="251">(H199*$E199)</f>
        <v>0</v>
      </c>
      <c r="I355" s="756">
        <f t="shared" si="251"/>
        <v>0</v>
      </c>
      <c r="J355" s="756">
        <f t="shared" si="251"/>
        <v>0</v>
      </c>
      <c r="K355" s="756">
        <f t="shared" si="251"/>
        <v>0</v>
      </c>
      <c r="L355" s="756">
        <f t="shared" si="251"/>
        <v>0</v>
      </c>
      <c r="M355" s="756">
        <f t="shared" si="251"/>
        <v>0</v>
      </c>
      <c r="N355" s="30"/>
      <c r="O355" s="119"/>
      <c r="P355" s="30"/>
      <c r="Q355" s="220"/>
      <c r="R355" s="220"/>
      <c r="S355" s="220"/>
      <c r="T355" s="220"/>
      <c r="U355" s="220"/>
      <c r="V355" s="220"/>
      <c r="W355" s="220"/>
      <c r="X355" s="220"/>
      <c r="Y355" s="220"/>
      <c r="Z355" s="220"/>
      <c r="AA355" s="220"/>
      <c r="AB355" s="220"/>
      <c r="AC355" s="220"/>
      <c r="AD355" s="220"/>
      <c r="AE355" s="220"/>
    </row>
    <row r="356" ht="13.5" customHeight="1" outlineLevel="1">
      <c r="A356" s="814">
        <f t="shared" si="138"/>
        <v>356</v>
      </c>
      <c r="B356" s="978" t="str">
        <f>$B$200</f>
        <v/>
      </c>
      <c r="C356" s="388">
        <f t="shared" si="184"/>
        <v>0</v>
      </c>
      <c r="D356" s="388"/>
      <c r="E356" s="388"/>
      <c r="F356" s="388"/>
      <c r="G356" s="756">
        <f t="shared" si="248"/>
        <v>0</v>
      </c>
      <c r="H356" s="756">
        <f t="shared" ref="H356:M356" si="252">(H200*$E200)</f>
        <v>0</v>
      </c>
      <c r="I356" s="756">
        <f t="shared" si="252"/>
        <v>0</v>
      </c>
      <c r="J356" s="756">
        <f t="shared" si="252"/>
        <v>0</v>
      </c>
      <c r="K356" s="756">
        <f t="shared" si="252"/>
        <v>0</v>
      </c>
      <c r="L356" s="756">
        <f t="shared" si="252"/>
        <v>0</v>
      </c>
      <c r="M356" s="756">
        <f t="shared" si="252"/>
        <v>0</v>
      </c>
      <c r="N356" s="30"/>
      <c r="O356" s="119"/>
      <c r="P356" s="30"/>
      <c r="Q356" s="220"/>
      <c r="R356" s="220"/>
      <c r="S356" s="220"/>
      <c r="T356" s="220"/>
      <c r="U356" s="220"/>
      <c r="V356" s="220"/>
      <c r="W356" s="220"/>
      <c r="X356" s="220"/>
      <c r="Y356" s="220"/>
      <c r="Z356" s="220"/>
      <c r="AA356" s="220"/>
      <c r="AB356" s="220"/>
      <c r="AC356" s="220"/>
      <c r="AD356" s="220"/>
      <c r="AE356" s="220"/>
    </row>
    <row r="357" ht="13.5" customHeight="1" outlineLevel="1">
      <c r="A357" s="814">
        <f t="shared" si="138"/>
        <v>357</v>
      </c>
      <c r="B357" s="978"/>
      <c r="C357" s="388">
        <f t="shared" si="184"/>
        <v>0</v>
      </c>
      <c r="D357" s="388"/>
      <c r="E357" s="388"/>
      <c r="F357" s="388"/>
      <c r="G357" s="756"/>
      <c r="H357" s="756"/>
      <c r="I357" s="756"/>
      <c r="J357" s="756"/>
      <c r="K357" s="756"/>
      <c r="L357" s="756"/>
      <c r="M357" s="756"/>
      <c r="N357" s="30"/>
      <c r="O357" s="119"/>
      <c r="P357" s="30"/>
      <c r="Q357" s="220"/>
      <c r="R357" s="220"/>
      <c r="S357" s="220"/>
      <c r="T357" s="220"/>
      <c r="U357" s="220"/>
      <c r="V357" s="220"/>
      <c r="W357" s="220"/>
      <c r="X357" s="220"/>
      <c r="Y357" s="220"/>
      <c r="Z357" s="220"/>
      <c r="AA357" s="220"/>
      <c r="AB357" s="220"/>
      <c r="AC357" s="220"/>
      <c r="AD357" s="220"/>
      <c r="AE357" s="220"/>
    </row>
    <row r="358" ht="13.5" customHeight="1" outlineLevel="1">
      <c r="A358" s="814">
        <f t="shared" si="138"/>
        <v>358</v>
      </c>
      <c r="B358" s="978" t="str">
        <f>$B$202</f>
        <v>PE teacher</v>
      </c>
      <c r="C358" s="388">
        <f t="shared" si="184"/>
        <v>363727</v>
      </c>
      <c r="D358" s="388"/>
      <c r="E358" s="388"/>
      <c r="F358" s="388"/>
      <c r="G358" s="756">
        <f t="shared" ref="G358:G362" si="254">G202*$E202</f>
        <v>51961</v>
      </c>
      <c r="H358" s="756">
        <f t="shared" ref="H358:M358" si="253">(H202*$E202)</f>
        <v>51961</v>
      </c>
      <c r="I358" s="756">
        <f t="shared" si="253"/>
        <v>51961</v>
      </c>
      <c r="J358" s="756">
        <f t="shared" si="253"/>
        <v>51961</v>
      </c>
      <c r="K358" s="756">
        <f t="shared" si="253"/>
        <v>51961</v>
      </c>
      <c r="L358" s="756">
        <f t="shared" si="253"/>
        <v>51961</v>
      </c>
      <c r="M358" s="756">
        <f t="shared" si="253"/>
        <v>51961</v>
      </c>
      <c r="N358" s="30"/>
      <c r="O358" s="119"/>
      <c r="P358" s="30"/>
      <c r="Q358" s="220"/>
      <c r="R358" s="220"/>
      <c r="S358" s="220"/>
      <c r="T358" s="220"/>
      <c r="U358" s="220"/>
      <c r="V358" s="220"/>
      <c r="W358" s="220"/>
      <c r="X358" s="220"/>
      <c r="Y358" s="220"/>
      <c r="Z358" s="220"/>
      <c r="AA358" s="220"/>
      <c r="AB358" s="220"/>
      <c r="AC358" s="220"/>
      <c r="AD358" s="220"/>
      <c r="AE358" s="220"/>
    </row>
    <row r="359" ht="13.5" customHeight="1" outlineLevel="1">
      <c r="A359" s="814">
        <f t="shared" si="138"/>
        <v>359</v>
      </c>
      <c r="B359" s="978" t="str">
        <f>$B$203</f>
        <v>PE teacher</v>
      </c>
      <c r="C359" s="388">
        <f t="shared" si="184"/>
        <v>0</v>
      </c>
      <c r="D359" s="388"/>
      <c r="E359" s="388"/>
      <c r="F359" s="388"/>
      <c r="G359" s="756">
        <f t="shared" si="254"/>
        <v>0</v>
      </c>
      <c r="H359" s="756">
        <f t="shared" ref="H359:M359" si="255">(H203*$E203)</f>
        <v>0</v>
      </c>
      <c r="I359" s="756">
        <f t="shared" si="255"/>
        <v>0</v>
      </c>
      <c r="J359" s="756">
        <f t="shared" si="255"/>
        <v>0</v>
      </c>
      <c r="K359" s="756">
        <f t="shared" si="255"/>
        <v>0</v>
      </c>
      <c r="L359" s="756">
        <f t="shared" si="255"/>
        <v>0</v>
      </c>
      <c r="M359" s="756">
        <f t="shared" si="255"/>
        <v>0</v>
      </c>
      <c r="N359" s="30"/>
      <c r="O359" s="119"/>
      <c r="P359" s="30"/>
      <c r="Q359" s="220"/>
      <c r="R359" s="220"/>
      <c r="S359" s="220"/>
      <c r="T359" s="220"/>
      <c r="U359" s="220"/>
      <c r="V359" s="220"/>
      <c r="W359" s="220"/>
      <c r="X359" s="220"/>
      <c r="Y359" s="220"/>
      <c r="Z359" s="220"/>
      <c r="AA359" s="220"/>
      <c r="AB359" s="220"/>
      <c r="AC359" s="220"/>
      <c r="AD359" s="220"/>
      <c r="AE359" s="220"/>
    </row>
    <row r="360" ht="13.5" customHeight="1" outlineLevel="1">
      <c r="A360" s="814">
        <f t="shared" si="138"/>
        <v>360</v>
      </c>
      <c r="B360" s="978" t="str">
        <f>$B$204</f>
        <v>Grade Level Teacher</v>
      </c>
      <c r="C360" s="388">
        <f t="shared" si="184"/>
        <v>0</v>
      </c>
      <c r="D360" s="388"/>
      <c r="E360" s="388"/>
      <c r="F360" s="388"/>
      <c r="G360" s="756">
        <f t="shared" si="254"/>
        <v>0</v>
      </c>
      <c r="H360" s="756">
        <f t="shared" ref="H360:M360" si="256">(H204*$E204)</f>
        <v>0</v>
      </c>
      <c r="I360" s="756">
        <f t="shared" si="256"/>
        <v>0</v>
      </c>
      <c r="J360" s="756">
        <f t="shared" si="256"/>
        <v>0</v>
      </c>
      <c r="K360" s="756">
        <f t="shared" si="256"/>
        <v>0</v>
      </c>
      <c r="L360" s="756">
        <f t="shared" si="256"/>
        <v>0</v>
      </c>
      <c r="M360" s="756">
        <f t="shared" si="256"/>
        <v>0</v>
      </c>
      <c r="N360" s="30"/>
      <c r="O360" s="119"/>
      <c r="P360" s="30"/>
      <c r="Q360" s="220"/>
      <c r="R360" s="220"/>
      <c r="S360" s="220"/>
      <c r="T360" s="220"/>
      <c r="U360" s="220"/>
      <c r="V360" s="220"/>
      <c r="W360" s="220"/>
      <c r="X360" s="220"/>
      <c r="Y360" s="220"/>
      <c r="Z360" s="220"/>
      <c r="AA360" s="220"/>
      <c r="AB360" s="220"/>
      <c r="AC360" s="220"/>
      <c r="AD360" s="220"/>
      <c r="AE360" s="220"/>
    </row>
    <row r="361" ht="13.5" customHeight="1" outlineLevel="1">
      <c r="A361" s="814">
        <f t="shared" si="138"/>
        <v>361</v>
      </c>
      <c r="B361" s="978" t="str">
        <f>$B$205</f>
        <v>Grade Level Teacher</v>
      </c>
      <c r="C361" s="388">
        <f t="shared" si="184"/>
        <v>0</v>
      </c>
      <c r="D361" s="388"/>
      <c r="E361" s="388"/>
      <c r="F361" s="388"/>
      <c r="G361" s="756">
        <f t="shared" si="254"/>
        <v>0</v>
      </c>
      <c r="H361" s="756">
        <f t="shared" ref="H361:M361" si="257">(H205*$E205)</f>
        <v>0</v>
      </c>
      <c r="I361" s="756">
        <f t="shared" si="257"/>
        <v>0</v>
      </c>
      <c r="J361" s="756">
        <f t="shared" si="257"/>
        <v>0</v>
      </c>
      <c r="K361" s="756">
        <f t="shared" si="257"/>
        <v>0</v>
      </c>
      <c r="L361" s="756">
        <f t="shared" si="257"/>
        <v>0</v>
      </c>
      <c r="M361" s="756">
        <f t="shared" si="257"/>
        <v>0</v>
      </c>
      <c r="N361" s="30"/>
      <c r="O361" s="119"/>
      <c r="P361" s="30"/>
      <c r="Q361" s="220"/>
      <c r="R361" s="220"/>
      <c r="S361" s="220"/>
      <c r="T361" s="220"/>
      <c r="U361" s="220"/>
      <c r="V361" s="220"/>
      <c r="W361" s="220"/>
      <c r="X361" s="220"/>
      <c r="Y361" s="220"/>
      <c r="Z361" s="220"/>
      <c r="AA361" s="220"/>
      <c r="AB361" s="220"/>
      <c r="AC361" s="220"/>
      <c r="AD361" s="220"/>
      <c r="AE361" s="220"/>
    </row>
    <row r="362" ht="13.5" customHeight="1" outlineLevel="1">
      <c r="A362" s="814">
        <f t="shared" si="138"/>
        <v>362</v>
      </c>
      <c r="B362" s="978" t="str">
        <f>$B$206</f>
        <v>Grade Level Teacher</v>
      </c>
      <c r="C362" s="388">
        <f t="shared" si="184"/>
        <v>0</v>
      </c>
      <c r="D362" s="388"/>
      <c r="E362" s="388"/>
      <c r="F362" s="388"/>
      <c r="G362" s="756">
        <f t="shared" si="254"/>
        <v>0</v>
      </c>
      <c r="H362" s="756">
        <f t="shared" ref="H362:M362" si="258">(H206*$E206)</f>
        <v>0</v>
      </c>
      <c r="I362" s="756">
        <f t="shared" si="258"/>
        <v>0</v>
      </c>
      <c r="J362" s="756">
        <f t="shared" si="258"/>
        <v>0</v>
      </c>
      <c r="K362" s="756">
        <f t="shared" si="258"/>
        <v>0</v>
      </c>
      <c r="L362" s="756">
        <f t="shared" si="258"/>
        <v>0</v>
      </c>
      <c r="M362" s="756">
        <f t="shared" si="258"/>
        <v>0</v>
      </c>
      <c r="N362" s="30"/>
      <c r="O362" s="119"/>
      <c r="P362" s="30"/>
      <c r="Q362" s="220"/>
      <c r="R362" s="220"/>
      <c r="S362" s="220"/>
      <c r="T362" s="220"/>
      <c r="U362" s="220"/>
      <c r="V362" s="220"/>
      <c r="W362" s="220"/>
      <c r="X362" s="220"/>
      <c r="Y362" s="220"/>
      <c r="Z362" s="220"/>
      <c r="AA362" s="220"/>
      <c r="AB362" s="220"/>
      <c r="AC362" s="220"/>
      <c r="AD362" s="220"/>
      <c r="AE362" s="220"/>
    </row>
    <row r="363" ht="13.5" customHeight="1" outlineLevel="1">
      <c r="A363" s="814">
        <f t="shared" si="138"/>
        <v>363</v>
      </c>
      <c r="B363" s="978"/>
      <c r="C363" s="388">
        <f t="shared" si="184"/>
        <v>0</v>
      </c>
      <c r="D363" s="388"/>
      <c r="E363" s="388"/>
      <c r="F363" s="388"/>
      <c r="G363" s="756"/>
      <c r="H363" s="756"/>
      <c r="I363" s="756"/>
      <c r="J363" s="756"/>
      <c r="K363" s="756"/>
      <c r="L363" s="756"/>
      <c r="M363" s="756"/>
      <c r="N363" s="30"/>
      <c r="O363" s="119"/>
      <c r="P363" s="30"/>
      <c r="Q363" s="220"/>
      <c r="R363" s="220"/>
      <c r="S363" s="220"/>
      <c r="T363" s="220"/>
      <c r="U363" s="220"/>
      <c r="V363" s="220"/>
      <c r="W363" s="220"/>
      <c r="X363" s="220"/>
      <c r="Y363" s="220"/>
      <c r="Z363" s="220"/>
      <c r="AA363" s="220"/>
      <c r="AB363" s="220"/>
      <c r="AC363" s="220"/>
      <c r="AD363" s="220"/>
      <c r="AE363" s="220"/>
    </row>
    <row r="364" ht="13.5" customHeight="1" outlineLevel="1">
      <c r="A364" s="814">
        <f t="shared" si="138"/>
        <v>364</v>
      </c>
      <c r="B364" s="978" t="str">
        <f>$B$208</f>
        <v>STEAM Teacher</v>
      </c>
      <c r="C364" s="388">
        <f t="shared" si="184"/>
        <v>0</v>
      </c>
      <c r="D364" s="388"/>
      <c r="E364" s="388"/>
      <c r="F364" s="388"/>
      <c r="G364" s="756">
        <f t="shared" ref="G364:G368" si="260">G208*$E208</f>
        <v>0</v>
      </c>
      <c r="H364" s="756">
        <f t="shared" ref="H364:M364" si="259">(H208*$E208)</f>
        <v>0</v>
      </c>
      <c r="I364" s="756">
        <f t="shared" si="259"/>
        <v>0</v>
      </c>
      <c r="J364" s="756">
        <f t="shared" si="259"/>
        <v>0</v>
      </c>
      <c r="K364" s="756">
        <f t="shared" si="259"/>
        <v>0</v>
      </c>
      <c r="L364" s="756">
        <f t="shared" si="259"/>
        <v>0</v>
      </c>
      <c r="M364" s="756">
        <f t="shared" si="259"/>
        <v>0</v>
      </c>
      <c r="N364" s="30"/>
      <c r="O364" s="119"/>
      <c r="P364" s="30"/>
      <c r="Q364" s="220"/>
      <c r="R364" s="220"/>
      <c r="S364" s="220"/>
      <c r="T364" s="220"/>
      <c r="U364" s="220"/>
      <c r="V364" s="220"/>
      <c r="W364" s="220"/>
      <c r="X364" s="220"/>
      <c r="Y364" s="220"/>
      <c r="Z364" s="220"/>
      <c r="AA364" s="220"/>
      <c r="AB364" s="220"/>
      <c r="AC364" s="220"/>
      <c r="AD364" s="220"/>
      <c r="AE364" s="220"/>
    </row>
    <row r="365" ht="13.5" customHeight="1" outlineLevel="1">
      <c r="A365" s="814">
        <f t="shared" si="138"/>
        <v>365</v>
      </c>
      <c r="B365" s="978" t="str">
        <f>$B$209</f>
        <v>STEAM Teacher</v>
      </c>
      <c r="C365" s="388">
        <f t="shared" si="184"/>
        <v>0</v>
      </c>
      <c r="D365" s="388"/>
      <c r="E365" s="388"/>
      <c r="F365" s="388"/>
      <c r="G365" s="756">
        <f t="shared" si="260"/>
        <v>0</v>
      </c>
      <c r="H365" s="756">
        <f t="shared" ref="H365:M365" si="261">(H209*$E209)</f>
        <v>0</v>
      </c>
      <c r="I365" s="756">
        <f t="shared" si="261"/>
        <v>0</v>
      </c>
      <c r="J365" s="756">
        <f t="shared" si="261"/>
        <v>0</v>
      </c>
      <c r="K365" s="756">
        <f t="shared" si="261"/>
        <v>0</v>
      </c>
      <c r="L365" s="756">
        <f t="shared" si="261"/>
        <v>0</v>
      </c>
      <c r="M365" s="756">
        <f t="shared" si="261"/>
        <v>0</v>
      </c>
      <c r="N365" s="30"/>
      <c r="O365" s="119"/>
      <c r="P365" s="30"/>
      <c r="Q365" s="220"/>
      <c r="R365" s="220"/>
      <c r="S365" s="220"/>
      <c r="T365" s="220"/>
      <c r="U365" s="220"/>
      <c r="V365" s="220"/>
      <c r="W365" s="220"/>
      <c r="X365" s="220"/>
      <c r="Y365" s="220"/>
      <c r="Z365" s="220"/>
      <c r="AA365" s="220"/>
      <c r="AB365" s="220"/>
      <c r="AC365" s="220"/>
      <c r="AD365" s="220"/>
      <c r="AE365" s="220"/>
    </row>
    <row r="366" ht="13.5" customHeight="1" outlineLevel="1">
      <c r="A366" s="814">
        <f t="shared" si="138"/>
        <v>366</v>
      </c>
      <c r="B366" s="978" t="str">
        <f>$B$210</f>
        <v>Grade Level Teacher</v>
      </c>
      <c r="C366" s="388">
        <f t="shared" si="184"/>
        <v>0</v>
      </c>
      <c r="D366" s="388"/>
      <c r="E366" s="388"/>
      <c r="F366" s="388"/>
      <c r="G366" s="756">
        <f t="shared" si="260"/>
        <v>0</v>
      </c>
      <c r="H366" s="756">
        <f t="shared" ref="H366:M366" si="262">(H210*$E210)</f>
        <v>0</v>
      </c>
      <c r="I366" s="756">
        <f t="shared" si="262"/>
        <v>0</v>
      </c>
      <c r="J366" s="756">
        <f t="shared" si="262"/>
        <v>0</v>
      </c>
      <c r="K366" s="756">
        <f t="shared" si="262"/>
        <v>0</v>
      </c>
      <c r="L366" s="756">
        <f t="shared" si="262"/>
        <v>0</v>
      </c>
      <c r="M366" s="756">
        <f t="shared" si="262"/>
        <v>0</v>
      </c>
      <c r="N366" s="30"/>
      <c r="O366" s="119"/>
      <c r="P366" s="30"/>
      <c r="Q366" s="220"/>
      <c r="R366" s="220"/>
      <c r="S366" s="220"/>
      <c r="T366" s="220"/>
      <c r="U366" s="220"/>
      <c r="V366" s="220"/>
      <c r="W366" s="220"/>
      <c r="X366" s="220"/>
      <c r="Y366" s="220"/>
      <c r="Z366" s="220"/>
      <c r="AA366" s="220"/>
      <c r="AB366" s="220"/>
      <c r="AC366" s="220"/>
      <c r="AD366" s="220"/>
      <c r="AE366" s="220"/>
    </row>
    <row r="367" ht="13.5" customHeight="1" outlineLevel="1">
      <c r="A367" s="814">
        <f t="shared" si="138"/>
        <v>367</v>
      </c>
      <c r="B367" s="978" t="str">
        <f>$B$211</f>
        <v>Grade Level Teacher</v>
      </c>
      <c r="C367" s="388">
        <f t="shared" si="184"/>
        <v>0</v>
      </c>
      <c r="D367" s="388"/>
      <c r="E367" s="388"/>
      <c r="F367" s="388"/>
      <c r="G367" s="756">
        <f t="shared" si="260"/>
        <v>0</v>
      </c>
      <c r="H367" s="756">
        <f t="shared" ref="H367:M367" si="263">(H211*$E211)</f>
        <v>0</v>
      </c>
      <c r="I367" s="756">
        <f t="shared" si="263"/>
        <v>0</v>
      </c>
      <c r="J367" s="756">
        <f t="shared" si="263"/>
        <v>0</v>
      </c>
      <c r="K367" s="756">
        <f t="shared" si="263"/>
        <v>0</v>
      </c>
      <c r="L367" s="756">
        <f t="shared" si="263"/>
        <v>0</v>
      </c>
      <c r="M367" s="756">
        <f t="shared" si="263"/>
        <v>0</v>
      </c>
      <c r="N367" s="30"/>
      <c r="O367" s="119"/>
      <c r="P367" s="30"/>
      <c r="Q367" s="220"/>
      <c r="R367" s="220"/>
      <c r="S367" s="220"/>
      <c r="T367" s="220"/>
      <c r="U367" s="220"/>
      <c r="V367" s="220"/>
      <c r="W367" s="220"/>
      <c r="X367" s="220"/>
      <c r="Y367" s="220"/>
      <c r="Z367" s="220"/>
      <c r="AA367" s="220"/>
      <c r="AB367" s="220"/>
      <c r="AC367" s="220"/>
      <c r="AD367" s="220"/>
      <c r="AE367" s="220"/>
    </row>
    <row r="368" ht="13.5" customHeight="1" outlineLevel="1">
      <c r="A368" s="814">
        <f t="shared" si="138"/>
        <v>368</v>
      </c>
      <c r="B368" s="978" t="str">
        <f>$B$212</f>
        <v>Grade Level Teacher</v>
      </c>
      <c r="C368" s="388">
        <f t="shared" si="184"/>
        <v>0</v>
      </c>
      <c r="D368" s="388"/>
      <c r="E368" s="388"/>
      <c r="F368" s="388"/>
      <c r="G368" s="756">
        <f t="shared" si="260"/>
        <v>0</v>
      </c>
      <c r="H368" s="756">
        <f t="shared" ref="H368:M368" si="264">(H212*$E212)</f>
        <v>0</v>
      </c>
      <c r="I368" s="756">
        <f t="shared" si="264"/>
        <v>0</v>
      </c>
      <c r="J368" s="756">
        <f t="shared" si="264"/>
        <v>0</v>
      </c>
      <c r="K368" s="756">
        <f t="shared" si="264"/>
        <v>0</v>
      </c>
      <c r="L368" s="756">
        <f t="shared" si="264"/>
        <v>0</v>
      </c>
      <c r="M368" s="756">
        <f t="shared" si="264"/>
        <v>0</v>
      </c>
      <c r="N368" s="30"/>
      <c r="O368" s="119"/>
      <c r="P368" s="30"/>
      <c r="Q368" s="220"/>
      <c r="R368" s="220"/>
      <c r="S368" s="220"/>
      <c r="T368" s="220"/>
      <c r="U368" s="220"/>
      <c r="V368" s="220"/>
      <c r="W368" s="220"/>
      <c r="X368" s="220"/>
      <c r="Y368" s="220"/>
      <c r="Z368" s="220"/>
      <c r="AA368" s="220"/>
      <c r="AB368" s="220"/>
      <c r="AC368" s="220"/>
      <c r="AD368" s="220"/>
      <c r="AE368" s="220"/>
    </row>
    <row r="369" ht="13.5" customHeight="1" outlineLevel="1">
      <c r="A369" s="814">
        <f t="shared" si="138"/>
        <v>369</v>
      </c>
      <c r="B369" s="978"/>
      <c r="C369" s="388">
        <f t="shared" si="184"/>
        <v>0</v>
      </c>
      <c r="D369" s="388"/>
      <c r="E369" s="388"/>
      <c r="F369" s="388"/>
      <c r="G369" s="756"/>
      <c r="H369" s="756"/>
      <c r="I369" s="756"/>
      <c r="J369" s="756"/>
      <c r="K369" s="756"/>
      <c r="L369" s="756"/>
      <c r="M369" s="756"/>
      <c r="N369" s="30"/>
      <c r="O369" s="119"/>
      <c r="P369" s="30"/>
      <c r="Q369" s="220"/>
      <c r="R369" s="220"/>
      <c r="S369" s="220"/>
      <c r="T369" s="220"/>
      <c r="U369" s="220"/>
      <c r="V369" s="220"/>
      <c r="W369" s="220"/>
      <c r="X369" s="220"/>
      <c r="Y369" s="220"/>
      <c r="Z369" s="220"/>
      <c r="AA369" s="220"/>
      <c r="AB369" s="220"/>
      <c r="AC369" s="220"/>
      <c r="AD369" s="220"/>
      <c r="AE369" s="220"/>
    </row>
    <row r="370" ht="13.5" customHeight="1" outlineLevel="1">
      <c r="A370" s="814">
        <f t="shared" si="138"/>
        <v>370</v>
      </c>
      <c r="B370" s="978" t="str">
        <f>$B$214</f>
        <v>Spanish Teacher</v>
      </c>
      <c r="C370" s="388">
        <f t="shared" si="184"/>
        <v>0</v>
      </c>
      <c r="D370" s="388"/>
      <c r="E370" s="388"/>
      <c r="F370" s="388"/>
      <c r="G370" s="756">
        <f t="shared" ref="G370:G374" si="266">G214*$E214</f>
        <v>0</v>
      </c>
      <c r="H370" s="756">
        <f t="shared" ref="H370:M370" si="265">(H214*$E214)</f>
        <v>0</v>
      </c>
      <c r="I370" s="756">
        <f t="shared" si="265"/>
        <v>0</v>
      </c>
      <c r="J370" s="756">
        <f t="shared" si="265"/>
        <v>0</v>
      </c>
      <c r="K370" s="756">
        <f t="shared" si="265"/>
        <v>0</v>
      </c>
      <c r="L370" s="756">
        <f t="shared" si="265"/>
        <v>0</v>
      </c>
      <c r="M370" s="756">
        <f t="shared" si="265"/>
        <v>0</v>
      </c>
      <c r="N370" s="30"/>
      <c r="O370" s="119"/>
      <c r="P370" s="30"/>
      <c r="Q370" s="220"/>
      <c r="R370" s="220"/>
      <c r="S370" s="220"/>
      <c r="T370" s="220"/>
      <c r="U370" s="220"/>
      <c r="V370" s="220"/>
      <c r="W370" s="220"/>
      <c r="X370" s="220"/>
      <c r="Y370" s="220"/>
      <c r="Z370" s="220"/>
      <c r="AA370" s="220"/>
      <c r="AB370" s="220"/>
      <c r="AC370" s="220"/>
      <c r="AD370" s="220"/>
      <c r="AE370" s="220"/>
    </row>
    <row r="371" ht="13.5" customHeight="1" outlineLevel="1">
      <c r="A371" s="814">
        <f t="shared" si="138"/>
        <v>371</v>
      </c>
      <c r="B371" s="978" t="str">
        <f>$B$215</f>
        <v>English Teacher</v>
      </c>
      <c r="C371" s="388">
        <f t="shared" si="184"/>
        <v>214434</v>
      </c>
      <c r="D371" s="388"/>
      <c r="E371" s="388"/>
      <c r="F371" s="388"/>
      <c r="G371" s="756">
        <f t="shared" si="266"/>
        <v>71478</v>
      </c>
      <c r="H371" s="756">
        <f t="shared" ref="H371:M371" si="267">(H215*$E215)</f>
        <v>71478</v>
      </c>
      <c r="I371" s="756">
        <f t="shared" si="267"/>
        <v>71478</v>
      </c>
      <c r="J371" s="756">
        <f t="shared" si="267"/>
        <v>0</v>
      </c>
      <c r="K371" s="756">
        <f t="shared" si="267"/>
        <v>0</v>
      </c>
      <c r="L371" s="756">
        <f t="shared" si="267"/>
        <v>0</v>
      </c>
      <c r="M371" s="756">
        <f t="shared" si="267"/>
        <v>0</v>
      </c>
      <c r="N371" s="30"/>
      <c r="O371" s="119"/>
      <c r="P371" s="30"/>
      <c r="Q371" s="220"/>
      <c r="R371" s="220"/>
      <c r="S371" s="220"/>
      <c r="T371" s="220"/>
      <c r="U371" s="220"/>
      <c r="V371" s="220"/>
      <c r="W371" s="220"/>
      <c r="X371" s="220"/>
      <c r="Y371" s="220"/>
      <c r="Z371" s="220"/>
      <c r="AA371" s="220"/>
      <c r="AB371" s="220"/>
      <c r="AC371" s="220"/>
      <c r="AD371" s="220"/>
      <c r="AE371" s="220"/>
    </row>
    <row r="372" ht="13.5" customHeight="1" outlineLevel="1">
      <c r="A372" s="814">
        <f t="shared" si="138"/>
        <v>372</v>
      </c>
      <c r="B372" s="978" t="str">
        <f>$B$216</f>
        <v>Science Teacher</v>
      </c>
      <c r="C372" s="388">
        <f t="shared" si="184"/>
        <v>576905</v>
      </c>
      <c r="D372" s="388"/>
      <c r="E372" s="388"/>
      <c r="F372" s="388"/>
      <c r="G372" s="756">
        <f t="shared" si="266"/>
        <v>82415</v>
      </c>
      <c r="H372" s="756">
        <f t="shared" ref="H372:M372" si="268">(H216*$E216)</f>
        <v>82415</v>
      </c>
      <c r="I372" s="756">
        <f t="shared" si="268"/>
        <v>82415</v>
      </c>
      <c r="J372" s="756">
        <f t="shared" si="268"/>
        <v>82415</v>
      </c>
      <c r="K372" s="756">
        <f t="shared" si="268"/>
        <v>82415</v>
      </c>
      <c r="L372" s="756">
        <f t="shared" si="268"/>
        <v>82415</v>
      </c>
      <c r="M372" s="756">
        <f t="shared" si="268"/>
        <v>82415</v>
      </c>
      <c r="N372" s="30"/>
      <c r="O372" s="119"/>
      <c r="P372" s="30"/>
      <c r="Q372" s="220"/>
      <c r="R372" s="220"/>
      <c r="S372" s="220"/>
      <c r="T372" s="220"/>
      <c r="U372" s="220"/>
      <c r="V372" s="220"/>
      <c r="W372" s="220"/>
      <c r="X372" s="220"/>
      <c r="Y372" s="220"/>
      <c r="Z372" s="220"/>
      <c r="AA372" s="220"/>
      <c r="AB372" s="220"/>
      <c r="AC372" s="220"/>
      <c r="AD372" s="220"/>
      <c r="AE372" s="220"/>
    </row>
    <row r="373" ht="13.5" customHeight="1" outlineLevel="1">
      <c r="A373" s="814">
        <f t="shared" si="138"/>
        <v>373</v>
      </c>
      <c r="B373" s="978" t="str">
        <f>$B$217</f>
        <v>Theater and Public Speaking Teacher</v>
      </c>
      <c r="C373" s="388">
        <f t="shared" si="184"/>
        <v>363727</v>
      </c>
      <c r="D373" s="388"/>
      <c r="E373" s="388"/>
      <c r="F373" s="388"/>
      <c r="G373" s="756">
        <f t="shared" si="266"/>
        <v>51961</v>
      </c>
      <c r="H373" s="756">
        <f t="shared" ref="H373:M373" si="269">(H217*$E217)</f>
        <v>51961</v>
      </c>
      <c r="I373" s="756">
        <f t="shared" si="269"/>
        <v>51961</v>
      </c>
      <c r="J373" s="756">
        <f t="shared" si="269"/>
        <v>51961</v>
      </c>
      <c r="K373" s="756">
        <f t="shared" si="269"/>
        <v>51961</v>
      </c>
      <c r="L373" s="756">
        <f t="shared" si="269"/>
        <v>51961</v>
      </c>
      <c r="M373" s="756">
        <f t="shared" si="269"/>
        <v>51961</v>
      </c>
      <c r="N373" s="30"/>
      <c r="O373" s="119"/>
      <c r="P373" s="30"/>
      <c r="Q373" s="220"/>
      <c r="R373" s="220"/>
      <c r="S373" s="220"/>
      <c r="T373" s="220"/>
      <c r="U373" s="220"/>
      <c r="V373" s="220"/>
      <c r="W373" s="220"/>
      <c r="X373" s="220"/>
      <c r="Y373" s="220"/>
      <c r="Z373" s="220"/>
      <c r="AA373" s="220"/>
      <c r="AB373" s="220"/>
      <c r="AC373" s="220"/>
      <c r="AD373" s="220"/>
      <c r="AE373" s="220"/>
    </row>
    <row r="374" ht="13.5" customHeight="1" outlineLevel="1">
      <c r="A374" s="814">
        <f t="shared" si="138"/>
        <v>374</v>
      </c>
      <c r="B374" s="978" t="str">
        <f>$B$218</f>
        <v/>
      </c>
      <c r="C374" s="388">
        <f t="shared" si="184"/>
        <v>0</v>
      </c>
      <c r="D374" s="388"/>
      <c r="E374" s="388"/>
      <c r="F374" s="388"/>
      <c r="G374" s="756">
        <f t="shared" si="266"/>
        <v>0</v>
      </c>
      <c r="H374" s="756">
        <f t="shared" ref="H374:M374" si="270">(H218*$E218)</f>
        <v>0</v>
      </c>
      <c r="I374" s="756">
        <f t="shared" si="270"/>
        <v>0</v>
      </c>
      <c r="J374" s="756">
        <f t="shared" si="270"/>
        <v>0</v>
      </c>
      <c r="K374" s="756">
        <f t="shared" si="270"/>
        <v>0</v>
      </c>
      <c r="L374" s="756">
        <f t="shared" si="270"/>
        <v>0</v>
      </c>
      <c r="M374" s="756">
        <f t="shared" si="270"/>
        <v>0</v>
      </c>
      <c r="N374" s="30"/>
      <c r="O374" s="119"/>
      <c r="P374" s="30"/>
      <c r="Q374" s="220"/>
      <c r="R374" s="220"/>
      <c r="S374" s="220"/>
      <c r="T374" s="220"/>
      <c r="U374" s="220"/>
      <c r="V374" s="220"/>
      <c r="W374" s="220"/>
      <c r="X374" s="220"/>
      <c r="Y374" s="220"/>
      <c r="Z374" s="220"/>
      <c r="AA374" s="220"/>
      <c r="AB374" s="220"/>
      <c r="AC374" s="220"/>
      <c r="AD374" s="220"/>
      <c r="AE374" s="220"/>
    </row>
    <row r="375" ht="13.5" customHeight="1" outlineLevel="1">
      <c r="A375" s="814">
        <f t="shared" si="138"/>
        <v>375</v>
      </c>
      <c r="B375" s="978"/>
      <c r="C375" s="388">
        <f t="shared" si="184"/>
        <v>0</v>
      </c>
      <c r="D375" s="388"/>
      <c r="E375" s="388"/>
      <c r="F375" s="388"/>
      <c r="G375" s="756"/>
      <c r="H375" s="756"/>
      <c r="I375" s="756"/>
      <c r="J375" s="756"/>
      <c r="K375" s="756"/>
      <c r="L375" s="756"/>
      <c r="M375" s="756"/>
      <c r="N375" s="30"/>
      <c r="O375" s="119"/>
      <c r="P375" s="30"/>
      <c r="Q375" s="220"/>
      <c r="R375" s="220"/>
      <c r="S375" s="220"/>
      <c r="T375" s="220"/>
      <c r="U375" s="220"/>
      <c r="V375" s="220"/>
      <c r="W375" s="220"/>
      <c r="X375" s="220"/>
      <c r="Y375" s="220"/>
      <c r="Z375" s="220"/>
      <c r="AA375" s="220"/>
      <c r="AB375" s="220"/>
      <c r="AC375" s="220"/>
      <c r="AD375" s="220"/>
      <c r="AE375" s="220"/>
    </row>
    <row r="376" ht="13.5" customHeight="1" outlineLevel="1">
      <c r="A376" s="814">
        <f t="shared" si="138"/>
        <v>376</v>
      </c>
      <c r="B376" s="978" t="str">
        <f>$B$220</f>
        <v>Foreign Language Teacher</v>
      </c>
      <c r="C376" s="388">
        <f t="shared" si="184"/>
        <v>500346</v>
      </c>
      <c r="D376" s="388"/>
      <c r="E376" s="388"/>
      <c r="F376" s="388"/>
      <c r="G376" s="756">
        <f t="shared" ref="G376:G380" si="272">G220*$E220</f>
        <v>71478</v>
      </c>
      <c r="H376" s="756">
        <f t="shared" ref="H376:M376" si="271">(H220*$E220)</f>
        <v>71478</v>
      </c>
      <c r="I376" s="756">
        <f t="shared" si="271"/>
        <v>71478</v>
      </c>
      <c r="J376" s="756">
        <f t="shared" si="271"/>
        <v>71478</v>
      </c>
      <c r="K376" s="756">
        <f t="shared" si="271"/>
        <v>71478</v>
      </c>
      <c r="L376" s="756">
        <f t="shared" si="271"/>
        <v>71478</v>
      </c>
      <c r="M376" s="756">
        <f t="shared" si="271"/>
        <v>71478</v>
      </c>
      <c r="N376" s="30"/>
      <c r="O376" s="119"/>
      <c r="P376" s="30"/>
      <c r="Q376" s="220"/>
      <c r="R376" s="220"/>
      <c r="S376" s="220"/>
      <c r="T376" s="220"/>
      <c r="U376" s="220"/>
      <c r="V376" s="220"/>
      <c r="W376" s="220"/>
      <c r="X376" s="220"/>
      <c r="Y376" s="220"/>
      <c r="Z376" s="220"/>
      <c r="AA376" s="220"/>
      <c r="AB376" s="220"/>
      <c r="AC376" s="220"/>
      <c r="AD376" s="220"/>
      <c r="AE376" s="220"/>
    </row>
    <row r="377" ht="13.5" customHeight="1" outlineLevel="1">
      <c r="A377" s="814">
        <f t="shared" si="138"/>
        <v>377</v>
      </c>
      <c r="B377" s="978" t="str">
        <f>$B$221</f>
        <v>Art Teacher</v>
      </c>
      <c r="C377" s="388">
        <f t="shared" si="184"/>
        <v>393001</v>
      </c>
      <c r="D377" s="388"/>
      <c r="E377" s="388"/>
      <c r="F377" s="388"/>
      <c r="G377" s="756">
        <f t="shared" si="272"/>
        <v>56143</v>
      </c>
      <c r="H377" s="756">
        <f t="shared" ref="H377:M377" si="273">(H221*$E221)</f>
        <v>56143</v>
      </c>
      <c r="I377" s="756">
        <f t="shared" si="273"/>
        <v>56143</v>
      </c>
      <c r="J377" s="756">
        <f t="shared" si="273"/>
        <v>56143</v>
      </c>
      <c r="K377" s="756">
        <f t="shared" si="273"/>
        <v>56143</v>
      </c>
      <c r="L377" s="756">
        <f t="shared" si="273"/>
        <v>56143</v>
      </c>
      <c r="M377" s="756">
        <f t="shared" si="273"/>
        <v>56143</v>
      </c>
      <c r="N377" s="30"/>
      <c r="O377" s="119"/>
      <c r="P377" s="30"/>
      <c r="Q377" s="220"/>
      <c r="R377" s="220"/>
      <c r="S377" s="220"/>
      <c r="T377" s="220"/>
      <c r="U377" s="220"/>
      <c r="V377" s="220"/>
      <c r="W377" s="220"/>
      <c r="X377" s="220"/>
      <c r="Y377" s="220"/>
      <c r="Z377" s="220"/>
      <c r="AA377" s="220"/>
      <c r="AB377" s="220"/>
      <c r="AC377" s="220"/>
      <c r="AD377" s="220"/>
      <c r="AE377" s="220"/>
    </row>
    <row r="378" ht="13.5" customHeight="1" outlineLevel="1">
      <c r="A378" s="814">
        <f t="shared" si="138"/>
        <v>378</v>
      </c>
      <c r="B378" s="978" t="str">
        <f>$B$222</f>
        <v>History Teacher</v>
      </c>
      <c r="C378" s="388">
        <f t="shared" si="184"/>
        <v>480781</v>
      </c>
      <c r="D378" s="388"/>
      <c r="E378" s="388"/>
      <c r="F378" s="388"/>
      <c r="G378" s="756">
        <f t="shared" si="272"/>
        <v>68683</v>
      </c>
      <c r="H378" s="756">
        <f t="shared" ref="H378:M378" si="274">(H222*$E222)</f>
        <v>68683</v>
      </c>
      <c r="I378" s="756">
        <f t="shared" si="274"/>
        <v>68683</v>
      </c>
      <c r="J378" s="756">
        <f t="shared" si="274"/>
        <v>68683</v>
      </c>
      <c r="K378" s="756">
        <f t="shared" si="274"/>
        <v>68683</v>
      </c>
      <c r="L378" s="756">
        <f t="shared" si="274"/>
        <v>68683</v>
      </c>
      <c r="M378" s="756">
        <f t="shared" si="274"/>
        <v>68683</v>
      </c>
      <c r="N378" s="30"/>
      <c r="O378" s="119"/>
      <c r="P378" s="30"/>
      <c r="Q378" s="220"/>
      <c r="R378" s="220"/>
      <c r="S378" s="220"/>
      <c r="T378" s="220"/>
      <c r="U378" s="220"/>
      <c r="V378" s="220"/>
      <c r="W378" s="220"/>
      <c r="X378" s="220"/>
      <c r="Y378" s="220"/>
      <c r="Z378" s="220"/>
      <c r="AA378" s="220"/>
      <c r="AB378" s="220"/>
      <c r="AC378" s="220"/>
      <c r="AD378" s="220"/>
      <c r="AE378" s="220"/>
    </row>
    <row r="379" ht="13.5" customHeight="1" outlineLevel="1">
      <c r="A379" s="814">
        <f t="shared" si="138"/>
        <v>379</v>
      </c>
      <c r="B379" s="978" t="str">
        <f>$B$223</f>
        <v>Science Teacher</v>
      </c>
      <c r="C379" s="388">
        <f t="shared" si="184"/>
        <v>581385</v>
      </c>
      <c r="D379" s="388"/>
      <c r="E379" s="388"/>
      <c r="F379" s="388"/>
      <c r="G379" s="756">
        <f t="shared" si="272"/>
        <v>83055</v>
      </c>
      <c r="H379" s="756">
        <f t="shared" ref="H379:M379" si="275">(H223*$E223)</f>
        <v>83055</v>
      </c>
      <c r="I379" s="756">
        <f t="shared" si="275"/>
        <v>83055</v>
      </c>
      <c r="J379" s="756">
        <f t="shared" si="275"/>
        <v>83055</v>
      </c>
      <c r="K379" s="756">
        <f t="shared" si="275"/>
        <v>83055</v>
      </c>
      <c r="L379" s="756">
        <f t="shared" si="275"/>
        <v>83055</v>
      </c>
      <c r="M379" s="756">
        <f t="shared" si="275"/>
        <v>83055</v>
      </c>
      <c r="N379" s="30"/>
      <c r="O379" s="119"/>
      <c r="P379" s="30"/>
      <c r="Q379" s="220"/>
      <c r="R379" s="220"/>
      <c r="S379" s="220"/>
      <c r="T379" s="220"/>
      <c r="U379" s="220"/>
      <c r="V379" s="220"/>
      <c r="W379" s="220"/>
      <c r="X379" s="220"/>
      <c r="Y379" s="220"/>
      <c r="Z379" s="220"/>
      <c r="AA379" s="220"/>
      <c r="AB379" s="220"/>
      <c r="AC379" s="220"/>
      <c r="AD379" s="220"/>
      <c r="AE379" s="220"/>
    </row>
    <row r="380" ht="13.5" customHeight="1" outlineLevel="1">
      <c r="A380" s="814">
        <f t="shared" si="138"/>
        <v>380</v>
      </c>
      <c r="B380" s="978" t="str">
        <f>$B$224</f>
        <v>Math Teacher</v>
      </c>
      <c r="C380" s="388">
        <f t="shared" si="184"/>
        <v>422261</v>
      </c>
      <c r="D380" s="388"/>
      <c r="E380" s="388"/>
      <c r="F380" s="388"/>
      <c r="G380" s="756">
        <f t="shared" si="272"/>
        <v>60323</v>
      </c>
      <c r="H380" s="756">
        <f t="shared" ref="H380:M380" si="276">(H224*$E224)</f>
        <v>60323</v>
      </c>
      <c r="I380" s="756">
        <f t="shared" si="276"/>
        <v>60323</v>
      </c>
      <c r="J380" s="756">
        <f t="shared" si="276"/>
        <v>60323</v>
      </c>
      <c r="K380" s="756">
        <f t="shared" si="276"/>
        <v>60323</v>
      </c>
      <c r="L380" s="756">
        <f t="shared" si="276"/>
        <v>60323</v>
      </c>
      <c r="M380" s="756">
        <f t="shared" si="276"/>
        <v>60323</v>
      </c>
      <c r="N380" s="30"/>
      <c r="O380" s="119"/>
      <c r="P380" s="30"/>
      <c r="Q380" s="220"/>
      <c r="R380" s="220"/>
      <c r="S380" s="220"/>
      <c r="T380" s="220"/>
      <c r="U380" s="220"/>
      <c r="V380" s="220"/>
      <c r="W380" s="220"/>
      <c r="X380" s="220"/>
      <c r="Y380" s="220"/>
      <c r="Z380" s="220"/>
      <c r="AA380" s="220"/>
      <c r="AB380" s="220"/>
      <c r="AC380" s="220"/>
      <c r="AD380" s="220"/>
      <c r="AE380" s="220"/>
    </row>
    <row r="381" ht="13.5" customHeight="1" outlineLevel="1">
      <c r="A381" s="814">
        <f t="shared" si="138"/>
        <v>381</v>
      </c>
      <c r="B381" s="978"/>
      <c r="C381" s="388">
        <f t="shared" si="184"/>
        <v>0</v>
      </c>
      <c r="D381" s="388"/>
      <c r="E381" s="388"/>
      <c r="F381" s="388"/>
      <c r="G381" s="756"/>
      <c r="H381" s="756"/>
      <c r="I381" s="756"/>
      <c r="J381" s="756"/>
      <c r="K381" s="756"/>
      <c r="L381" s="756"/>
      <c r="M381" s="756"/>
      <c r="N381" s="30"/>
      <c r="O381" s="119"/>
      <c r="P381" s="30"/>
      <c r="Q381" s="220"/>
      <c r="R381" s="220"/>
      <c r="S381" s="220"/>
      <c r="T381" s="220"/>
      <c r="U381" s="220"/>
      <c r="V381" s="220"/>
      <c r="W381" s="220"/>
      <c r="X381" s="220"/>
      <c r="Y381" s="220"/>
      <c r="Z381" s="220"/>
      <c r="AA381" s="220"/>
      <c r="AB381" s="220"/>
      <c r="AC381" s="220"/>
      <c r="AD381" s="220"/>
      <c r="AE381" s="220"/>
    </row>
    <row r="382" ht="13.5" customHeight="1" outlineLevel="1">
      <c r="A382" s="814">
        <f t="shared" si="138"/>
        <v>382</v>
      </c>
      <c r="B382" s="978" t="str">
        <f>$B$226</f>
        <v>English Teacher</v>
      </c>
      <c r="C382" s="388">
        <f t="shared" si="184"/>
        <v>416304</v>
      </c>
      <c r="D382" s="388"/>
      <c r="E382" s="388"/>
      <c r="F382" s="388"/>
      <c r="G382" s="756">
        <f t="shared" ref="G382:G386" si="278">G226*$E226</f>
        <v>59472</v>
      </c>
      <c r="H382" s="756">
        <f t="shared" ref="H382:M382" si="277">(H226*$E226)</f>
        <v>59472</v>
      </c>
      <c r="I382" s="756">
        <f t="shared" si="277"/>
        <v>59472</v>
      </c>
      <c r="J382" s="756">
        <f t="shared" si="277"/>
        <v>59472</v>
      </c>
      <c r="K382" s="756">
        <f t="shared" si="277"/>
        <v>59472</v>
      </c>
      <c r="L382" s="756">
        <f t="shared" si="277"/>
        <v>59472</v>
      </c>
      <c r="M382" s="756">
        <f t="shared" si="277"/>
        <v>59472</v>
      </c>
      <c r="N382" s="30"/>
      <c r="O382" s="119"/>
      <c r="P382" s="30"/>
      <c r="Q382" s="220"/>
      <c r="R382" s="220"/>
      <c r="S382" s="220"/>
      <c r="T382" s="220"/>
      <c r="U382" s="220"/>
      <c r="V382" s="220"/>
      <c r="W382" s="220"/>
      <c r="X382" s="220"/>
      <c r="Y382" s="220"/>
      <c r="Z382" s="220"/>
      <c r="AA382" s="220"/>
      <c r="AB382" s="220"/>
      <c r="AC382" s="220"/>
      <c r="AD382" s="220"/>
      <c r="AE382" s="220"/>
    </row>
    <row r="383" ht="13.5" customHeight="1" outlineLevel="1">
      <c r="A383" s="814">
        <f t="shared" si="138"/>
        <v>383</v>
      </c>
      <c r="B383" s="978" t="str">
        <f>$B$227</f>
        <v>Math Teacher</v>
      </c>
      <c r="C383" s="388">
        <f t="shared" si="184"/>
        <v>480781</v>
      </c>
      <c r="D383" s="388"/>
      <c r="E383" s="388"/>
      <c r="F383" s="388"/>
      <c r="G383" s="756">
        <f t="shared" si="278"/>
        <v>68683</v>
      </c>
      <c r="H383" s="756">
        <f t="shared" ref="H383:M383" si="279">(H227*$E227)</f>
        <v>68683</v>
      </c>
      <c r="I383" s="756">
        <f t="shared" si="279"/>
        <v>68683</v>
      </c>
      <c r="J383" s="756">
        <f t="shared" si="279"/>
        <v>68683</v>
      </c>
      <c r="K383" s="756">
        <f t="shared" si="279"/>
        <v>68683</v>
      </c>
      <c r="L383" s="756">
        <f t="shared" si="279"/>
        <v>68683</v>
      </c>
      <c r="M383" s="756">
        <f t="shared" si="279"/>
        <v>68683</v>
      </c>
      <c r="N383" s="30"/>
      <c r="O383" s="119"/>
      <c r="P383" s="30"/>
      <c r="Q383" s="220"/>
      <c r="R383" s="220"/>
      <c r="S383" s="220"/>
      <c r="T383" s="220"/>
      <c r="U383" s="220"/>
      <c r="V383" s="220"/>
      <c r="W383" s="220"/>
      <c r="X383" s="220"/>
      <c r="Y383" s="220"/>
      <c r="Z383" s="220"/>
      <c r="AA383" s="220"/>
      <c r="AB383" s="220"/>
      <c r="AC383" s="220"/>
      <c r="AD383" s="220"/>
      <c r="AE383" s="220"/>
    </row>
    <row r="384" ht="13.5" customHeight="1" outlineLevel="1">
      <c r="A384" s="814">
        <f t="shared" si="138"/>
        <v>384</v>
      </c>
      <c r="B384" s="978" t="str">
        <f>$B$228</f>
        <v>Math Teacher</v>
      </c>
      <c r="C384" s="388">
        <f t="shared" si="184"/>
        <v>569989</v>
      </c>
      <c r="D384" s="388"/>
      <c r="E384" s="388"/>
      <c r="F384" s="388"/>
      <c r="G384" s="756">
        <f t="shared" si="278"/>
        <v>81427</v>
      </c>
      <c r="H384" s="756">
        <f t="shared" ref="H384:M384" si="280">(H228*$E228)</f>
        <v>81427</v>
      </c>
      <c r="I384" s="756">
        <f t="shared" si="280"/>
        <v>81427</v>
      </c>
      <c r="J384" s="756">
        <f t="shared" si="280"/>
        <v>81427</v>
      </c>
      <c r="K384" s="756">
        <f t="shared" si="280"/>
        <v>81427</v>
      </c>
      <c r="L384" s="756">
        <f t="shared" si="280"/>
        <v>81427</v>
      </c>
      <c r="M384" s="756">
        <f t="shared" si="280"/>
        <v>81427</v>
      </c>
      <c r="N384" s="30"/>
      <c r="O384" s="119"/>
      <c r="P384" s="30"/>
      <c r="Q384" s="220"/>
      <c r="R384" s="220"/>
      <c r="S384" s="220"/>
      <c r="T384" s="220"/>
      <c r="U384" s="220"/>
      <c r="V384" s="220"/>
      <c r="W384" s="220"/>
      <c r="X384" s="220"/>
      <c r="Y384" s="220"/>
      <c r="Z384" s="220"/>
      <c r="AA384" s="220"/>
      <c r="AB384" s="220"/>
      <c r="AC384" s="220"/>
      <c r="AD384" s="220"/>
      <c r="AE384" s="220"/>
    </row>
    <row r="385" ht="13.5" customHeight="1" outlineLevel="1">
      <c r="A385" s="814">
        <f t="shared" si="138"/>
        <v>385</v>
      </c>
      <c r="B385" s="978" t="str">
        <f>$B$229</f>
        <v>English Teacher</v>
      </c>
      <c r="C385" s="388">
        <f t="shared" si="184"/>
        <v>441770</v>
      </c>
      <c r="D385" s="388"/>
      <c r="E385" s="388"/>
      <c r="F385" s="388"/>
      <c r="G385" s="756">
        <f t="shared" si="278"/>
        <v>63110</v>
      </c>
      <c r="H385" s="756">
        <f t="shared" ref="H385:M385" si="281">(H229*$E229)</f>
        <v>63110</v>
      </c>
      <c r="I385" s="756">
        <f t="shared" si="281"/>
        <v>63110</v>
      </c>
      <c r="J385" s="756">
        <f t="shared" si="281"/>
        <v>63110</v>
      </c>
      <c r="K385" s="756">
        <f t="shared" si="281"/>
        <v>63110</v>
      </c>
      <c r="L385" s="756">
        <f t="shared" si="281"/>
        <v>63110</v>
      </c>
      <c r="M385" s="756">
        <f t="shared" si="281"/>
        <v>63110</v>
      </c>
      <c r="N385" s="30"/>
      <c r="O385" s="119"/>
      <c r="P385" s="30"/>
      <c r="Q385" s="220"/>
      <c r="R385" s="220"/>
      <c r="S385" s="220"/>
      <c r="T385" s="220"/>
      <c r="U385" s="220"/>
      <c r="V385" s="220"/>
      <c r="W385" s="220"/>
      <c r="X385" s="220"/>
      <c r="Y385" s="220"/>
      <c r="Z385" s="220"/>
      <c r="AA385" s="220"/>
      <c r="AB385" s="220"/>
      <c r="AC385" s="220"/>
      <c r="AD385" s="220"/>
      <c r="AE385" s="220"/>
    </row>
    <row r="386" ht="13.5" customHeight="1" outlineLevel="1">
      <c r="A386" s="814">
        <f t="shared" si="138"/>
        <v>386</v>
      </c>
      <c r="B386" s="978" t="str">
        <f>$B$230</f>
        <v>Science Teacher</v>
      </c>
      <c r="C386" s="388">
        <f t="shared" si="184"/>
        <v>412503</v>
      </c>
      <c r="D386" s="388"/>
      <c r="E386" s="388"/>
      <c r="F386" s="388"/>
      <c r="G386" s="756">
        <f t="shared" si="278"/>
        <v>58929</v>
      </c>
      <c r="H386" s="756">
        <f t="shared" ref="H386:M386" si="282">(H230*$E230)</f>
        <v>58929</v>
      </c>
      <c r="I386" s="756">
        <f t="shared" si="282"/>
        <v>58929</v>
      </c>
      <c r="J386" s="756">
        <f t="shared" si="282"/>
        <v>58929</v>
      </c>
      <c r="K386" s="756">
        <f t="shared" si="282"/>
        <v>58929</v>
      </c>
      <c r="L386" s="756">
        <f t="shared" si="282"/>
        <v>58929</v>
      </c>
      <c r="M386" s="756">
        <f t="shared" si="282"/>
        <v>58929</v>
      </c>
      <c r="N386" s="30"/>
      <c r="O386" s="119"/>
      <c r="P386" s="30"/>
      <c r="Q386" s="220"/>
      <c r="R386" s="220"/>
      <c r="S386" s="220"/>
      <c r="T386" s="220"/>
      <c r="U386" s="220"/>
      <c r="V386" s="220"/>
      <c r="W386" s="220"/>
      <c r="X386" s="220"/>
      <c r="Y386" s="220"/>
      <c r="Z386" s="220"/>
      <c r="AA386" s="220"/>
      <c r="AB386" s="220"/>
      <c r="AC386" s="220"/>
      <c r="AD386" s="220"/>
      <c r="AE386" s="220"/>
    </row>
    <row r="387" ht="13.5" customHeight="1" outlineLevel="1">
      <c r="A387" s="814">
        <f t="shared" si="138"/>
        <v>387</v>
      </c>
      <c r="B387" s="978"/>
      <c r="C387" s="388">
        <f t="shared" si="184"/>
        <v>0</v>
      </c>
      <c r="D387" s="388"/>
      <c r="E387" s="388"/>
      <c r="F387" s="388"/>
      <c r="G387" s="756"/>
      <c r="H387" s="756"/>
      <c r="I387" s="756"/>
      <c r="J387" s="756"/>
      <c r="K387" s="756"/>
      <c r="L387" s="756"/>
      <c r="M387" s="756"/>
      <c r="N387" s="30"/>
      <c r="O387" s="119"/>
      <c r="P387" s="30"/>
      <c r="Q387" s="220"/>
      <c r="R387" s="220"/>
      <c r="S387" s="220"/>
      <c r="T387" s="220"/>
      <c r="U387" s="220"/>
      <c r="V387" s="220"/>
      <c r="W387" s="220"/>
      <c r="X387" s="220"/>
      <c r="Y387" s="220"/>
      <c r="Z387" s="220"/>
      <c r="AA387" s="220"/>
      <c r="AB387" s="220"/>
      <c r="AC387" s="220"/>
      <c r="AD387" s="220"/>
      <c r="AE387" s="220"/>
    </row>
    <row r="388" ht="13.5" customHeight="1" outlineLevel="1">
      <c r="A388" s="814">
        <f t="shared" si="138"/>
        <v>388</v>
      </c>
      <c r="B388" s="978" t="str">
        <f>$B$232</f>
        <v>Paraprofessional</v>
      </c>
      <c r="C388" s="388">
        <f t="shared" si="184"/>
        <v>1743000</v>
      </c>
      <c r="D388" s="388"/>
      <c r="E388" s="388"/>
      <c r="F388" s="388"/>
      <c r="G388" s="756">
        <f t="shared" ref="G388:G392" si="284">G232*$E232</f>
        <v>249000</v>
      </c>
      <c r="H388" s="756">
        <f t="shared" ref="H388:M388" si="283">(H232*$E232)</f>
        <v>249000</v>
      </c>
      <c r="I388" s="756">
        <f t="shared" si="283"/>
        <v>249000</v>
      </c>
      <c r="J388" s="756">
        <f t="shared" si="283"/>
        <v>249000</v>
      </c>
      <c r="K388" s="756">
        <f t="shared" si="283"/>
        <v>249000</v>
      </c>
      <c r="L388" s="756">
        <f t="shared" si="283"/>
        <v>249000</v>
      </c>
      <c r="M388" s="756">
        <f t="shared" si="283"/>
        <v>249000</v>
      </c>
      <c r="N388" s="30"/>
      <c r="O388" s="119"/>
      <c r="P388" s="30"/>
      <c r="Q388" s="220"/>
      <c r="R388" s="220"/>
      <c r="S388" s="220"/>
      <c r="T388" s="220"/>
      <c r="U388" s="220"/>
      <c r="V388" s="220"/>
      <c r="W388" s="220"/>
      <c r="X388" s="220"/>
      <c r="Y388" s="220"/>
      <c r="Z388" s="220"/>
      <c r="AA388" s="220"/>
      <c r="AB388" s="220"/>
      <c r="AC388" s="220"/>
      <c r="AD388" s="220"/>
      <c r="AE388" s="220"/>
    </row>
    <row r="389" ht="13.5" customHeight="1" outlineLevel="1">
      <c r="A389" s="814">
        <f t="shared" si="138"/>
        <v>389</v>
      </c>
      <c r="B389" s="978" t="str">
        <f>$B$233</f>
        <v>Grade Level Teacher</v>
      </c>
      <c r="C389" s="388">
        <f t="shared" si="184"/>
        <v>0</v>
      </c>
      <c r="D389" s="388"/>
      <c r="E389" s="388"/>
      <c r="F389" s="388"/>
      <c r="G389" s="756">
        <f t="shared" si="284"/>
        <v>0</v>
      </c>
      <c r="H389" s="756">
        <f t="shared" ref="H389:M389" si="285">(H233*$E233)</f>
        <v>0</v>
      </c>
      <c r="I389" s="756">
        <f t="shared" si="285"/>
        <v>0</v>
      </c>
      <c r="J389" s="756">
        <f t="shared" si="285"/>
        <v>0</v>
      </c>
      <c r="K389" s="756">
        <f t="shared" si="285"/>
        <v>0</v>
      </c>
      <c r="L389" s="756">
        <f t="shared" si="285"/>
        <v>0</v>
      </c>
      <c r="M389" s="756">
        <f t="shared" si="285"/>
        <v>0</v>
      </c>
      <c r="N389" s="30"/>
      <c r="O389" s="119"/>
      <c r="P389" s="30"/>
      <c r="Q389" s="220"/>
      <c r="R389" s="220"/>
      <c r="S389" s="220"/>
      <c r="T389" s="220"/>
      <c r="U389" s="220"/>
      <c r="V389" s="220"/>
      <c r="W389" s="220"/>
      <c r="X389" s="220"/>
      <c r="Y389" s="220"/>
      <c r="Z389" s="220"/>
      <c r="AA389" s="220"/>
      <c r="AB389" s="220"/>
      <c r="AC389" s="220"/>
      <c r="AD389" s="220"/>
      <c r="AE389" s="220"/>
    </row>
    <row r="390" ht="13.5" customHeight="1" outlineLevel="1">
      <c r="A390" s="814">
        <f t="shared" si="138"/>
        <v>390</v>
      </c>
      <c r="B390" s="978" t="str">
        <f>$B$234</f>
        <v>Grade Level Teacher</v>
      </c>
      <c r="C390" s="388">
        <f t="shared" si="184"/>
        <v>0</v>
      </c>
      <c r="D390" s="388"/>
      <c r="E390" s="388"/>
      <c r="F390" s="388"/>
      <c r="G390" s="756">
        <f t="shared" si="284"/>
        <v>0</v>
      </c>
      <c r="H390" s="756">
        <f t="shared" ref="H390:M390" si="286">(H234*$E234)</f>
        <v>0</v>
      </c>
      <c r="I390" s="756">
        <f t="shared" si="286"/>
        <v>0</v>
      </c>
      <c r="J390" s="756">
        <f t="shared" si="286"/>
        <v>0</v>
      </c>
      <c r="K390" s="756">
        <f t="shared" si="286"/>
        <v>0</v>
      </c>
      <c r="L390" s="756">
        <f t="shared" si="286"/>
        <v>0</v>
      </c>
      <c r="M390" s="756">
        <f t="shared" si="286"/>
        <v>0</v>
      </c>
      <c r="N390" s="30"/>
      <c r="O390" s="119"/>
      <c r="P390" s="30"/>
      <c r="Q390" s="220"/>
      <c r="R390" s="220"/>
      <c r="S390" s="220"/>
      <c r="T390" s="220"/>
      <c r="U390" s="220"/>
      <c r="V390" s="220"/>
      <c r="W390" s="220"/>
      <c r="X390" s="220"/>
      <c r="Y390" s="220"/>
      <c r="Z390" s="220"/>
      <c r="AA390" s="220"/>
      <c r="AB390" s="220"/>
      <c r="AC390" s="220"/>
      <c r="AD390" s="220"/>
      <c r="AE390" s="220"/>
    </row>
    <row r="391" ht="13.5" customHeight="1" outlineLevel="1">
      <c r="A391" s="814">
        <f t="shared" si="138"/>
        <v>391</v>
      </c>
      <c r="B391" s="978" t="str">
        <f>$B$235</f>
        <v>Grade Level Teacher</v>
      </c>
      <c r="C391" s="388">
        <f t="shared" si="184"/>
        <v>0</v>
      </c>
      <c r="D391" s="388"/>
      <c r="E391" s="388"/>
      <c r="F391" s="388"/>
      <c r="G391" s="756">
        <f t="shared" si="284"/>
        <v>0</v>
      </c>
      <c r="H391" s="756">
        <f t="shared" ref="H391:M391" si="287">(H235*$E235)</f>
        <v>0</v>
      </c>
      <c r="I391" s="756">
        <f t="shared" si="287"/>
        <v>0</v>
      </c>
      <c r="J391" s="756">
        <f t="shared" si="287"/>
        <v>0</v>
      </c>
      <c r="K391" s="756">
        <f t="shared" si="287"/>
        <v>0</v>
      </c>
      <c r="L391" s="756">
        <f t="shared" si="287"/>
        <v>0</v>
      </c>
      <c r="M391" s="756">
        <f t="shared" si="287"/>
        <v>0</v>
      </c>
      <c r="N391" s="30"/>
      <c r="O391" s="119"/>
      <c r="P391" s="30"/>
      <c r="Q391" s="220"/>
      <c r="R391" s="220"/>
      <c r="S391" s="220"/>
      <c r="T391" s="220"/>
      <c r="U391" s="220"/>
      <c r="V391" s="220"/>
      <c r="W391" s="220"/>
      <c r="X391" s="220"/>
      <c r="Y391" s="220"/>
      <c r="Z391" s="220"/>
      <c r="AA391" s="220"/>
      <c r="AB391" s="220"/>
      <c r="AC391" s="220"/>
      <c r="AD391" s="220"/>
      <c r="AE391" s="220"/>
    </row>
    <row r="392" ht="13.5" customHeight="1" outlineLevel="1">
      <c r="A392" s="814">
        <f t="shared" si="138"/>
        <v>392</v>
      </c>
      <c r="B392" s="978" t="str">
        <f>$B$236</f>
        <v>Grade Level Teacher</v>
      </c>
      <c r="C392" s="388">
        <f t="shared" si="184"/>
        <v>0</v>
      </c>
      <c r="D392" s="388"/>
      <c r="E392" s="388"/>
      <c r="F392" s="388"/>
      <c r="G392" s="756">
        <f t="shared" si="284"/>
        <v>0</v>
      </c>
      <c r="H392" s="756">
        <f t="shared" ref="H392:M392" si="288">(H236*$E236)</f>
        <v>0</v>
      </c>
      <c r="I392" s="756">
        <f t="shared" si="288"/>
        <v>0</v>
      </c>
      <c r="J392" s="756">
        <f t="shared" si="288"/>
        <v>0</v>
      </c>
      <c r="K392" s="756">
        <f t="shared" si="288"/>
        <v>0</v>
      </c>
      <c r="L392" s="756">
        <f t="shared" si="288"/>
        <v>0</v>
      </c>
      <c r="M392" s="756">
        <f t="shared" si="288"/>
        <v>0</v>
      </c>
      <c r="N392" s="30"/>
      <c r="O392" s="119"/>
      <c r="P392" s="30"/>
      <c r="Q392" s="220"/>
      <c r="R392" s="220"/>
      <c r="S392" s="220"/>
      <c r="T392" s="220"/>
      <c r="U392" s="220"/>
      <c r="V392" s="220"/>
      <c r="W392" s="220"/>
      <c r="X392" s="220"/>
      <c r="Y392" s="220"/>
      <c r="Z392" s="220"/>
      <c r="AA392" s="220"/>
      <c r="AB392" s="220"/>
      <c r="AC392" s="220"/>
      <c r="AD392" s="220"/>
      <c r="AE392" s="220"/>
    </row>
    <row r="393" ht="13.5" customHeight="1" outlineLevel="1">
      <c r="A393" s="814">
        <f t="shared" si="138"/>
        <v>393</v>
      </c>
      <c r="B393" s="30"/>
      <c r="C393" s="388"/>
      <c r="D393" s="388"/>
      <c r="E393" s="388"/>
      <c r="F393" s="388"/>
      <c r="G393" s="982"/>
      <c r="H393" s="982">
        <v>0.0</v>
      </c>
      <c r="I393" s="982"/>
      <c r="J393" s="982"/>
      <c r="K393" s="982"/>
      <c r="L393" s="982"/>
      <c r="M393" s="982"/>
      <c r="N393" s="30"/>
      <c r="O393" s="119"/>
      <c r="P393" s="30"/>
      <c r="Q393" s="220"/>
      <c r="R393" s="220"/>
      <c r="S393" s="220"/>
      <c r="T393" s="220"/>
      <c r="U393" s="220"/>
      <c r="V393" s="220"/>
      <c r="W393" s="220"/>
      <c r="X393" s="220"/>
      <c r="Y393" s="220"/>
      <c r="Z393" s="220"/>
      <c r="AA393" s="220"/>
      <c r="AB393" s="220"/>
      <c r="AC393" s="220"/>
      <c r="AD393" s="220"/>
      <c r="AE393" s="220"/>
    </row>
    <row r="394" ht="13.5" customHeight="1" outlineLevel="1">
      <c r="A394" s="814">
        <f t="shared" si="138"/>
        <v>394</v>
      </c>
      <c r="B394" s="983" t="s">
        <v>778</v>
      </c>
      <c r="C394" s="984">
        <f>SUM(G394:M394)</f>
        <v>12902716</v>
      </c>
      <c r="D394" s="983"/>
      <c r="E394" s="983"/>
      <c r="F394" s="983"/>
      <c r="G394" s="984">
        <f t="shared" ref="G394:M394" si="289">SUM(G299:G392)</f>
        <v>1863670</v>
      </c>
      <c r="H394" s="984">
        <f t="shared" si="289"/>
        <v>1887493</v>
      </c>
      <c r="I394" s="984">
        <f t="shared" si="289"/>
        <v>1887493</v>
      </c>
      <c r="J394" s="984">
        <f t="shared" si="289"/>
        <v>1816015</v>
      </c>
      <c r="K394" s="984">
        <f t="shared" si="289"/>
        <v>1816015</v>
      </c>
      <c r="L394" s="984">
        <f t="shared" si="289"/>
        <v>1816015</v>
      </c>
      <c r="M394" s="984">
        <f t="shared" si="289"/>
        <v>1816015</v>
      </c>
      <c r="N394" s="30"/>
      <c r="O394" s="119"/>
      <c r="P394" s="30"/>
      <c r="Q394" s="220"/>
      <c r="R394" s="220"/>
      <c r="S394" s="220"/>
      <c r="T394" s="220"/>
      <c r="U394" s="220"/>
      <c r="V394" s="220"/>
      <c r="W394" s="220"/>
      <c r="X394" s="220"/>
      <c r="Y394" s="220"/>
      <c r="Z394" s="220"/>
      <c r="AA394" s="220"/>
      <c r="AB394" s="220"/>
      <c r="AC394" s="220"/>
      <c r="AD394" s="220"/>
      <c r="AE394" s="220"/>
    </row>
    <row r="395" ht="13.5" customHeight="1" outlineLevel="1">
      <c r="A395" s="814">
        <f t="shared" si="138"/>
        <v>395</v>
      </c>
      <c r="B395" s="30"/>
      <c r="C395" s="388"/>
      <c r="D395" s="388"/>
      <c r="E395" s="388"/>
      <c r="F395" s="388"/>
      <c r="G395" s="115"/>
      <c r="H395" s="142"/>
      <c r="I395" s="142"/>
      <c r="J395" s="142"/>
      <c r="K395" s="142"/>
      <c r="L395" s="142"/>
      <c r="M395" s="142"/>
      <c r="N395" s="30"/>
      <c r="O395" s="119"/>
      <c r="P395" s="30"/>
      <c r="Q395" s="220"/>
      <c r="R395" s="220"/>
      <c r="S395" s="220"/>
      <c r="T395" s="220"/>
      <c r="U395" s="220"/>
      <c r="V395" s="220"/>
      <c r="W395" s="220"/>
      <c r="X395" s="220"/>
      <c r="Y395" s="220"/>
      <c r="Z395" s="220"/>
      <c r="AA395" s="220"/>
      <c r="AB395" s="220"/>
      <c r="AC395" s="220"/>
      <c r="AD395" s="220"/>
      <c r="AE395" s="220"/>
    </row>
    <row r="396" ht="13.5" customHeight="1" outlineLevel="1">
      <c r="A396" s="814">
        <f t="shared" si="138"/>
        <v>396</v>
      </c>
      <c r="B396" s="985" t="s">
        <v>779</v>
      </c>
      <c r="C396" s="986"/>
      <c r="D396" s="987"/>
      <c r="E396" s="987"/>
      <c r="F396" s="987"/>
      <c r="G396" s="177">
        <v>0.0</v>
      </c>
      <c r="H396" s="177">
        <v>0.0</v>
      </c>
      <c r="I396" s="177">
        <v>0.0</v>
      </c>
      <c r="J396" s="177">
        <v>0.0</v>
      </c>
      <c r="K396" s="177">
        <v>0.0</v>
      </c>
      <c r="L396" s="177">
        <v>0.0</v>
      </c>
      <c r="M396" s="177">
        <v>0.0</v>
      </c>
      <c r="N396" s="30"/>
      <c r="O396" s="119"/>
      <c r="P396" s="30"/>
      <c r="Q396" s="220"/>
      <c r="R396" s="220"/>
      <c r="S396" s="220"/>
      <c r="T396" s="220"/>
      <c r="U396" s="220"/>
      <c r="V396" s="220"/>
      <c r="W396" s="220"/>
      <c r="X396" s="220"/>
      <c r="Y396" s="220"/>
      <c r="Z396" s="220"/>
      <c r="AA396" s="220"/>
      <c r="AB396" s="220"/>
      <c r="AC396" s="220"/>
      <c r="AD396" s="220"/>
      <c r="AE396" s="220"/>
    </row>
    <row r="397" ht="13.5" customHeight="1" outlineLevel="1">
      <c r="A397" s="814">
        <f t="shared" si="138"/>
        <v>397</v>
      </c>
      <c r="B397" s="30"/>
      <c r="C397" s="388"/>
      <c r="D397" s="388"/>
      <c r="E397" s="388"/>
      <c r="F397" s="388"/>
      <c r="G397" s="115"/>
      <c r="H397" s="142"/>
      <c r="I397" s="142"/>
      <c r="J397" s="142"/>
      <c r="K397" s="142"/>
      <c r="L397" s="142"/>
      <c r="M397" s="142"/>
      <c r="N397" s="30"/>
      <c r="O397" s="119"/>
      <c r="P397" s="30"/>
      <c r="Q397" s="220"/>
      <c r="R397" s="220"/>
      <c r="S397" s="220"/>
      <c r="T397" s="220"/>
      <c r="U397" s="220"/>
      <c r="V397" s="220"/>
      <c r="W397" s="220"/>
      <c r="X397" s="220"/>
      <c r="Y397" s="220"/>
      <c r="Z397" s="220"/>
      <c r="AA397" s="220"/>
      <c r="AB397" s="220"/>
      <c r="AC397" s="220"/>
      <c r="AD397" s="220"/>
      <c r="AE397" s="220"/>
    </row>
    <row r="398" ht="13.5" customHeight="1" outlineLevel="1">
      <c r="A398" s="814">
        <f t="shared" si="138"/>
        <v>398</v>
      </c>
      <c r="B398" s="988" t="s">
        <v>696</v>
      </c>
      <c r="C398" s="989"/>
      <c r="D398" s="988"/>
      <c r="E398" s="988"/>
      <c r="F398" s="988"/>
      <c r="G398" s="989">
        <f t="shared" ref="G398:M398" si="290">SUM(G394,G283,G258,G271,G297,G396)*((1+$C$68)^G8-1)</f>
        <v>0</v>
      </c>
      <c r="H398" s="989">
        <f t="shared" si="290"/>
        <v>62699.9544</v>
      </c>
      <c r="I398" s="989">
        <f t="shared" si="290"/>
        <v>126653.9079</v>
      </c>
      <c r="J398" s="989">
        <f t="shared" si="290"/>
        <v>187511.915</v>
      </c>
      <c r="K398" s="989">
        <f t="shared" si="290"/>
        <v>252532.5477</v>
      </c>
      <c r="L398" s="989">
        <f t="shared" si="290"/>
        <v>318853.5931</v>
      </c>
      <c r="M398" s="989">
        <f t="shared" si="290"/>
        <v>386501.0593</v>
      </c>
      <c r="N398" s="30"/>
      <c r="O398" s="119"/>
      <c r="P398" s="30"/>
      <c r="Q398" s="220"/>
      <c r="R398" s="220"/>
      <c r="S398" s="220"/>
      <c r="T398" s="220"/>
      <c r="U398" s="220"/>
      <c r="V398" s="220"/>
      <c r="W398" s="220"/>
      <c r="X398" s="220"/>
      <c r="Y398" s="220"/>
      <c r="Z398" s="220"/>
      <c r="AA398" s="220"/>
      <c r="AB398" s="220"/>
      <c r="AC398" s="220"/>
      <c r="AD398" s="220"/>
      <c r="AE398" s="220"/>
    </row>
    <row r="399" ht="13.5" customHeight="1" outlineLevel="1">
      <c r="A399" s="814">
        <f t="shared" si="138"/>
        <v>399</v>
      </c>
      <c r="B399" s="30"/>
      <c r="C399" s="388"/>
      <c r="D399" s="388"/>
      <c r="E399" s="388"/>
      <c r="F399" s="388"/>
      <c r="G399" s="115"/>
      <c r="H399" s="115"/>
      <c r="I399" s="115"/>
      <c r="J399" s="115"/>
      <c r="K399" s="115"/>
      <c r="L399" s="115"/>
      <c r="M399" s="115"/>
      <c r="N399" s="30"/>
      <c r="O399" s="119"/>
      <c r="P399" s="30"/>
      <c r="Q399" s="220"/>
      <c r="R399" s="220"/>
      <c r="S399" s="220"/>
      <c r="T399" s="220"/>
      <c r="U399" s="220"/>
      <c r="V399" s="220"/>
      <c r="W399" s="220"/>
      <c r="X399" s="220"/>
      <c r="Y399" s="220"/>
      <c r="Z399" s="220"/>
      <c r="AA399" s="220"/>
      <c r="AB399" s="220"/>
      <c r="AC399" s="220"/>
      <c r="AD399" s="220"/>
      <c r="AE399" s="220"/>
    </row>
    <row r="400" ht="13.5" customHeight="1">
      <c r="A400" s="814">
        <f t="shared" si="138"/>
        <v>400</v>
      </c>
      <c r="B400" s="990" t="s">
        <v>665</v>
      </c>
      <c r="C400" s="991">
        <f>SUM(G400:M400)</f>
        <v>22970002.02</v>
      </c>
      <c r="D400" s="992"/>
      <c r="E400" s="992"/>
      <c r="F400" s="992"/>
      <c r="G400" s="991">
        <f t="shared" ref="G400:M400" si="291">G394+G283+G258+G271+G297+G396+G398</f>
        <v>3111174.72</v>
      </c>
      <c r="H400" s="991">
        <f t="shared" si="291"/>
        <v>3197697.674</v>
      </c>
      <c r="I400" s="991">
        <f t="shared" si="291"/>
        <v>3261651.628</v>
      </c>
      <c r="J400" s="991">
        <f t="shared" si="291"/>
        <v>3251031.635</v>
      </c>
      <c r="K400" s="991">
        <f t="shared" si="291"/>
        <v>3316052.268</v>
      </c>
      <c r="L400" s="991">
        <f t="shared" si="291"/>
        <v>3382373.313</v>
      </c>
      <c r="M400" s="991">
        <f t="shared" si="291"/>
        <v>3450020.779</v>
      </c>
      <c r="N400" s="30"/>
      <c r="O400" s="119"/>
      <c r="P400" s="30"/>
      <c r="Q400" s="220"/>
      <c r="R400" s="220"/>
      <c r="S400" s="220"/>
      <c r="T400" s="220"/>
      <c r="U400" s="220"/>
      <c r="V400" s="220"/>
      <c r="W400" s="220"/>
      <c r="X400" s="220"/>
      <c r="Y400" s="220"/>
      <c r="Z400" s="220"/>
      <c r="AA400" s="220"/>
      <c r="AB400" s="220"/>
      <c r="AC400" s="220"/>
      <c r="AD400" s="220"/>
      <c r="AE400" s="220"/>
    </row>
    <row r="401" ht="13.5" customHeight="1">
      <c r="A401" s="814">
        <f t="shared" si="138"/>
        <v>401</v>
      </c>
      <c r="B401" s="30"/>
      <c r="C401" s="142"/>
      <c r="D401" s="30"/>
      <c r="E401" s="30"/>
      <c r="F401" s="30"/>
      <c r="G401" s="211"/>
      <c r="H401" s="993"/>
      <c r="I401" s="993"/>
      <c r="J401" s="993"/>
      <c r="K401" s="993"/>
      <c r="L401" s="993"/>
      <c r="M401" s="993"/>
      <c r="N401" s="388"/>
      <c r="O401" s="119"/>
      <c r="P401" s="30"/>
      <c r="Q401" s="220"/>
      <c r="R401" s="220"/>
      <c r="S401" s="220"/>
      <c r="T401" s="220"/>
      <c r="U401" s="220"/>
      <c r="V401" s="220"/>
      <c r="W401" s="220"/>
      <c r="X401" s="220"/>
      <c r="Y401" s="220"/>
      <c r="Z401" s="220"/>
      <c r="AA401" s="220"/>
      <c r="AB401" s="220"/>
      <c r="AC401" s="220"/>
      <c r="AD401" s="220"/>
      <c r="AE401" s="220"/>
    </row>
    <row r="402" ht="13.5" customHeight="1">
      <c r="A402" s="814">
        <f t="shared" si="138"/>
        <v>402</v>
      </c>
      <c r="B402" s="994" t="s">
        <v>666</v>
      </c>
      <c r="C402" s="995"/>
      <c r="D402" s="994"/>
      <c r="E402" s="994"/>
      <c r="F402" s="994"/>
      <c r="G402" s="996"/>
      <c r="H402" s="997"/>
      <c r="I402" s="997"/>
      <c r="J402" s="997"/>
      <c r="K402" s="997"/>
      <c r="L402" s="997"/>
      <c r="M402" s="997"/>
      <c r="N402" s="998"/>
      <c r="O402" s="119"/>
      <c r="P402" s="30"/>
      <c r="Q402" s="220"/>
      <c r="R402" s="220"/>
      <c r="S402" s="220"/>
      <c r="T402" s="220"/>
      <c r="U402" s="220"/>
      <c r="V402" s="220"/>
      <c r="W402" s="220"/>
      <c r="X402" s="220"/>
      <c r="Y402" s="220"/>
      <c r="Z402" s="220"/>
      <c r="AA402" s="220"/>
      <c r="AB402" s="220"/>
      <c r="AC402" s="220"/>
      <c r="AD402" s="220"/>
      <c r="AE402" s="220"/>
    </row>
    <row r="403" ht="13.5" customHeight="1">
      <c r="A403" s="814">
        <f t="shared" si="138"/>
        <v>403</v>
      </c>
      <c r="B403" s="30"/>
      <c r="C403" s="142"/>
      <c r="D403" s="30"/>
      <c r="E403" s="30"/>
      <c r="F403" s="30"/>
      <c r="G403" s="211"/>
      <c r="H403" s="993"/>
      <c r="I403" s="993"/>
      <c r="J403" s="993"/>
      <c r="K403" s="993"/>
      <c r="L403" s="993"/>
      <c r="M403" s="993"/>
      <c r="N403" s="998"/>
      <c r="O403" s="119"/>
      <c r="P403" s="30"/>
      <c r="Q403" s="220"/>
      <c r="R403" s="220"/>
      <c r="S403" s="220"/>
      <c r="T403" s="220"/>
      <c r="U403" s="220"/>
      <c r="V403" s="220"/>
      <c r="W403" s="220"/>
      <c r="X403" s="220"/>
      <c r="Y403" s="220"/>
      <c r="Z403" s="220"/>
      <c r="AA403" s="220"/>
      <c r="AB403" s="220"/>
      <c r="AC403" s="220"/>
      <c r="AD403" s="220"/>
      <c r="AE403" s="220"/>
    </row>
    <row r="404" ht="13.5" customHeight="1">
      <c r="A404" s="814">
        <f t="shared" si="138"/>
        <v>404</v>
      </c>
      <c r="B404" s="988" t="s">
        <v>667</v>
      </c>
      <c r="C404" s="989"/>
      <c r="D404" s="988"/>
      <c r="E404" s="988"/>
      <c r="F404" s="988"/>
      <c r="G404" s="999"/>
      <c r="H404" s="1000"/>
      <c r="I404" s="1000"/>
      <c r="J404" s="1000"/>
      <c r="K404" s="1000"/>
      <c r="L404" s="1000"/>
      <c r="M404" s="1000"/>
      <c r="N404" s="998"/>
      <c r="O404" s="119"/>
      <c r="P404" s="30"/>
      <c r="Q404" s="220"/>
      <c r="R404" s="220"/>
      <c r="S404" s="220"/>
      <c r="T404" s="220"/>
      <c r="U404" s="220"/>
      <c r="V404" s="220"/>
      <c r="W404" s="220"/>
      <c r="X404" s="220"/>
      <c r="Y404" s="220"/>
      <c r="Z404" s="220"/>
      <c r="AA404" s="220"/>
      <c r="AB404" s="220"/>
      <c r="AC404" s="220"/>
      <c r="AD404" s="220"/>
      <c r="AE404" s="220"/>
    </row>
    <row r="405" ht="13.5" customHeight="1">
      <c r="A405" s="814">
        <f t="shared" si="138"/>
        <v>405</v>
      </c>
      <c r="B405" s="689" t="s">
        <v>780</v>
      </c>
      <c r="C405" s="1001"/>
      <c r="D405" s="689"/>
      <c r="E405" s="371"/>
      <c r="F405" s="371"/>
      <c r="G405" s="1002">
        <v>236050.0</v>
      </c>
      <c r="H405" s="1003">
        <v>236050.0</v>
      </c>
      <c r="I405" s="1003">
        <v>236050.0</v>
      </c>
      <c r="J405" s="1003">
        <v>236050.0</v>
      </c>
      <c r="K405" s="1003">
        <v>236050.0</v>
      </c>
      <c r="L405" s="1003">
        <v>236050.0</v>
      </c>
      <c r="M405" s="1003">
        <v>236050.0</v>
      </c>
      <c r="N405" s="998"/>
      <c r="O405" s="119"/>
      <c r="P405" s="30"/>
      <c r="Q405" s="220"/>
      <c r="R405" s="220"/>
      <c r="S405" s="220"/>
      <c r="T405" s="220"/>
      <c r="U405" s="220"/>
      <c r="V405" s="220"/>
      <c r="W405" s="220"/>
      <c r="X405" s="220"/>
      <c r="Y405" s="220"/>
      <c r="Z405" s="220"/>
      <c r="AA405" s="220"/>
      <c r="AB405" s="220"/>
      <c r="AC405" s="220"/>
      <c r="AD405" s="220"/>
      <c r="AE405" s="220"/>
    </row>
    <row r="406" ht="13.5" customHeight="1">
      <c r="A406" s="814">
        <f t="shared" si="138"/>
        <v>406</v>
      </c>
      <c r="B406" s="30"/>
      <c r="C406" s="305"/>
      <c r="D406" s="964"/>
      <c r="E406" s="30"/>
      <c r="F406" s="30"/>
      <c r="G406" s="133"/>
      <c r="H406" s="133"/>
      <c r="I406" s="133"/>
      <c r="J406" s="133"/>
      <c r="K406" s="133"/>
      <c r="L406" s="133"/>
      <c r="M406" s="133"/>
      <c r="N406" s="998"/>
      <c r="O406" s="119"/>
      <c r="P406" s="30"/>
      <c r="Q406" s="220"/>
      <c r="R406" s="220"/>
      <c r="S406" s="220"/>
      <c r="T406" s="220"/>
      <c r="U406" s="220"/>
      <c r="V406" s="220"/>
      <c r="W406" s="220"/>
      <c r="X406" s="220"/>
      <c r="Y406" s="220"/>
      <c r="Z406" s="220"/>
      <c r="AA406" s="220"/>
      <c r="AB406" s="220"/>
      <c r="AC406" s="220"/>
      <c r="AD406" s="220"/>
      <c r="AE406" s="220"/>
    </row>
    <row r="407" ht="13.5" customHeight="1">
      <c r="A407" s="814">
        <f t="shared" si="138"/>
        <v>407</v>
      </c>
      <c r="B407" s="988" t="s">
        <v>781</v>
      </c>
      <c r="C407" s="989"/>
      <c r="D407" s="988"/>
      <c r="E407" s="988"/>
      <c r="F407" s="988"/>
      <c r="G407" s="999"/>
      <c r="H407" s="1000"/>
      <c r="I407" s="1000"/>
      <c r="J407" s="1000"/>
      <c r="K407" s="1000"/>
      <c r="L407" s="1000"/>
      <c r="M407" s="1000"/>
      <c r="N407" s="998"/>
      <c r="O407" s="119"/>
      <c r="P407" s="30"/>
      <c r="Q407" s="220"/>
      <c r="R407" s="220"/>
      <c r="S407" s="220"/>
      <c r="T407" s="220"/>
      <c r="U407" s="220"/>
      <c r="V407" s="220"/>
      <c r="W407" s="220"/>
      <c r="X407" s="220"/>
      <c r="Y407" s="220"/>
      <c r="Z407" s="220"/>
      <c r="AA407" s="220"/>
      <c r="AB407" s="220"/>
      <c r="AC407" s="220"/>
      <c r="AD407" s="220"/>
      <c r="AE407" s="220"/>
    </row>
    <row r="408" ht="13.5" customHeight="1">
      <c r="A408" s="814">
        <f t="shared" si="138"/>
        <v>408</v>
      </c>
      <c r="B408" s="689" t="s">
        <v>782</v>
      </c>
      <c r="C408" s="1001"/>
      <c r="D408" s="689"/>
      <c r="E408" s="371"/>
      <c r="F408" s="371"/>
      <c r="G408" s="1004">
        <f t="shared" ref="G408:M408" si="292">G400*$C$59</f>
        <v>45112.03344</v>
      </c>
      <c r="H408" s="372">
        <f t="shared" si="292"/>
        <v>46366.61628</v>
      </c>
      <c r="I408" s="372">
        <f t="shared" si="292"/>
        <v>47293.9486</v>
      </c>
      <c r="J408" s="372">
        <f t="shared" si="292"/>
        <v>47139.95871</v>
      </c>
      <c r="K408" s="372">
        <f t="shared" si="292"/>
        <v>48082.75788</v>
      </c>
      <c r="L408" s="372">
        <f t="shared" si="292"/>
        <v>49044.41304</v>
      </c>
      <c r="M408" s="372">
        <f t="shared" si="292"/>
        <v>50025.3013</v>
      </c>
      <c r="N408" s="998"/>
      <c r="O408" s="119"/>
      <c r="P408" s="30"/>
      <c r="Q408" s="220"/>
      <c r="R408" s="220"/>
      <c r="S408" s="220"/>
      <c r="T408" s="220"/>
      <c r="U408" s="220"/>
      <c r="V408" s="220"/>
      <c r="W408" s="220"/>
      <c r="X408" s="220"/>
      <c r="Y408" s="220"/>
      <c r="Z408" s="220"/>
      <c r="AA408" s="220"/>
      <c r="AB408" s="220"/>
      <c r="AC408" s="220"/>
      <c r="AD408" s="220"/>
      <c r="AE408" s="220"/>
    </row>
    <row r="409" ht="13.5" customHeight="1">
      <c r="A409" s="814">
        <f t="shared" si="138"/>
        <v>409</v>
      </c>
      <c r="B409" s="30"/>
      <c r="C409" s="305"/>
      <c r="D409" s="964"/>
      <c r="E409" s="30"/>
      <c r="F409" s="30"/>
      <c r="G409" s="1005"/>
      <c r="H409" s="1005"/>
      <c r="I409" s="1005"/>
      <c r="J409" s="1005"/>
      <c r="K409" s="1005"/>
      <c r="L409" s="1005"/>
      <c r="M409" s="1005"/>
      <c r="N409" s="998"/>
      <c r="O409" s="119"/>
      <c r="P409" s="30"/>
      <c r="Q409" s="220"/>
      <c r="R409" s="220"/>
      <c r="S409" s="220"/>
      <c r="T409" s="220"/>
      <c r="U409" s="220"/>
      <c r="V409" s="220"/>
      <c r="W409" s="220"/>
      <c r="X409" s="220"/>
      <c r="Y409" s="220"/>
      <c r="Z409" s="220"/>
      <c r="AA409" s="220"/>
      <c r="AB409" s="220"/>
      <c r="AC409" s="220"/>
      <c r="AD409" s="220"/>
      <c r="AE409" s="220"/>
    </row>
    <row r="410" ht="13.5" customHeight="1">
      <c r="A410" s="814">
        <f t="shared" si="138"/>
        <v>410</v>
      </c>
      <c r="B410" s="988" t="s">
        <v>783</v>
      </c>
      <c r="C410" s="989"/>
      <c r="D410" s="988"/>
      <c r="E410" s="988"/>
      <c r="F410" s="988"/>
      <c r="G410" s="999"/>
      <c r="H410" s="1000"/>
      <c r="I410" s="1000"/>
      <c r="J410" s="1000"/>
      <c r="K410" s="1000"/>
      <c r="L410" s="1000"/>
      <c r="M410" s="1000"/>
      <c r="N410" s="998"/>
      <c r="O410" s="119"/>
      <c r="P410" s="30"/>
      <c r="Q410" s="220"/>
      <c r="R410" s="220"/>
      <c r="S410" s="220"/>
      <c r="T410" s="220"/>
      <c r="U410" s="220"/>
      <c r="V410" s="220"/>
      <c r="W410" s="220"/>
      <c r="X410" s="220"/>
      <c r="Y410" s="220"/>
      <c r="Z410" s="220"/>
      <c r="AA410" s="220"/>
      <c r="AB410" s="220"/>
      <c r="AC410" s="220"/>
      <c r="AD410" s="220"/>
      <c r="AE410" s="220"/>
    </row>
    <row r="411" ht="13.5" customHeight="1">
      <c r="A411" s="814">
        <f t="shared" si="138"/>
        <v>411</v>
      </c>
      <c r="B411" s="689" t="s">
        <v>784</v>
      </c>
      <c r="C411" s="1001"/>
      <c r="D411" s="689"/>
      <c r="E411" s="371"/>
      <c r="F411" s="371"/>
      <c r="G411" s="1004">
        <f t="shared" ref="G411:M411" si="293">G400*$C$60</f>
        <v>925574.4792</v>
      </c>
      <c r="H411" s="372">
        <f t="shared" si="293"/>
        <v>951315.0581</v>
      </c>
      <c r="I411" s="372">
        <f t="shared" si="293"/>
        <v>970341.3593</v>
      </c>
      <c r="J411" s="372">
        <f t="shared" si="293"/>
        <v>967181.9114</v>
      </c>
      <c r="K411" s="372">
        <f t="shared" si="293"/>
        <v>986525.5496</v>
      </c>
      <c r="L411" s="372">
        <f t="shared" si="293"/>
        <v>1006256.061</v>
      </c>
      <c r="M411" s="372">
        <f t="shared" si="293"/>
        <v>1026381.182</v>
      </c>
      <c r="N411" s="998"/>
      <c r="O411" s="119"/>
      <c r="P411" s="30"/>
      <c r="Q411" s="220"/>
      <c r="R411" s="220"/>
      <c r="S411" s="220"/>
      <c r="T411" s="220"/>
      <c r="U411" s="220"/>
      <c r="V411" s="220"/>
      <c r="W411" s="220"/>
      <c r="X411" s="220"/>
      <c r="Y411" s="220"/>
      <c r="Z411" s="220"/>
      <c r="AA411" s="220"/>
      <c r="AB411" s="220"/>
      <c r="AC411" s="220"/>
      <c r="AD411" s="220"/>
      <c r="AE411" s="220"/>
    </row>
    <row r="412" ht="13.5" customHeight="1">
      <c r="A412" s="814">
        <f t="shared" si="138"/>
        <v>412</v>
      </c>
      <c r="B412" s="30"/>
      <c r="C412" s="305"/>
      <c r="D412" s="964"/>
      <c r="E412" s="30"/>
      <c r="F412" s="30"/>
      <c r="G412" s="211"/>
      <c r="H412" s="133"/>
      <c r="I412" s="133"/>
      <c r="J412" s="133"/>
      <c r="K412" s="133"/>
      <c r="L412" s="133"/>
      <c r="M412" s="133"/>
      <c r="N412" s="998"/>
      <c r="O412" s="119"/>
      <c r="P412" s="30"/>
      <c r="Q412" s="220"/>
      <c r="R412" s="220"/>
      <c r="S412" s="220"/>
      <c r="T412" s="220"/>
      <c r="U412" s="220"/>
      <c r="V412" s="220"/>
      <c r="W412" s="220"/>
      <c r="X412" s="220"/>
      <c r="Y412" s="220"/>
      <c r="Z412" s="220"/>
      <c r="AA412" s="220"/>
      <c r="AB412" s="220"/>
      <c r="AC412" s="220"/>
      <c r="AD412" s="220"/>
      <c r="AE412" s="220"/>
    </row>
    <row r="413" ht="13.5" customHeight="1">
      <c r="A413" s="814">
        <f t="shared" si="138"/>
        <v>413</v>
      </c>
      <c r="B413" s="988" t="s">
        <v>688</v>
      </c>
      <c r="C413" s="989"/>
      <c r="D413" s="988"/>
      <c r="E413" s="988"/>
      <c r="F413" s="988"/>
      <c r="G413" s="999"/>
      <c r="H413" s="1000"/>
      <c r="I413" s="1000"/>
      <c r="J413" s="1000"/>
      <c r="K413" s="1000"/>
      <c r="L413" s="1000"/>
      <c r="M413" s="1000"/>
      <c r="N413" s="998"/>
      <c r="O413" s="119"/>
      <c r="P413" s="30"/>
      <c r="Q413" s="220"/>
      <c r="R413" s="220"/>
      <c r="S413" s="220"/>
      <c r="T413" s="220"/>
      <c r="U413" s="220"/>
      <c r="V413" s="220"/>
      <c r="W413" s="220"/>
      <c r="X413" s="220"/>
      <c r="Y413" s="220"/>
      <c r="Z413" s="220"/>
      <c r="AA413" s="220"/>
      <c r="AB413" s="220"/>
      <c r="AC413" s="220"/>
      <c r="AD413" s="220"/>
      <c r="AE413" s="220"/>
    </row>
    <row r="414" ht="13.5" customHeight="1">
      <c r="A414" s="814">
        <f t="shared" si="138"/>
        <v>414</v>
      </c>
      <c r="B414" s="689" t="s">
        <v>785</v>
      </c>
      <c r="C414" s="1001"/>
      <c r="D414" s="689"/>
      <c r="E414" s="371"/>
      <c r="F414" s="371"/>
      <c r="G414" s="1004">
        <f t="shared" ref="G414:M414" si="294">G400*$C$61</f>
        <v>4200.085872</v>
      </c>
      <c r="H414" s="372">
        <f t="shared" si="294"/>
        <v>4316.89186</v>
      </c>
      <c r="I414" s="372">
        <f t="shared" si="294"/>
        <v>4403.229698</v>
      </c>
      <c r="J414" s="372">
        <f t="shared" si="294"/>
        <v>4388.892707</v>
      </c>
      <c r="K414" s="372">
        <f t="shared" si="294"/>
        <v>4476.670561</v>
      </c>
      <c r="L414" s="372">
        <f t="shared" si="294"/>
        <v>4566.203973</v>
      </c>
      <c r="M414" s="372">
        <f t="shared" si="294"/>
        <v>4657.528052</v>
      </c>
      <c r="N414" s="998"/>
      <c r="O414" s="119"/>
      <c r="P414" s="30"/>
      <c r="Q414" s="220"/>
      <c r="R414" s="220"/>
      <c r="S414" s="220"/>
      <c r="T414" s="220"/>
      <c r="U414" s="220"/>
      <c r="V414" s="220"/>
      <c r="W414" s="220"/>
      <c r="X414" s="220"/>
      <c r="Y414" s="220"/>
      <c r="Z414" s="220"/>
      <c r="AA414" s="220"/>
      <c r="AB414" s="220"/>
      <c r="AC414" s="220"/>
      <c r="AD414" s="220"/>
      <c r="AE414" s="220"/>
    </row>
    <row r="415" ht="13.5" customHeight="1">
      <c r="A415" s="814">
        <f t="shared" si="138"/>
        <v>415</v>
      </c>
      <c r="B415" s="63"/>
      <c r="C415" s="305"/>
      <c r="D415" s="63"/>
      <c r="E415" s="30"/>
      <c r="F415" s="30"/>
      <c r="G415" s="211"/>
      <c r="H415" s="395"/>
      <c r="I415" s="395"/>
      <c r="J415" s="395"/>
      <c r="K415" s="395"/>
      <c r="L415" s="395"/>
      <c r="M415" s="395"/>
      <c r="N415" s="998"/>
      <c r="O415" s="119"/>
      <c r="P415" s="30"/>
      <c r="Q415" s="220"/>
      <c r="R415" s="220"/>
      <c r="S415" s="220"/>
      <c r="T415" s="220"/>
      <c r="U415" s="220"/>
      <c r="V415" s="220"/>
      <c r="W415" s="220"/>
      <c r="X415" s="220"/>
      <c r="Y415" s="220"/>
      <c r="Z415" s="220"/>
      <c r="AA415" s="220"/>
      <c r="AB415" s="220"/>
      <c r="AC415" s="220"/>
      <c r="AD415" s="220"/>
      <c r="AE415" s="220"/>
    </row>
    <row r="416" ht="13.5" customHeight="1">
      <c r="A416" s="814">
        <f t="shared" si="138"/>
        <v>416</v>
      </c>
      <c r="B416" s="988" t="s">
        <v>786</v>
      </c>
      <c r="C416" s="989"/>
      <c r="D416" s="988"/>
      <c r="E416" s="988"/>
      <c r="F416" s="988"/>
      <c r="G416" s="999"/>
      <c r="H416" s="1000"/>
      <c r="I416" s="1000"/>
      <c r="J416" s="1000"/>
      <c r="K416" s="1000"/>
      <c r="L416" s="1000"/>
      <c r="M416" s="1000"/>
      <c r="N416" s="998"/>
      <c r="O416" s="119"/>
      <c r="P416" s="30"/>
      <c r="Q416" s="220"/>
      <c r="R416" s="220"/>
      <c r="S416" s="220"/>
      <c r="T416" s="220"/>
      <c r="U416" s="220"/>
      <c r="V416" s="220"/>
      <c r="W416" s="220"/>
      <c r="X416" s="220"/>
      <c r="Y416" s="220"/>
      <c r="Z416" s="220"/>
      <c r="AA416" s="220"/>
      <c r="AB416" s="220"/>
      <c r="AC416" s="220"/>
      <c r="AD416" s="220"/>
      <c r="AE416" s="220"/>
    </row>
    <row r="417" ht="13.5" customHeight="1">
      <c r="A417" s="814">
        <f t="shared" si="138"/>
        <v>417</v>
      </c>
      <c r="B417" s="827" t="s">
        <v>787</v>
      </c>
      <c r="C417" s="1001"/>
      <c r="D417" s="689"/>
      <c r="E417" s="371"/>
      <c r="F417" s="371"/>
      <c r="G417" s="372">
        <f t="shared" ref="G417:M417" si="295">G23*$C$62</f>
        <v>0</v>
      </c>
      <c r="H417" s="372">
        <f t="shared" si="295"/>
        <v>0</v>
      </c>
      <c r="I417" s="372">
        <f t="shared" si="295"/>
        <v>0</v>
      </c>
      <c r="J417" s="372">
        <f t="shared" si="295"/>
        <v>0</v>
      </c>
      <c r="K417" s="372">
        <f t="shared" si="295"/>
        <v>0</v>
      </c>
      <c r="L417" s="372">
        <f t="shared" si="295"/>
        <v>0</v>
      </c>
      <c r="M417" s="372">
        <f t="shared" si="295"/>
        <v>0</v>
      </c>
      <c r="N417" s="998"/>
      <c r="O417" s="119"/>
      <c r="P417" s="30"/>
      <c r="Q417" s="220"/>
      <c r="R417" s="220"/>
      <c r="S417" s="220"/>
      <c r="T417" s="220"/>
      <c r="U417" s="220"/>
      <c r="V417" s="220"/>
      <c r="W417" s="220"/>
      <c r="X417" s="220"/>
      <c r="Y417" s="220"/>
      <c r="Z417" s="220"/>
      <c r="AA417" s="220"/>
      <c r="AB417" s="220"/>
      <c r="AC417" s="220"/>
      <c r="AD417" s="220"/>
      <c r="AE417" s="220"/>
    </row>
    <row r="418" ht="13.5" customHeight="1">
      <c r="A418" s="814">
        <f t="shared" si="138"/>
        <v>418</v>
      </c>
      <c r="B418" s="63"/>
      <c r="C418" s="305"/>
      <c r="D418" s="63"/>
      <c r="E418" s="30"/>
      <c r="F418" s="30"/>
      <c r="G418" s="211"/>
      <c r="H418" s="395"/>
      <c r="I418" s="395"/>
      <c r="J418" s="395"/>
      <c r="K418" s="395"/>
      <c r="L418" s="395"/>
      <c r="M418" s="395"/>
      <c r="N418" s="998"/>
      <c r="O418" s="119"/>
      <c r="P418" s="30"/>
      <c r="Q418" s="220"/>
      <c r="R418" s="220"/>
      <c r="S418" s="220"/>
      <c r="T418" s="220"/>
      <c r="U418" s="220"/>
      <c r="V418" s="220"/>
      <c r="W418" s="220"/>
      <c r="X418" s="220"/>
      <c r="Y418" s="220"/>
      <c r="Z418" s="220"/>
      <c r="AA418" s="220"/>
      <c r="AB418" s="220"/>
      <c r="AC418" s="220"/>
      <c r="AD418" s="220"/>
      <c r="AE418" s="220"/>
    </row>
    <row r="419" ht="13.5" customHeight="1">
      <c r="A419" s="814">
        <f t="shared" si="138"/>
        <v>419</v>
      </c>
      <c r="B419" s="988" t="s">
        <v>788</v>
      </c>
      <c r="C419" s="989"/>
      <c r="D419" s="988"/>
      <c r="E419" s="988"/>
      <c r="F419" s="988"/>
      <c r="G419" s="999"/>
      <c r="H419" s="1000"/>
      <c r="I419" s="1000"/>
      <c r="J419" s="1000"/>
      <c r="K419" s="1000"/>
      <c r="L419" s="1000"/>
      <c r="M419" s="1000"/>
      <c r="N419" s="998"/>
      <c r="O419" s="119"/>
      <c r="P419" s="30"/>
      <c r="Q419" s="220"/>
      <c r="R419" s="220"/>
      <c r="S419" s="220"/>
      <c r="T419" s="220"/>
      <c r="U419" s="220"/>
      <c r="V419" s="220"/>
      <c r="W419" s="220"/>
      <c r="X419" s="220"/>
      <c r="Y419" s="220"/>
      <c r="Z419" s="220"/>
      <c r="AA419" s="220"/>
      <c r="AB419" s="220"/>
      <c r="AC419" s="220"/>
      <c r="AD419" s="220"/>
      <c r="AE419" s="220"/>
    </row>
    <row r="420" ht="13.5" customHeight="1">
      <c r="A420" s="814">
        <f t="shared" si="138"/>
        <v>420</v>
      </c>
      <c r="B420" s="689" t="s">
        <v>789</v>
      </c>
      <c r="C420" s="1001"/>
      <c r="D420" s="689"/>
      <c r="E420" s="371"/>
      <c r="F420" s="371"/>
      <c r="G420" s="1004">
        <f t="shared" ref="G420:M420" si="296">G400*$C$63</f>
        <v>31111.7472</v>
      </c>
      <c r="H420" s="372">
        <f t="shared" si="296"/>
        <v>31976.97674</v>
      </c>
      <c r="I420" s="372">
        <f t="shared" si="296"/>
        <v>32616.51628</v>
      </c>
      <c r="J420" s="372">
        <f t="shared" si="296"/>
        <v>32510.31635</v>
      </c>
      <c r="K420" s="372">
        <f t="shared" si="296"/>
        <v>33160.52268</v>
      </c>
      <c r="L420" s="372">
        <f t="shared" si="296"/>
        <v>33823.73313</v>
      </c>
      <c r="M420" s="372">
        <f t="shared" si="296"/>
        <v>34500.20779</v>
      </c>
      <c r="N420" s="998"/>
      <c r="O420" s="119"/>
      <c r="P420" s="30"/>
      <c r="Q420" s="220"/>
      <c r="R420" s="220"/>
      <c r="S420" s="220"/>
      <c r="T420" s="220"/>
      <c r="U420" s="220"/>
      <c r="V420" s="220"/>
      <c r="W420" s="220"/>
      <c r="X420" s="220"/>
      <c r="Y420" s="220"/>
      <c r="Z420" s="220"/>
      <c r="AA420" s="220"/>
      <c r="AB420" s="220"/>
      <c r="AC420" s="220"/>
      <c r="AD420" s="220"/>
      <c r="AE420" s="220"/>
    </row>
    <row r="421" ht="13.5" customHeight="1">
      <c r="A421" s="814">
        <f t="shared" si="138"/>
        <v>421</v>
      </c>
      <c r="B421" s="63"/>
      <c r="C421" s="305"/>
      <c r="D421" s="63"/>
      <c r="E421" s="30"/>
      <c r="F421" s="30"/>
      <c r="G421" s="395"/>
      <c r="H421" s="395"/>
      <c r="I421" s="395"/>
      <c r="J421" s="395"/>
      <c r="K421" s="395"/>
      <c r="L421" s="395"/>
      <c r="M421" s="395"/>
      <c r="N421" s="30"/>
      <c r="O421" s="119"/>
      <c r="P421" s="30"/>
      <c r="Q421" s="220"/>
      <c r="R421" s="220"/>
      <c r="S421" s="220"/>
      <c r="T421" s="220"/>
      <c r="U421" s="220"/>
      <c r="V421" s="220"/>
      <c r="W421" s="220"/>
      <c r="X421" s="220"/>
      <c r="Y421" s="220"/>
      <c r="Z421" s="220"/>
      <c r="AA421" s="220"/>
      <c r="AB421" s="220"/>
      <c r="AC421" s="220"/>
      <c r="AD421" s="220"/>
      <c r="AE421" s="220"/>
    </row>
    <row r="422" ht="13.5" customHeight="1">
      <c r="A422" s="814">
        <f t="shared" si="138"/>
        <v>422</v>
      </c>
      <c r="B422" s="988" t="s">
        <v>692</v>
      </c>
      <c r="C422" s="989"/>
      <c r="D422" s="988"/>
      <c r="E422" s="988"/>
      <c r="F422" s="988"/>
      <c r="G422" s="999"/>
      <c r="H422" s="1000"/>
      <c r="I422" s="1000"/>
      <c r="J422" s="1000"/>
      <c r="K422" s="1000"/>
      <c r="L422" s="1000"/>
      <c r="M422" s="1000"/>
      <c r="N422" s="30"/>
      <c r="O422" s="119"/>
      <c r="P422" s="30"/>
      <c r="Q422" s="220"/>
      <c r="R422" s="220"/>
      <c r="S422" s="220"/>
      <c r="T422" s="220"/>
      <c r="U422" s="220"/>
      <c r="V422" s="220"/>
      <c r="W422" s="220"/>
      <c r="X422" s="220"/>
      <c r="Y422" s="220"/>
      <c r="Z422" s="220"/>
      <c r="AA422" s="220"/>
      <c r="AB422" s="220"/>
      <c r="AC422" s="220"/>
      <c r="AD422" s="220"/>
      <c r="AE422" s="220"/>
    </row>
    <row r="423" ht="13.5" customHeight="1">
      <c r="A423" s="814">
        <f t="shared" si="138"/>
        <v>423</v>
      </c>
      <c r="B423" s="689" t="s">
        <v>790</v>
      </c>
      <c r="C423" s="1001"/>
      <c r="D423" s="689"/>
      <c r="E423" s="371"/>
      <c r="F423" s="371"/>
      <c r="G423" s="1004">
        <f t="shared" ref="G423:M423" si="297">G400*$C$64</f>
        <v>8711.289216</v>
      </c>
      <c r="H423" s="372">
        <f t="shared" si="297"/>
        <v>8953.553488</v>
      </c>
      <c r="I423" s="372">
        <f t="shared" si="297"/>
        <v>9132.624558</v>
      </c>
      <c r="J423" s="372">
        <f t="shared" si="297"/>
        <v>9102.888578</v>
      </c>
      <c r="K423" s="372">
        <f t="shared" si="297"/>
        <v>9284.94635</v>
      </c>
      <c r="L423" s="372">
        <f t="shared" si="297"/>
        <v>9470.645277</v>
      </c>
      <c r="M423" s="372">
        <f t="shared" si="297"/>
        <v>9660.058182</v>
      </c>
      <c r="N423" s="30"/>
      <c r="O423" s="119"/>
      <c r="P423" s="30"/>
      <c r="Q423" s="220"/>
      <c r="R423" s="220"/>
      <c r="S423" s="220"/>
      <c r="T423" s="220"/>
      <c r="U423" s="220"/>
      <c r="V423" s="220"/>
      <c r="W423" s="220"/>
      <c r="X423" s="220"/>
      <c r="Y423" s="220"/>
      <c r="Z423" s="220"/>
      <c r="AA423" s="220"/>
      <c r="AB423" s="220"/>
      <c r="AC423" s="220"/>
      <c r="AD423" s="220"/>
      <c r="AE423" s="220"/>
    </row>
    <row r="424" ht="13.5" customHeight="1">
      <c r="A424" s="814">
        <f t="shared" si="138"/>
        <v>424</v>
      </c>
      <c r="B424" s="30"/>
      <c r="C424" s="142"/>
      <c r="D424" s="30"/>
      <c r="E424" s="34"/>
      <c r="F424" s="34"/>
      <c r="G424" s="211"/>
      <c r="H424" s="115"/>
      <c r="I424" s="115"/>
      <c r="J424" s="115"/>
      <c r="K424" s="115"/>
      <c r="L424" s="115"/>
      <c r="M424" s="115"/>
      <c r="N424" s="30"/>
      <c r="O424" s="119"/>
      <c r="P424" s="30"/>
      <c r="Q424" s="220"/>
      <c r="R424" s="220"/>
      <c r="S424" s="220"/>
      <c r="T424" s="220"/>
      <c r="U424" s="220"/>
      <c r="V424" s="220"/>
      <c r="W424" s="220"/>
      <c r="X424" s="220"/>
      <c r="Y424" s="220"/>
      <c r="Z424" s="220"/>
      <c r="AA424" s="220"/>
      <c r="AB424" s="220"/>
      <c r="AC424" s="220"/>
      <c r="AD424" s="220"/>
      <c r="AE424" s="220"/>
    </row>
    <row r="425" ht="13.5" customHeight="1">
      <c r="A425" s="814">
        <f t="shared" si="138"/>
        <v>425</v>
      </c>
      <c r="B425" s="990" t="s">
        <v>791</v>
      </c>
      <c r="C425" s="991"/>
      <c r="D425" s="992"/>
      <c r="E425" s="992"/>
      <c r="F425" s="992"/>
      <c r="G425" s="991">
        <f t="shared" ref="G425:M425" si="298">G420+G417+G414+G411+G408+G405+G423</f>
        <v>1250759.635</v>
      </c>
      <c r="H425" s="991">
        <f t="shared" si="298"/>
        <v>1278979.097</v>
      </c>
      <c r="I425" s="991">
        <f t="shared" si="298"/>
        <v>1299837.678</v>
      </c>
      <c r="J425" s="991">
        <f t="shared" si="298"/>
        <v>1296373.968</v>
      </c>
      <c r="K425" s="991">
        <f t="shared" si="298"/>
        <v>1317580.447</v>
      </c>
      <c r="L425" s="991">
        <f t="shared" si="298"/>
        <v>1339211.056</v>
      </c>
      <c r="M425" s="991">
        <f t="shared" si="298"/>
        <v>1361274.277</v>
      </c>
      <c r="N425" s="30"/>
      <c r="O425" s="119"/>
      <c r="P425" s="30"/>
      <c r="Q425" s="220"/>
      <c r="R425" s="220"/>
      <c r="S425" s="220"/>
      <c r="T425" s="220"/>
      <c r="U425" s="220"/>
      <c r="V425" s="220"/>
      <c r="W425" s="220"/>
      <c r="X425" s="220"/>
      <c r="Y425" s="220"/>
      <c r="Z425" s="220"/>
      <c r="AA425" s="220"/>
      <c r="AB425" s="220"/>
      <c r="AC425" s="220"/>
      <c r="AD425" s="220"/>
      <c r="AE425" s="220"/>
    </row>
    <row r="426" ht="13.5" customHeight="1">
      <c r="A426" s="814">
        <f t="shared" si="138"/>
        <v>426</v>
      </c>
      <c r="B426" s="67" t="s">
        <v>792</v>
      </c>
      <c r="C426" s="144"/>
      <c r="D426" s="67"/>
      <c r="E426" s="67"/>
      <c r="F426" s="67"/>
      <c r="G426" s="437">
        <f>IFERROR(G425/G400,0)</f>
        <v>0.402021663</v>
      </c>
      <c r="H426" s="437">
        <f t="shared" ref="H426:M426" si="299">IF(OR(H425=0,H400=0),0,H425/H400)</f>
        <v>0.3999687359</v>
      </c>
      <c r="I426" s="437">
        <f t="shared" si="299"/>
        <v>0.3985213097</v>
      </c>
      <c r="J426" s="437">
        <f t="shared" si="299"/>
        <v>0.3987577216</v>
      </c>
      <c r="K426" s="437">
        <f t="shared" si="299"/>
        <v>0.3973340408</v>
      </c>
      <c r="L426" s="437">
        <f t="shared" si="299"/>
        <v>0.3959382753</v>
      </c>
      <c r="M426" s="437">
        <f t="shared" si="299"/>
        <v>0.3945698778</v>
      </c>
      <c r="N426" s="67"/>
      <c r="O426" s="119"/>
      <c r="P426" s="30"/>
      <c r="Q426" s="220"/>
      <c r="R426" s="220"/>
      <c r="S426" s="220"/>
      <c r="T426" s="220"/>
      <c r="U426" s="220"/>
      <c r="V426" s="220"/>
      <c r="W426" s="220"/>
      <c r="X426" s="220"/>
      <c r="Y426" s="220"/>
      <c r="Z426" s="220"/>
      <c r="AA426" s="220"/>
      <c r="AB426" s="220"/>
      <c r="AC426" s="220"/>
      <c r="AD426" s="220"/>
      <c r="AE426" s="220"/>
    </row>
    <row r="427" ht="13.5" customHeight="1">
      <c r="A427" s="814">
        <f t="shared" si="138"/>
        <v>427</v>
      </c>
      <c r="B427" s="30"/>
      <c r="C427" s="142"/>
      <c r="D427" s="30"/>
      <c r="E427" s="30"/>
      <c r="F427" s="30"/>
      <c r="G427" s="220"/>
      <c r="H427" s="220"/>
      <c r="I427" s="220"/>
      <c r="J427" s="220"/>
      <c r="K427" s="220"/>
      <c r="L427" s="220"/>
      <c r="M427" s="220"/>
      <c r="N427" s="30"/>
      <c r="O427" s="119"/>
      <c r="P427" s="30"/>
      <c r="Q427" s="220"/>
      <c r="R427" s="220"/>
      <c r="S427" s="220"/>
      <c r="T427" s="220"/>
      <c r="U427" s="220"/>
      <c r="V427" s="220"/>
      <c r="W427" s="220"/>
      <c r="X427" s="220"/>
      <c r="Y427" s="220"/>
      <c r="Z427" s="220"/>
      <c r="AA427" s="220"/>
      <c r="AB427" s="220"/>
      <c r="AC427" s="220"/>
      <c r="AD427" s="220"/>
      <c r="AE427" s="220"/>
    </row>
    <row r="428" ht="13.5" customHeight="1">
      <c r="A428" s="814">
        <f t="shared" si="138"/>
        <v>428</v>
      </c>
      <c r="B428" s="1006" t="s">
        <v>793</v>
      </c>
      <c r="C428" s="1007"/>
      <c r="D428" s="1008"/>
      <c r="E428" s="1008"/>
      <c r="F428" s="1008"/>
      <c r="G428" s="1009"/>
      <c r="H428" s="1009"/>
      <c r="I428" s="1009"/>
      <c r="J428" s="1009"/>
      <c r="K428" s="1009"/>
      <c r="L428" s="1009"/>
      <c r="M428" s="1009"/>
      <c r="N428" s="30"/>
      <c r="O428" s="119"/>
      <c r="P428" s="30"/>
      <c r="Q428" s="220"/>
      <c r="R428" s="220"/>
      <c r="S428" s="220"/>
      <c r="T428" s="220"/>
      <c r="U428" s="220"/>
      <c r="V428" s="220"/>
      <c r="W428" s="220"/>
      <c r="X428" s="220"/>
      <c r="Y428" s="220"/>
      <c r="Z428" s="220"/>
      <c r="AA428" s="220"/>
      <c r="AB428" s="220"/>
      <c r="AC428" s="220"/>
      <c r="AD428" s="220"/>
      <c r="AE428" s="220"/>
    </row>
    <row r="429" ht="13.5" customHeight="1">
      <c r="A429" s="814">
        <f t="shared" si="138"/>
        <v>429</v>
      </c>
      <c r="B429" s="30"/>
      <c r="C429" s="142" t="s">
        <v>794</v>
      </c>
      <c r="D429" s="30"/>
      <c r="E429" s="30"/>
      <c r="F429" s="30"/>
      <c r="G429" s="220"/>
      <c r="H429" s="220"/>
      <c r="I429" s="220"/>
      <c r="J429" s="220"/>
      <c r="K429" s="220"/>
      <c r="L429" s="220"/>
      <c r="M429" s="220"/>
      <c r="N429" s="30"/>
      <c r="O429" s="119"/>
      <c r="P429" s="30"/>
      <c r="Q429" s="220"/>
      <c r="R429" s="220"/>
      <c r="S429" s="220"/>
      <c r="T429" s="220"/>
      <c r="U429" s="220"/>
      <c r="V429" s="220"/>
      <c r="W429" s="220"/>
      <c r="X429" s="220"/>
      <c r="Y429" s="220"/>
      <c r="Z429" s="220"/>
      <c r="AA429" s="220"/>
      <c r="AB429" s="220"/>
      <c r="AC429" s="220"/>
      <c r="AD429" s="220"/>
      <c r="AE429" s="220"/>
    </row>
    <row r="430" ht="13.5" customHeight="1">
      <c r="A430" s="814">
        <f t="shared" si="138"/>
        <v>430</v>
      </c>
      <c r="B430" s="30" t="s">
        <v>795</v>
      </c>
      <c r="C430" s="142"/>
      <c r="D430" s="30"/>
      <c r="E430" s="30"/>
      <c r="F430" s="30"/>
      <c r="G430" s="220"/>
      <c r="H430" s="220"/>
      <c r="I430" s="220"/>
      <c r="J430" s="220"/>
      <c r="K430" s="220"/>
      <c r="L430" s="220"/>
      <c r="M430" s="220"/>
      <c r="N430" s="30"/>
      <c r="O430" s="119"/>
      <c r="P430" s="30"/>
      <c r="Q430" s="220"/>
      <c r="R430" s="220"/>
      <c r="S430" s="220"/>
      <c r="T430" s="220"/>
      <c r="U430" s="220"/>
      <c r="V430" s="220"/>
      <c r="W430" s="220"/>
      <c r="X430" s="220"/>
      <c r="Y430" s="220"/>
      <c r="Z430" s="220"/>
      <c r="AA430" s="220"/>
      <c r="AB430" s="220"/>
      <c r="AC430" s="220"/>
      <c r="AD430" s="220"/>
      <c r="AE430" s="220"/>
    </row>
    <row r="431" ht="13.5" customHeight="1">
      <c r="A431" s="814">
        <f t="shared" si="138"/>
        <v>431</v>
      </c>
      <c r="B431" s="30" t="s">
        <v>796</v>
      </c>
      <c r="C431" s="142"/>
      <c r="D431" s="30"/>
      <c r="E431" s="30"/>
      <c r="F431" s="30"/>
      <c r="G431" s="1010">
        <v>0.0</v>
      </c>
      <c r="H431" s="1010">
        <v>0.0</v>
      </c>
      <c r="I431" s="1010">
        <v>0.0</v>
      </c>
      <c r="J431" s="1010">
        <v>0.0</v>
      </c>
      <c r="K431" s="1010">
        <v>0.0</v>
      </c>
      <c r="L431" s="1010">
        <v>0.0</v>
      </c>
      <c r="M431" s="1010">
        <v>0.0</v>
      </c>
      <c r="N431" s="30"/>
      <c r="O431" s="119"/>
      <c r="P431" s="30"/>
      <c r="Q431" s="220"/>
      <c r="R431" s="220"/>
      <c r="S431" s="220"/>
      <c r="T431" s="220"/>
      <c r="U431" s="220"/>
      <c r="V431" s="220"/>
      <c r="W431" s="220"/>
      <c r="X431" s="220"/>
      <c r="Y431" s="220"/>
      <c r="Z431" s="220"/>
      <c r="AA431" s="220"/>
      <c r="AB431" s="220"/>
      <c r="AC431" s="220"/>
      <c r="AD431" s="220"/>
      <c r="AE431" s="220"/>
    </row>
    <row r="432" ht="13.5" customHeight="1">
      <c r="A432" s="814">
        <f t="shared" si="138"/>
        <v>432</v>
      </c>
      <c r="B432" s="30" t="s">
        <v>797</v>
      </c>
      <c r="C432" s="1011">
        <v>0.0</v>
      </c>
      <c r="D432" s="30"/>
      <c r="E432" s="30"/>
      <c r="F432" s="30"/>
      <c r="G432" s="129">
        <f t="shared" ref="G432:M432" si="300">$C$432*G431</f>
        <v>0</v>
      </c>
      <c r="H432" s="129">
        <f t="shared" si="300"/>
        <v>0</v>
      </c>
      <c r="I432" s="129">
        <f t="shared" si="300"/>
        <v>0</v>
      </c>
      <c r="J432" s="129">
        <f t="shared" si="300"/>
        <v>0</v>
      </c>
      <c r="K432" s="129">
        <f t="shared" si="300"/>
        <v>0</v>
      </c>
      <c r="L432" s="129">
        <f t="shared" si="300"/>
        <v>0</v>
      </c>
      <c r="M432" s="129">
        <f t="shared" si="300"/>
        <v>0</v>
      </c>
      <c r="N432" s="30"/>
      <c r="O432" s="119"/>
      <c r="P432" s="30"/>
      <c r="Q432" s="220"/>
      <c r="R432" s="220"/>
      <c r="S432" s="220"/>
      <c r="T432" s="220"/>
      <c r="U432" s="220"/>
      <c r="V432" s="220"/>
      <c r="W432" s="220"/>
      <c r="X432" s="220"/>
      <c r="Y432" s="220"/>
      <c r="Z432" s="220"/>
      <c r="AA432" s="220"/>
      <c r="AB432" s="220"/>
      <c r="AC432" s="220"/>
      <c r="AD432" s="220"/>
      <c r="AE432" s="220"/>
    </row>
    <row r="433" ht="13.5" customHeight="1">
      <c r="A433" s="814">
        <f t="shared" si="138"/>
        <v>433</v>
      </c>
      <c r="B433" s="30"/>
      <c r="C433" s="305"/>
      <c r="D433" s="1012"/>
      <c r="E433" s="30"/>
      <c r="F433" s="30"/>
      <c r="G433" s="115"/>
      <c r="H433" s="115"/>
      <c r="I433" s="115"/>
      <c r="J433" s="115"/>
      <c r="K433" s="115"/>
      <c r="L433" s="115"/>
      <c r="M433" s="115"/>
      <c r="N433" s="30"/>
      <c r="O433" s="119"/>
      <c r="P433" s="30"/>
      <c r="Q433" s="220"/>
      <c r="R433" s="220"/>
      <c r="S433" s="220"/>
      <c r="T433" s="220"/>
      <c r="U433" s="220"/>
      <c r="V433" s="220"/>
      <c r="W433" s="220"/>
      <c r="X433" s="220"/>
      <c r="Y433" s="220"/>
      <c r="Z433" s="220"/>
      <c r="AA433" s="220"/>
      <c r="AB433" s="220"/>
      <c r="AC433" s="220"/>
      <c r="AD433" s="220"/>
      <c r="AE433" s="220"/>
    </row>
    <row r="434" ht="13.5" customHeight="1">
      <c r="A434" s="814">
        <f t="shared" si="138"/>
        <v>434</v>
      </c>
      <c r="B434" s="30" t="s">
        <v>798</v>
      </c>
      <c r="C434" s="142"/>
      <c r="D434" s="30"/>
      <c r="E434" s="30"/>
      <c r="F434" s="30"/>
      <c r="G434" s="115"/>
      <c r="H434" s="115"/>
      <c r="I434" s="115"/>
      <c r="J434" s="115"/>
      <c r="K434" s="115"/>
      <c r="L434" s="115"/>
      <c r="M434" s="115"/>
      <c r="N434" s="30"/>
      <c r="O434" s="119"/>
      <c r="P434" s="30"/>
      <c r="Q434" s="220"/>
      <c r="R434" s="220"/>
      <c r="S434" s="220"/>
      <c r="T434" s="220"/>
      <c r="U434" s="220"/>
      <c r="V434" s="220"/>
      <c r="W434" s="220"/>
      <c r="X434" s="220"/>
      <c r="Y434" s="220"/>
      <c r="Z434" s="220"/>
      <c r="AA434" s="220"/>
      <c r="AB434" s="220"/>
      <c r="AC434" s="220"/>
      <c r="AD434" s="220"/>
      <c r="AE434" s="220"/>
    </row>
    <row r="435" ht="13.5" customHeight="1">
      <c r="A435" s="814">
        <f t="shared" si="138"/>
        <v>435</v>
      </c>
      <c r="B435" s="30" t="s">
        <v>799</v>
      </c>
      <c r="C435" s="142"/>
      <c r="D435" s="30"/>
      <c r="E435" s="30"/>
      <c r="F435" s="30"/>
      <c r="G435" s="1013">
        <v>0.0</v>
      </c>
      <c r="H435" s="1013">
        <v>0.0</v>
      </c>
      <c r="I435" s="1013">
        <v>0.0</v>
      </c>
      <c r="J435" s="1013">
        <v>0.0</v>
      </c>
      <c r="K435" s="1013">
        <v>0.0</v>
      </c>
      <c r="L435" s="1013">
        <v>0.0</v>
      </c>
      <c r="M435" s="1013">
        <v>0.0</v>
      </c>
      <c r="N435" s="30"/>
      <c r="O435" s="119"/>
      <c r="P435" s="30"/>
      <c r="Q435" s="220"/>
      <c r="R435" s="220"/>
      <c r="S435" s="220"/>
      <c r="T435" s="220"/>
      <c r="U435" s="220"/>
      <c r="V435" s="220"/>
      <c r="W435" s="220"/>
      <c r="X435" s="220"/>
      <c r="Y435" s="220"/>
      <c r="Z435" s="220"/>
      <c r="AA435" s="220"/>
      <c r="AB435" s="220"/>
      <c r="AC435" s="220"/>
      <c r="AD435" s="220"/>
      <c r="AE435" s="220"/>
    </row>
    <row r="436" ht="13.5" customHeight="1">
      <c r="A436" s="814">
        <f t="shared" si="138"/>
        <v>436</v>
      </c>
      <c r="B436" s="30" t="s">
        <v>797</v>
      </c>
      <c r="C436" s="1011">
        <v>0.0</v>
      </c>
      <c r="D436" s="30"/>
      <c r="E436" s="30"/>
      <c r="F436" s="30"/>
      <c r="G436" s="129">
        <f t="shared" ref="G436:M436" si="301">$C$436*G435</f>
        <v>0</v>
      </c>
      <c r="H436" s="129">
        <f t="shared" si="301"/>
        <v>0</v>
      </c>
      <c r="I436" s="129">
        <f t="shared" si="301"/>
        <v>0</v>
      </c>
      <c r="J436" s="129">
        <f t="shared" si="301"/>
        <v>0</v>
      </c>
      <c r="K436" s="129">
        <f t="shared" si="301"/>
        <v>0</v>
      </c>
      <c r="L436" s="129">
        <f t="shared" si="301"/>
        <v>0</v>
      </c>
      <c r="M436" s="129">
        <f t="shared" si="301"/>
        <v>0</v>
      </c>
      <c r="N436" s="30"/>
      <c r="O436" s="119"/>
      <c r="P436" s="30"/>
      <c r="Q436" s="220"/>
      <c r="R436" s="220"/>
      <c r="S436" s="220"/>
      <c r="T436" s="220"/>
      <c r="U436" s="220"/>
      <c r="V436" s="220"/>
      <c r="W436" s="220"/>
      <c r="X436" s="220"/>
      <c r="Y436" s="220"/>
      <c r="Z436" s="220"/>
      <c r="AA436" s="220"/>
      <c r="AB436" s="220"/>
      <c r="AC436" s="220"/>
      <c r="AD436" s="220"/>
      <c r="AE436" s="220"/>
    </row>
    <row r="437" ht="13.5" customHeight="1">
      <c r="A437" s="814">
        <f t="shared" si="138"/>
        <v>437</v>
      </c>
      <c r="B437" s="30"/>
      <c r="C437" s="142"/>
      <c r="D437" s="30"/>
      <c r="E437" s="30"/>
      <c r="F437" s="30"/>
      <c r="G437" s="115"/>
      <c r="H437" s="115"/>
      <c r="I437" s="115"/>
      <c r="J437" s="115"/>
      <c r="K437" s="115"/>
      <c r="L437" s="115"/>
      <c r="M437" s="115"/>
      <c r="N437" s="30"/>
      <c r="O437" s="119"/>
      <c r="P437" s="30"/>
      <c r="Q437" s="220"/>
      <c r="R437" s="220"/>
      <c r="S437" s="220"/>
      <c r="T437" s="220"/>
      <c r="U437" s="220"/>
      <c r="V437" s="220"/>
      <c r="W437" s="220"/>
      <c r="X437" s="220"/>
      <c r="Y437" s="220"/>
      <c r="Z437" s="220"/>
      <c r="AA437" s="220"/>
      <c r="AB437" s="220"/>
      <c r="AC437" s="220"/>
      <c r="AD437" s="220"/>
      <c r="AE437" s="220"/>
    </row>
    <row r="438" ht="13.5" customHeight="1">
      <c r="A438" s="814">
        <f t="shared" si="138"/>
        <v>438</v>
      </c>
      <c r="B438" s="30" t="s">
        <v>800</v>
      </c>
      <c r="C438" s="142"/>
      <c r="D438" s="30"/>
      <c r="E438" s="30"/>
      <c r="F438" s="30"/>
      <c r="G438" s="115"/>
      <c r="H438" s="115"/>
      <c r="I438" s="115"/>
      <c r="J438" s="115"/>
      <c r="K438" s="115"/>
      <c r="L438" s="115"/>
      <c r="M438" s="115"/>
      <c r="N438" s="30"/>
      <c r="O438" s="119"/>
      <c r="P438" s="30"/>
      <c r="Q438" s="220"/>
      <c r="R438" s="220"/>
      <c r="S438" s="220"/>
      <c r="T438" s="220"/>
      <c r="U438" s="220"/>
      <c r="V438" s="220"/>
      <c r="W438" s="220"/>
      <c r="X438" s="220"/>
      <c r="Y438" s="220"/>
      <c r="Z438" s="220"/>
      <c r="AA438" s="220"/>
      <c r="AB438" s="220"/>
      <c r="AC438" s="220"/>
      <c r="AD438" s="220"/>
      <c r="AE438" s="220"/>
    </row>
    <row r="439" ht="13.5" customHeight="1">
      <c r="A439" s="814">
        <f t="shared" si="138"/>
        <v>439</v>
      </c>
      <c r="B439" s="30" t="s">
        <v>799</v>
      </c>
      <c r="C439" s="142"/>
      <c r="D439" s="30"/>
      <c r="E439" s="30"/>
      <c r="F439" s="30"/>
      <c r="G439" s="1013">
        <v>0.0</v>
      </c>
      <c r="H439" s="1013">
        <v>0.0</v>
      </c>
      <c r="I439" s="1013">
        <v>0.0</v>
      </c>
      <c r="J439" s="1013">
        <v>0.0</v>
      </c>
      <c r="K439" s="1013">
        <v>0.0</v>
      </c>
      <c r="L439" s="1013">
        <v>0.0</v>
      </c>
      <c r="M439" s="1013">
        <v>0.0</v>
      </c>
      <c r="N439" s="30"/>
      <c r="O439" s="119"/>
      <c r="P439" s="30"/>
      <c r="Q439" s="220"/>
      <c r="R439" s="220"/>
      <c r="S439" s="220"/>
      <c r="T439" s="220"/>
      <c r="U439" s="220"/>
      <c r="V439" s="220"/>
      <c r="W439" s="220"/>
      <c r="X439" s="220"/>
      <c r="Y439" s="220"/>
      <c r="Z439" s="220"/>
      <c r="AA439" s="220"/>
      <c r="AB439" s="220"/>
      <c r="AC439" s="220"/>
      <c r="AD439" s="220"/>
      <c r="AE439" s="220"/>
    </row>
    <row r="440" ht="13.5" customHeight="1">
      <c r="A440" s="814">
        <f t="shared" si="138"/>
        <v>440</v>
      </c>
      <c r="B440" s="30" t="s">
        <v>797</v>
      </c>
      <c r="C440" s="1011">
        <v>0.0</v>
      </c>
      <c r="D440" s="30"/>
      <c r="E440" s="30"/>
      <c r="F440" s="30"/>
      <c r="G440" s="129">
        <f t="shared" ref="G440:I440" si="302">$C$440*G439</f>
        <v>0</v>
      </c>
      <c r="H440" s="129">
        <f t="shared" si="302"/>
        <v>0</v>
      </c>
      <c r="I440" s="129">
        <f t="shared" si="302"/>
        <v>0</v>
      </c>
      <c r="J440" s="129">
        <f>I440*' Enrol &amp; Rev'!$C$97</f>
        <v>0</v>
      </c>
      <c r="K440" s="129">
        <f>J440*' Enrol &amp; Rev'!$C$97</f>
        <v>0</v>
      </c>
      <c r="L440" s="129">
        <f>K440*' Enrol &amp; Rev'!$C$97</f>
        <v>0</v>
      </c>
      <c r="M440" s="129">
        <f>L440*' Enrol &amp; Rev'!$C$97</f>
        <v>0</v>
      </c>
      <c r="N440" s="30"/>
      <c r="O440" s="119"/>
      <c r="P440" s="30"/>
      <c r="Q440" s="220"/>
      <c r="R440" s="220"/>
      <c r="S440" s="220"/>
      <c r="T440" s="220"/>
      <c r="U440" s="220"/>
      <c r="V440" s="220"/>
      <c r="W440" s="220"/>
      <c r="X440" s="220"/>
      <c r="Y440" s="220"/>
      <c r="Z440" s="220"/>
      <c r="AA440" s="220"/>
      <c r="AB440" s="220"/>
      <c r="AC440" s="220"/>
      <c r="AD440" s="220"/>
      <c r="AE440" s="220"/>
    </row>
    <row r="441" ht="13.5" customHeight="1">
      <c r="A441" s="814">
        <f t="shared" si="138"/>
        <v>441</v>
      </c>
      <c r="B441" s="30"/>
      <c r="C441" s="142"/>
      <c r="D441" s="30"/>
      <c r="E441" s="30"/>
      <c r="F441" s="30"/>
      <c r="G441" s="115"/>
      <c r="H441" s="115"/>
      <c r="I441" s="115"/>
      <c r="J441" s="115"/>
      <c r="K441" s="115"/>
      <c r="L441" s="115"/>
      <c r="M441" s="115"/>
      <c r="N441" s="30"/>
      <c r="O441" s="119"/>
      <c r="P441" s="30"/>
      <c r="Q441" s="220"/>
      <c r="R441" s="220"/>
      <c r="S441" s="220"/>
      <c r="T441" s="220"/>
      <c r="U441" s="220"/>
      <c r="V441" s="220"/>
      <c r="W441" s="220"/>
      <c r="X441" s="220"/>
      <c r="Y441" s="220"/>
      <c r="Z441" s="220"/>
      <c r="AA441" s="220"/>
      <c r="AB441" s="220"/>
      <c r="AC441" s="220"/>
      <c r="AD441" s="220"/>
      <c r="AE441" s="220"/>
    </row>
    <row r="442" ht="13.5" customHeight="1">
      <c r="A442" s="814">
        <f t="shared" si="138"/>
        <v>442</v>
      </c>
      <c r="B442" s="30" t="s">
        <v>801</v>
      </c>
      <c r="C442" s="142"/>
      <c r="D442" s="30"/>
      <c r="E442" s="30"/>
      <c r="F442" s="30"/>
      <c r="G442" s="115"/>
      <c r="H442" s="115"/>
      <c r="I442" s="115"/>
      <c r="J442" s="115"/>
      <c r="K442" s="115"/>
      <c r="L442" s="115"/>
      <c r="M442" s="115"/>
      <c r="N442" s="30"/>
      <c r="O442" s="119"/>
      <c r="P442" s="30"/>
      <c r="Q442" s="220"/>
      <c r="R442" s="220"/>
      <c r="S442" s="220"/>
      <c r="T442" s="220"/>
      <c r="U442" s="220"/>
      <c r="V442" s="220"/>
      <c r="W442" s="220"/>
      <c r="X442" s="220"/>
      <c r="Y442" s="220"/>
      <c r="Z442" s="220"/>
      <c r="AA442" s="220"/>
      <c r="AB442" s="220"/>
      <c r="AC442" s="220"/>
      <c r="AD442" s="220"/>
      <c r="AE442" s="220"/>
    </row>
    <row r="443" ht="13.5" customHeight="1">
      <c r="A443" s="814">
        <f t="shared" si="138"/>
        <v>443</v>
      </c>
      <c r="B443" s="30" t="s">
        <v>799</v>
      </c>
      <c r="C443" s="142"/>
      <c r="D443" s="30"/>
      <c r="E443" s="30"/>
      <c r="F443" s="30"/>
      <c r="G443" s="1013">
        <v>0.0</v>
      </c>
      <c r="H443" s="1013">
        <v>0.0</v>
      </c>
      <c r="I443" s="1013">
        <v>0.0</v>
      </c>
      <c r="J443" s="1013">
        <v>0.0</v>
      </c>
      <c r="K443" s="1013">
        <v>0.0</v>
      </c>
      <c r="L443" s="1013">
        <v>0.0</v>
      </c>
      <c r="M443" s="1013">
        <v>0.0</v>
      </c>
      <c r="N443" s="30"/>
      <c r="O443" s="119"/>
      <c r="P443" s="30"/>
      <c r="Q443" s="220"/>
      <c r="R443" s="220"/>
      <c r="S443" s="220"/>
      <c r="T443" s="220"/>
      <c r="U443" s="220"/>
      <c r="V443" s="220"/>
      <c r="W443" s="220"/>
      <c r="X443" s="220"/>
      <c r="Y443" s="220"/>
      <c r="Z443" s="220"/>
      <c r="AA443" s="220"/>
      <c r="AB443" s="220"/>
      <c r="AC443" s="220"/>
      <c r="AD443" s="220"/>
      <c r="AE443" s="220"/>
    </row>
    <row r="444" ht="13.5" customHeight="1">
      <c r="A444" s="814">
        <f t="shared" si="138"/>
        <v>444</v>
      </c>
      <c r="B444" s="30" t="s">
        <v>797</v>
      </c>
      <c r="C444" s="1011">
        <v>0.0</v>
      </c>
      <c r="D444" s="30"/>
      <c r="E444" s="30"/>
      <c r="F444" s="30"/>
      <c r="G444" s="129">
        <f t="shared" ref="G444:M444" si="303">$C$444*G443</f>
        <v>0</v>
      </c>
      <c r="H444" s="129">
        <f t="shared" si="303"/>
        <v>0</v>
      </c>
      <c r="I444" s="129">
        <f t="shared" si="303"/>
        <v>0</v>
      </c>
      <c r="J444" s="129">
        <f t="shared" si="303"/>
        <v>0</v>
      </c>
      <c r="K444" s="129">
        <f t="shared" si="303"/>
        <v>0</v>
      </c>
      <c r="L444" s="129">
        <f t="shared" si="303"/>
        <v>0</v>
      </c>
      <c r="M444" s="129">
        <f t="shared" si="303"/>
        <v>0</v>
      </c>
      <c r="N444" s="30"/>
      <c r="O444" s="119"/>
      <c r="P444" s="30"/>
      <c r="Q444" s="220"/>
      <c r="R444" s="220"/>
      <c r="S444" s="220"/>
      <c r="T444" s="220"/>
      <c r="U444" s="220"/>
      <c r="V444" s="220"/>
      <c r="W444" s="220"/>
      <c r="X444" s="220"/>
      <c r="Y444" s="220"/>
      <c r="Z444" s="220"/>
      <c r="AA444" s="220"/>
      <c r="AB444" s="220"/>
      <c r="AC444" s="220"/>
      <c r="AD444" s="220"/>
      <c r="AE444" s="220"/>
    </row>
    <row r="445" ht="13.5" customHeight="1">
      <c r="A445" s="814">
        <f t="shared" si="138"/>
        <v>445</v>
      </c>
      <c r="B445" s="30"/>
      <c r="C445" s="142"/>
      <c r="D445" s="30"/>
      <c r="E445" s="30"/>
      <c r="F445" s="30"/>
      <c r="G445" s="115"/>
      <c r="H445" s="115"/>
      <c r="I445" s="115"/>
      <c r="J445" s="115"/>
      <c r="K445" s="115"/>
      <c r="L445" s="115"/>
      <c r="M445" s="115"/>
      <c r="N445" s="30"/>
      <c r="O445" s="119"/>
      <c r="P445" s="30"/>
      <c r="Q445" s="220"/>
      <c r="R445" s="220"/>
      <c r="S445" s="220"/>
      <c r="T445" s="220"/>
      <c r="U445" s="220"/>
      <c r="V445" s="220"/>
      <c r="W445" s="220"/>
      <c r="X445" s="220"/>
      <c r="Y445" s="220"/>
      <c r="Z445" s="220"/>
      <c r="AA445" s="220"/>
      <c r="AB445" s="220"/>
      <c r="AC445" s="220"/>
      <c r="AD445" s="220"/>
      <c r="AE445" s="220"/>
    </row>
    <row r="446" ht="13.5" customHeight="1">
      <c r="A446" s="814">
        <f t="shared" si="138"/>
        <v>446</v>
      </c>
      <c r="B446" s="30" t="s">
        <v>802</v>
      </c>
      <c r="C446" s="142"/>
      <c r="D446" s="30"/>
      <c r="E446" s="30"/>
      <c r="F446" s="30"/>
      <c r="G446" s="115"/>
      <c r="H446" s="115"/>
      <c r="I446" s="115"/>
      <c r="J446" s="115"/>
      <c r="K446" s="115"/>
      <c r="L446" s="115"/>
      <c r="M446" s="115"/>
      <c r="N446" s="30"/>
      <c r="O446" s="119"/>
      <c r="P446" s="30"/>
      <c r="Q446" s="220"/>
      <c r="R446" s="220"/>
      <c r="S446" s="220"/>
      <c r="T446" s="220"/>
      <c r="U446" s="220"/>
      <c r="V446" s="220"/>
      <c r="W446" s="220"/>
      <c r="X446" s="220"/>
      <c r="Y446" s="220"/>
      <c r="Z446" s="220"/>
      <c r="AA446" s="220"/>
      <c r="AB446" s="220"/>
      <c r="AC446" s="220"/>
      <c r="AD446" s="220"/>
      <c r="AE446" s="220"/>
    </row>
    <row r="447" ht="13.5" customHeight="1">
      <c r="A447" s="814">
        <f t="shared" si="138"/>
        <v>447</v>
      </c>
      <c r="B447" s="30" t="s">
        <v>799</v>
      </c>
      <c r="C447" s="142"/>
      <c r="D447" s="30"/>
      <c r="E447" s="30"/>
      <c r="F447" s="30"/>
      <c r="G447" s="1013">
        <v>0.0</v>
      </c>
      <c r="H447" s="1013">
        <v>0.0</v>
      </c>
      <c r="I447" s="1013">
        <v>0.0</v>
      </c>
      <c r="J447" s="1013">
        <v>0.0</v>
      </c>
      <c r="K447" s="1013">
        <v>0.0</v>
      </c>
      <c r="L447" s="1013">
        <v>0.0</v>
      </c>
      <c r="M447" s="1013">
        <v>0.0</v>
      </c>
      <c r="N447" s="30"/>
      <c r="O447" s="119"/>
      <c r="P447" s="30"/>
      <c r="Q447" s="220"/>
      <c r="R447" s="220"/>
      <c r="S447" s="220"/>
      <c r="T447" s="220"/>
      <c r="U447" s="220"/>
      <c r="V447" s="220"/>
      <c r="W447" s="220"/>
      <c r="X447" s="220"/>
      <c r="Y447" s="220"/>
      <c r="Z447" s="220"/>
      <c r="AA447" s="220"/>
      <c r="AB447" s="220"/>
      <c r="AC447" s="220"/>
      <c r="AD447" s="220"/>
      <c r="AE447" s="220"/>
    </row>
    <row r="448" ht="13.5" customHeight="1">
      <c r="A448" s="814">
        <f t="shared" si="138"/>
        <v>448</v>
      </c>
      <c r="B448" s="30" t="s">
        <v>797</v>
      </c>
      <c r="C448" s="1011">
        <v>0.0</v>
      </c>
      <c r="D448" s="30"/>
      <c r="E448" s="30"/>
      <c r="F448" s="30"/>
      <c r="G448" s="129">
        <f t="shared" ref="G448:M448" si="304">$C$448*G447</f>
        <v>0</v>
      </c>
      <c r="H448" s="129">
        <f t="shared" si="304"/>
        <v>0</v>
      </c>
      <c r="I448" s="129">
        <f t="shared" si="304"/>
        <v>0</v>
      </c>
      <c r="J448" s="129">
        <f t="shared" si="304"/>
        <v>0</v>
      </c>
      <c r="K448" s="129">
        <f t="shared" si="304"/>
        <v>0</v>
      </c>
      <c r="L448" s="129">
        <f t="shared" si="304"/>
        <v>0</v>
      </c>
      <c r="M448" s="129">
        <f t="shared" si="304"/>
        <v>0</v>
      </c>
      <c r="N448" s="30"/>
      <c r="O448" s="119"/>
      <c r="P448" s="30"/>
      <c r="Q448" s="220"/>
      <c r="R448" s="220"/>
      <c r="S448" s="220"/>
      <c r="T448" s="220"/>
      <c r="U448" s="220"/>
      <c r="V448" s="220"/>
      <c r="W448" s="220"/>
      <c r="X448" s="220"/>
      <c r="Y448" s="220"/>
      <c r="Z448" s="220"/>
      <c r="AA448" s="220"/>
      <c r="AB448" s="220"/>
      <c r="AC448" s="220"/>
      <c r="AD448" s="220"/>
      <c r="AE448" s="220"/>
    </row>
    <row r="449" ht="13.5" customHeight="1">
      <c r="A449" s="814">
        <f t="shared" si="138"/>
        <v>449</v>
      </c>
      <c r="B449" s="30"/>
      <c r="C449" s="142"/>
      <c r="D449" s="30"/>
      <c r="E449" s="30"/>
      <c r="F449" s="30"/>
      <c r="G449" s="115"/>
      <c r="H449" s="115"/>
      <c r="I449" s="115"/>
      <c r="J449" s="115"/>
      <c r="K449" s="115"/>
      <c r="L449" s="115"/>
      <c r="M449" s="115"/>
      <c r="N449" s="30"/>
      <c r="O449" s="119"/>
      <c r="P449" s="30"/>
      <c r="Q449" s="220"/>
      <c r="R449" s="220"/>
      <c r="S449" s="220"/>
      <c r="T449" s="220"/>
      <c r="U449" s="220"/>
      <c r="V449" s="220"/>
      <c r="W449" s="220"/>
      <c r="X449" s="220"/>
      <c r="Y449" s="220"/>
      <c r="Z449" s="220"/>
      <c r="AA449" s="220"/>
      <c r="AB449" s="220"/>
      <c r="AC449" s="220"/>
      <c r="AD449" s="220"/>
      <c r="AE449" s="220"/>
    </row>
    <row r="450" ht="13.5" customHeight="1">
      <c r="A450" s="814">
        <f t="shared" si="138"/>
        <v>450</v>
      </c>
      <c r="B450" s="30" t="s">
        <v>803</v>
      </c>
      <c r="C450" s="142"/>
      <c r="D450" s="30"/>
      <c r="E450" s="30"/>
      <c r="F450" s="30"/>
      <c r="G450" s="115">
        <f t="shared" ref="G450:M450" si="305">G448+G444+G440+G436+G432</f>
        <v>0</v>
      </c>
      <c r="H450" s="115">
        <f t="shared" si="305"/>
        <v>0</v>
      </c>
      <c r="I450" s="115">
        <f t="shared" si="305"/>
        <v>0</v>
      </c>
      <c r="J450" s="115">
        <f t="shared" si="305"/>
        <v>0</v>
      </c>
      <c r="K450" s="115">
        <f t="shared" si="305"/>
        <v>0</v>
      </c>
      <c r="L450" s="115">
        <f t="shared" si="305"/>
        <v>0</v>
      </c>
      <c r="M450" s="115">
        <f t="shared" si="305"/>
        <v>0</v>
      </c>
      <c r="N450" s="30"/>
      <c r="O450" s="119"/>
      <c r="P450" s="30"/>
      <c r="Q450" s="220"/>
      <c r="R450" s="220"/>
      <c r="S450" s="220"/>
      <c r="T450" s="220"/>
      <c r="U450" s="220"/>
      <c r="V450" s="220"/>
      <c r="W450" s="220"/>
      <c r="X450" s="220"/>
      <c r="Y450" s="220"/>
      <c r="Z450" s="220"/>
      <c r="AA450" s="220"/>
      <c r="AB450" s="220"/>
      <c r="AC450" s="220"/>
      <c r="AD450" s="220"/>
      <c r="AE450" s="220"/>
    </row>
    <row r="451" ht="13.5" customHeight="1">
      <c r="A451" s="814">
        <f t="shared" si="138"/>
        <v>451</v>
      </c>
      <c r="B451" s="30"/>
      <c r="C451" s="142"/>
      <c r="D451" s="30"/>
      <c r="E451" s="30"/>
      <c r="F451" s="30"/>
      <c r="G451" s="115"/>
      <c r="H451" s="115"/>
      <c r="I451" s="115"/>
      <c r="J451" s="115"/>
      <c r="K451" s="115"/>
      <c r="L451" s="115"/>
      <c r="M451" s="115"/>
      <c r="N451" s="30"/>
      <c r="O451" s="119"/>
      <c r="P451" s="30"/>
      <c r="Q451" s="220"/>
      <c r="R451" s="220"/>
      <c r="S451" s="220"/>
      <c r="T451" s="220"/>
      <c r="U451" s="220"/>
      <c r="V451" s="220"/>
      <c r="W451" s="220"/>
      <c r="X451" s="220"/>
      <c r="Y451" s="220"/>
      <c r="Z451" s="220"/>
      <c r="AA451" s="220"/>
      <c r="AB451" s="220"/>
      <c r="AC451" s="220"/>
      <c r="AD451" s="220"/>
      <c r="AE451" s="220"/>
    </row>
    <row r="452" ht="13.5" customHeight="1">
      <c r="A452" s="814">
        <f t="shared" si="138"/>
        <v>452</v>
      </c>
      <c r="B452" s="30" t="s">
        <v>804</v>
      </c>
      <c r="C452" s="1014">
        <v>0.0765</v>
      </c>
      <c r="D452" s="30"/>
      <c r="E452" s="30"/>
      <c r="F452" s="30"/>
      <c r="G452" s="115">
        <f t="shared" ref="G452:M452" si="306">+$C$452*G450</f>
        <v>0</v>
      </c>
      <c r="H452" s="115">
        <f t="shared" si="306"/>
        <v>0</v>
      </c>
      <c r="I452" s="115">
        <f t="shared" si="306"/>
        <v>0</v>
      </c>
      <c r="J452" s="115">
        <f t="shared" si="306"/>
        <v>0</v>
      </c>
      <c r="K452" s="115">
        <f t="shared" si="306"/>
        <v>0</v>
      </c>
      <c r="L452" s="115">
        <f t="shared" si="306"/>
        <v>0</v>
      </c>
      <c r="M452" s="115">
        <f t="shared" si="306"/>
        <v>0</v>
      </c>
      <c r="N452" s="30"/>
      <c r="O452" s="119"/>
      <c r="P452" s="30"/>
      <c r="Q452" s="220"/>
      <c r="R452" s="220"/>
      <c r="S452" s="220"/>
      <c r="T452" s="220"/>
      <c r="U452" s="220"/>
      <c r="V452" s="220"/>
      <c r="W452" s="220"/>
      <c r="X452" s="220"/>
      <c r="Y452" s="220"/>
      <c r="Z452" s="220"/>
      <c r="AA452" s="220"/>
      <c r="AB452" s="220"/>
      <c r="AC452" s="220"/>
      <c r="AD452" s="220"/>
      <c r="AE452" s="220"/>
    </row>
    <row r="453" ht="13.5" customHeight="1">
      <c r="A453" s="814"/>
      <c r="B453" s="30"/>
      <c r="C453" s="142"/>
      <c r="D453" s="30"/>
      <c r="E453" s="30"/>
      <c r="F453" s="30"/>
      <c r="G453" s="115"/>
      <c r="H453" s="115"/>
      <c r="I453" s="115"/>
      <c r="J453" s="115"/>
      <c r="K453" s="115"/>
      <c r="L453" s="115"/>
      <c r="M453" s="115"/>
      <c r="N453" s="30"/>
      <c r="O453" s="119"/>
      <c r="P453" s="30"/>
      <c r="Q453" s="220"/>
      <c r="R453" s="220"/>
      <c r="S453" s="220"/>
      <c r="T453" s="220"/>
      <c r="U453" s="220"/>
      <c r="V453" s="220"/>
      <c r="W453" s="220"/>
      <c r="X453" s="220"/>
      <c r="Y453" s="220"/>
      <c r="Z453" s="220"/>
      <c r="AA453" s="220"/>
      <c r="AB453" s="220"/>
      <c r="AC453" s="220"/>
      <c r="AD453" s="220"/>
      <c r="AE453" s="220"/>
    </row>
    <row r="454" ht="13.5" customHeight="1">
      <c r="A454" s="814"/>
      <c r="B454" s="30"/>
      <c r="C454" s="142"/>
      <c r="D454" s="30"/>
      <c r="E454" s="30"/>
      <c r="F454" s="30"/>
      <c r="G454" s="115"/>
      <c r="H454" s="115"/>
      <c r="I454" s="115"/>
      <c r="J454" s="115"/>
      <c r="K454" s="115"/>
      <c r="L454" s="115"/>
      <c r="M454" s="115"/>
      <c r="N454" s="30"/>
      <c r="O454" s="119"/>
      <c r="P454" s="30"/>
      <c r="Q454" s="220"/>
      <c r="R454" s="220"/>
      <c r="S454" s="220"/>
      <c r="T454" s="220"/>
      <c r="U454" s="220"/>
      <c r="V454" s="220"/>
      <c r="W454" s="220"/>
      <c r="X454" s="220"/>
      <c r="Y454" s="220"/>
      <c r="Z454" s="220"/>
      <c r="AA454" s="220"/>
      <c r="AB454" s="220"/>
      <c r="AC454" s="220"/>
      <c r="AD454" s="220"/>
      <c r="AE454" s="220"/>
    </row>
    <row r="455" ht="13.5" customHeight="1">
      <c r="A455" s="814">
        <f t="shared" ref="A455:A461" si="308">ROW()</f>
        <v>455</v>
      </c>
      <c r="B455" s="990" t="s">
        <v>805</v>
      </c>
      <c r="C455" s="991">
        <f>SUM(G455:M455)</f>
        <v>0</v>
      </c>
      <c r="D455" s="1015"/>
      <c r="E455" s="1015"/>
      <c r="F455" s="1015"/>
      <c r="G455" s="991">
        <f t="shared" ref="G455:M455" si="307">G448+G444+G440+G436+G432</f>
        <v>0</v>
      </c>
      <c r="H455" s="991">
        <f t="shared" si="307"/>
        <v>0</v>
      </c>
      <c r="I455" s="991">
        <f t="shared" si="307"/>
        <v>0</v>
      </c>
      <c r="J455" s="991">
        <f t="shared" si="307"/>
        <v>0</v>
      </c>
      <c r="K455" s="991">
        <f t="shared" si="307"/>
        <v>0</v>
      </c>
      <c r="L455" s="991">
        <f t="shared" si="307"/>
        <v>0</v>
      </c>
      <c r="M455" s="991">
        <f t="shared" si="307"/>
        <v>0</v>
      </c>
      <c r="N455" s="30"/>
      <c r="O455" s="119"/>
      <c r="P455" s="30"/>
      <c r="Q455" s="220"/>
      <c r="R455" s="220"/>
      <c r="S455" s="220"/>
      <c r="T455" s="220"/>
      <c r="U455" s="220"/>
      <c r="V455" s="220"/>
      <c r="W455" s="220"/>
      <c r="X455" s="220"/>
      <c r="Y455" s="220"/>
      <c r="Z455" s="220"/>
      <c r="AA455" s="220"/>
      <c r="AB455" s="220"/>
      <c r="AC455" s="220"/>
      <c r="AD455" s="220"/>
      <c r="AE455" s="220"/>
    </row>
    <row r="456" ht="13.5" customHeight="1">
      <c r="A456" s="814">
        <f t="shared" si="308"/>
        <v>456</v>
      </c>
      <c r="B456" s="63"/>
      <c r="C456" s="305"/>
      <c r="D456" s="63"/>
      <c r="E456" s="63"/>
      <c r="F456" s="63"/>
      <c r="G456" s="395"/>
      <c r="H456" s="395"/>
      <c r="I456" s="395"/>
      <c r="J456" s="395"/>
      <c r="K456" s="395"/>
      <c r="L456" s="395"/>
      <c r="M456" s="395"/>
      <c r="N456" s="30"/>
      <c r="O456" s="119"/>
      <c r="P456" s="30"/>
      <c r="Q456" s="220"/>
      <c r="R456" s="220"/>
      <c r="S456" s="220"/>
      <c r="T456" s="220"/>
      <c r="U456" s="220"/>
      <c r="V456" s="220"/>
      <c r="W456" s="220"/>
      <c r="X456" s="220"/>
      <c r="Y456" s="220"/>
      <c r="Z456" s="220"/>
      <c r="AA456" s="220"/>
      <c r="AB456" s="220"/>
      <c r="AC456" s="220"/>
      <c r="AD456" s="220"/>
      <c r="AE456" s="220"/>
    </row>
    <row r="457" ht="13.5" customHeight="1">
      <c r="A457" s="814">
        <f t="shared" si="308"/>
        <v>457</v>
      </c>
      <c r="B457" s="1016" t="s">
        <v>806</v>
      </c>
      <c r="C457" s="1001"/>
      <c r="D457" s="689"/>
      <c r="E457" s="689"/>
      <c r="F457" s="689"/>
      <c r="G457" s="1017">
        <f t="shared" ref="G457:M457" si="309">SUM(G431,G435,G439,G443,G447)</f>
        <v>0</v>
      </c>
      <c r="H457" s="1017">
        <f t="shared" si="309"/>
        <v>0</v>
      </c>
      <c r="I457" s="1017">
        <f t="shared" si="309"/>
        <v>0</v>
      </c>
      <c r="J457" s="1017">
        <f t="shared" si="309"/>
        <v>0</v>
      </c>
      <c r="K457" s="1017">
        <f t="shared" si="309"/>
        <v>0</v>
      </c>
      <c r="L457" s="1017">
        <f t="shared" si="309"/>
        <v>0</v>
      </c>
      <c r="M457" s="1017">
        <f t="shared" si="309"/>
        <v>0</v>
      </c>
      <c r="N457" s="30"/>
      <c r="O457" s="119"/>
      <c r="P457" s="30"/>
      <c r="Q457" s="220"/>
      <c r="R457" s="220"/>
      <c r="S457" s="220"/>
      <c r="T457" s="220"/>
      <c r="U457" s="220"/>
      <c r="V457" s="220"/>
      <c r="W457" s="220"/>
      <c r="X457" s="220"/>
      <c r="Y457" s="220"/>
      <c r="Z457" s="220"/>
      <c r="AA457" s="220"/>
      <c r="AB457" s="220"/>
      <c r="AC457" s="220"/>
      <c r="AD457" s="220"/>
      <c r="AE457" s="220"/>
    </row>
    <row r="458" ht="13.5" customHeight="1">
      <c r="A458" s="814">
        <f t="shared" si="308"/>
        <v>458</v>
      </c>
      <c r="B458" s="63"/>
      <c r="C458" s="305"/>
      <c r="D458" s="63"/>
      <c r="E458" s="63"/>
      <c r="F458" s="63"/>
      <c r="G458" s="395"/>
      <c r="H458" s="395"/>
      <c r="I458" s="395"/>
      <c r="J458" s="395"/>
      <c r="K458" s="395"/>
      <c r="L458" s="395"/>
      <c r="M458" s="395"/>
      <c r="N458" s="30"/>
      <c r="O458" s="119"/>
      <c r="P458" s="30"/>
      <c r="Q458" s="220"/>
      <c r="R458" s="220"/>
      <c r="S458" s="220"/>
      <c r="T458" s="220"/>
      <c r="U458" s="220"/>
      <c r="V458" s="220"/>
      <c r="W458" s="220"/>
      <c r="X458" s="220"/>
      <c r="Y458" s="220"/>
      <c r="Z458" s="220"/>
      <c r="AA458" s="220"/>
      <c r="AB458" s="220"/>
      <c r="AC458" s="220"/>
      <c r="AD458" s="220"/>
      <c r="AE458" s="220"/>
    </row>
    <row r="459" ht="13.5" customHeight="1">
      <c r="A459" s="814">
        <f t="shared" si="308"/>
        <v>459</v>
      </c>
      <c r="B459" s="990" t="s">
        <v>807</v>
      </c>
      <c r="C459" s="991">
        <f>SUM(G459:M459)</f>
        <v>110600</v>
      </c>
      <c r="D459" s="1018"/>
      <c r="E459" s="1018"/>
      <c r="F459" s="1018"/>
      <c r="G459" s="1019">
        <v>15800.0</v>
      </c>
      <c r="H459" s="1019">
        <v>15800.0</v>
      </c>
      <c r="I459" s="1019">
        <v>15800.0</v>
      </c>
      <c r="J459" s="1019">
        <v>15800.0</v>
      </c>
      <c r="K459" s="1019">
        <v>15800.0</v>
      </c>
      <c r="L459" s="1019">
        <v>15800.0</v>
      </c>
      <c r="M459" s="1019">
        <v>15800.0</v>
      </c>
      <c r="N459" s="30"/>
      <c r="O459" s="119"/>
      <c r="P459" s="30"/>
      <c r="Q459" s="220"/>
      <c r="R459" s="220"/>
      <c r="S459" s="220"/>
      <c r="T459" s="220"/>
      <c r="U459" s="220"/>
      <c r="V459" s="220"/>
      <c r="W459" s="220"/>
      <c r="X459" s="220"/>
      <c r="Y459" s="220"/>
      <c r="Z459" s="220"/>
      <c r="AA459" s="220"/>
      <c r="AB459" s="220"/>
      <c r="AC459" s="220"/>
      <c r="AD459" s="220"/>
      <c r="AE459" s="220"/>
    </row>
    <row r="460" ht="13.5" customHeight="1">
      <c r="A460" s="814">
        <f t="shared" si="308"/>
        <v>460</v>
      </c>
      <c r="B460" s="30"/>
      <c r="C460" s="30"/>
      <c r="D460" s="30"/>
      <c r="E460" s="30"/>
      <c r="F460" s="30"/>
      <c r="G460" s="30"/>
      <c r="H460" s="30"/>
      <c r="I460" s="30"/>
      <c r="J460" s="30"/>
      <c r="K460" s="30"/>
      <c r="L460" s="30"/>
      <c r="M460" s="30"/>
      <c r="N460" s="30"/>
      <c r="O460" s="119"/>
      <c r="P460" s="30"/>
      <c r="Q460" s="220"/>
      <c r="R460" s="220"/>
      <c r="S460" s="220"/>
      <c r="T460" s="220"/>
      <c r="U460" s="220"/>
      <c r="V460" s="220"/>
      <c r="W460" s="220"/>
      <c r="X460" s="220"/>
      <c r="Y460" s="220"/>
      <c r="Z460" s="220"/>
      <c r="AA460" s="220"/>
      <c r="AB460" s="220"/>
      <c r="AC460" s="220"/>
      <c r="AD460" s="220"/>
      <c r="AE460" s="220"/>
    </row>
    <row r="461" ht="13.5" customHeight="1">
      <c r="A461" s="814">
        <f t="shared" si="308"/>
        <v>461</v>
      </c>
      <c r="B461" s="1020" t="s">
        <v>808</v>
      </c>
      <c r="C461" s="1021">
        <f>SUM(G461:M461)</f>
        <v>32224618.18</v>
      </c>
      <c r="D461" s="1022"/>
      <c r="E461" s="1022"/>
      <c r="F461" s="1022"/>
      <c r="G461" s="1021">
        <f>Staff!G400+Staff!G425+Staff!G455+Staff!G459</f>
        <v>4377734.355</v>
      </c>
      <c r="H461" s="1021">
        <f>Staff!H400+Staff!H425+Staff!H455+Staff!H459</f>
        <v>4492476.771</v>
      </c>
      <c r="I461" s="1021">
        <f>Staff!I400+Staff!I425+Staff!I455+Staff!I459</f>
        <v>4577289.306</v>
      </c>
      <c r="J461" s="1021">
        <f>Staff!J400+Staff!J425+Staff!J455+Staff!J459</f>
        <v>4563205.603</v>
      </c>
      <c r="K461" s="1021">
        <f>Staff!K400+Staff!K425+Staff!K455+Staff!K459</f>
        <v>4649432.715</v>
      </c>
      <c r="L461" s="1021">
        <f>Staff!L400+Staff!L425+Staff!L455+Staff!L459</f>
        <v>4737384.369</v>
      </c>
      <c r="M461" s="1021">
        <f>Staff!M400+Staff!M425+Staff!M455+Staff!M459</f>
        <v>4827095.057</v>
      </c>
      <c r="N461" s="30"/>
      <c r="O461" s="119"/>
      <c r="P461" s="30"/>
      <c r="Q461" s="220"/>
      <c r="R461" s="220"/>
      <c r="S461" s="220"/>
      <c r="T461" s="220"/>
      <c r="U461" s="220"/>
      <c r="V461" s="220"/>
      <c r="W461" s="220"/>
      <c r="X461" s="220"/>
      <c r="Y461" s="220"/>
      <c r="Z461" s="220"/>
      <c r="AA461" s="220"/>
      <c r="AB461" s="220"/>
      <c r="AC461" s="220"/>
      <c r="AD461" s="220"/>
      <c r="AE461" s="22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row>
    <row r="464" ht="13.5" customHeight="1">
      <c r="A464" s="30"/>
      <c r="B464" s="63" t="s">
        <v>809</v>
      </c>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row>
    <row r="465" ht="13.5" customHeight="1">
      <c r="A465" s="30"/>
      <c r="B465" s="30"/>
      <c r="C465" s="211" t="s">
        <v>810</v>
      </c>
      <c r="D465" s="211" t="s">
        <v>811</v>
      </c>
      <c r="E465" s="211" t="s">
        <v>812</v>
      </c>
      <c r="F465" s="211" t="s">
        <v>813</v>
      </c>
      <c r="G465" s="211" t="s">
        <v>814</v>
      </c>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row>
    <row r="466" ht="13.5" customHeight="1">
      <c r="A466" s="30"/>
      <c r="B466" s="30" t="s">
        <v>815</v>
      </c>
      <c r="C466" s="206">
        <v>0.0</v>
      </c>
      <c r="D466" s="207">
        <v>0.0</v>
      </c>
      <c r="E466" s="207">
        <v>0.0</v>
      </c>
      <c r="F466" s="207">
        <v>0.0</v>
      </c>
      <c r="G466" s="207">
        <v>0.0</v>
      </c>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row>
    <row r="467" ht="13.5" customHeight="1">
      <c r="A467" s="30"/>
      <c r="B467" s="30" t="s">
        <v>816</v>
      </c>
      <c r="C467" s="206">
        <v>0.0</v>
      </c>
      <c r="D467" s="207">
        <v>0.0</v>
      </c>
      <c r="E467" s="207">
        <v>0.0</v>
      </c>
      <c r="F467" s="207">
        <v>0.0</v>
      </c>
      <c r="G467" s="207">
        <v>0.0</v>
      </c>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row>
    <row r="468" ht="13.5" customHeight="1">
      <c r="A468" s="30"/>
      <c r="B468" s="30" t="s">
        <v>817</v>
      </c>
      <c r="C468" s="690">
        <f t="shared" ref="C468:G468" si="310">+C466*C467</f>
        <v>0</v>
      </c>
      <c r="D468" s="690">
        <f t="shared" si="310"/>
        <v>0</v>
      </c>
      <c r="E468" s="690">
        <f t="shared" si="310"/>
        <v>0</v>
      </c>
      <c r="F468" s="690">
        <f t="shared" si="310"/>
        <v>0</v>
      </c>
      <c r="G468" s="690">
        <f t="shared" si="310"/>
        <v>0</v>
      </c>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row>
    <row r="469" ht="13.5" customHeight="1">
      <c r="A469" s="30"/>
      <c r="B469" s="30"/>
      <c r="C469" s="220"/>
      <c r="D469" s="220"/>
      <c r="E469" s="220"/>
      <c r="F469" s="220"/>
      <c r="G469" s="22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row>
    <row r="470" ht="13.5" customHeight="1">
      <c r="A470" s="30"/>
      <c r="B470" s="30" t="s">
        <v>818</v>
      </c>
      <c r="C470" s="220">
        <v>2080.0</v>
      </c>
      <c r="D470" s="220">
        <v>2080.0</v>
      </c>
      <c r="E470" s="220">
        <v>2080.0</v>
      </c>
      <c r="F470" s="220">
        <v>2080.0</v>
      </c>
      <c r="G470" s="220">
        <v>2080.0</v>
      </c>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row>
    <row r="471" ht="13.5" customHeight="1">
      <c r="A471" s="30"/>
      <c r="B471" s="371" t="s">
        <v>819</v>
      </c>
      <c r="C471" s="1023">
        <f t="shared" ref="C471:G471" si="311">+C468/C470</f>
        <v>0</v>
      </c>
      <c r="D471" s="1024">
        <f t="shared" si="311"/>
        <v>0</v>
      </c>
      <c r="E471" s="1024">
        <f t="shared" si="311"/>
        <v>0</v>
      </c>
      <c r="F471" s="1024">
        <f t="shared" si="311"/>
        <v>0</v>
      </c>
      <c r="G471" s="1024">
        <f t="shared" si="311"/>
        <v>0</v>
      </c>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row>
    <row r="472" ht="13.5" customHeight="1">
      <c r="A472" s="30"/>
      <c r="B472" s="30"/>
      <c r="C472" s="220"/>
      <c r="D472" s="220"/>
      <c r="E472" s="220"/>
      <c r="F472" s="220"/>
      <c r="G472" s="22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row>
    <row r="473" ht="13.5" customHeight="1">
      <c r="A473" s="30"/>
      <c r="B473" s="30" t="s">
        <v>820</v>
      </c>
      <c r="C473" s="207">
        <v>0.0</v>
      </c>
      <c r="D473" s="207">
        <v>0.0</v>
      </c>
      <c r="E473" s="207">
        <v>0.0</v>
      </c>
      <c r="F473" s="207">
        <v>0.0</v>
      </c>
      <c r="G473" s="207">
        <v>0.0</v>
      </c>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row>
    <row r="474" ht="13.5" customHeight="1">
      <c r="A474" s="30"/>
      <c r="B474" s="30" t="s">
        <v>821</v>
      </c>
      <c r="C474" s="207">
        <v>0.0</v>
      </c>
      <c r="D474" s="207">
        <v>0.0</v>
      </c>
      <c r="E474" s="207">
        <v>0.0</v>
      </c>
      <c r="F474" s="207">
        <v>0.0</v>
      </c>
      <c r="G474" s="207">
        <v>0.0</v>
      </c>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row>
    <row r="475" ht="13.5" customHeight="1">
      <c r="A475" s="30"/>
      <c r="B475" s="30" t="s">
        <v>822</v>
      </c>
      <c r="C475" s="1025">
        <f t="shared" ref="C475:G475" si="312">+C473*C474</f>
        <v>0</v>
      </c>
      <c r="D475" s="1025">
        <f t="shared" si="312"/>
        <v>0</v>
      </c>
      <c r="E475" s="1025">
        <f t="shared" si="312"/>
        <v>0</v>
      </c>
      <c r="F475" s="1025">
        <f t="shared" si="312"/>
        <v>0</v>
      </c>
      <c r="G475" s="1025">
        <f t="shared" si="312"/>
        <v>0</v>
      </c>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row>
    <row r="476" ht="13.5" customHeight="1">
      <c r="A476" s="30"/>
      <c r="B476" s="371" t="s">
        <v>823</v>
      </c>
      <c r="C476" s="1024">
        <f t="shared" ref="C476:G476" si="313">IFERROR(C468/C475,0)</f>
        <v>0</v>
      </c>
      <c r="D476" s="1024">
        <f t="shared" si="313"/>
        <v>0</v>
      </c>
      <c r="E476" s="1024">
        <f t="shared" si="313"/>
        <v>0</v>
      </c>
      <c r="F476" s="1024">
        <f t="shared" si="313"/>
        <v>0</v>
      </c>
      <c r="G476" s="1024">
        <f t="shared" si="313"/>
        <v>0</v>
      </c>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row>
  </sheetData>
  <mergeCells count="14">
    <mergeCell ref="E61:M61"/>
    <mergeCell ref="E62:M62"/>
    <mergeCell ref="E63:M63"/>
    <mergeCell ref="E64:M64"/>
    <mergeCell ref="E65:M65"/>
    <mergeCell ref="E66:M66"/>
    <mergeCell ref="E67:M67"/>
    <mergeCell ref="E54:M54"/>
    <mergeCell ref="E55:M55"/>
    <mergeCell ref="E56:M56"/>
    <mergeCell ref="E57:M57"/>
    <mergeCell ref="E58:M58"/>
    <mergeCell ref="E59:M59"/>
    <mergeCell ref="E60:M60"/>
  </mergeCells>
  <conditionalFormatting sqref="D1">
    <cfRule type="expression" dxfId="2" priority="1" stopIfTrue="1">
      <formula>MOD(ROW(),2)=0</formula>
    </cfRule>
  </conditionalFormatting>
  <conditionalFormatting sqref="G17:M23">
    <cfRule type="cellIs" dxfId="3" priority="2" stopIfTrue="1" operator="equal">
      <formula>0</formula>
    </cfRule>
  </conditionalFormatting>
  <conditionalFormatting sqref="G25:M25">
    <cfRule type="cellIs" dxfId="3" priority="3" stopIfTrue="1" operator="equal">
      <formula>0</formula>
    </cfRule>
  </conditionalFormatting>
  <conditionalFormatting sqref="G27:M27">
    <cfRule type="cellIs" dxfId="3" priority="4" stopIfTrue="1" operator="equal">
      <formula>0</formula>
    </cfRule>
  </conditionalFormatting>
  <conditionalFormatting sqref="G30:M32 G34:M35">
    <cfRule type="cellIs" dxfId="3" priority="5" stopIfTrue="1" operator="equal">
      <formula>0</formula>
    </cfRule>
  </conditionalFormatting>
  <conditionalFormatting sqref="G37:M40">
    <cfRule type="cellIs" dxfId="3" priority="6" stopIfTrue="1" operator="equal">
      <formula>0</formula>
    </cfRule>
  </conditionalFormatting>
  <conditionalFormatting sqref="G42:M47">
    <cfRule type="cellIs" dxfId="3" priority="7" stopIfTrue="1" operator="equal">
      <formula>0</formula>
    </cfRule>
  </conditionalFormatting>
  <conditionalFormatting sqref="G86:M86">
    <cfRule type="cellIs" dxfId="3" priority="8" stopIfTrue="1" operator="equal">
      <formula>0</formula>
    </cfRule>
  </conditionalFormatting>
  <conditionalFormatting sqref="G94:M94">
    <cfRule type="cellIs" dxfId="3" priority="9" stopIfTrue="1" operator="equal">
      <formula>0</formula>
    </cfRule>
  </conditionalFormatting>
  <conditionalFormatting sqref="G106:M106">
    <cfRule type="cellIs" dxfId="3" priority="10" stopIfTrue="1" operator="equal">
      <formula>0</formula>
    </cfRule>
  </conditionalFormatting>
  <conditionalFormatting sqref="G120:M120">
    <cfRule type="cellIs" dxfId="3" priority="11" stopIfTrue="1" operator="equal">
      <formula>0</formula>
    </cfRule>
  </conditionalFormatting>
  <conditionalFormatting sqref="G134:M134">
    <cfRule type="cellIs" dxfId="3" priority="12" stopIfTrue="1" operator="equal">
      <formula>0</formula>
    </cfRule>
  </conditionalFormatting>
  <conditionalFormatting sqref="G136:M137">
    <cfRule type="cellIs" dxfId="3" priority="13" stopIfTrue="1" operator="equal">
      <formula>0</formula>
    </cfRule>
  </conditionalFormatting>
  <hyperlinks>
    <hyperlink r:id="rId2" ref="D2"/>
  </hyperlinks>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48" man="1"/>
  </rowBreaks>
  <drawing r:id="rId3"/>
  <legacyDrawing r:id="rId4"/>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4.71"/>
    <col customWidth="1" min="2" max="2" width="30.29"/>
    <col customWidth="1" min="3" max="3" width="16.71"/>
    <col customWidth="1" min="4" max="4" width="15.29"/>
    <col customWidth="1" min="5" max="5" width="13.71"/>
    <col customWidth="1" min="6" max="6" width="3.71"/>
    <col customWidth="1" min="7" max="7" width="35.71"/>
    <col customWidth="1" min="8" max="8" width="3.43"/>
    <col customWidth="1" min="9" max="26" width="8.71"/>
  </cols>
  <sheetData>
    <row r="1" ht="12.75" customHeight="1">
      <c r="A1" s="1026" t="s">
        <v>824</v>
      </c>
      <c r="B1" s="2"/>
      <c r="C1" s="2"/>
      <c r="D1" s="2"/>
      <c r="E1" s="219" t="s">
        <v>3</v>
      </c>
      <c r="F1" s="357"/>
      <c r="G1" s="357"/>
      <c r="H1" s="357"/>
      <c r="I1" s="357"/>
      <c r="J1" s="357"/>
      <c r="K1" s="357"/>
      <c r="L1" s="357"/>
      <c r="M1" s="357"/>
      <c r="N1" s="357"/>
      <c r="O1" s="357"/>
      <c r="P1" s="357"/>
      <c r="Q1" s="357"/>
      <c r="R1" s="357"/>
      <c r="S1" s="357"/>
      <c r="T1" s="357"/>
      <c r="U1" s="357"/>
      <c r="V1" s="357"/>
      <c r="W1" s="357"/>
      <c r="X1" s="357"/>
      <c r="Y1" s="357"/>
      <c r="Z1" s="357"/>
    </row>
    <row r="2" ht="12.75" customHeight="1">
      <c r="A2" s="3" t="str">
        <f>SchoolName</f>
        <v>Explore Knowledge Academy</v>
      </c>
      <c r="B2" s="1027"/>
      <c r="C2" s="1027"/>
      <c r="D2" s="1027"/>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5"/>
      <c r="I4" s="5"/>
      <c r="J4" s="5"/>
      <c r="K4" s="5"/>
      <c r="L4" s="5"/>
      <c r="M4" s="5"/>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5"/>
      <c r="I5" s="5"/>
      <c r="J5" s="5"/>
      <c r="K5" s="5"/>
      <c r="L5" s="5"/>
      <c r="M5" s="5"/>
      <c r="N5" s="357"/>
      <c r="O5" s="357"/>
      <c r="P5" s="357"/>
      <c r="Q5" s="357"/>
      <c r="R5" s="357"/>
      <c r="S5" s="357"/>
      <c r="T5" s="357"/>
      <c r="U5" s="357"/>
      <c r="V5" s="357"/>
      <c r="W5" s="357"/>
      <c r="X5" s="357"/>
      <c r="Y5" s="357"/>
      <c r="Z5" s="357"/>
    </row>
    <row r="6" ht="12.75" customHeight="1">
      <c r="A6" s="5"/>
      <c r="B6" s="5"/>
      <c r="C6" s="5"/>
      <c r="D6" s="5"/>
      <c r="E6" s="1028" t="s">
        <v>826</v>
      </c>
      <c r="F6" s="5"/>
      <c r="G6" s="5"/>
      <c r="H6" s="5"/>
      <c r="I6" s="5"/>
      <c r="J6" s="5"/>
      <c r="K6" s="5"/>
      <c r="L6" s="5"/>
      <c r="M6" s="5"/>
      <c r="N6" s="357"/>
      <c r="O6" s="357"/>
      <c r="P6" s="357"/>
      <c r="Q6" s="357"/>
      <c r="R6" s="357"/>
      <c r="S6" s="357"/>
      <c r="T6" s="357"/>
      <c r="U6" s="357"/>
      <c r="V6" s="357"/>
      <c r="W6" s="357"/>
      <c r="X6" s="357"/>
      <c r="Y6" s="357"/>
      <c r="Z6" s="357"/>
    </row>
    <row r="7" ht="12.75" customHeight="1">
      <c r="A7" s="5"/>
      <c r="B7" s="5"/>
      <c r="C7" s="5"/>
      <c r="D7" s="5"/>
      <c r="E7" s="1029">
        <f>+Cover!E11-1</f>
        <v>2024</v>
      </c>
      <c r="F7" s="5"/>
      <c r="G7" s="1030" t="s">
        <v>827</v>
      </c>
      <c r="H7" s="1030"/>
      <c r="I7" s="1030"/>
      <c r="J7" s="1030"/>
      <c r="K7" s="5"/>
      <c r="L7" s="5"/>
      <c r="M7" s="5"/>
      <c r="N7" s="357"/>
      <c r="O7" s="357"/>
      <c r="P7" s="357"/>
      <c r="Q7" s="357"/>
      <c r="R7" s="357"/>
      <c r="S7" s="357"/>
      <c r="T7" s="357"/>
      <c r="U7" s="357"/>
      <c r="V7" s="357"/>
      <c r="W7" s="357"/>
      <c r="X7" s="357"/>
      <c r="Y7" s="357"/>
      <c r="Z7" s="357"/>
    </row>
    <row r="8" ht="12.75" customHeight="1">
      <c r="A8" s="5"/>
      <c r="B8" s="5"/>
      <c r="C8" s="5"/>
      <c r="D8" s="5"/>
      <c r="E8" s="1031">
        <f>+E7+1</f>
        <v>2025</v>
      </c>
      <c r="F8" s="5"/>
      <c r="G8" s="1030"/>
      <c r="H8" s="1030"/>
      <c r="I8" s="1030"/>
      <c r="J8" s="1030"/>
      <c r="K8" s="5"/>
      <c r="L8" s="5"/>
      <c r="M8" s="5"/>
      <c r="N8" s="357"/>
      <c r="O8" s="357"/>
      <c r="P8" s="357"/>
      <c r="Q8" s="357"/>
      <c r="R8" s="357"/>
      <c r="S8" s="357"/>
      <c r="T8" s="357"/>
      <c r="U8" s="357"/>
      <c r="V8" s="357"/>
      <c r="W8" s="357"/>
      <c r="X8" s="357"/>
      <c r="Y8" s="357"/>
      <c r="Z8" s="357"/>
    </row>
    <row r="9" ht="12.75" customHeight="1">
      <c r="A9" s="5"/>
      <c r="B9" s="1032"/>
      <c r="C9" s="5"/>
      <c r="D9" s="5"/>
      <c r="E9" s="5"/>
      <c r="F9" s="5"/>
      <c r="G9" s="5"/>
      <c r="H9" s="5"/>
      <c r="I9" s="5"/>
      <c r="J9" s="5"/>
      <c r="K9" s="5"/>
      <c r="L9" s="5"/>
      <c r="M9" s="5"/>
      <c r="N9" s="357"/>
      <c r="O9" s="357"/>
      <c r="P9" s="357"/>
      <c r="Q9" s="357"/>
      <c r="R9" s="357"/>
      <c r="S9" s="357"/>
      <c r="T9" s="357"/>
      <c r="U9" s="357"/>
      <c r="V9" s="357"/>
      <c r="W9" s="357"/>
      <c r="X9" s="357"/>
      <c r="Y9" s="357"/>
      <c r="Z9" s="357"/>
    </row>
    <row r="10" ht="12.75" customHeight="1">
      <c r="A10" s="5"/>
      <c r="B10" s="1033" t="s">
        <v>828</v>
      </c>
      <c r="C10" s="724"/>
      <c r="D10" s="724"/>
      <c r="E10" s="1034"/>
      <c r="F10" s="5"/>
      <c r="G10" s="36" t="s">
        <v>85</v>
      </c>
      <c r="H10" s="5"/>
      <c r="I10" s="5"/>
      <c r="J10" s="5"/>
      <c r="K10" s="5"/>
      <c r="L10" s="5"/>
      <c r="M10" s="5"/>
      <c r="N10" s="357"/>
      <c r="O10" s="357"/>
      <c r="P10" s="357"/>
      <c r="Q10" s="357"/>
      <c r="R10" s="357"/>
      <c r="S10" s="357"/>
      <c r="T10" s="357"/>
      <c r="U10" s="357"/>
      <c r="V10" s="357"/>
      <c r="W10" s="357"/>
      <c r="X10" s="357"/>
      <c r="Y10" s="357"/>
      <c r="Z10" s="357"/>
    </row>
    <row r="11" ht="12.75" customHeight="1">
      <c r="A11" s="1035">
        <f t="shared" ref="A11:A40" si="1">ROW()</f>
        <v>11</v>
      </c>
      <c r="B11" s="1036"/>
      <c r="C11" s="1036"/>
      <c r="D11" s="1036"/>
      <c r="E11" s="1037"/>
      <c r="F11" s="1038"/>
      <c r="G11" s="116"/>
      <c r="H11" s="5"/>
      <c r="I11" s="5"/>
      <c r="J11" s="5"/>
      <c r="K11" s="5"/>
      <c r="L11" s="5"/>
      <c r="M11" s="5"/>
      <c r="N11" s="357"/>
      <c r="O11" s="357"/>
      <c r="P11" s="357"/>
      <c r="Q11" s="357"/>
      <c r="R11" s="357"/>
      <c r="S11" s="357"/>
      <c r="T11" s="357"/>
      <c r="U11" s="357"/>
      <c r="V11" s="357"/>
      <c r="W11" s="357"/>
      <c r="X11" s="357"/>
      <c r="Y11" s="357"/>
      <c r="Z11" s="357"/>
    </row>
    <row r="12" ht="12.75" customHeight="1">
      <c r="A12" s="1035">
        <f t="shared" si="1"/>
        <v>12</v>
      </c>
      <c r="B12" s="1039"/>
      <c r="C12" s="1039"/>
      <c r="D12" s="1039"/>
      <c r="E12" s="1040">
        <v>0.0</v>
      </c>
      <c r="F12" s="1038"/>
      <c r="G12" s="119"/>
      <c r="H12" s="5"/>
      <c r="I12" s="5"/>
      <c r="J12" s="5"/>
      <c r="K12" s="5"/>
      <c r="L12" s="5"/>
      <c r="M12" s="5"/>
      <c r="N12" s="357"/>
      <c r="O12" s="357"/>
      <c r="P12" s="357"/>
      <c r="Q12" s="357"/>
      <c r="R12" s="357"/>
      <c r="S12" s="357"/>
      <c r="T12" s="357"/>
      <c r="U12" s="357"/>
      <c r="V12" s="357"/>
      <c r="W12" s="357"/>
      <c r="X12" s="357"/>
      <c r="Y12" s="357"/>
      <c r="Z12" s="357"/>
    </row>
    <row r="13" ht="12.75" customHeight="1">
      <c r="A13" s="1035">
        <f t="shared" si="1"/>
        <v>13</v>
      </c>
      <c r="B13" s="1039"/>
      <c r="C13" s="1039"/>
      <c r="D13" s="1039"/>
      <c r="E13" s="1041">
        <v>0.0</v>
      </c>
      <c r="F13" s="1038"/>
      <c r="G13" s="119"/>
      <c r="H13" s="5"/>
      <c r="I13" s="5"/>
      <c r="J13" s="5"/>
      <c r="K13" s="5"/>
      <c r="L13" s="5"/>
      <c r="M13" s="5"/>
      <c r="N13" s="357"/>
      <c r="O13" s="357"/>
      <c r="P13" s="357"/>
      <c r="Q13" s="357"/>
      <c r="R13" s="357"/>
      <c r="S13" s="357"/>
      <c r="T13" s="357"/>
      <c r="U13" s="357"/>
      <c r="V13" s="357"/>
      <c r="W13" s="357"/>
      <c r="X13" s="357"/>
      <c r="Y13" s="357"/>
      <c r="Z13" s="357"/>
    </row>
    <row r="14" ht="12.75" customHeight="1">
      <c r="A14" s="1035">
        <f t="shared" si="1"/>
        <v>14</v>
      </c>
      <c r="B14" s="1039"/>
      <c r="C14" s="1039"/>
      <c r="D14" s="1039"/>
      <c r="E14" s="1041"/>
      <c r="F14" s="1038"/>
      <c r="G14" s="119"/>
      <c r="H14" s="5"/>
      <c r="I14" s="5"/>
      <c r="J14" s="5"/>
      <c r="K14" s="5"/>
      <c r="L14" s="5"/>
      <c r="M14" s="5"/>
      <c r="N14" s="357"/>
      <c r="O14" s="357"/>
      <c r="P14" s="357"/>
      <c r="Q14" s="357"/>
      <c r="R14" s="357"/>
      <c r="S14" s="357"/>
      <c r="T14" s="357"/>
      <c r="U14" s="357"/>
      <c r="V14" s="357"/>
      <c r="W14" s="357"/>
      <c r="X14" s="357"/>
      <c r="Y14" s="357"/>
      <c r="Z14" s="357"/>
    </row>
    <row r="15" ht="12.75" customHeight="1">
      <c r="A15" s="1035">
        <f t="shared" si="1"/>
        <v>15</v>
      </c>
      <c r="B15" s="1039" t="s">
        <v>829</v>
      </c>
      <c r="C15" s="1039"/>
      <c r="D15" s="1039"/>
      <c r="E15" s="1041">
        <v>0.0</v>
      </c>
      <c r="F15" s="1038"/>
      <c r="G15" s="119"/>
      <c r="H15" s="5"/>
      <c r="I15" s="5"/>
      <c r="J15" s="5"/>
      <c r="K15" s="5"/>
      <c r="L15" s="5"/>
      <c r="M15" s="5"/>
      <c r="N15" s="357"/>
      <c r="O15" s="357"/>
      <c r="P15" s="357"/>
      <c r="Q15" s="357"/>
      <c r="R15" s="357"/>
      <c r="S15" s="357"/>
      <c r="T15" s="357"/>
      <c r="U15" s="357"/>
      <c r="V15" s="357"/>
      <c r="W15" s="357"/>
      <c r="X15" s="357"/>
      <c r="Y15" s="357"/>
      <c r="Z15" s="357"/>
    </row>
    <row r="16" ht="12.75" customHeight="1">
      <c r="A16" s="1035">
        <f t="shared" si="1"/>
        <v>16</v>
      </c>
      <c r="B16" s="1039" t="s">
        <v>830</v>
      </c>
      <c r="C16" s="1039"/>
      <c r="D16" s="1039"/>
      <c r="E16" s="1041">
        <v>0.0</v>
      </c>
      <c r="F16" s="1038"/>
      <c r="G16" s="119"/>
      <c r="H16" s="5"/>
      <c r="I16" s="5"/>
      <c r="J16" s="5"/>
      <c r="K16" s="5"/>
      <c r="L16" s="5"/>
      <c r="M16" s="5"/>
      <c r="N16" s="357"/>
      <c r="O16" s="357"/>
      <c r="P16" s="357"/>
      <c r="Q16" s="357"/>
      <c r="R16" s="357"/>
      <c r="S16" s="357"/>
      <c r="T16" s="357"/>
      <c r="U16" s="357"/>
      <c r="V16" s="357"/>
      <c r="W16" s="357"/>
      <c r="X16" s="357"/>
      <c r="Y16" s="357"/>
      <c r="Z16" s="357"/>
    </row>
    <row r="17" ht="12.75" customHeight="1">
      <c r="A17" s="1035">
        <f t="shared" si="1"/>
        <v>17</v>
      </c>
      <c r="B17" s="1039" t="s">
        <v>831</v>
      </c>
      <c r="C17" s="1039"/>
      <c r="D17" s="1039"/>
      <c r="E17" s="1041">
        <v>0.0</v>
      </c>
      <c r="F17" s="1038"/>
      <c r="G17" s="119"/>
      <c r="H17" s="5"/>
      <c r="I17" s="5"/>
      <c r="J17" s="5"/>
      <c r="K17" s="5"/>
      <c r="L17" s="5"/>
      <c r="M17" s="5"/>
      <c r="N17" s="357"/>
      <c r="O17" s="357"/>
      <c r="P17" s="357"/>
      <c r="Q17" s="357"/>
      <c r="R17" s="357"/>
      <c r="S17" s="357"/>
      <c r="T17" s="357"/>
      <c r="U17" s="357"/>
      <c r="V17" s="357"/>
      <c r="W17" s="357"/>
      <c r="X17" s="357"/>
      <c r="Y17" s="357"/>
      <c r="Z17" s="357"/>
    </row>
    <row r="18" ht="12.75" customHeight="1">
      <c r="A18" s="1035">
        <f t="shared" si="1"/>
        <v>18</v>
      </c>
      <c r="B18" s="1039" t="s">
        <v>832</v>
      </c>
      <c r="C18" s="1039"/>
      <c r="D18" s="1039"/>
      <c r="E18" s="1041">
        <v>0.0</v>
      </c>
      <c r="F18" s="1038"/>
      <c r="G18" s="119"/>
      <c r="H18" s="5"/>
      <c r="I18" s="5"/>
      <c r="J18" s="5"/>
      <c r="K18" s="5"/>
      <c r="L18" s="5"/>
      <c r="M18" s="5"/>
      <c r="N18" s="357"/>
      <c r="O18" s="357"/>
      <c r="P18" s="357"/>
      <c r="Q18" s="357"/>
      <c r="R18" s="357"/>
      <c r="S18" s="357"/>
      <c r="T18" s="357"/>
      <c r="U18" s="357"/>
      <c r="V18" s="357"/>
      <c r="W18" s="357"/>
      <c r="X18" s="357"/>
      <c r="Y18" s="357"/>
      <c r="Z18" s="357"/>
    </row>
    <row r="19" ht="12.75" customHeight="1">
      <c r="A19" s="1035">
        <f t="shared" si="1"/>
        <v>19</v>
      </c>
      <c r="B19" s="1042" t="s">
        <v>833</v>
      </c>
      <c r="C19" s="1039"/>
      <c r="D19" s="1039"/>
      <c r="E19" s="1041">
        <v>0.0</v>
      </c>
      <c r="F19" s="1038"/>
      <c r="G19" s="119"/>
      <c r="H19" s="5"/>
      <c r="I19" s="5"/>
      <c r="J19" s="5"/>
      <c r="K19" s="5"/>
      <c r="L19" s="5"/>
      <c r="M19" s="5"/>
      <c r="N19" s="357"/>
      <c r="O19" s="357"/>
      <c r="P19" s="357"/>
      <c r="Q19" s="357"/>
      <c r="R19" s="357"/>
      <c r="S19" s="357"/>
      <c r="T19" s="357"/>
      <c r="U19" s="357"/>
      <c r="V19" s="357"/>
      <c r="W19" s="357"/>
      <c r="X19" s="357"/>
      <c r="Y19" s="357"/>
      <c r="Z19" s="357"/>
    </row>
    <row r="20" ht="12.75" customHeight="1">
      <c r="A20" s="1035">
        <f t="shared" si="1"/>
        <v>20</v>
      </c>
      <c r="B20" s="1039" t="s">
        <v>834</v>
      </c>
      <c r="C20" s="1039"/>
      <c r="D20" s="1039"/>
      <c r="E20" s="1041">
        <v>0.0</v>
      </c>
      <c r="F20" s="1038"/>
      <c r="G20" s="119"/>
      <c r="H20" s="5"/>
      <c r="I20" s="1030"/>
      <c r="J20" s="5"/>
      <c r="K20" s="5"/>
      <c r="L20" s="5"/>
      <c r="M20" s="5"/>
      <c r="N20" s="357"/>
      <c r="O20" s="357"/>
      <c r="P20" s="357"/>
      <c r="Q20" s="357"/>
      <c r="R20" s="357"/>
      <c r="S20" s="357"/>
      <c r="T20" s="357"/>
      <c r="U20" s="357"/>
      <c r="V20" s="357"/>
      <c r="W20" s="357"/>
      <c r="X20" s="357"/>
      <c r="Y20" s="357"/>
      <c r="Z20" s="357"/>
    </row>
    <row r="21" ht="12.75" customHeight="1">
      <c r="A21" s="1035">
        <f t="shared" si="1"/>
        <v>21</v>
      </c>
      <c r="B21" s="1039" t="s">
        <v>835</v>
      </c>
      <c r="C21" s="1039"/>
      <c r="D21" s="1039"/>
      <c r="E21" s="1041">
        <v>0.0</v>
      </c>
      <c r="F21" s="1038"/>
      <c r="G21" s="119"/>
      <c r="H21" s="5"/>
      <c r="I21" s="1030"/>
      <c r="J21" s="5"/>
      <c r="K21" s="5"/>
      <c r="L21" s="5"/>
      <c r="M21" s="5"/>
      <c r="N21" s="357"/>
      <c r="O21" s="357"/>
      <c r="P21" s="357"/>
      <c r="Q21" s="357"/>
      <c r="R21" s="357"/>
      <c r="S21" s="357"/>
      <c r="T21" s="357"/>
      <c r="U21" s="357"/>
      <c r="V21" s="357"/>
      <c r="W21" s="357"/>
      <c r="X21" s="357"/>
      <c r="Y21" s="357"/>
      <c r="Z21" s="357"/>
    </row>
    <row r="22" ht="12.75" customHeight="1">
      <c r="A22" s="1035">
        <f t="shared" si="1"/>
        <v>22</v>
      </c>
      <c r="B22" s="1039" t="s">
        <v>836</v>
      </c>
      <c r="C22" s="1039"/>
      <c r="D22" s="1039"/>
      <c r="E22" s="1041"/>
      <c r="F22" s="1038"/>
      <c r="G22" s="119"/>
      <c r="H22" s="5"/>
      <c r="I22" s="1030"/>
      <c r="J22" s="5"/>
      <c r="K22" s="5"/>
      <c r="L22" s="5"/>
      <c r="M22" s="5"/>
      <c r="N22" s="357"/>
      <c r="O22" s="357"/>
      <c r="P22" s="357"/>
      <c r="Q22" s="357"/>
      <c r="R22" s="357"/>
      <c r="S22" s="357"/>
      <c r="T22" s="357"/>
      <c r="U22" s="357"/>
      <c r="V22" s="357"/>
      <c r="W22" s="357"/>
      <c r="X22" s="357"/>
      <c r="Y22" s="357"/>
      <c r="Z22" s="357"/>
    </row>
    <row r="23" ht="12.75" customHeight="1">
      <c r="A23" s="1035">
        <f t="shared" si="1"/>
        <v>23</v>
      </c>
      <c r="B23" s="1039" t="s">
        <v>837</v>
      </c>
      <c r="C23" s="1039"/>
      <c r="D23" s="1039"/>
      <c r="E23" s="1041"/>
      <c r="F23" s="1038"/>
      <c r="G23" s="119"/>
      <c r="H23" s="5"/>
      <c r="I23" s="1030"/>
      <c r="J23" s="5"/>
      <c r="K23" s="5"/>
      <c r="L23" s="5"/>
      <c r="M23" s="5"/>
      <c r="N23" s="357"/>
      <c r="O23" s="357"/>
      <c r="P23" s="357"/>
      <c r="Q23" s="357"/>
      <c r="R23" s="357"/>
      <c r="S23" s="357"/>
      <c r="T23" s="357"/>
      <c r="U23" s="357"/>
      <c r="V23" s="357"/>
      <c r="W23" s="357"/>
      <c r="X23" s="357"/>
      <c r="Y23" s="357"/>
      <c r="Z23" s="357"/>
    </row>
    <row r="24" ht="12.75" customHeight="1">
      <c r="A24" s="1035">
        <f t="shared" si="1"/>
        <v>24</v>
      </c>
      <c r="B24" s="1039" t="s">
        <v>838</v>
      </c>
      <c r="C24" s="1039"/>
      <c r="D24" s="1039"/>
      <c r="E24" s="1041"/>
      <c r="F24" s="1038"/>
      <c r="G24" s="119"/>
      <c r="H24" s="5"/>
      <c r="I24" s="1030"/>
      <c r="J24" s="5"/>
      <c r="K24" s="5"/>
      <c r="L24" s="5"/>
      <c r="M24" s="5"/>
      <c r="N24" s="357"/>
      <c r="O24" s="357"/>
      <c r="P24" s="357"/>
      <c r="Q24" s="357"/>
      <c r="R24" s="357"/>
      <c r="S24" s="357"/>
      <c r="T24" s="357"/>
      <c r="U24" s="357"/>
      <c r="V24" s="357"/>
      <c r="W24" s="357"/>
      <c r="X24" s="357"/>
      <c r="Y24" s="357"/>
      <c r="Z24" s="357"/>
    </row>
    <row r="25" ht="12.75" customHeight="1">
      <c r="A25" s="1035">
        <f t="shared" si="1"/>
        <v>25</v>
      </c>
      <c r="B25" s="1039" t="s">
        <v>839</v>
      </c>
      <c r="C25" s="1039"/>
      <c r="D25" s="1039"/>
      <c r="E25" s="1041">
        <v>5000.0</v>
      </c>
      <c r="F25" s="1038"/>
      <c r="G25" s="119"/>
      <c r="H25" s="5"/>
      <c r="I25" s="1030"/>
      <c r="J25" s="5"/>
      <c r="K25" s="5"/>
      <c r="L25" s="5"/>
      <c r="M25" s="5"/>
      <c r="N25" s="357"/>
      <c r="O25" s="357"/>
      <c r="P25" s="357"/>
      <c r="Q25" s="357"/>
      <c r="R25" s="357"/>
      <c r="S25" s="357"/>
      <c r="T25" s="357"/>
      <c r="U25" s="357"/>
      <c r="V25" s="357"/>
      <c r="W25" s="357"/>
      <c r="X25" s="357"/>
      <c r="Y25" s="357"/>
      <c r="Z25" s="357"/>
    </row>
    <row r="26" ht="12.75" customHeight="1">
      <c r="A26" s="1035">
        <f t="shared" si="1"/>
        <v>26</v>
      </c>
      <c r="B26" s="1039" t="s">
        <v>399</v>
      </c>
      <c r="C26" s="1039"/>
      <c r="D26" s="1039"/>
      <c r="E26" s="1041"/>
      <c r="F26" s="1038"/>
      <c r="G26" s="119"/>
      <c r="H26" s="5"/>
      <c r="I26" s="5"/>
      <c r="J26" s="5"/>
      <c r="K26" s="5"/>
      <c r="L26" s="5"/>
      <c r="M26" s="5"/>
      <c r="N26" s="357"/>
      <c r="O26" s="357"/>
      <c r="P26" s="357"/>
      <c r="Q26" s="357"/>
      <c r="R26" s="357"/>
      <c r="S26" s="357"/>
      <c r="T26" s="357"/>
      <c r="U26" s="357"/>
      <c r="V26" s="357"/>
      <c r="W26" s="357"/>
      <c r="X26" s="357"/>
      <c r="Y26" s="357"/>
      <c r="Z26" s="357"/>
    </row>
    <row r="27" ht="12.75" customHeight="1">
      <c r="A27" s="1035">
        <f t="shared" si="1"/>
        <v>27</v>
      </c>
      <c r="B27" s="1039" t="s">
        <v>840</v>
      </c>
      <c r="C27" s="1039"/>
      <c r="D27" s="1039"/>
      <c r="E27" s="1041">
        <v>0.0</v>
      </c>
      <c r="F27" s="1038"/>
      <c r="G27" s="119"/>
      <c r="H27" s="5"/>
      <c r="I27" s="5"/>
      <c r="J27" s="5"/>
      <c r="K27" s="5"/>
      <c r="L27" s="5"/>
      <c r="M27" s="5"/>
      <c r="N27" s="357"/>
      <c r="O27" s="357"/>
      <c r="P27" s="357"/>
      <c r="Q27" s="357"/>
      <c r="R27" s="357"/>
      <c r="S27" s="357"/>
      <c r="T27" s="357"/>
      <c r="U27" s="357"/>
      <c r="V27" s="357"/>
      <c r="W27" s="357"/>
      <c r="X27" s="357"/>
      <c r="Y27" s="357"/>
      <c r="Z27" s="357"/>
    </row>
    <row r="28" ht="12.75" customHeight="1">
      <c r="A28" s="1035">
        <f t="shared" si="1"/>
        <v>28</v>
      </c>
      <c r="B28" s="1039" t="s">
        <v>841</v>
      </c>
      <c r="C28" s="1039"/>
      <c r="D28" s="1039"/>
      <c r="E28" s="1041">
        <v>0.0</v>
      </c>
      <c r="F28" s="1038"/>
      <c r="G28" s="119"/>
      <c r="H28" s="5"/>
      <c r="I28" s="5"/>
      <c r="J28" s="5"/>
      <c r="K28" s="5"/>
      <c r="L28" s="5"/>
      <c r="M28" s="5"/>
      <c r="N28" s="357"/>
      <c r="O28" s="357"/>
      <c r="P28" s="357"/>
      <c r="Q28" s="357"/>
      <c r="R28" s="357"/>
      <c r="S28" s="357"/>
      <c r="T28" s="357"/>
      <c r="U28" s="357"/>
      <c r="V28" s="357"/>
      <c r="W28" s="357"/>
      <c r="X28" s="357"/>
      <c r="Y28" s="357"/>
      <c r="Z28" s="357"/>
    </row>
    <row r="29" ht="12.75" customHeight="1">
      <c r="A29" s="1035">
        <f t="shared" si="1"/>
        <v>29</v>
      </c>
      <c r="B29" s="1039" t="s">
        <v>842</v>
      </c>
      <c r="C29" s="1039"/>
      <c r="D29" s="1039"/>
      <c r="E29" s="1041">
        <v>0.0</v>
      </c>
      <c r="F29" s="1038"/>
      <c r="G29" s="119"/>
      <c r="H29" s="5"/>
      <c r="I29" s="5"/>
      <c r="J29" s="5"/>
      <c r="K29" s="5"/>
      <c r="L29" s="5"/>
      <c r="M29" s="5"/>
      <c r="N29" s="357"/>
      <c r="O29" s="357"/>
      <c r="P29" s="357"/>
      <c r="Q29" s="357"/>
      <c r="R29" s="357"/>
      <c r="S29" s="357"/>
      <c r="T29" s="357"/>
      <c r="U29" s="357"/>
      <c r="V29" s="357"/>
      <c r="W29" s="357"/>
      <c r="X29" s="357"/>
      <c r="Y29" s="357"/>
      <c r="Z29" s="357"/>
    </row>
    <row r="30" ht="12.75" customHeight="1">
      <c r="A30" s="1035">
        <f t="shared" si="1"/>
        <v>30</v>
      </c>
      <c r="B30" s="1039" t="s">
        <v>843</v>
      </c>
      <c r="C30" s="1039"/>
      <c r="D30" s="1039"/>
      <c r="E30" s="1041">
        <v>0.0</v>
      </c>
      <c r="F30" s="1038"/>
      <c r="G30" s="119"/>
      <c r="H30" s="5"/>
      <c r="I30" s="5"/>
      <c r="J30" s="5"/>
      <c r="K30" s="5"/>
      <c r="L30" s="5"/>
      <c r="M30" s="5"/>
      <c r="N30" s="357"/>
      <c r="O30" s="357"/>
      <c r="P30" s="357"/>
      <c r="Q30" s="357"/>
      <c r="R30" s="357"/>
      <c r="S30" s="357"/>
      <c r="T30" s="357"/>
      <c r="U30" s="357"/>
      <c r="V30" s="357"/>
      <c r="W30" s="357"/>
      <c r="X30" s="357"/>
      <c r="Y30" s="357"/>
      <c r="Z30" s="357"/>
    </row>
    <row r="31" ht="12.75" customHeight="1">
      <c r="A31" s="1035">
        <f t="shared" si="1"/>
        <v>31</v>
      </c>
      <c r="B31" s="1039" t="s">
        <v>844</v>
      </c>
      <c r="C31" s="1039"/>
      <c r="D31" s="1039"/>
      <c r="E31" s="1041">
        <v>0.0</v>
      </c>
      <c r="F31" s="1038"/>
      <c r="G31" s="119"/>
      <c r="H31" s="5"/>
      <c r="I31" s="5"/>
      <c r="J31" s="5"/>
      <c r="K31" s="5"/>
      <c r="L31" s="5"/>
      <c r="M31" s="5"/>
      <c r="N31" s="357"/>
      <c r="O31" s="357"/>
      <c r="P31" s="357"/>
      <c r="Q31" s="357"/>
      <c r="R31" s="357"/>
      <c r="S31" s="357"/>
      <c r="T31" s="357"/>
      <c r="U31" s="357"/>
      <c r="V31" s="357"/>
      <c r="W31" s="357"/>
      <c r="X31" s="357"/>
      <c r="Y31" s="357"/>
      <c r="Z31" s="357"/>
    </row>
    <row r="32" ht="12.75" customHeight="1">
      <c r="A32" s="1035">
        <f t="shared" si="1"/>
        <v>32</v>
      </c>
      <c r="B32" s="1039" t="s">
        <v>845</v>
      </c>
      <c r="C32" s="1039"/>
      <c r="D32" s="1039"/>
      <c r="E32" s="1041"/>
      <c r="F32" s="1038"/>
      <c r="G32" s="119"/>
      <c r="H32" s="5"/>
      <c r="I32" s="5"/>
      <c r="J32" s="5"/>
      <c r="K32" s="5"/>
      <c r="L32" s="5"/>
      <c r="M32" s="5"/>
      <c r="N32" s="357"/>
      <c r="O32" s="357"/>
      <c r="P32" s="357"/>
      <c r="Q32" s="357"/>
      <c r="R32" s="357"/>
      <c r="S32" s="357"/>
      <c r="T32" s="357"/>
      <c r="U32" s="357"/>
      <c r="V32" s="357"/>
      <c r="W32" s="357"/>
      <c r="X32" s="357"/>
      <c r="Y32" s="357"/>
      <c r="Z32" s="357"/>
    </row>
    <row r="33" ht="12.75" customHeight="1">
      <c r="A33" s="1035">
        <f t="shared" si="1"/>
        <v>33</v>
      </c>
      <c r="B33" s="1043" t="s">
        <v>846</v>
      </c>
      <c r="C33" s="1043"/>
      <c r="D33" s="1043"/>
      <c r="E33" s="1041">
        <v>98000.0</v>
      </c>
      <c r="F33" s="1038"/>
      <c r="G33" s="119"/>
      <c r="H33" s="5"/>
      <c r="I33" s="5"/>
      <c r="J33" s="5"/>
      <c r="K33" s="5"/>
      <c r="L33" s="5"/>
      <c r="M33" s="5"/>
      <c r="N33" s="357"/>
      <c r="O33" s="357"/>
      <c r="P33" s="357"/>
      <c r="Q33" s="357"/>
      <c r="R33" s="357"/>
      <c r="S33" s="357"/>
      <c r="T33" s="357"/>
      <c r="U33" s="357"/>
      <c r="V33" s="357"/>
      <c r="W33" s="357"/>
      <c r="X33" s="357"/>
      <c r="Y33" s="357"/>
      <c r="Z33" s="357"/>
    </row>
    <row r="34" ht="12.75" customHeight="1">
      <c r="A34" s="1035">
        <f t="shared" si="1"/>
        <v>34</v>
      </c>
      <c r="B34" s="1043"/>
      <c r="C34" s="1043"/>
      <c r="D34" s="1043"/>
      <c r="E34" s="1041"/>
      <c r="F34" s="1038"/>
      <c r="G34" s="119"/>
      <c r="H34" s="5"/>
      <c r="I34" s="5"/>
      <c r="J34" s="5"/>
      <c r="K34" s="5"/>
      <c r="L34" s="5"/>
      <c r="M34" s="5"/>
      <c r="N34" s="357"/>
      <c r="O34" s="357"/>
      <c r="P34" s="357"/>
      <c r="Q34" s="357"/>
      <c r="R34" s="357"/>
      <c r="S34" s="357"/>
      <c r="T34" s="357"/>
      <c r="U34" s="357"/>
      <c r="V34" s="357"/>
      <c r="W34" s="357"/>
      <c r="X34" s="357"/>
      <c r="Y34" s="357"/>
      <c r="Z34" s="357"/>
    </row>
    <row r="35" ht="12.75" customHeight="1">
      <c r="A35" s="1035">
        <f t="shared" si="1"/>
        <v>35</v>
      </c>
      <c r="B35" s="1043"/>
      <c r="C35" s="1043"/>
      <c r="D35" s="1043"/>
      <c r="E35" s="1041"/>
      <c r="F35" s="1038"/>
      <c r="G35" s="119"/>
      <c r="H35" s="5"/>
      <c r="I35" s="5"/>
      <c r="J35" s="5"/>
      <c r="K35" s="5"/>
      <c r="L35" s="5"/>
      <c r="M35" s="5"/>
      <c r="N35" s="357"/>
      <c r="O35" s="357"/>
      <c r="P35" s="357"/>
      <c r="Q35" s="357"/>
      <c r="R35" s="357"/>
      <c r="S35" s="357"/>
      <c r="T35" s="357"/>
      <c r="U35" s="357"/>
      <c r="V35" s="357"/>
      <c r="W35" s="357"/>
      <c r="X35" s="357"/>
      <c r="Y35" s="357"/>
      <c r="Z35" s="357"/>
    </row>
    <row r="36" ht="12.75" customHeight="1">
      <c r="A36" s="1035">
        <f t="shared" si="1"/>
        <v>36</v>
      </c>
      <c r="B36" s="1043"/>
      <c r="C36" s="1043"/>
      <c r="D36" s="1043"/>
      <c r="E36" s="1041"/>
      <c r="F36" s="1038"/>
      <c r="G36" s="119"/>
      <c r="H36" s="5"/>
      <c r="I36" s="5"/>
      <c r="J36" s="5"/>
      <c r="K36" s="5"/>
      <c r="L36" s="5"/>
      <c r="M36" s="5"/>
      <c r="N36" s="357"/>
      <c r="O36" s="357"/>
      <c r="P36" s="357"/>
      <c r="Q36" s="357"/>
      <c r="R36" s="357"/>
      <c r="S36" s="357"/>
      <c r="T36" s="357"/>
      <c r="U36" s="357"/>
      <c r="V36" s="357"/>
      <c r="W36" s="357"/>
      <c r="X36" s="357"/>
      <c r="Y36" s="357"/>
      <c r="Z36" s="357"/>
    </row>
    <row r="37" ht="12.75" customHeight="1">
      <c r="A37" s="1035">
        <f t="shared" si="1"/>
        <v>37</v>
      </c>
      <c r="B37" s="1044"/>
      <c r="C37" s="1045"/>
      <c r="D37" s="1046"/>
      <c r="E37" s="1041">
        <v>0.0</v>
      </c>
      <c r="F37" s="1038"/>
      <c r="G37" s="119"/>
      <c r="H37" s="5"/>
      <c r="I37" s="5"/>
      <c r="J37" s="5"/>
      <c r="K37" s="5"/>
      <c r="L37" s="5"/>
      <c r="M37" s="5"/>
      <c r="N37" s="357"/>
      <c r="O37" s="357"/>
      <c r="P37" s="357"/>
      <c r="Q37" s="357"/>
      <c r="R37" s="357"/>
      <c r="S37" s="357"/>
      <c r="T37" s="357"/>
      <c r="U37" s="357"/>
      <c r="V37" s="357"/>
      <c r="W37" s="357"/>
      <c r="X37" s="357"/>
      <c r="Y37" s="357"/>
      <c r="Z37" s="357"/>
    </row>
    <row r="38" ht="12.75" customHeight="1">
      <c r="A38" s="1035">
        <f t="shared" si="1"/>
        <v>38</v>
      </c>
      <c r="B38" s="1047" t="s">
        <v>847</v>
      </c>
      <c r="C38" s="1047"/>
      <c r="D38" s="1048"/>
      <c r="E38" s="213" t="s">
        <v>848</v>
      </c>
      <c r="F38" s="1049"/>
      <c r="G38" s="5"/>
      <c r="H38" s="5"/>
      <c r="I38" s="5"/>
      <c r="J38" s="5"/>
      <c r="K38" s="5"/>
      <c r="L38" s="5"/>
      <c r="M38" s="5"/>
      <c r="N38" s="357"/>
      <c r="O38" s="357"/>
      <c r="P38" s="357"/>
      <c r="Q38" s="357"/>
      <c r="R38" s="357"/>
      <c r="S38" s="357"/>
      <c r="T38" s="357"/>
      <c r="U38" s="357"/>
      <c r="V38" s="357"/>
      <c r="W38" s="357"/>
      <c r="X38" s="357"/>
      <c r="Y38" s="357"/>
      <c r="Z38" s="357"/>
    </row>
    <row r="39" ht="12.75" customHeight="1">
      <c r="A39" s="1035">
        <f t="shared" si="1"/>
        <v>39</v>
      </c>
      <c r="B39" s="1050" t="s">
        <v>186</v>
      </c>
      <c r="C39" s="1050"/>
      <c r="D39" s="1051"/>
      <c r="E39" s="666" t="str">
        <f>+#REF!-E38</f>
        <v>#REF!</v>
      </c>
      <c r="F39" s="1049"/>
      <c r="G39" s="5"/>
      <c r="H39" s="5"/>
      <c r="I39" s="5"/>
      <c r="J39" s="5"/>
      <c r="K39" s="5"/>
      <c r="L39" s="5"/>
      <c r="M39" s="5"/>
      <c r="N39" s="357"/>
      <c r="O39" s="357"/>
      <c r="P39" s="357"/>
      <c r="Q39" s="357"/>
      <c r="R39" s="357"/>
      <c r="S39" s="357"/>
      <c r="T39" s="357"/>
      <c r="U39" s="357"/>
      <c r="V39" s="357"/>
      <c r="W39" s="357"/>
      <c r="X39" s="357"/>
      <c r="Y39" s="357"/>
      <c r="Z39" s="357"/>
    </row>
    <row r="40" ht="12.75" customHeight="1">
      <c r="A40" s="1035">
        <f t="shared" si="1"/>
        <v>40</v>
      </c>
      <c r="B40" s="1032" t="s">
        <v>849</v>
      </c>
      <c r="C40" s="280"/>
      <c r="D40" s="280"/>
      <c r="E40" s="280"/>
      <c r="F40" s="280"/>
      <c r="G40" s="5"/>
      <c r="H40" s="5"/>
      <c r="I40" s="5"/>
      <c r="J40" s="5"/>
      <c r="K40" s="5"/>
      <c r="L40" s="5"/>
      <c r="M40" s="5"/>
      <c r="N40" s="357"/>
      <c r="O40" s="357"/>
      <c r="P40" s="357"/>
      <c r="Q40" s="357"/>
      <c r="R40" s="357"/>
      <c r="S40" s="357"/>
      <c r="T40" s="357"/>
      <c r="U40" s="357"/>
      <c r="V40" s="357"/>
      <c r="W40" s="357"/>
      <c r="X40" s="357"/>
      <c r="Y40" s="357"/>
      <c r="Z40" s="357"/>
    </row>
    <row r="41" ht="12.75" customHeight="1">
      <c r="A41" s="5"/>
      <c r="B41" s="357"/>
      <c r="C41" s="5"/>
      <c r="D41" s="5"/>
      <c r="E41" s="5"/>
      <c r="F41" s="5"/>
      <c r="G41" s="5"/>
      <c r="H41" s="5"/>
      <c r="I41" s="5"/>
      <c r="J41" s="5"/>
      <c r="K41" s="5"/>
      <c r="L41" s="5"/>
      <c r="M41" s="5"/>
      <c r="N41" s="357"/>
      <c r="O41" s="357"/>
      <c r="P41" s="357"/>
      <c r="Q41" s="357"/>
      <c r="R41" s="357"/>
      <c r="S41" s="357"/>
      <c r="T41" s="357"/>
      <c r="U41" s="357"/>
      <c r="V41" s="357"/>
      <c r="W41" s="357"/>
      <c r="X41" s="357"/>
      <c r="Y41" s="357"/>
      <c r="Z41" s="357"/>
    </row>
    <row r="42" ht="12.75" customHeight="1">
      <c r="A42" s="5"/>
      <c r="B42" s="5"/>
      <c r="C42" s="5"/>
      <c r="D42" s="5"/>
      <c r="E42" s="5"/>
      <c r="F42" s="5"/>
      <c r="G42" s="5"/>
      <c r="H42" s="5"/>
      <c r="I42" s="5"/>
      <c r="J42" s="5"/>
      <c r="K42" s="5"/>
      <c r="L42" s="5"/>
      <c r="M42" s="5"/>
      <c r="N42" s="357"/>
      <c r="O42" s="357"/>
      <c r="P42" s="357"/>
      <c r="Q42" s="357"/>
      <c r="R42" s="357"/>
      <c r="S42" s="357"/>
      <c r="T42" s="357"/>
      <c r="U42" s="357"/>
      <c r="V42" s="357"/>
      <c r="W42" s="357"/>
      <c r="X42" s="357"/>
      <c r="Y42" s="357"/>
      <c r="Z42" s="357"/>
    </row>
    <row r="43" ht="12.75" customHeight="1">
      <c r="A43" s="5"/>
      <c r="B43" s="5"/>
      <c r="C43" s="5"/>
      <c r="D43" s="5"/>
      <c r="E43" s="5"/>
      <c r="F43" s="5"/>
      <c r="G43" s="5"/>
      <c r="H43" s="5"/>
      <c r="I43" s="5"/>
      <c r="J43" s="5"/>
      <c r="K43" s="5"/>
      <c r="L43" s="5"/>
      <c r="M43" s="5"/>
      <c r="N43" s="357"/>
      <c r="O43" s="357"/>
      <c r="P43" s="357"/>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357"/>
      <c r="O44" s="357"/>
      <c r="P44" s="357"/>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357"/>
      <c r="O45" s="357"/>
      <c r="P45" s="357"/>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357"/>
      <c r="O46" s="357"/>
      <c r="P46" s="357"/>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357"/>
      <c r="O47" s="357"/>
      <c r="P47" s="357"/>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357"/>
      <c r="O48" s="357"/>
      <c r="P48" s="357"/>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357"/>
      <c r="O49" s="357"/>
      <c r="P49" s="357"/>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357"/>
      <c r="O50" s="357"/>
      <c r="P50" s="357"/>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357"/>
      <c r="O51" s="357"/>
      <c r="P51" s="357"/>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357"/>
      <c r="O52" s="357"/>
      <c r="P52" s="357"/>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357"/>
      <c r="O53" s="357"/>
      <c r="P53" s="357"/>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357"/>
      <c r="O54" s="357"/>
      <c r="P54" s="357"/>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357"/>
      <c r="O55" s="357"/>
      <c r="P55" s="357"/>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357"/>
      <c r="O56" s="357"/>
      <c r="P56" s="357"/>
      <c r="Q56" s="357"/>
      <c r="R56" s="357"/>
      <c r="S56" s="357"/>
      <c r="T56" s="357"/>
      <c r="U56" s="357"/>
      <c r="V56" s="357"/>
      <c r="W56" s="357"/>
      <c r="X56" s="357"/>
      <c r="Y56" s="357"/>
      <c r="Z56" s="357"/>
    </row>
    <row r="57" ht="12.7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row>
    <row r="58" ht="12.7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row>
    <row r="59" ht="12.7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row>
    <row r="60" ht="12.7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row>
    <row r="61" ht="12.7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row>
    <row r="62" ht="12.7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row>
    <row r="63" ht="12.7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row>
    <row r="64" ht="12.7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row>
    <row r="65" ht="12.7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row>
    <row r="66" ht="12.7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row>
    <row r="67" ht="12.7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ht="12.7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ht="12.7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row>
    <row r="70" ht="12.7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row>
    <row r="71" ht="12.7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row>
    <row r="72" ht="12.7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row>
    <row r="73" ht="12.7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row>
    <row r="74" ht="12.7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row>
    <row r="75" ht="12.7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row>
    <row r="76" ht="12.7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row>
    <row r="77" ht="12.7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row>
    <row r="78" ht="12.7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row>
    <row r="79" ht="12.7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row>
    <row r="80" ht="12.7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2">
    <mergeCell ref="B10:E10"/>
    <mergeCell ref="B37:D37"/>
  </mergeCells>
  <conditionalFormatting sqref="E1">
    <cfRule type="expression" dxfId="2" priority="1" stopIfTrue="1">
      <formula>MOD(ROW(),2)=0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8.29"/>
    <col customWidth="1" min="2" max="2" width="47.71"/>
    <col customWidth="1" min="3" max="3" width="17.71"/>
    <col customWidth="1" min="4" max="4" width="9.0"/>
    <col customWidth="1" min="5" max="5" width="8.71"/>
    <col customWidth="1" min="6" max="6" width="15.29"/>
    <col customWidth="1" min="7" max="7" width="16.29"/>
    <col customWidth="1" min="8" max="9" width="21.0"/>
    <col customWidth="1" min="10" max="12" width="17.0"/>
    <col customWidth="1" min="13" max="16" width="1.29"/>
    <col customWidth="1" min="17" max="17" width="0.43"/>
    <col customWidth="1" min="18" max="18" width="88.71"/>
    <col customWidth="1" min="19" max="26" width="8.71"/>
  </cols>
  <sheetData>
    <row r="1" ht="13.5" customHeight="1">
      <c r="A1" s="438" t="s">
        <v>850</v>
      </c>
      <c r="B1" s="218"/>
      <c r="C1" s="30"/>
      <c r="D1" s="219" t="s">
        <v>3</v>
      </c>
      <c r="E1" s="30"/>
      <c r="F1" s="30"/>
      <c r="G1" s="30"/>
      <c r="H1" s="30"/>
      <c r="I1" s="30"/>
      <c r="J1" s="30"/>
      <c r="K1" s="30"/>
      <c r="L1" s="30"/>
      <c r="M1" s="30"/>
      <c r="N1" s="30"/>
      <c r="O1" s="30"/>
      <c r="P1" s="95"/>
      <c r="Q1" s="30"/>
      <c r="R1" s="30"/>
      <c r="S1" s="30"/>
      <c r="T1" s="30"/>
      <c r="U1" s="30"/>
      <c r="V1" s="30"/>
      <c r="W1" s="30"/>
      <c r="X1" s="30"/>
      <c r="Y1" s="30"/>
      <c r="Z1" s="30"/>
    </row>
    <row r="2" ht="13.5" customHeight="1">
      <c r="A2" s="96" t="str">
        <f>SchoolName</f>
        <v>Explore Knowledge Academy</v>
      </c>
      <c r="B2" s="97"/>
      <c r="C2" s="30"/>
      <c r="D2" s="30"/>
      <c r="E2" s="30"/>
      <c r="F2" s="30"/>
      <c r="G2" s="30"/>
      <c r="H2" s="30"/>
      <c r="I2" s="30"/>
      <c r="J2" s="30"/>
      <c r="K2" s="30"/>
      <c r="L2" s="30"/>
      <c r="M2" s="30"/>
      <c r="N2" s="30"/>
      <c r="O2" s="30"/>
      <c r="P2" s="30"/>
      <c r="Q2" s="30"/>
      <c r="R2" s="30"/>
      <c r="S2" s="30"/>
      <c r="T2" s="30"/>
      <c r="U2" s="30"/>
      <c r="V2" s="30"/>
      <c r="W2" s="30"/>
      <c r="X2" s="30"/>
      <c r="Y2" s="30"/>
      <c r="Z2" s="30"/>
    </row>
    <row r="3" ht="13.5" customHeight="1">
      <c r="A3" s="95" t="s">
        <v>134</v>
      </c>
      <c r="B3" s="30"/>
      <c r="C3" s="30"/>
      <c r="D3" s="30"/>
      <c r="E3" s="30"/>
      <c r="F3" s="30"/>
      <c r="G3" s="30"/>
      <c r="H3" s="30"/>
      <c r="I3" s="30"/>
      <c r="J3" s="30"/>
      <c r="K3" s="63"/>
      <c r="L3" s="30"/>
      <c r="M3" s="30"/>
      <c r="N3" s="30"/>
      <c r="O3" s="30"/>
      <c r="P3" s="30"/>
      <c r="Q3" s="30"/>
      <c r="R3" s="30"/>
      <c r="S3" s="30"/>
      <c r="T3" s="30"/>
      <c r="U3" s="30"/>
      <c r="V3" s="30"/>
      <c r="W3" s="30"/>
      <c r="X3" s="30"/>
      <c r="Y3" s="30"/>
      <c r="Z3" s="30"/>
    </row>
    <row r="4" ht="13.5" customHeight="1">
      <c r="A4" s="222" t="s">
        <v>135</v>
      </c>
      <c r="B4" s="30"/>
      <c r="C4" s="30"/>
      <c r="D4" s="30"/>
      <c r="E4" s="30"/>
      <c r="F4" s="30"/>
      <c r="G4" s="30"/>
      <c r="H4" s="30"/>
      <c r="I4" s="30"/>
      <c r="J4" s="30"/>
      <c r="K4" s="30"/>
      <c r="L4" s="30"/>
      <c r="M4" s="30"/>
      <c r="N4" s="30"/>
      <c r="O4" s="30"/>
      <c r="P4" s="30"/>
      <c r="Q4" s="30"/>
      <c r="R4" s="30"/>
      <c r="S4" s="30"/>
      <c r="T4" s="30"/>
      <c r="U4" s="30"/>
      <c r="V4" s="30"/>
      <c r="W4" s="30"/>
      <c r="X4" s="30"/>
      <c r="Y4" s="30"/>
      <c r="Z4" s="30"/>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30"/>
      <c r="Z5" s="30"/>
    </row>
    <row r="6" ht="13.5" customHeight="1">
      <c r="A6" s="65"/>
      <c r="B6" s="30"/>
      <c r="C6" s="30"/>
      <c r="D6" s="543" t="s">
        <v>448</v>
      </c>
      <c r="E6" s="543"/>
      <c r="F6" s="30"/>
      <c r="G6" s="544">
        <f>Cover!E11</f>
        <v>2025</v>
      </c>
      <c r="H6" s="30"/>
      <c r="I6" s="30"/>
      <c r="J6" s="543"/>
      <c r="K6" s="30"/>
      <c r="L6" s="30"/>
      <c r="M6" s="30"/>
      <c r="N6" s="30"/>
      <c r="O6" s="30"/>
      <c r="P6" s="30"/>
      <c r="Q6" s="30"/>
      <c r="R6" s="30"/>
      <c r="S6" s="30"/>
      <c r="T6" s="30"/>
      <c r="U6" s="30"/>
      <c r="V6" s="30"/>
      <c r="W6" s="30"/>
      <c r="X6" s="30"/>
      <c r="Y6" s="30"/>
      <c r="Z6" s="30"/>
    </row>
    <row r="7" ht="13.5" customHeight="1">
      <c r="A7" s="65"/>
      <c r="B7" s="30"/>
      <c r="C7" s="30"/>
      <c r="D7" s="99" t="s">
        <v>449</v>
      </c>
      <c r="E7" s="99"/>
      <c r="F7" s="30"/>
      <c r="G7" s="99">
        <f>+G6+1</f>
        <v>2026</v>
      </c>
      <c r="H7" s="30"/>
      <c r="I7" s="30"/>
      <c r="J7" s="99"/>
      <c r="K7" s="30"/>
      <c r="L7" s="30"/>
      <c r="M7" s="30"/>
      <c r="N7" s="30"/>
      <c r="O7" s="30"/>
      <c r="P7" s="30"/>
      <c r="Q7" s="30"/>
      <c r="R7" s="30"/>
      <c r="S7" s="30"/>
      <c r="T7" s="30"/>
      <c r="U7" s="30"/>
      <c r="V7" s="30"/>
      <c r="W7" s="30"/>
      <c r="X7" s="30"/>
      <c r="Y7" s="30"/>
      <c r="Z7" s="30"/>
    </row>
    <row r="8" ht="13.5" customHeight="1">
      <c r="A8" s="65"/>
      <c r="B8" s="30"/>
      <c r="C8" s="30"/>
      <c r="D8" s="30"/>
      <c r="E8" s="30"/>
      <c r="F8" s="99"/>
      <c r="G8" s="63"/>
      <c r="H8" s="30"/>
      <c r="I8" s="30"/>
      <c r="J8" s="30"/>
      <c r="K8" s="30"/>
      <c r="L8" s="30"/>
      <c r="M8" s="30"/>
      <c r="N8" s="30"/>
      <c r="O8" s="30"/>
      <c r="P8" s="30"/>
      <c r="Q8" s="30"/>
      <c r="R8" s="30"/>
      <c r="S8" s="30"/>
      <c r="T8" s="30"/>
      <c r="U8" s="30"/>
      <c r="V8" s="30"/>
      <c r="W8" s="30"/>
      <c r="X8" s="30"/>
      <c r="Y8" s="30"/>
      <c r="Z8" s="30"/>
    </row>
    <row r="9" ht="13.5" customHeight="1">
      <c r="A9" s="65"/>
      <c r="B9" s="63"/>
      <c r="C9" s="30"/>
      <c r="D9" s="30"/>
      <c r="E9" s="30"/>
      <c r="F9" s="545">
        <v>0.0</v>
      </c>
      <c r="G9" s="101">
        <v>1.0</v>
      </c>
      <c r="H9" s="101">
        <f t="shared" ref="H9:L9" si="1">1+G9</f>
        <v>2</v>
      </c>
      <c r="I9" s="101">
        <f t="shared" si="1"/>
        <v>3</v>
      </c>
      <c r="J9" s="101">
        <f t="shared" si="1"/>
        <v>4</v>
      </c>
      <c r="K9" s="101">
        <f t="shared" si="1"/>
        <v>5</v>
      </c>
      <c r="L9" s="102">
        <f t="shared" si="1"/>
        <v>6</v>
      </c>
      <c r="M9" s="30"/>
      <c r="N9" s="30"/>
      <c r="O9" s="30"/>
      <c r="P9" s="30"/>
      <c r="Q9" s="30"/>
      <c r="R9" s="30"/>
      <c r="S9" s="30"/>
      <c r="T9" s="30"/>
      <c r="U9" s="30"/>
      <c r="V9" s="30"/>
      <c r="W9" s="30"/>
      <c r="X9" s="30"/>
      <c r="Y9" s="30"/>
      <c r="Z9" s="30"/>
    </row>
    <row r="10" ht="13.5" customHeight="1">
      <c r="A10" s="65"/>
      <c r="B10" s="30"/>
      <c r="C10" s="30"/>
      <c r="D10" s="1052" t="s">
        <v>851</v>
      </c>
      <c r="E10" s="1053"/>
      <c r="F10" s="359">
        <f t="shared" ref="F10:F11" si="3">+G10-1</f>
        <v>2024</v>
      </c>
      <c r="G10" s="105">
        <f>+G6</f>
        <v>2025</v>
      </c>
      <c r="H10" s="105">
        <f t="shared" ref="H10:L10" si="2">+G11</f>
        <v>2026</v>
      </c>
      <c r="I10" s="105">
        <f t="shared" si="2"/>
        <v>2027</v>
      </c>
      <c r="J10" s="105">
        <f t="shared" si="2"/>
        <v>2028</v>
      </c>
      <c r="K10" s="105">
        <f t="shared" si="2"/>
        <v>2029</v>
      </c>
      <c r="L10" s="106">
        <f t="shared" si="2"/>
        <v>2030</v>
      </c>
      <c r="M10" s="30"/>
      <c r="N10" s="30"/>
      <c r="O10" s="30"/>
      <c r="P10" s="30"/>
      <c r="Q10" s="30"/>
      <c r="R10" s="30"/>
      <c r="S10" s="30"/>
      <c r="T10" s="30"/>
      <c r="U10" s="30"/>
      <c r="V10" s="30"/>
      <c r="W10" s="30"/>
      <c r="X10" s="30"/>
      <c r="Y10" s="30"/>
      <c r="Z10" s="30"/>
    </row>
    <row r="11" ht="13.5" customHeight="1">
      <c r="A11" s="65"/>
      <c r="B11" s="223"/>
      <c r="C11" s="1054" t="s">
        <v>450</v>
      </c>
      <c r="D11" s="552"/>
      <c r="E11" s="552"/>
      <c r="F11" s="361">
        <f t="shared" si="3"/>
        <v>2025</v>
      </c>
      <c r="G11" s="108">
        <f t="shared" ref="G11:L11" si="4">+G10+1</f>
        <v>2026</v>
      </c>
      <c r="H11" s="108">
        <f t="shared" si="4"/>
        <v>2027</v>
      </c>
      <c r="I11" s="108">
        <f t="shared" si="4"/>
        <v>2028</v>
      </c>
      <c r="J11" s="108">
        <f t="shared" si="4"/>
        <v>2029</v>
      </c>
      <c r="K11" s="108">
        <f t="shared" si="4"/>
        <v>2030</v>
      </c>
      <c r="L11" s="109">
        <f t="shared" si="4"/>
        <v>2031</v>
      </c>
      <c r="M11" s="30"/>
      <c r="N11" s="30"/>
      <c r="O11" s="30"/>
      <c r="P11" s="30"/>
      <c r="Q11" s="30"/>
      <c r="R11" s="30"/>
      <c r="S11" s="30"/>
      <c r="T11" s="30"/>
      <c r="U11" s="30"/>
      <c r="V11" s="30"/>
      <c r="W11" s="30"/>
      <c r="X11" s="30"/>
      <c r="Y11" s="30"/>
      <c r="Z11" s="30"/>
    </row>
    <row r="12" ht="13.5" customHeight="1">
      <c r="A12" s="65"/>
      <c r="B12" s="164" t="s">
        <v>852</v>
      </c>
      <c r="C12" s="30"/>
      <c r="D12" s="555"/>
      <c r="E12" s="555"/>
      <c r="F12" s="1055"/>
      <c r="G12" s="1056"/>
      <c r="H12" s="1056"/>
      <c r="I12" s="1056"/>
      <c r="J12" s="1056"/>
      <c r="K12" s="1056"/>
      <c r="L12" s="1056"/>
      <c r="M12" s="30"/>
      <c r="N12" s="30"/>
      <c r="O12" s="30"/>
      <c r="P12" s="30"/>
      <c r="Q12" s="30"/>
      <c r="R12" s="30"/>
      <c r="S12" s="30"/>
      <c r="T12" s="30"/>
      <c r="U12" s="30"/>
      <c r="V12" s="30"/>
      <c r="W12" s="30"/>
      <c r="X12" s="30"/>
      <c r="Y12" s="30"/>
      <c r="Z12" s="30"/>
    </row>
    <row r="13" ht="13.5" customHeight="1">
      <c r="A13" s="111">
        <f t="shared" ref="A13:A199" si="5">ROW()</f>
        <v>13</v>
      </c>
      <c r="B13" s="624" t="s">
        <v>382</v>
      </c>
      <c r="C13" s="455"/>
      <c r="D13" s="455"/>
      <c r="E13" s="455"/>
      <c r="F13" s="1057"/>
      <c r="G13" s="1058"/>
      <c r="H13" s="1058"/>
      <c r="I13" s="1058"/>
      <c r="J13" s="1058"/>
      <c r="K13" s="1058"/>
      <c r="L13" s="1058"/>
      <c r="M13" s="30"/>
      <c r="N13" s="30"/>
      <c r="O13" s="30"/>
      <c r="P13" s="30"/>
      <c r="Q13" s="30"/>
      <c r="R13" s="36" t="s">
        <v>85</v>
      </c>
      <c r="S13" s="30"/>
      <c r="T13" s="30"/>
      <c r="U13" s="30"/>
      <c r="V13" s="30"/>
      <c r="W13" s="30"/>
      <c r="X13" s="30"/>
      <c r="Y13" s="30"/>
      <c r="Z13" s="30"/>
    </row>
    <row r="14" ht="13.5" customHeight="1">
      <c r="A14" s="111">
        <f t="shared" si="5"/>
        <v>14</v>
      </c>
      <c r="B14" s="63" t="s">
        <v>404</v>
      </c>
      <c r="C14" s="30"/>
      <c r="D14" s="30"/>
      <c r="E14" s="30"/>
      <c r="F14" s="1059"/>
      <c r="G14" s="1060"/>
      <c r="H14" s="1060"/>
      <c r="I14" s="1060"/>
      <c r="J14" s="1060"/>
      <c r="K14" s="1060"/>
      <c r="L14" s="1060"/>
      <c r="M14" s="30"/>
      <c r="N14" s="30"/>
      <c r="O14" s="30"/>
      <c r="P14" s="30"/>
      <c r="Q14" s="30"/>
      <c r="R14" s="116"/>
      <c r="S14" s="30"/>
      <c r="T14" s="30"/>
      <c r="U14" s="30"/>
      <c r="V14" s="30"/>
      <c r="W14" s="30"/>
      <c r="X14" s="30"/>
      <c r="Y14" s="30"/>
      <c r="Z14" s="30"/>
    </row>
    <row r="15" ht="13.5" customHeight="1">
      <c r="A15" s="111">
        <f t="shared" si="5"/>
        <v>15</v>
      </c>
      <c r="B15" s="522" t="s">
        <v>405</v>
      </c>
      <c r="C15" s="371"/>
      <c r="D15" s="371"/>
      <c r="E15" s="371"/>
      <c r="F15" s="1061">
        <f>' Enrol &amp; Rev'!F17</f>
        <v>13</v>
      </c>
      <c r="G15" s="1062">
        <f>' Enrol &amp; Rev'!G17</f>
        <v>13</v>
      </c>
      <c r="H15" s="1062">
        <f>' Enrol &amp; Rev'!H17</f>
        <v>13</v>
      </c>
      <c r="I15" s="1062">
        <f>' Enrol &amp; Rev'!I17</f>
        <v>13</v>
      </c>
      <c r="J15" s="1062">
        <f>' Enrol &amp; Rev'!J17</f>
        <v>13</v>
      </c>
      <c r="K15" s="1062">
        <f>' Enrol &amp; Rev'!K17</f>
        <v>13</v>
      </c>
      <c r="L15" s="1062">
        <f>' Enrol &amp; Rev'!L17</f>
        <v>13</v>
      </c>
      <c r="M15" s="30"/>
      <c r="N15" s="30"/>
      <c r="O15" s="30"/>
      <c r="P15" s="30"/>
      <c r="Q15" s="30"/>
      <c r="R15" s="119" t="s">
        <v>853</v>
      </c>
      <c r="S15" s="30"/>
      <c r="T15" s="30"/>
      <c r="U15" s="30"/>
      <c r="V15" s="30"/>
      <c r="W15" s="30"/>
      <c r="X15" s="30"/>
      <c r="Y15" s="30"/>
      <c r="Z15" s="30"/>
    </row>
    <row r="16" ht="13.5" customHeight="1">
      <c r="A16" s="111">
        <f t="shared" si="5"/>
        <v>16</v>
      </c>
      <c r="B16" s="532" t="s">
        <v>406</v>
      </c>
      <c r="C16" s="30"/>
      <c r="D16" s="30"/>
      <c r="E16" s="30"/>
      <c r="F16" s="1063">
        <f>' Enrol &amp; Rev'!F19</f>
        <v>34</v>
      </c>
      <c r="G16" s="1064">
        <f>' Enrol &amp; Rev'!G19</f>
        <v>24.30769231</v>
      </c>
      <c r="H16" s="1064">
        <f>' Enrol &amp; Rev'!H19</f>
        <v>24.80769231</v>
      </c>
      <c r="I16" s="1064">
        <f>' Enrol &amp; Rev'!I19</f>
        <v>25.65384615</v>
      </c>
      <c r="J16" s="1064">
        <f>' Enrol &amp; Rev'!J19</f>
        <v>25.88461538</v>
      </c>
      <c r="K16" s="1064">
        <f>' Enrol &amp; Rev'!K19</f>
        <v>26</v>
      </c>
      <c r="L16" s="1064">
        <f>' Enrol &amp; Rev'!L19</f>
        <v>26.34615385</v>
      </c>
      <c r="M16" s="30"/>
      <c r="N16" s="30"/>
      <c r="O16" s="30"/>
      <c r="P16" s="30"/>
      <c r="Q16" s="30"/>
      <c r="R16" s="119"/>
      <c r="S16" s="30"/>
      <c r="T16" s="30"/>
      <c r="U16" s="30"/>
      <c r="V16" s="30"/>
      <c r="W16" s="30"/>
      <c r="X16" s="30"/>
      <c r="Y16" s="30"/>
      <c r="Z16" s="30"/>
    </row>
    <row r="17" ht="13.5" customHeight="1">
      <c r="A17" s="111">
        <f t="shared" si="5"/>
        <v>17</v>
      </c>
      <c r="B17" s="460"/>
      <c r="C17" s="1065"/>
      <c r="D17" s="1065"/>
      <c r="E17" s="1065"/>
      <c r="F17" s="1066"/>
      <c r="G17" s="1066"/>
      <c r="H17" s="1066"/>
      <c r="I17" s="1066"/>
      <c r="J17" s="1066"/>
      <c r="K17" s="1066"/>
      <c r="L17" s="1066"/>
      <c r="M17" s="30"/>
      <c r="N17" s="30"/>
      <c r="O17" s="30"/>
      <c r="P17" s="30"/>
      <c r="Q17" s="30"/>
      <c r="R17" s="119"/>
      <c r="S17" s="30"/>
      <c r="T17" s="30"/>
      <c r="U17" s="30"/>
      <c r="V17" s="30"/>
      <c r="W17" s="30"/>
      <c r="X17" s="30"/>
      <c r="Y17" s="30"/>
      <c r="Z17" s="30"/>
    </row>
    <row r="18" ht="13.5" hidden="1" customHeight="1">
      <c r="A18" s="111">
        <f t="shared" si="5"/>
        <v>18</v>
      </c>
      <c r="B18" s="1067" t="s">
        <v>407</v>
      </c>
      <c r="C18" s="1068"/>
      <c r="D18" s="1068"/>
      <c r="E18" s="1068"/>
      <c r="F18" s="1069">
        <f>' Enrol &amp; Rev'!F23</f>
        <v>44</v>
      </c>
      <c r="G18" s="1069">
        <f>' Enrol &amp; Rev'!G23</f>
        <v>50</v>
      </c>
      <c r="H18" s="1069">
        <f>' Enrol &amp; Rev'!H23</f>
        <v>50</v>
      </c>
      <c r="I18" s="1069">
        <f>' Enrol &amp; Rev'!I23</f>
        <v>50</v>
      </c>
      <c r="J18" s="1069">
        <f>' Enrol &amp; Rev'!J23</f>
        <v>50</v>
      </c>
      <c r="K18" s="1069">
        <f>' Enrol &amp; Rev'!K23</f>
        <v>50</v>
      </c>
      <c r="L18" s="1069">
        <f>' Enrol &amp; Rev'!L23</f>
        <v>50</v>
      </c>
      <c r="M18" s="30"/>
      <c r="N18" s="30"/>
      <c r="O18" s="30"/>
      <c r="P18" s="30"/>
      <c r="Q18" s="30"/>
      <c r="R18" s="119"/>
      <c r="S18" s="30"/>
      <c r="T18" s="30"/>
      <c r="U18" s="30"/>
      <c r="V18" s="30"/>
      <c r="W18" s="30"/>
      <c r="X18" s="30"/>
      <c r="Y18" s="30"/>
      <c r="Z18" s="30"/>
    </row>
    <row r="19" ht="13.5" hidden="1" customHeight="1">
      <c r="A19" s="111">
        <f t="shared" si="5"/>
        <v>19</v>
      </c>
      <c r="B19" s="1070" t="s">
        <v>408</v>
      </c>
      <c r="C19" s="1068"/>
      <c r="D19" s="1068"/>
      <c r="E19" s="1068"/>
      <c r="F19" s="1071">
        <f>' Enrol &amp; Rev'!F24</f>
        <v>45</v>
      </c>
      <c r="G19" s="1071">
        <f>' Enrol &amp; Rev'!G24</f>
        <v>44</v>
      </c>
      <c r="H19" s="1071">
        <f>' Enrol &amp; Rev'!H24</f>
        <v>44</v>
      </c>
      <c r="I19" s="1071">
        <f>' Enrol &amp; Rev'!I24</f>
        <v>44</v>
      </c>
      <c r="J19" s="1071">
        <f>' Enrol &amp; Rev'!J24</f>
        <v>44</v>
      </c>
      <c r="K19" s="1071">
        <f>' Enrol &amp; Rev'!K24</f>
        <v>44</v>
      </c>
      <c r="L19" s="1071">
        <f>' Enrol &amp; Rev'!L24</f>
        <v>44</v>
      </c>
      <c r="M19" s="30"/>
      <c r="N19" s="30"/>
      <c r="O19" s="30"/>
      <c r="P19" s="30"/>
      <c r="Q19" s="30"/>
      <c r="R19" s="119"/>
      <c r="S19" s="30"/>
      <c r="T19" s="30"/>
      <c r="U19" s="30"/>
      <c r="V19" s="30"/>
      <c r="W19" s="30"/>
      <c r="X19" s="30"/>
      <c r="Y19" s="30"/>
      <c r="Z19" s="30"/>
    </row>
    <row r="20" ht="13.5" hidden="1" customHeight="1">
      <c r="A20" s="111">
        <f t="shared" si="5"/>
        <v>20</v>
      </c>
      <c r="B20" s="1070" t="s">
        <v>409</v>
      </c>
      <c r="C20" s="1068"/>
      <c r="D20" s="1068"/>
      <c r="E20" s="1068"/>
      <c r="F20" s="1071">
        <f>' Enrol &amp; Rev'!F25</f>
        <v>51</v>
      </c>
      <c r="G20" s="1072">
        <f>' Enrol &amp; Rev'!G25</f>
        <v>45</v>
      </c>
      <c r="H20" s="1072">
        <f>' Enrol &amp; Rev'!H25</f>
        <v>44</v>
      </c>
      <c r="I20" s="1072">
        <f>' Enrol &amp; Rev'!I25</f>
        <v>44</v>
      </c>
      <c r="J20" s="1072">
        <f>' Enrol &amp; Rev'!J25</f>
        <v>44</v>
      </c>
      <c r="K20" s="1072">
        <f>' Enrol &amp; Rev'!K25</f>
        <v>44</v>
      </c>
      <c r="L20" s="1072">
        <f>' Enrol &amp; Rev'!L25</f>
        <v>44</v>
      </c>
      <c r="M20" s="30"/>
      <c r="N20" s="30"/>
      <c r="O20" s="30"/>
      <c r="P20" s="30"/>
      <c r="Q20" s="30"/>
      <c r="R20" s="119"/>
      <c r="S20" s="30"/>
      <c r="T20" s="30"/>
      <c r="U20" s="30"/>
      <c r="V20" s="30"/>
      <c r="W20" s="30"/>
      <c r="X20" s="30"/>
      <c r="Y20" s="30"/>
      <c r="Z20" s="30"/>
    </row>
    <row r="21" ht="13.5" hidden="1" customHeight="1">
      <c r="A21" s="111">
        <f t="shared" si="5"/>
        <v>21</v>
      </c>
      <c r="B21" s="1070" t="s">
        <v>410</v>
      </c>
      <c r="C21" s="1068"/>
      <c r="D21" s="1068"/>
      <c r="E21" s="1068"/>
      <c r="F21" s="1073">
        <f>' Enrol &amp; Rev'!F26</f>
        <v>63</v>
      </c>
      <c r="G21" s="1074">
        <f>' Enrol &amp; Rev'!G26</f>
        <v>51</v>
      </c>
      <c r="H21" s="1074">
        <f>' Enrol &amp; Rev'!H26</f>
        <v>45</v>
      </c>
      <c r="I21" s="1074">
        <f>' Enrol &amp; Rev'!I26</f>
        <v>44</v>
      </c>
      <c r="J21" s="1074">
        <f>' Enrol &amp; Rev'!J26</f>
        <v>44</v>
      </c>
      <c r="K21" s="1074">
        <f>' Enrol &amp; Rev'!K26</f>
        <v>44</v>
      </c>
      <c r="L21" s="1074">
        <f>' Enrol &amp; Rev'!L26</f>
        <v>50</v>
      </c>
      <c r="M21" s="30"/>
      <c r="N21" s="30"/>
      <c r="O21" s="30"/>
      <c r="P21" s="30"/>
      <c r="Q21" s="30"/>
      <c r="R21" s="119"/>
      <c r="S21" s="30"/>
      <c r="T21" s="30"/>
      <c r="U21" s="30"/>
      <c r="V21" s="30"/>
      <c r="W21" s="30"/>
      <c r="X21" s="30"/>
      <c r="Y21" s="30"/>
      <c r="Z21" s="30"/>
    </row>
    <row r="22" ht="13.5" hidden="1" customHeight="1">
      <c r="A22" s="111">
        <f t="shared" si="5"/>
        <v>22</v>
      </c>
      <c r="B22" s="1070" t="s">
        <v>411</v>
      </c>
      <c r="C22" s="1068"/>
      <c r="D22" s="1068"/>
      <c r="E22" s="1068"/>
      <c r="F22" s="1073">
        <f>' Enrol &amp; Rev'!F27</f>
        <v>53</v>
      </c>
      <c r="G22" s="1074">
        <f>' Enrol &amp; Rev'!G27</f>
        <v>63</v>
      </c>
      <c r="H22" s="1074">
        <f>' Enrol &amp; Rev'!H27</f>
        <v>51</v>
      </c>
      <c r="I22" s="1074">
        <f>' Enrol &amp; Rev'!I27</f>
        <v>45</v>
      </c>
      <c r="J22" s="1074">
        <f>' Enrol &amp; Rev'!J27</f>
        <v>45</v>
      </c>
      <c r="K22" s="1074">
        <f>' Enrol &amp; Rev'!K27</f>
        <v>60</v>
      </c>
      <c r="L22" s="1074">
        <f>' Enrol &amp; Rev'!L27</f>
        <v>55</v>
      </c>
      <c r="M22" s="30"/>
      <c r="N22" s="30"/>
      <c r="O22" s="30"/>
      <c r="P22" s="30"/>
      <c r="Q22" s="30"/>
      <c r="R22" s="30"/>
      <c r="S22" s="30"/>
      <c r="T22" s="30"/>
      <c r="U22" s="30"/>
      <c r="V22" s="30"/>
      <c r="W22" s="30"/>
      <c r="X22" s="30"/>
      <c r="Y22" s="30"/>
      <c r="Z22" s="30"/>
    </row>
    <row r="23" ht="13.5" hidden="1" customHeight="1">
      <c r="A23" s="111">
        <f t="shared" si="5"/>
        <v>23</v>
      </c>
      <c r="B23" s="1070" t="s">
        <v>412</v>
      </c>
      <c r="C23" s="1068"/>
      <c r="D23" s="1068"/>
      <c r="E23" s="1068"/>
      <c r="F23" s="1073">
        <f>' Enrol &amp; Rev'!F28</f>
        <v>77</v>
      </c>
      <c r="G23" s="1073">
        <f>' Enrol &amp; Rev'!G28</f>
        <v>53</v>
      </c>
      <c r="H23" s="1073">
        <f>' Enrol &amp; Rev'!H28</f>
        <v>63</v>
      </c>
      <c r="I23" s="1073">
        <f>' Enrol &amp; Rev'!I28</f>
        <v>51</v>
      </c>
      <c r="J23" s="1073">
        <f>' Enrol &amp; Rev'!J28</f>
        <v>51</v>
      </c>
      <c r="K23" s="1073">
        <f>' Enrol &amp; Rev'!K28</f>
        <v>75</v>
      </c>
      <c r="L23" s="1073">
        <f>' Enrol &amp; Rev'!L28</f>
        <v>75</v>
      </c>
      <c r="M23" s="30"/>
      <c r="N23" s="30"/>
      <c r="O23" s="30"/>
      <c r="P23" s="30"/>
      <c r="Q23" s="30"/>
      <c r="R23" s="30"/>
      <c r="S23" s="30"/>
      <c r="T23" s="30"/>
      <c r="U23" s="30"/>
      <c r="V23" s="30"/>
      <c r="W23" s="30"/>
      <c r="X23" s="30"/>
      <c r="Y23" s="30"/>
      <c r="Z23" s="30"/>
    </row>
    <row r="24" ht="13.5" hidden="1" customHeight="1">
      <c r="A24" s="111">
        <f t="shared" si="5"/>
        <v>24</v>
      </c>
      <c r="B24" s="1070" t="s">
        <v>413</v>
      </c>
      <c r="C24" s="1068"/>
      <c r="D24" s="1068"/>
      <c r="E24" s="1068"/>
      <c r="F24" s="1073">
        <f>' Enrol &amp; Rev'!F29</f>
        <v>57</v>
      </c>
      <c r="G24" s="1073">
        <f>' Enrol &amp; Rev'!G29</f>
        <v>77</v>
      </c>
      <c r="H24" s="1075">
        <f>' Enrol &amp; Rev'!H29</f>
        <v>53</v>
      </c>
      <c r="I24" s="1075">
        <f>' Enrol &amp; Rev'!I29</f>
        <v>63</v>
      </c>
      <c r="J24" s="1075">
        <f>' Enrol &amp; Rev'!J29</f>
        <v>63</v>
      </c>
      <c r="K24" s="1075">
        <f>' Enrol &amp; Rev'!K29</f>
        <v>75</v>
      </c>
      <c r="L24" s="1075">
        <f>' Enrol &amp; Rev'!L29</f>
        <v>75</v>
      </c>
      <c r="M24" s="30"/>
      <c r="N24" s="30"/>
      <c r="O24" s="30"/>
      <c r="P24" s="30"/>
      <c r="Q24" s="30"/>
      <c r="R24" s="30"/>
      <c r="S24" s="30"/>
      <c r="T24" s="30"/>
      <c r="U24" s="30"/>
      <c r="V24" s="30"/>
      <c r="W24" s="30"/>
      <c r="X24" s="30"/>
      <c r="Y24" s="30"/>
      <c r="Z24" s="30"/>
    </row>
    <row r="25" ht="13.5" hidden="1" customHeight="1">
      <c r="A25" s="111">
        <f t="shared" si="5"/>
        <v>25</v>
      </c>
      <c r="B25" s="1070" t="s">
        <v>414</v>
      </c>
      <c r="C25" s="1068"/>
      <c r="D25" s="1068"/>
      <c r="E25" s="1068"/>
      <c r="F25" s="1073">
        <f>' Enrol &amp; Rev'!F30</f>
        <v>63</v>
      </c>
      <c r="G25" s="1073">
        <f>' Enrol &amp; Rev'!G30</f>
        <v>57</v>
      </c>
      <c r="H25" s="1075">
        <f>' Enrol &amp; Rev'!H30</f>
        <v>77</v>
      </c>
      <c r="I25" s="1075">
        <f>' Enrol &amp; Rev'!I30</f>
        <v>53</v>
      </c>
      <c r="J25" s="1075">
        <f>' Enrol &amp; Rev'!J30</f>
        <v>55</v>
      </c>
      <c r="K25" s="1075">
        <f>' Enrol &amp; Rev'!K30</f>
        <v>75</v>
      </c>
      <c r="L25" s="1075">
        <f>' Enrol &amp; Rev'!L30</f>
        <v>75</v>
      </c>
      <c r="M25" s="30"/>
      <c r="N25" s="30"/>
      <c r="O25" s="30"/>
      <c r="P25" s="30"/>
      <c r="Q25" s="30"/>
      <c r="R25" s="30"/>
      <c r="S25" s="30"/>
      <c r="T25" s="30"/>
      <c r="U25" s="30"/>
      <c r="V25" s="30"/>
      <c r="W25" s="30"/>
      <c r="X25" s="30"/>
      <c r="Y25" s="30"/>
      <c r="Z25" s="30"/>
    </row>
    <row r="26" ht="13.5" hidden="1" customHeight="1">
      <c r="A26" s="111">
        <f t="shared" si="5"/>
        <v>26</v>
      </c>
      <c r="B26" s="1070" t="s">
        <v>415</v>
      </c>
      <c r="C26" s="1068"/>
      <c r="D26" s="1068"/>
      <c r="E26" s="1068"/>
      <c r="F26" s="1073">
        <f>' Enrol &amp; Rev'!F31</f>
        <v>56</v>
      </c>
      <c r="G26" s="1073">
        <f>' Enrol &amp; Rev'!G31</f>
        <v>63</v>
      </c>
      <c r="H26" s="1075">
        <f>' Enrol &amp; Rev'!H31</f>
        <v>57</v>
      </c>
      <c r="I26" s="1075">
        <f>' Enrol &amp; Rev'!I31</f>
        <v>77</v>
      </c>
      <c r="J26" s="1075">
        <f>' Enrol &amp; Rev'!J31</f>
        <v>70</v>
      </c>
      <c r="K26" s="1075">
        <f>' Enrol &amp; Rev'!K31</f>
        <v>70</v>
      </c>
      <c r="L26" s="1075">
        <f>' Enrol &amp; Rev'!L31</f>
        <v>75</v>
      </c>
      <c r="M26" s="30"/>
      <c r="N26" s="30"/>
      <c r="O26" s="30"/>
      <c r="P26" s="30"/>
      <c r="Q26" s="30"/>
      <c r="R26" s="30"/>
      <c r="S26" s="30"/>
      <c r="T26" s="30"/>
      <c r="U26" s="30"/>
      <c r="V26" s="30"/>
      <c r="W26" s="30"/>
      <c r="X26" s="30"/>
      <c r="Y26" s="30"/>
      <c r="Z26" s="30"/>
    </row>
    <row r="27" ht="13.5" hidden="1" customHeight="1">
      <c r="A27" s="111">
        <f t="shared" si="5"/>
        <v>27</v>
      </c>
      <c r="B27" s="1070" t="s">
        <v>416</v>
      </c>
      <c r="C27" s="1068"/>
      <c r="D27" s="1068"/>
      <c r="E27" s="1068"/>
      <c r="F27" s="1073">
        <f>' Enrol &amp; Rev'!F32</f>
        <v>33</v>
      </c>
      <c r="G27" s="1073">
        <f>' Enrol &amp; Rev'!G32</f>
        <v>56</v>
      </c>
      <c r="H27" s="1075">
        <f>' Enrol &amp; Rev'!H32</f>
        <v>50</v>
      </c>
      <c r="I27" s="1075">
        <f>' Enrol &amp; Rev'!I32</f>
        <v>57</v>
      </c>
      <c r="J27" s="1075">
        <f>' Enrol &amp; Rev'!J32</f>
        <v>77</v>
      </c>
      <c r="K27" s="1075">
        <f>' Enrol &amp; Rev'!K32</f>
        <v>50</v>
      </c>
      <c r="L27" s="1075">
        <f>' Enrol &amp; Rev'!L32</f>
        <v>45</v>
      </c>
      <c r="M27" s="30"/>
      <c r="N27" s="30"/>
      <c r="O27" s="30"/>
      <c r="P27" s="30"/>
      <c r="Q27" s="30"/>
      <c r="R27" s="30"/>
      <c r="S27" s="30"/>
      <c r="T27" s="30"/>
      <c r="U27" s="30"/>
      <c r="V27" s="30"/>
      <c r="W27" s="30"/>
      <c r="X27" s="30"/>
      <c r="Y27" s="30"/>
      <c r="Z27" s="30"/>
    </row>
    <row r="28" ht="13.5" hidden="1" customHeight="1">
      <c r="A28" s="111">
        <f t="shared" si="5"/>
        <v>28</v>
      </c>
      <c r="B28" s="1070" t="s">
        <v>417</v>
      </c>
      <c r="C28" s="1068"/>
      <c r="D28" s="1068"/>
      <c r="E28" s="1068"/>
      <c r="F28" s="1073">
        <f>' Enrol &amp; Rev'!F33</f>
        <v>22</v>
      </c>
      <c r="G28" s="1073">
        <f>' Enrol &amp; Rev'!G33</f>
        <v>33</v>
      </c>
      <c r="H28" s="1075">
        <f>' Enrol &amp; Rev'!H33</f>
        <v>56</v>
      </c>
      <c r="I28" s="1075">
        <f>' Enrol &amp; Rev'!I33</f>
        <v>50</v>
      </c>
      <c r="J28" s="1075">
        <f>' Enrol &amp; Rev'!J33</f>
        <v>50</v>
      </c>
      <c r="K28" s="1075">
        <f>' Enrol &amp; Rev'!K33</f>
        <v>40</v>
      </c>
      <c r="L28" s="1075">
        <f>' Enrol &amp; Rev'!L33</f>
        <v>45</v>
      </c>
      <c r="M28" s="30"/>
      <c r="N28" s="30"/>
      <c r="O28" s="30"/>
      <c r="P28" s="30"/>
      <c r="Q28" s="30"/>
      <c r="R28" s="30"/>
      <c r="S28" s="30"/>
      <c r="T28" s="30"/>
      <c r="U28" s="30"/>
      <c r="V28" s="30"/>
      <c r="W28" s="30"/>
      <c r="X28" s="30"/>
      <c r="Y28" s="30"/>
      <c r="Z28" s="30"/>
    </row>
    <row r="29" ht="13.5" hidden="1" customHeight="1">
      <c r="A29" s="111">
        <f t="shared" si="5"/>
        <v>29</v>
      </c>
      <c r="B29" s="1070" t="s">
        <v>418</v>
      </c>
      <c r="C29" s="1068"/>
      <c r="D29" s="1068"/>
      <c r="E29" s="1068"/>
      <c r="F29" s="1073">
        <f>' Enrol &amp; Rev'!F34</f>
        <v>18</v>
      </c>
      <c r="G29" s="1073">
        <f>' Enrol &amp; Rev'!G34</f>
        <v>22</v>
      </c>
      <c r="H29" s="1075">
        <f>' Enrol &amp; Rev'!H34</f>
        <v>33</v>
      </c>
      <c r="I29" s="1075">
        <f>' Enrol &amp; Rev'!I34</f>
        <v>56</v>
      </c>
      <c r="J29" s="1075">
        <f>' Enrol &amp; Rev'!J34</f>
        <v>56</v>
      </c>
      <c r="K29" s="1075">
        <f>' Enrol &amp; Rev'!K34</f>
        <v>25</v>
      </c>
      <c r="L29" s="1075">
        <f>' Enrol &amp; Rev'!L34</f>
        <v>28</v>
      </c>
      <c r="M29" s="30"/>
      <c r="N29" s="30"/>
      <c r="O29" s="30"/>
      <c r="P29" s="30"/>
      <c r="Q29" s="30"/>
      <c r="R29" s="30"/>
      <c r="S29" s="30"/>
      <c r="T29" s="30"/>
      <c r="U29" s="30"/>
      <c r="V29" s="30"/>
      <c r="W29" s="30"/>
      <c r="X29" s="30"/>
      <c r="Y29" s="30"/>
      <c r="Z29" s="30"/>
    </row>
    <row r="30" ht="13.5" hidden="1" customHeight="1">
      <c r="A30" s="111">
        <f t="shared" si="5"/>
        <v>30</v>
      </c>
      <c r="B30" s="1070" t="s">
        <v>419</v>
      </c>
      <c r="C30" s="1068"/>
      <c r="D30" s="1068"/>
      <c r="E30" s="1068"/>
      <c r="F30" s="1076">
        <f>' Enrol &amp; Rev'!F35</f>
        <v>25</v>
      </c>
      <c r="G30" s="1076">
        <f>' Enrol &amp; Rev'!G35</f>
        <v>18</v>
      </c>
      <c r="H30" s="1077">
        <f>' Enrol &amp; Rev'!H35</f>
        <v>22</v>
      </c>
      <c r="I30" s="1077">
        <f>' Enrol &amp; Rev'!I35</f>
        <v>33</v>
      </c>
      <c r="J30" s="1077">
        <f>' Enrol &amp; Rev'!J35</f>
        <v>24</v>
      </c>
      <c r="K30" s="1077">
        <f>' Enrol &amp; Rev'!K35</f>
        <v>24</v>
      </c>
      <c r="L30" s="1077">
        <f>' Enrol &amp; Rev'!L35</f>
        <v>24</v>
      </c>
      <c r="M30" s="30"/>
      <c r="N30" s="30"/>
      <c r="O30" s="30"/>
      <c r="P30" s="30"/>
      <c r="Q30" s="30"/>
      <c r="R30" s="30"/>
      <c r="S30" s="30"/>
      <c r="T30" s="30"/>
      <c r="U30" s="30"/>
      <c r="V30" s="30"/>
      <c r="W30" s="30"/>
      <c r="X30" s="30"/>
      <c r="Y30" s="30"/>
      <c r="Z30" s="30"/>
    </row>
    <row r="31" ht="13.5" customHeight="1">
      <c r="A31" s="111">
        <f t="shared" si="5"/>
        <v>31</v>
      </c>
      <c r="B31" s="1078" t="s">
        <v>420</v>
      </c>
      <c r="C31" s="1079"/>
      <c r="D31" s="1079"/>
      <c r="E31" s="1079"/>
      <c r="F31" s="1080">
        <f t="shared" ref="F31:L31" si="6">SUM(F18:F30)</f>
        <v>607</v>
      </c>
      <c r="G31" s="1080">
        <f t="shared" si="6"/>
        <v>632</v>
      </c>
      <c r="H31" s="1080">
        <f t="shared" si="6"/>
        <v>645</v>
      </c>
      <c r="I31" s="1080">
        <f t="shared" si="6"/>
        <v>667</v>
      </c>
      <c r="J31" s="1080">
        <f t="shared" si="6"/>
        <v>673</v>
      </c>
      <c r="K31" s="1080">
        <f t="shared" si="6"/>
        <v>676</v>
      </c>
      <c r="L31" s="1080">
        <f t="shared" si="6"/>
        <v>685</v>
      </c>
      <c r="M31" s="30"/>
      <c r="N31" s="30"/>
      <c r="O31" s="30"/>
      <c r="P31" s="30"/>
      <c r="Q31" s="30"/>
      <c r="R31" s="119"/>
      <c r="S31" s="30"/>
      <c r="T31" s="30"/>
      <c r="U31" s="30"/>
      <c r="V31" s="30"/>
      <c r="W31" s="30"/>
      <c r="X31" s="30"/>
      <c r="Y31" s="30"/>
      <c r="Z31" s="30"/>
    </row>
    <row r="32" ht="13.5" customHeight="1">
      <c r="A32" s="111">
        <f t="shared" si="5"/>
        <v>32</v>
      </c>
      <c r="B32" s="50" t="s">
        <v>854</v>
      </c>
      <c r="C32" s="50"/>
      <c r="D32" s="50"/>
      <c r="E32" s="50"/>
      <c r="F32" s="1081">
        <f t="shared" ref="F32:L32" si="7">IFERROR(F31/F16,0)</f>
        <v>17.85294118</v>
      </c>
      <c r="G32" s="1081">
        <f t="shared" si="7"/>
        <v>26</v>
      </c>
      <c r="H32" s="1081">
        <f t="shared" si="7"/>
        <v>26</v>
      </c>
      <c r="I32" s="1081">
        <f t="shared" si="7"/>
        <v>26</v>
      </c>
      <c r="J32" s="1081">
        <f t="shared" si="7"/>
        <v>26</v>
      </c>
      <c r="K32" s="1081">
        <f t="shared" si="7"/>
        <v>26</v>
      </c>
      <c r="L32" s="1081">
        <f t="shared" si="7"/>
        <v>26</v>
      </c>
      <c r="M32" s="30"/>
      <c r="N32" s="30"/>
      <c r="O32" s="30"/>
      <c r="P32" s="30"/>
      <c r="Q32" s="30"/>
      <c r="R32" s="119"/>
      <c r="S32" s="30"/>
      <c r="T32" s="30"/>
      <c r="U32" s="30"/>
      <c r="V32" s="30"/>
      <c r="W32" s="30"/>
      <c r="X32" s="30"/>
      <c r="Y32" s="30"/>
      <c r="Z32" s="30"/>
    </row>
    <row r="33" ht="13.5" customHeight="1">
      <c r="A33" s="111">
        <f t="shared" si="5"/>
        <v>33</v>
      </c>
      <c r="B33" s="1082" t="s">
        <v>464</v>
      </c>
      <c r="C33" s="50"/>
      <c r="D33" s="50"/>
      <c r="E33" s="50"/>
      <c r="F33" s="1083">
        <f>' Enrol &amp; Rev'!F44</f>
        <v>0.85</v>
      </c>
      <c r="G33" s="1083">
        <f>' Enrol &amp; Rev'!G44</f>
        <v>0.85</v>
      </c>
      <c r="H33" s="1083">
        <f>' Enrol &amp; Rev'!H44</f>
        <v>0.85</v>
      </c>
      <c r="I33" s="1083">
        <f>' Enrol &amp; Rev'!I44</f>
        <v>0.85</v>
      </c>
      <c r="J33" s="1083">
        <f>' Enrol &amp; Rev'!J44</f>
        <v>0.85</v>
      </c>
      <c r="K33" s="1083">
        <f>' Enrol &amp; Rev'!K44</f>
        <v>0.85</v>
      </c>
      <c r="L33" s="1083">
        <f>' Enrol &amp; Rev'!L44</f>
        <v>0.85</v>
      </c>
      <c r="M33" s="30"/>
      <c r="N33" s="30"/>
      <c r="O33" s="30"/>
      <c r="P33" s="30"/>
      <c r="Q33" s="30"/>
      <c r="R33" s="119"/>
      <c r="S33" s="30"/>
      <c r="T33" s="30"/>
      <c r="U33" s="30"/>
      <c r="V33" s="30"/>
      <c r="W33" s="30"/>
      <c r="X33" s="30"/>
      <c r="Y33" s="30"/>
      <c r="Z33" s="30"/>
    </row>
    <row r="34" ht="13.5" customHeight="1">
      <c r="A34" s="111">
        <f t="shared" si="5"/>
        <v>34</v>
      </c>
      <c r="B34" s="1082" t="s">
        <v>855</v>
      </c>
      <c r="C34" s="50"/>
      <c r="D34" s="50"/>
      <c r="E34" s="50"/>
      <c r="F34" s="1084">
        <f t="shared" ref="F34:L34" si="8">+F31*(1-F33)</f>
        <v>91.05</v>
      </c>
      <c r="G34" s="1084">
        <f t="shared" si="8"/>
        <v>94.8</v>
      </c>
      <c r="H34" s="1084">
        <f t="shared" si="8"/>
        <v>96.75</v>
      </c>
      <c r="I34" s="1084">
        <f t="shared" si="8"/>
        <v>100.05</v>
      </c>
      <c r="J34" s="1084">
        <f t="shared" si="8"/>
        <v>100.95</v>
      </c>
      <c r="K34" s="1084">
        <f t="shared" si="8"/>
        <v>101.4</v>
      </c>
      <c r="L34" s="1084">
        <f t="shared" si="8"/>
        <v>102.75</v>
      </c>
      <c r="M34" s="30"/>
      <c r="N34" s="30"/>
      <c r="O34" s="30"/>
      <c r="P34" s="30"/>
      <c r="Q34" s="30"/>
      <c r="R34" s="119"/>
      <c r="S34" s="30"/>
      <c r="T34" s="30"/>
      <c r="U34" s="30"/>
      <c r="V34" s="30"/>
      <c r="W34" s="30"/>
      <c r="X34" s="30"/>
      <c r="Y34" s="30"/>
      <c r="Z34" s="30"/>
    </row>
    <row r="35" ht="13.5" customHeight="1">
      <c r="A35" s="111">
        <f t="shared" si="5"/>
        <v>35</v>
      </c>
      <c r="B35" s="1082"/>
      <c r="C35" s="50"/>
      <c r="D35" s="50"/>
      <c r="E35" s="50"/>
      <c r="F35" s="1085"/>
      <c r="G35" s="1084"/>
      <c r="H35" s="1084"/>
      <c r="I35" s="1084"/>
      <c r="J35" s="1084"/>
      <c r="K35" s="1084"/>
      <c r="L35" s="1084"/>
      <c r="M35" s="30"/>
      <c r="N35" s="30"/>
      <c r="O35" s="30"/>
      <c r="P35" s="30"/>
      <c r="Q35" s="30"/>
      <c r="R35" s="119"/>
      <c r="S35" s="30"/>
      <c r="T35" s="30"/>
      <c r="U35" s="30"/>
      <c r="V35" s="30"/>
      <c r="W35" s="30"/>
      <c r="X35" s="30"/>
      <c r="Y35" s="30"/>
      <c r="Z35" s="30"/>
    </row>
    <row r="36" ht="13.5" customHeight="1">
      <c r="A36" s="111">
        <f t="shared" si="5"/>
        <v>36</v>
      </c>
      <c r="B36" s="50" t="s">
        <v>856</v>
      </c>
      <c r="C36" s="50"/>
      <c r="D36" s="50"/>
      <c r="E36" s="50"/>
      <c r="F36" s="1083">
        <f>' Enrol &amp; Rev'!F92</f>
        <v>0.44</v>
      </c>
      <c r="G36" s="1083">
        <f>' Enrol &amp; Rev'!G92</f>
        <v>0.44</v>
      </c>
      <c r="H36" s="1083">
        <f>' Enrol &amp; Rev'!H92</f>
        <v>0.44</v>
      </c>
      <c r="I36" s="1083">
        <f>' Enrol &amp; Rev'!I92</f>
        <v>0.44</v>
      </c>
      <c r="J36" s="1083">
        <f>' Enrol &amp; Rev'!J92</f>
        <v>0.44</v>
      </c>
      <c r="K36" s="1083">
        <f>' Enrol &amp; Rev'!K92</f>
        <v>0.44</v>
      </c>
      <c r="L36" s="1083">
        <f>' Enrol &amp; Rev'!L92</f>
        <v>0.44</v>
      </c>
      <c r="M36" s="30"/>
      <c r="N36" s="30"/>
      <c r="O36" s="30"/>
      <c r="P36" s="30"/>
      <c r="Q36" s="30"/>
      <c r="R36" s="119"/>
      <c r="S36" s="30"/>
      <c r="T36" s="30"/>
      <c r="U36" s="30"/>
      <c r="V36" s="30"/>
      <c r="W36" s="30"/>
      <c r="X36" s="30"/>
      <c r="Y36" s="30"/>
      <c r="Z36" s="30"/>
    </row>
    <row r="37" ht="13.5" customHeight="1">
      <c r="A37" s="111">
        <f t="shared" si="5"/>
        <v>37</v>
      </c>
      <c r="B37" s="50" t="s">
        <v>857</v>
      </c>
      <c r="C37" s="50"/>
      <c r="D37" s="50"/>
      <c r="E37" s="50"/>
      <c r="F37" s="1086">
        <f t="shared" ref="F37:L37" si="9">+F$31*F36</f>
        <v>267.08</v>
      </c>
      <c r="G37" s="1086">
        <f t="shared" si="9"/>
        <v>278.08</v>
      </c>
      <c r="H37" s="1086">
        <f t="shared" si="9"/>
        <v>283.8</v>
      </c>
      <c r="I37" s="1086">
        <f t="shared" si="9"/>
        <v>293.48</v>
      </c>
      <c r="J37" s="1086">
        <f t="shared" si="9"/>
        <v>296.12</v>
      </c>
      <c r="K37" s="1086">
        <f t="shared" si="9"/>
        <v>297.44</v>
      </c>
      <c r="L37" s="1086">
        <f t="shared" si="9"/>
        <v>301.4</v>
      </c>
      <c r="M37" s="30"/>
      <c r="N37" s="30"/>
      <c r="O37" s="30"/>
      <c r="P37" s="30"/>
      <c r="Q37" s="30"/>
      <c r="R37" s="119"/>
      <c r="S37" s="30"/>
      <c r="T37" s="30"/>
      <c r="U37" s="30"/>
      <c r="V37" s="30"/>
      <c r="W37" s="30"/>
      <c r="X37" s="30"/>
      <c r="Y37" s="30"/>
      <c r="Z37" s="30"/>
    </row>
    <row r="38" ht="13.5" customHeight="1">
      <c r="A38" s="111">
        <f t="shared" si="5"/>
        <v>38</v>
      </c>
      <c r="B38" s="50" t="s">
        <v>506</v>
      </c>
      <c r="C38" s="50"/>
      <c r="D38" s="50"/>
      <c r="E38" s="50"/>
      <c r="F38" s="1083">
        <f>' Enrol &amp; Rev'!F93</f>
        <v>0.04</v>
      </c>
      <c r="G38" s="1083">
        <f>' Enrol &amp; Rev'!G93</f>
        <v>0.0395</v>
      </c>
      <c r="H38" s="1083">
        <f>' Enrol &amp; Rev'!H93</f>
        <v>0.0395</v>
      </c>
      <c r="I38" s="1083">
        <f>' Enrol &amp; Rev'!I93</f>
        <v>0.0395</v>
      </c>
      <c r="J38" s="1083">
        <f>' Enrol &amp; Rev'!J93</f>
        <v>0.0395</v>
      </c>
      <c r="K38" s="1083">
        <f>' Enrol &amp; Rev'!K93</f>
        <v>0.0395</v>
      </c>
      <c r="L38" s="1083">
        <f>' Enrol &amp; Rev'!L93</f>
        <v>0.0395</v>
      </c>
      <c r="M38" s="30"/>
      <c r="N38" s="30"/>
      <c r="O38" s="30"/>
      <c r="P38" s="30"/>
      <c r="Q38" s="30"/>
      <c r="R38" s="119"/>
      <c r="S38" s="30"/>
      <c r="T38" s="30"/>
      <c r="U38" s="30"/>
      <c r="V38" s="30"/>
      <c r="W38" s="30"/>
      <c r="X38" s="30"/>
      <c r="Y38" s="30"/>
      <c r="Z38" s="30"/>
    </row>
    <row r="39" ht="13.5" customHeight="1">
      <c r="A39" s="111">
        <f t="shared" si="5"/>
        <v>39</v>
      </c>
      <c r="B39" s="50" t="s">
        <v>858</v>
      </c>
      <c r="C39" s="50"/>
      <c r="D39" s="50"/>
      <c r="E39" s="50"/>
      <c r="F39" s="1086">
        <f t="shared" ref="F39:L39" si="10">+F$31*F38</f>
        <v>24.28</v>
      </c>
      <c r="G39" s="1086">
        <f t="shared" si="10"/>
        <v>24.964</v>
      </c>
      <c r="H39" s="1086">
        <f t="shared" si="10"/>
        <v>25.4775</v>
      </c>
      <c r="I39" s="1086">
        <f t="shared" si="10"/>
        <v>26.3465</v>
      </c>
      <c r="J39" s="1086">
        <f t="shared" si="10"/>
        <v>26.5835</v>
      </c>
      <c r="K39" s="1086">
        <f t="shared" si="10"/>
        <v>26.702</v>
      </c>
      <c r="L39" s="1086">
        <f t="shared" si="10"/>
        <v>27.0575</v>
      </c>
      <c r="M39" s="30"/>
      <c r="N39" s="30"/>
      <c r="O39" s="30"/>
      <c r="P39" s="30"/>
      <c r="Q39" s="30"/>
      <c r="R39" s="119"/>
      <c r="S39" s="30"/>
      <c r="T39" s="30"/>
      <c r="U39" s="30"/>
      <c r="V39" s="30"/>
      <c r="W39" s="30"/>
      <c r="X39" s="30"/>
      <c r="Y39" s="30"/>
      <c r="Z39" s="30"/>
    </row>
    <row r="40" ht="13.5" customHeight="1">
      <c r="A40" s="111">
        <f t="shared" si="5"/>
        <v>40</v>
      </c>
      <c r="B40" s="50" t="s">
        <v>507</v>
      </c>
      <c r="C40" s="50"/>
      <c r="D40" s="50"/>
      <c r="E40" s="50"/>
      <c r="F40" s="1083">
        <f>' Enrol &amp; Rev'!F94</f>
        <v>0.12</v>
      </c>
      <c r="G40" s="1083">
        <f>' Enrol &amp; Rev'!G94</f>
        <v>0.11</v>
      </c>
      <c r="H40" s="1083">
        <f>' Enrol &amp; Rev'!H94</f>
        <v>0.11</v>
      </c>
      <c r="I40" s="1083">
        <f>' Enrol &amp; Rev'!I94</f>
        <v>0.11</v>
      </c>
      <c r="J40" s="1083">
        <f>' Enrol &amp; Rev'!J94</f>
        <v>0.11</v>
      </c>
      <c r="K40" s="1083">
        <f>' Enrol &amp; Rev'!K94</f>
        <v>0.11</v>
      </c>
      <c r="L40" s="1083">
        <f>' Enrol &amp; Rev'!L94</f>
        <v>0.11</v>
      </c>
      <c r="M40" s="30"/>
      <c r="N40" s="30"/>
      <c r="O40" s="30"/>
      <c r="P40" s="30"/>
      <c r="Q40" s="30"/>
      <c r="R40" s="119"/>
      <c r="S40" s="30"/>
      <c r="T40" s="30"/>
      <c r="U40" s="30"/>
      <c r="V40" s="30"/>
      <c r="W40" s="30"/>
      <c r="X40" s="30"/>
      <c r="Y40" s="30"/>
      <c r="Z40" s="30"/>
    </row>
    <row r="41" ht="13.5" customHeight="1">
      <c r="A41" s="111">
        <f t="shared" si="5"/>
        <v>41</v>
      </c>
      <c r="B41" s="50" t="s">
        <v>508</v>
      </c>
      <c r="C41" s="50"/>
      <c r="D41" s="50"/>
      <c r="E41" s="50"/>
      <c r="F41" s="1086">
        <f t="shared" ref="F41:L41" si="11">+F$31*F40</f>
        <v>72.84</v>
      </c>
      <c r="G41" s="1086">
        <f t="shared" si="11"/>
        <v>69.52</v>
      </c>
      <c r="H41" s="1086">
        <f t="shared" si="11"/>
        <v>70.95</v>
      </c>
      <c r="I41" s="1086">
        <f t="shared" si="11"/>
        <v>73.37</v>
      </c>
      <c r="J41" s="1086">
        <f t="shared" si="11"/>
        <v>74.03</v>
      </c>
      <c r="K41" s="1086">
        <f t="shared" si="11"/>
        <v>74.36</v>
      </c>
      <c r="L41" s="1086">
        <f t="shared" si="11"/>
        <v>75.35</v>
      </c>
      <c r="M41" s="30"/>
      <c r="N41" s="30"/>
      <c r="O41" s="30"/>
      <c r="P41" s="30"/>
      <c r="Q41" s="30"/>
      <c r="R41" s="119"/>
      <c r="S41" s="30"/>
      <c r="T41" s="30"/>
      <c r="U41" s="30"/>
      <c r="V41" s="30"/>
      <c r="W41" s="30"/>
      <c r="X41" s="30"/>
      <c r="Y41" s="30"/>
      <c r="Z41" s="30"/>
    </row>
    <row r="42" ht="13.5" customHeight="1">
      <c r="A42" s="111">
        <f t="shared" si="5"/>
        <v>42</v>
      </c>
      <c r="B42" s="50"/>
      <c r="C42" s="50"/>
      <c r="D42" s="50"/>
      <c r="E42" s="50"/>
      <c r="F42" s="1087"/>
      <c r="G42" s="1088"/>
      <c r="H42" s="1088"/>
      <c r="I42" s="1088"/>
      <c r="J42" s="1088"/>
      <c r="K42" s="1088"/>
      <c r="L42" s="1088"/>
      <c r="M42" s="30"/>
      <c r="N42" s="30"/>
      <c r="O42" s="30"/>
      <c r="P42" s="30"/>
      <c r="Q42" s="30"/>
      <c r="R42" s="119"/>
      <c r="S42" s="30"/>
      <c r="T42" s="30"/>
      <c r="U42" s="30"/>
      <c r="V42" s="30"/>
      <c r="W42" s="30"/>
      <c r="X42" s="30"/>
      <c r="Y42" s="30"/>
      <c r="Z42" s="30"/>
    </row>
    <row r="43" ht="13.5" customHeight="1">
      <c r="A43" s="111">
        <f t="shared" si="5"/>
        <v>43</v>
      </c>
      <c r="B43" s="50"/>
      <c r="C43" s="50"/>
      <c r="D43" s="50"/>
      <c r="E43" s="50"/>
      <c r="F43" s="1087"/>
      <c r="G43" s="1089"/>
      <c r="H43" s="1089"/>
      <c r="I43" s="1089"/>
      <c r="J43" s="1089"/>
      <c r="K43" s="1089"/>
      <c r="L43" s="1089"/>
      <c r="M43" s="30"/>
      <c r="N43" s="30"/>
      <c r="O43" s="30"/>
      <c r="P43" s="30"/>
      <c r="Q43" s="30"/>
      <c r="R43" s="119"/>
      <c r="S43" s="30"/>
      <c r="T43" s="30"/>
      <c r="U43" s="30"/>
      <c r="V43" s="30"/>
      <c r="W43" s="30"/>
      <c r="X43" s="30"/>
      <c r="Y43" s="30"/>
      <c r="Z43" s="30"/>
    </row>
    <row r="44" ht="13.5" customHeight="1">
      <c r="A44" s="111">
        <f t="shared" si="5"/>
        <v>44</v>
      </c>
      <c r="B44" s="579"/>
      <c r="C44" s="579"/>
      <c r="D44" s="579"/>
      <c r="E44" s="579"/>
      <c r="F44" s="791"/>
      <c r="G44" s="1090"/>
      <c r="H44" s="1090"/>
      <c r="I44" s="1090"/>
      <c r="J44" s="1091"/>
      <c r="K44" s="1091"/>
      <c r="L44" s="1091"/>
      <c r="M44" s="685"/>
      <c r="N44" s="685"/>
      <c r="O44" s="685"/>
      <c r="P44" s="685"/>
      <c r="Q44" s="685"/>
      <c r="R44" s="119"/>
      <c r="S44" s="30"/>
      <c r="T44" s="30"/>
      <c r="U44" s="30"/>
      <c r="V44" s="30"/>
      <c r="W44" s="30"/>
      <c r="X44" s="30"/>
      <c r="Y44" s="30"/>
      <c r="Z44" s="30"/>
    </row>
    <row r="45" ht="13.5" customHeight="1">
      <c r="A45" s="111">
        <f t="shared" si="5"/>
        <v>45</v>
      </c>
      <c r="B45" s="787" t="s">
        <v>184</v>
      </c>
      <c r="C45" s="1079">
        <f>SUM(G45:L45)</f>
        <v>42604785.75</v>
      </c>
      <c r="D45" s="1079"/>
      <c r="E45" s="1079"/>
      <c r="F45" s="1092">
        <f>' Enrol &amp; Rev'!F145</f>
        <v>6431812.88</v>
      </c>
      <c r="G45" s="1093">
        <f>' Enrol &amp; Rev'!G145</f>
        <v>6792118.003</v>
      </c>
      <c r="H45" s="1093">
        <f>' Enrol &amp; Rev'!H145</f>
        <v>6917370.748</v>
      </c>
      <c r="I45" s="1093">
        <f>' Enrol &amp; Rev'!I145</f>
        <v>7139336.931</v>
      </c>
      <c r="J45" s="1093">
        <f>' Enrol &amp; Rev'!J145</f>
        <v>7197145.89</v>
      </c>
      <c r="K45" s="1093">
        <f>' Enrol &amp; Rev'!K145</f>
        <v>7236050.369</v>
      </c>
      <c r="L45" s="1093">
        <f>' Enrol &amp; Rev'!L145</f>
        <v>7322763.808</v>
      </c>
      <c r="M45" s="30"/>
      <c r="N45" s="30"/>
      <c r="O45" s="30"/>
      <c r="P45" s="30"/>
      <c r="Q45" s="30"/>
      <c r="R45" s="119"/>
      <c r="S45" s="30"/>
      <c r="T45" s="30"/>
      <c r="U45" s="30"/>
      <c r="V45" s="30"/>
      <c r="W45" s="30"/>
      <c r="X45" s="30"/>
      <c r="Y45" s="30"/>
      <c r="Z45" s="30"/>
    </row>
    <row r="46" ht="13.5" customHeight="1">
      <c r="A46" s="111">
        <f t="shared" si="5"/>
        <v>46</v>
      </c>
      <c r="B46" s="50" t="s">
        <v>859</v>
      </c>
      <c r="C46" s="1094"/>
      <c r="D46" s="1094"/>
      <c r="E46" s="1094"/>
      <c r="F46" s="1087">
        <f t="shared" ref="F46:L46" si="12">IFERROR(F45/F31,0)</f>
        <v>10596.06735</v>
      </c>
      <c r="G46" s="1095">
        <f t="shared" si="12"/>
        <v>10747.02216</v>
      </c>
      <c r="H46" s="1095">
        <f t="shared" si="12"/>
        <v>10724.60581</v>
      </c>
      <c r="I46" s="1095">
        <f t="shared" si="12"/>
        <v>10703.65357</v>
      </c>
      <c r="J46" s="1095">
        <f t="shared" si="12"/>
        <v>10694.12465</v>
      </c>
      <c r="K46" s="1095">
        <f t="shared" si="12"/>
        <v>10704.21652</v>
      </c>
      <c r="L46" s="1095">
        <f t="shared" si="12"/>
        <v>10690.16614</v>
      </c>
      <c r="M46" s="30"/>
      <c r="N46" s="30"/>
      <c r="O46" s="30"/>
      <c r="P46" s="30"/>
      <c r="Q46" s="30"/>
      <c r="R46" s="119"/>
      <c r="S46" s="30"/>
      <c r="T46" s="30"/>
      <c r="U46" s="30"/>
      <c r="V46" s="30"/>
      <c r="W46" s="30"/>
      <c r="X46" s="30"/>
      <c r="Y46" s="30"/>
      <c r="Z46" s="30"/>
    </row>
    <row r="47" ht="13.5" customHeight="1">
      <c r="A47" s="111">
        <f t="shared" si="5"/>
        <v>47</v>
      </c>
      <c r="B47" s="50" t="s">
        <v>860</v>
      </c>
      <c r="C47" s="1094">
        <f>SUM(G47:L47)</f>
        <v>6387868.232</v>
      </c>
      <c r="D47" s="1094"/>
      <c r="E47" s="1094"/>
      <c r="F47" s="1087">
        <f>Levers!C16</f>
        <v>957790.0638</v>
      </c>
      <c r="G47" s="1095">
        <f>Levers!D16</f>
        <v>987017.4218</v>
      </c>
      <c r="H47" s="1095">
        <f>Levers!E16</f>
        <v>1016875.16</v>
      </c>
      <c r="I47" s="1095">
        <f>Levers!F16</f>
        <v>1047727.77</v>
      </c>
      <c r="J47" s="1095">
        <f>Levers!G16</f>
        <v>1079275.111</v>
      </c>
      <c r="K47" s="1095">
        <f>Levers!H16</f>
        <v>1111715.169</v>
      </c>
      <c r="L47" s="1095">
        <f>Levers!I16</f>
        <v>1145257.601</v>
      </c>
      <c r="M47" s="30"/>
      <c r="N47" s="30"/>
      <c r="O47" s="30"/>
      <c r="P47" s="30"/>
      <c r="Q47" s="30"/>
      <c r="R47" s="119"/>
      <c r="S47" s="30"/>
      <c r="T47" s="30"/>
      <c r="U47" s="30"/>
      <c r="V47" s="30"/>
      <c r="W47" s="30"/>
      <c r="X47" s="30"/>
      <c r="Y47" s="30"/>
      <c r="Z47" s="30"/>
    </row>
    <row r="48" ht="13.5" customHeight="1">
      <c r="A48" s="111">
        <f t="shared" si="5"/>
        <v>48</v>
      </c>
      <c r="B48" s="50" t="s">
        <v>861</v>
      </c>
      <c r="C48" s="1094">
        <f>Levers!$B$17</f>
        <v>1602.106499</v>
      </c>
      <c r="D48" s="1094"/>
      <c r="E48" s="1094"/>
      <c r="F48" s="1087"/>
      <c r="G48" s="1095">
        <f>Levers!D17</f>
        <v>1561.736427</v>
      </c>
      <c r="H48" s="1095">
        <f>Levers!E17</f>
        <v>1576.550636</v>
      </c>
      <c r="I48" s="1095">
        <f>Levers!F17</f>
        <v>1570.806252</v>
      </c>
      <c r="J48" s="1095">
        <f>Levers!G17</f>
        <v>1603.677728</v>
      </c>
      <c r="K48" s="1095">
        <f>Levers!H17</f>
        <v>1644.549066</v>
      </c>
      <c r="L48" s="1095">
        <f>Levers!I17</f>
        <v>1671.908906</v>
      </c>
      <c r="M48" s="30"/>
      <c r="N48" s="30"/>
      <c r="O48" s="30"/>
      <c r="P48" s="30"/>
      <c r="Q48" s="30"/>
      <c r="R48" s="119"/>
      <c r="S48" s="30"/>
      <c r="T48" s="30"/>
      <c r="U48" s="30"/>
      <c r="V48" s="30"/>
      <c r="W48" s="30"/>
      <c r="X48" s="30"/>
      <c r="Y48" s="30"/>
      <c r="Z48" s="30"/>
    </row>
    <row r="49" ht="13.5" customHeight="1">
      <c r="A49" s="111">
        <f t="shared" si="5"/>
        <v>49</v>
      </c>
      <c r="B49" s="50" t="s">
        <v>862</v>
      </c>
      <c r="C49" s="1094">
        <f>SUM(G49:L49)</f>
        <v>36216917.51</v>
      </c>
      <c r="D49" s="1094"/>
      <c r="E49" s="1094"/>
      <c r="F49" s="1087">
        <f>Levers!C18</f>
        <v>5474022.816</v>
      </c>
      <c r="G49" s="1095">
        <f>Levers!D18</f>
        <v>5805100.581</v>
      </c>
      <c r="H49" s="1095">
        <f>Levers!E18</f>
        <v>5900495.587</v>
      </c>
      <c r="I49" s="1095">
        <f>Levers!F18</f>
        <v>6091609.16</v>
      </c>
      <c r="J49" s="1095">
        <f>Levers!G18</f>
        <v>6117870.779</v>
      </c>
      <c r="K49" s="1095">
        <f>Levers!H18</f>
        <v>6124335.2</v>
      </c>
      <c r="L49" s="1095">
        <f>Levers!I18</f>
        <v>6177506.207</v>
      </c>
      <c r="M49" s="30"/>
      <c r="N49" s="30"/>
      <c r="O49" s="30"/>
      <c r="P49" s="30"/>
      <c r="Q49" s="30"/>
      <c r="R49" s="119"/>
      <c r="S49" s="30"/>
      <c r="T49" s="30"/>
      <c r="U49" s="30"/>
      <c r="V49" s="30"/>
      <c r="W49" s="30"/>
      <c r="X49" s="30"/>
      <c r="Y49" s="30"/>
      <c r="Z49" s="30"/>
    </row>
    <row r="50" ht="13.5" customHeight="1">
      <c r="A50" s="111">
        <f t="shared" si="5"/>
        <v>50</v>
      </c>
      <c r="B50" s="50" t="s">
        <v>863</v>
      </c>
      <c r="C50" s="1094">
        <f>Levers!$B$19</f>
        <v>9092.898654</v>
      </c>
      <c r="D50" s="1094"/>
      <c r="E50" s="1094"/>
      <c r="F50" s="1087">
        <f>Levers!C19</f>
        <v>9018.1595</v>
      </c>
      <c r="G50" s="1095">
        <f>Levers!D19</f>
        <v>9185.28573</v>
      </c>
      <c r="H50" s="1095">
        <f>Levers!E19</f>
        <v>9148.055174</v>
      </c>
      <c r="I50" s="1095">
        <f>Levers!F19</f>
        <v>9132.847316</v>
      </c>
      <c r="J50" s="1095">
        <f>Levers!G19</f>
        <v>9090.446922</v>
      </c>
      <c r="K50" s="1095">
        <f>Levers!H19</f>
        <v>9059.667456</v>
      </c>
      <c r="L50" s="1095">
        <f>Levers!I19</f>
        <v>9018.257236</v>
      </c>
      <c r="M50" s="30"/>
      <c r="N50" s="30"/>
      <c r="O50" s="30"/>
      <c r="P50" s="30"/>
      <c r="Q50" s="30"/>
      <c r="R50" s="119"/>
      <c r="S50" s="30"/>
      <c r="T50" s="30"/>
      <c r="U50" s="30"/>
      <c r="V50" s="30"/>
      <c r="W50" s="30"/>
      <c r="X50" s="30"/>
      <c r="Y50" s="30"/>
      <c r="Z50" s="30"/>
    </row>
    <row r="51" ht="13.5" customHeight="1">
      <c r="A51" s="111">
        <f t="shared" si="5"/>
        <v>51</v>
      </c>
      <c r="B51" s="50" t="s">
        <v>633</v>
      </c>
      <c r="C51" s="1094">
        <f>Levers!B38</f>
        <v>1869434.156</v>
      </c>
      <c r="D51" s="1094"/>
      <c r="E51" s="1094"/>
      <c r="F51" s="1087">
        <f>Levers!C38</f>
        <v>26180.0113</v>
      </c>
      <c r="G51" s="1095">
        <f>Levers!D38</f>
        <v>239028.9313</v>
      </c>
      <c r="H51" s="1095">
        <f>Levers!E38</f>
        <v>243129.4016</v>
      </c>
      <c r="I51" s="1095">
        <f>Levers!F38</f>
        <v>431611.6831</v>
      </c>
      <c r="J51" s="1095">
        <f>Levers!G38</f>
        <v>378880.2193</v>
      </c>
      <c r="K51" s="1095">
        <f>Levers!H38</f>
        <v>295358.2485</v>
      </c>
      <c r="L51" s="1095">
        <f>Levers!I38</f>
        <v>255245.6612</v>
      </c>
      <c r="M51" s="30"/>
      <c r="N51" s="30"/>
      <c r="O51" s="30"/>
      <c r="P51" s="30"/>
      <c r="Q51" s="30"/>
      <c r="R51" s="119"/>
      <c r="S51" s="30"/>
      <c r="T51" s="30"/>
      <c r="U51" s="30"/>
      <c r="V51" s="30"/>
      <c r="W51" s="30"/>
      <c r="X51" s="30"/>
      <c r="Y51" s="30"/>
      <c r="Z51" s="30"/>
    </row>
    <row r="52" ht="13.5" customHeight="1">
      <c r="A52" s="111">
        <f t="shared" si="5"/>
        <v>52</v>
      </c>
      <c r="B52" s="50" t="s">
        <v>634</v>
      </c>
      <c r="C52" s="1094">
        <f>Levers!B39</f>
        <v>407.7282784</v>
      </c>
      <c r="D52" s="1094"/>
      <c r="E52" s="1094"/>
      <c r="F52" s="1087">
        <f>Levers!C39</f>
        <v>43.13016689</v>
      </c>
      <c r="G52" s="1095">
        <f>Levers!D39</f>
        <v>378.2103344</v>
      </c>
      <c r="H52" s="1095">
        <f>Levers!E39</f>
        <v>376.9448086</v>
      </c>
      <c r="I52" s="1095">
        <f>Levers!F39</f>
        <v>647.0939777</v>
      </c>
      <c r="J52" s="1095">
        <f>Levers!G39</f>
        <v>562.972094</v>
      </c>
      <c r="K52" s="1095">
        <f>Levers!H39</f>
        <v>436.9204859</v>
      </c>
      <c r="L52" s="1095">
        <f>Levers!I39</f>
        <v>372.6214032</v>
      </c>
      <c r="M52" s="30"/>
      <c r="N52" s="30"/>
      <c r="O52" s="30"/>
      <c r="P52" s="30"/>
      <c r="Q52" s="30"/>
      <c r="R52" s="119"/>
      <c r="S52" s="30"/>
      <c r="T52" s="30"/>
      <c r="U52" s="30"/>
      <c r="V52" s="30"/>
      <c r="W52" s="30"/>
      <c r="X52" s="30"/>
      <c r="Y52" s="30"/>
      <c r="Z52" s="30"/>
    </row>
    <row r="53" ht="13.5" customHeight="1">
      <c r="A53" s="111">
        <f t="shared" si="5"/>
        <v>53</v>
      </c>
      <c r="B53" s="63"/>
      <c r="C53" s="63"/>
      <c r="D53" s="63"/>
      <c r="E53" s="63"/>
      <c r="F53" s="211"/>
      <c r="G53" s="211"/>
      <c r="H53" s="211"/>
      <c r="I53" s="211"/>
      <c r="J53" s="211"/>
      <c r="K53" s="211"/>
      <c r="L53" s="211"/>
      <c r="M53" s="30"/>
      <c r="N53" s="30"/>
      <c r="O53" s="30"/>
      <c r="P53" s="30"/>
      <c r="Q53" s="30"/>
      <c r="R53" s="119"/>
      <c r="S53" s="30"/>
      <c r="T53" s="30"/>
      <c r="U53" s="30"/>
      <c r="V53" s="30"/>
      <c r="W53" s="30"/>
      <c r="X53" s="30"/>
      <c r="Y53" s="30"/>
      <c r="Z53" s="30"/>
    </row>
    <row r="54" ht="13.5" customHeight="1">
      <c r="A54" s="111">
        <f t="shared" si="5"/>
        <v>54</v>
      </c>
      <c r="B54" s="36" t="s">
        <v>864</v>
      </c>
      <c r="C54" s="36"/>
      <c r="D54" s="36"/>
      <c r="E54" s="531"/>
      <c r="F54" s="1066"/>
      <c r="G54" s="1096"/>
      <c r="H54" s="1096"/>
      <c r="I54" s="1096"/>
      <c r="J54" s="1096"/>
      <c r="K54" s="1096"/>
      <c r="L54" s="1096"/>
      <c r="M54" s="679"/>
      <c r="N54" s="460"/>
      <c r="O54" s="460"/>
      <c r="P54" s="30"/>
      <c r="Q54" s="30"/>
      <c r="R54" s="119"/>
      <c r="S54" s="30"/>
      <c r="T54" s="30"/>
      <c r="U54" s="30"/>
      <c r="V54" s="30"/>
      <c r="W54" s="30"/>
      <c r="X54" s="30"/>
      <c r="Y54" s="30"/>
      <c r="Z54" s="30"/>
    </row>
    <row r="55" ht="13.5" customHeight="1">
      <c r="A55" s="111">
        <f t="shared" si="5"/>
        <v>55</v>
      </c>
      <c r="B55" s="30" t="s">
        <v>652</v>
      </c>
      <c r="C55" s="30"/>
      <c r="D55" s="30"/>
      <c r="E55" s="477"/>
      <c r="F55" s="133">
        <f>+Staff!G17</f>
        <v>3</v>
      </c>
      <c r="G55" s="1097">
        <f>+Staff!H17</f>
        <v>3</v>
      </c>
      <c r="H55" s="1097">
        <f>+Staff!I17</f>
        <v>3</v>
      </c>
      <c r="I55" s="1097">
        <f>+Staff!J17</f>
        <v>3</v>
      </c>
      <c r="J55" s="1097">
        <f>+Staff!K17</f>
        <v>3</v>
      </c>
      <c r="K55" s="1097">
        <f>+Staff!L17</f>
        <v>3</v>
      </c>
      <c r="L55" s="1097">
        <f>+Staff!M17</f>
        <v>3</v>
      </c>
      <c r="M55" s="679"/>
      <c r="N55" s="460"/>
      <c r="O55" s="460"/>
      <c r="P55" s="30"/>
      <c r="Q55" s="30"/>
      <c r="R55" s="119"/>
      <c r="S55" s="30"/>
      <c r="T55" s="30"/>
      <c r="U55" s="30"/>
      <c r="V55" s="30"/>
      <c r="W55" s="30"/>
      <c r="X55" s="30"/>
      <c r="Y55" s="30"/>
      <c r="Z55" s="30"/>
    </row>
    <row r="56" ht="13.5" customHeight="1">
      <c r="A56" s="111">
        <f t="shared" si="5"/>
        <v>56</v>
      </c>
      <c r="B56" s="50" t="s">
        <v>653</v>
      </c>
      <c r="C56" s="50"/>
      <c r="D56" s="50"/>
      <c r="E56" s="1098"/>
      <c r="F56" s="1095">
        <f>+Staff!G18</f>
        <v>4</v>
      </c>
      <c r="G56" s="1099">
        <f>+Staff!H18</f>
        <v>4</v>
      </c>
      <c r="H56" s="1099">
        <f>+Staff!I18</f>
        <v>4</v>
      </c>
      <c r="I56" s="1099">
        <f>+Staff!J18</f>
        <v>4</v>
      </c>
      <c r="J56" s="1099">
        <f>+Staff!K18</f>
        <v>4</v>
      </c>
      <c r="K56" s="1099">
        <f>+Staff!L18</f>
        <v>4</v>
      </c>
      <c r="L56" s="1099">
        <f>+Staff!M18</f>
        <v>4</v>
      </c>
      <c r="M56" s="679"/>
      <c r="N56" s="460"/>
      <c r="O56" s="460"/>
      <c r="P56" s="30"/>
      <c r="Q56" s="30"/>
      <c r="R56" s="119"/>
      <c r="S56" s="30"/>
      <c r="T56" s="30"/>
      <c r="U56" s="30"/>
      <c r="V56" s="30"/>
      <c r="W56" s="30"/>
      <c r="X56" s="30"/>
      <c r="Y56" s="30"/>
      <c r="Z56" s="30"/>
    </row>
    <row r="57" ht="13.5" customHeight="1">
      <c r="A57" s="111">
        <f t="shared" si="5"/>
        <v>57</v>
      </c>
      <c r="B57" s="50" t="s">
        <v>654</v>
      </c>
      <c r="C57" s="50"/>
      <c r="D57" s="50"/>
      <c r="E57" s="1098"/>
      <c r="F57" s="1095">
        <f>+Staff!G19</f>
        <v>2</v>
      </c>
      <c r="G57" s="1099">
        <f>+Staff!H19</f>
        <v>2</v>
      </c>
      <c r="H57" s="1099">
        <f>+Staff!I19</f>
        <v>2</v>
      </c>
      <c r="I57" s="1099">
        <f>+Staff!J19</f>
        <v>2</v>
      </c>
      <c r="J57" s="1099">
        <f>+Staff!K19</f>
        <v>2</v>
      </c>
      <c r="K57" s="1099">
        <f>+Staff!L19</f>
        <v>2</v>
      </c>
      <c r="L57" s="1099">
        <f>+Staff!M19</f>
        <v>2</v>
      </c>
      <c r="M57" s="679"/>
      <c r="N57" s="460"/>
      <c r="O57" s="460"/>
      <c r="P57" s="30"/>
      <c r="Q57" s="30"/>
      <c r="R57" s="119"/>
      <c r="S57" s="30"/>
      <c r="T57" s="30"/>
      <c r="U57" s="30"/>
      <c r="V57" s="30"/>
      <c r="W57" s="30"/>
      <c r="X57" s="30"/>
      <c r="Y57" s="30"/>
      <c r="Z57" s="30"/>
    </row>
    <row r="58" ht="13.5" customHeight="1">
      <c r="A58" s="111">
        <f t="shared" si="5"/>
        <v>58</v>
      </c>
      <c r="B58" s="50" t="s">
        <v>655</v>
      </c>
      <c r="C58" s="50"/>
      <c r="D58" s="50"/>
      <c r="E58" s="1098"/>
      <c r="F58" s="1095">
        <f>+Staff!G20</f>
        <v>1</v>
      </c>
      <c r="G58" s="1099">
        <f>+Staff!H20</f>
        <v>1</v>
      </c>
      <c r="H58" s="1099">
        <f>+Staff!I20</f>
        <v>1</v>
      </c>
      <c r="I58" s="1099">
        <f>+Staff!J20</f>
        <v>1</v>
      </c>
      <c r="J58" s="1099">
        <f>+Staff!K20</f>
        <v>1</v>
      </c>
      <c r="K58" s="1099">
        <f>+Staff!L20</f>
        <v>1</v>
      </c>
      <c r="L58" s="1099">
        <f>+Staff!M20</f>
        <v>1</v>
      </c>
      <c r="M58" s="679"/>
      <c r="N58" s="460"/>
      <c r="O58" s="460"/>
      <c r="P58" s="30"/>
      <c r="Q58" s="30"/>
      <c r="R58" s="119"/>
      <c r="S58" s="30"/>
      <c r="T58" s="30"/>
      <c r="U58" s="30"/>
      <c r="V58" s="30"/>
      <c r="W58" s="30"/>
      <c r="X58" s="30"/>
      <c r="Y58" s="30"/>
      <c r="Z58" s="30"/>
    </row>
    <row r="59" ht="13.5" customHeight="1">
      <c r="A59" s="111">
        <f t="shared" si="5"/>
        <v>59</v>
      </c>
      <c r="B59" s="50" t="s">
        <v>656</v>
      </c>
      <c r="C59" s="50"/>
      <c r="D59" s="50"/>
      <c r="E59" s="1098"/>
      <c r="F59" s="1095">
        <f>+Staff!G21</f>
        <v>9</v>
      </c>
      <c r="G59" s="1099">
        <f>+Staff!H21</f>
        <v>9</v>
      </c>
      <c r="H59" s="1099">
        <f>+Staff!I21</f>
        <v>9</v>
      </c>
      <c r="I59" s="1099">
        <f>+Staff!J21</f>
        <v>9</v>
      </c>
      <c r="J59" s="1099">
        <f>+Staff!K21</f>
        <v>9</v>
      </c>
      <c r="K59" s="1099">
        <f>+Staff!L21</f>
        <v>9</v>
      </c>
      <c r="L59" s="1099">
        <f>+Staff!M21</f>
        <v>9</v>
      </c>
      <c r="M59" s="679"/>
      <c r="N59" s="460"/>
      <c r="O59" s="460"/>
      <c r="P59" s="30"/>
      <c r="Q59" s="30"/>
      <c r="R59" s="119"/>
      <c r="S59" s="30"/>
      <c r="T59" s="30"/>
      <c r="U59" s="30"/>
      <c r="V59" s="30"/>
      <c r="W59" s="30"/>
      <c r="X59" s="30"/>
      <c r="Y59" s="30"/>
      <c r="Z59" s="30"/>
    </row>
    <row r="60" ht="13.5" customHeight="1">
      <c r="A60" s="111">
        <f t="shared" si="5"/>
        <v>60</v>
      </c>
      <c r="B60" s="30" t="s">
        <v>657</v>
      </c>
      <c r="C60" s="30"/>
      <c r="D60" s="30"/>
      <c r="E60" s="531"/>
      <c r="F60" s="133">
        <f>+Staff!G22</f>
        <v>30.5</v>
      </c>
      <c r="G60" s="1097">
        <f>+Staff!H22</f>
        <v>31</v>
      </c>
      <c r="H60" s="1097">
        <f>+Staff!I22</f>
        <v>31</v>
      </c>
      <c r="I60" s="1097">
        <f>+Staff!J22</f>
        <v>30</v>
      </c>
      <c r="J60" s="1097">
        <f>+Staff!K22</f>
        <v>30</v>
      </c>
      <c r="K60" s="1097">
        <f>+Staff!L22</f>
        <v>30</v>
      </c>
      <c r="L60" s="1097">
        <f>+Staff!M22</f>
        <v>30</v>
      </c>
      <c r="M60" s="679"/>
      <c r="N60" s="460"/>
      <c r="O60" s="460"/>
      <c r="P60" s="30"/>
      <c r="Q60" s="30"/>
      <c r="R60" s="119"/>
      <c r="S60" s="30"/>
      <c r="T60" s="30"/>
      <c r="U60" s="30"/>
      <c r="V60" s="30"/>
      <c r="W60" s="30"/>
      <c r="X60" s="30"/>
      <c r="Y60" s="30"/>
      <c r="Z60" s="30"/>
    </row>
    <row r="61" ht="13.5" customHeight="1">
      <c r="A61" s="111">
        <f t="shared" si="5"/>
        <v>61</v>
      </c>
      <c r="B61" s="689" t="s">
        <v>865</v>
      </c>
      <c r="C61" s="689"/>
      <c r="D61" s="689"/>
      <c r="E61" s="477"/>
      <c r="F61" s="1100">
        <f t="shared" ref="F61:L61" si="13">SUM(F55:F60)</f>
        <v>49.5</v>
      </c>
      <c r="G61" s="1100">
        <f t="shared" si="13"/>
        <v>50</v>
      </c>
      <c r="H61" s="1100">
        <f t="shared" si="13"/>
        <v>50</v>
      </c>
      <c r="I61" s="1100">
        <f t="shared" si="13"/>
        <v>49</v>
      </c>
      <c r="J61" s="1100">
        <f t="shared" si="13"/>
        <v>49</v>
      </c>
      <c r="K61" s="1100">
        <f t="shared" si="13"/>
        <v>49</v>
      </c>
      <c r="L61" s="1100">
        <f t="shared" si="13"/>
        <v>49</v>
      </c>
      <c r="M61" s="679"/>
      <c r="N61" s="460"/>
      <c r="O61" s="460"/>
      <c r="P61" s="30"/>
      <c r="Q61" s="30"/>
      <c r="R61" s="119"/>
      <c r="S61" s="30"/>
      <c r="T61" s="30"/>
      <c r="U61" s="30"/>
      <c r="V61" s="30"/>
      <c r="W61" s="30"/>
      <c r="X61" s="30"/>
      <c r="Y61" s="30"/>
      <c r="Z61" s="30"/>
    </row>
    <row r="62" ht="13.5" customHeight="1">
      <c r="A62" s="111">
        <f t="shared" si="5"/>
        <v>62</v>
      </c>
      <c r="B62" s="30"/>
      <c r="C62" s="30"/>
      <c r="D62" s="30"/>
      <c r="E62" s="30"/>
      <c r="F62" s="30"/>
      <c r="G62" s="30"/>
      <c r="H62" s="30"/>
      <c r="I62" s="30"/>
      <c r="J62" s="30"/>
      <c r="K62" s="30"/>
      <c r="L62" s="30"/>
      <c r="M62" s="679"/>
      <c r="N62" s="460"/>
      <c r="O62" s="460"/>
      <c r="P62" s="682"/>
      <c r="Q62" s="682"/>
      <c r="R62" s="119"/>
      <c r="S62" s="30"/>
      <c r="T62" s="30"/>
      <c r="U62" s="30"/>
      <c r="V62" s="30"/>
      <c r="W62" s="30"/>
      <c r="X62" s="30"/>
      <c r="Y62" s="30"/>
      <c r="Z62" s="30"/>
    </row>
    <row r="63" ht="13.5" customHeight="1">
      <c r="A63" s="111">
        <f t="shared" si="5"/>
        <v>63</v>
      </c>
      <c r="B63" s="855" t="s">
        <v>866</v>
      </c>
      <c r="C63" s="1101"/>
      <c r="D63" s="855"/>
      <c r="E63" s="855"/>
      <c r="F63" s="1102"/>
      <c r="G63" s="1102"/>
      <c r="H63" s="1102"/>
      <c r="I63" s="1102"/>
      <c r="J63" s="1102"/>
      <c r="K63" s="1102"/>
      <c r="L63" s="1102"/>
      <c r="M63" s="30"/>
      <c r="N63" s="30"/>
      <c r="O63" s="30"/>
      <c r="P63" s="30"/>
      <c r="Q63" s="30"/>
      <c r="R63" s="119"/>
      <c r="S63" s="30"/>
      <c r="T63" s="30"/>
      <c r="U63" s="30"/>
      <c r="V63" s="30"/>
      <c r="W63" s="30"/>
      <c r="X63" s="30"/>
      <c r="Y63" s="30"/>
      <c r="Z63" s="30"/>
    </row>
    <row r="64" ht="13.5" customHeight="1">
      <c r="A64" s="111">
        <f t="shared" si="5"/>
        <v>64</v>
      </c>
      <c r="B64" s="63" t="s">
        <v>867</v>
      </c>
      <c r="C64" s="305" t="s">
        <v>868</v>
      </c>
      <c r="D64" s="99"/>
      <c r="E64" s="99"/>
      <c r="F64" s="1103" t="s">
        <v>869</v>
      </c>
      <c r="G64" s="63" t="s">
        <v>870</v>
      </c>
      <c r="H64" s="30"/>
      <c r="I64" s="30"/>
      <c r="J64" s="30"/>
      <c r="K64" s="30"/>
      <c r="L64" s="30"/>
      <c r="M64" s="30"/>
      <c r="N64" s="30"/>
      <c r="O64" s="30"/>
      <c r="P64" s="30"/>
      <c r="Q64" s="30"/>
      <c r="R64" s="119"/>
      <c r="S64" s="30"/>
      <c r="T64" s="30"/>
      <c r="U64" s="30"/>
      <c r="V64" s="30"/>
      <c r="W64" s="30"/>
      <c r="X64" s="30"/>
      <c r="Y64" s="30"/>
      <c r="Z64" s="30"/>
    </row>
    <row r="65" ht="13.5" customHeight="1">
      <c r="A65" s="111">
        <f t="shared" si="5"/>
        <v>65</v>
      </c>
      <c r="B65" s="50" t="s">
        <v>871</v>
      </c>
      <c r="C65" s="1104">
        <v>30.0</v>
      </c>
      <c r="D65" s="65" t="s">
        <v>872</v>
      </c>
      <c r="E65" s="65"/>
      <c r="F65" s="1105">
        <f>$C$65*Staff!G23</f>
        <v>1485</v>
      </c>
      <c r="G65" s="1106">
        <f>$C$65*Staff!H23</f>
        <v>1500</v>
      </c>
      <c r="H65" s="1106">
        <f>$C$65*Staff!I23</f>
        <v>1500</v>
      </c>
      <c r="I65" s="1106">
        <f>$C$65*Staff!J23</f>
        <v>1470</v>
      </c>
      <c r="J65" s="1106">
        <f>$C$65*Staff!K23</f>
        <v>1470</v>
      </c>
      <c r="K65" s="1106">
        <f>$C$65*Staff!L23</f>
        <v>1470</v>
      </c>
      <c r="L65" s="1106">
        <f>$C$65*Staff!M23</f>
        <v>1470</v>
      </c>
      <c r="M65" s="30"/>
      <c r="N65" s="30"/>
      <c r="O65" s="30"/>
      <c r="P65" s="30"/>
      <c r="Q65" s="30"/>
      <c r="R65" s="119"/>
      <c r="S65" s="30"/>
      <c r="T65" s="30"/>
      <c r="U65" s="30"/>
      <c r="V65" s="30"/>
      <c r="W65" s="30"/>
      <c r="X65" s="30"/>
      <c r="Y65" s="30"/>
      <c r="Z65" s="30"/>
    </row>
    <row r="66" ht="13.5" customHeight="1">
      <c r="A66" s="111">
        <f t="shared" si="5"/>
        <v>66</v>
      </c>
      <c r="B66" s="50" t="s">
        <v>873</v>
      </c>
      <c r="C66" s="1104">
        <v>4000.0</v>
      </c>
      <c r="D66" s="65" t="s">
        <v>874</v>
      </c>
      <c r="E66" s="65"/>
      <c r="F66" s="1107">
        <f t="shared" ref="F66:L66" si="14">$C66</f>
        <v>4000</v>
      </c>
      <c r="G66" s="1108">
        <f t="shared" si="14"/>
        <v>4000</v>
      </c>
      <c r="H66" s="1108">
        <f t="shared" si="14"/>
        <v>4000</v>
      </c>
      <c r="I66" s="1108">
        <f t="shared" si="14"/>
        <v>4000</v>
      </c>
      <c r="J66" s="1108">
        <f t="shared" si="14"/>
        <v>4000</v>
      </c>
      <c r="K66" s="1108">
        <f t="shared" si="14"/>
        <v>4000</v>
      </c>
      <c r="L66" s="1108">
        <f t="shared" si="14"/>
        <v>4000</v>
      </c>
      <c r="M66" s="30"/>
      <c r="N66" s="30"/>
      <c r="O66" s="30"/>
      <c r="P66" s="30"/>
      <c r="Q66" s="30"/>
      <c r="R66" s="119"/>
      <c r="S66" s="30"/>
      <c r="T66" s="30"/>
      <c r="U66" s="30"/>
      <c r="V66" s="30"/>
      <c r="W66" s="30"/>
      <c r="X66" s="30"/>
      <c r="Y66" s="30"/>
      <c r="Z66" s="30"/>
    </row>
    <row r="67" ht="13.5" customHeight="1">
      <c r="A67" s="111">
        <f t="shared" si="5"/>
        <v>67</v>
      </c>
      <c r="B67" s="50" t="s">
        <v>875</v>
      </c>
      <c r="C67" s="1104">
        <v>149262.0</v>
      </c>
      <c r="D67" s="65" t="s">
        <v>876</v>
      </c>
      <c r="E67" s="65"/>
      <c r="F67" s="1107">
        <f t="shared" ref="F67:L67" si="15">$C$67</f>
        <v>149262</v>
      </c>
      <c r="G67" s="1108">
        <f t="shared" si="15"/>
        <v>149262</v>
      </c>
      <c r="H67" s="1108">
        <f t="shared" si="15"/>
        <v>149262</v>
      </c>
      <c r="I67" s="1108">
        <f t="shared" si="15"/>
        <v>149262</v>
      </c>
      <c r="J67" s="1108">
        <f t="shared" si="15"/>
        <v>149262</v>
      </c>
      <c r="K67" s="1108">
        <f t="shared" si="15"/>
        <v>149262</v>
      </c>
      <c r="L67" s="1108">
        <f t="shared" si="15"/>
        <v>149262</v>
      </c>
      <c r="M67" s="30"/>
      <c r="N67" s="30"/>
      <c r="O67" s="30"/>
      <c r="P67" s="30"/>
      <c r="Q67" s="30"/>
      <c r="R67" s="119"/>
      <c r="S67" s="30"/>
      <c r="T67" s="30"/>
      <c r="U67" s="30"/>
      <c r="V67" s="30"/>
      <c r="W67" s="30"/>
      <c r="X67" s="30"/>
      <c r="Y67" s="30"/>
      <c r="Z67" s="30"/>
    </row>
    <row r="68" ht="13.5" customHeight="1">
      <c r="A68" s="111">
        <f t="shared" si="5"/>
        <v>68</v>
      </c>
      <c r="B68" s="50" t="s">
        <v>877</v>
      </c>
      <c r="C68" s="1109"/>
      <c r="D68" s="65"/>
      <c r="E68" s="65"/>
      <c r="F68" s="1107">
        <v>0.0</v>
      </c>
      <c r="G68" s="133"/>
      <c r="H68" s="133"/>
      <c r="I68" s="133"/>
      <c r="J68" s="133"/>
      <c r="K68" s="133"/>
      <c r="L68" s="133"/>
      <c r="M68" s="30"/>
      <c r="N68" s="30"/>
      <c r="O68" s="30"/>
      <c r="P68" s="30"/>
      <c r="Q68" s="30"/>
      <c r="R68" s="119"/>
      <c r="S68" s="30"/>
      <c r="T68" s="30"/>
      <c r="U68" s="30"/>
      <c r="V68" s="30"/>
      <c r="W68" s="30"/>
      <c r="X68" s="30"/>
      <c r="Y68" s="30"/>
      <c r="Z68" s="30"/>
    </row>
    <row r="69" ht="13.5" customHeight="1">
      <c r="A69" s="111">
        <f t="shared" si="5"/>
        <v>69</v>
      </c>
      <c r="B69" s="50" t="s">
        <v>878</v>
      </c>
      <c r="C69" s="1104">
        <v>0.0</v>
      </c>
      <c r="D69" s="65" t="s">
        <v>528</v>
      </c>
      <c r="E69" s="65"/>
      <c r="F69" s="1107">
        <v>0.0</v>
      </c>
      <c r="G69" s="1108">
        <f>$C$69*(' Enrol &amp; Rev'!G36-' Enrol &amp; Rev'!F36)</f>
        <v>0</v>
      </c>
      <c r="H69" s="1108">
        <f>$C$69*(' Enrol &amp; Rev'!H36-' Enrol &amp; Rev'!G36)</f>
        <v>0</v>
      </c>
      <c r="I69" s="1108">
        <f>$C$69*(' Enrol &amp; Rev'!I36-' Enrol &amp; Rev'!H36)</f>
        <v>0</v>
      </c>
      <c r="J69" s="1108">
        <f>$C$69*(' Enrol &amp; Rev'!J36-' Enrol &amp; Rev'!I36)</f>
        <v>0</v>
      </c>
      <c r="K69" s="1108">
        <f>$C$69*(' Enrol &amp; Rev'!K36-' Enrol &amp; Rev'!J36)</f>
        <v>0</v>
      </c>
      <c r="L69" s="1108">
        <f>$C$69*(' Enrol &amp; Rev'!L36-' Enrol &amp; Rev'!K36)</f>
        <v>0</v>
      </c>
      <c r="M69" s="30"/>
      <c r="N69" s="30"/>
      <c r="O69" s="30"/>
      <c r="P69" s="30"/>
      <c r="Q69" s="30"/>
      <c r="R69" s="119"/>
      <c r="S69" s="30"/>
      <c r="T69" s="30"/>
      <c r="U69" s="30"/>
      <c r="V69" s="30"/>
      <c r="W69" s="30"/>
      <c r="X69" s="30"/>
      <c r="Y69" s="30"/>
      <c r="Z69" s="30"/>
    </row>
    <row r="70" ht="13.5" customHeight="1">
      <c r="A70" s="111">
        <f t="shared" si="5"/>
        <v>70</v>
      </c>
      <c r="B70" s="50" t="s">
        <v>879</v>
      </c>
      <c r="C70" s="1104">
        <v>0.0</v>
      </c>
      <c r="D70" s="65" t="s">
        <v>880</v>
      </c>
      <c r="E70" s="65"/>
      <c r="F70" s="1107">
        <v>0.0</v>
      </c>
      <c r="G70" s="1108"/>
      <c r="H70" s="1108"/>
      <c r="I70" s="1108"/>
      <c r="J70" s="1108"/>
      <c r="K70" s="1108"/>
      <c r="L70" s="1108"/>
      <c r="M70" s="30"/>
      <c r="N70" s="30"/>
      <c r="O70" s="30"/>
      <c r="P70" s="30"/>
      <c r="Q70" s="30"/>
      <c r="R70" s="119"/>
      <c r="S70" s="30"/>
      <c r="T70" s="30"/>
      <c r="U70" s="30"/>
      <c r="V70" s="30"/>
      <c r="W70" s="30"/>
      <c r="X70" s="30"/>
      <c r="Y70" s="30"/>
      <c r="Z70" s="30"/>
    </row>
    <row r="71" ht="13.5" customHeight="1">
      <c r="A71" s="111">
        <f t="shared" si="5"/>
        <v>71</v>
      </c>
      <c r="B71" s="50" t="s">
        <v>881</v>
      </c>
      <c r="C71" s="1110">
        <v>0.0</v>
      </c>
      <c r="D71" s="65" t="s">
        <v>882</v>
      </c>
      <c r="E71" s="65"/>
      <c r="F71" s="1107">
        <v>0.0</v>
      </c>
      <c r="G71" s="1108">
        <f>$C$71*' Enrol &amp; Rev'!G36</f>
        <v>0</v>
      </c>
      <c r="H71" s="1108">
        <f>$C$71*' Enrol &amp; Rev'!H36</f>
        <v>0</v>
      </c>
      <c r="I71" s="1108">
        <f>$C$71*' Enrol &amp; Rev'!I36</f>
        <v>0</v>
      </c>
      <c r="J71" s="1108">
        <f>$C$71*' Enrol &amp; Rev'!J36</f>
        <v>0</v>
      </c>
      <c r="K71" s="1108">
        <f>$C$71*' Enrol &amp; Rev'!K36</f>
        <v>0</v>
      </c>
      <c r="L71" s="1108">
        <f>$C$71*' Enrol &amp; Rev'!L36</f>
        <v>0</v>
      </c>
      <c r="M71" s="30"/>
      <c r="N71" s="30"/>
      <c r="O71" s="30"/>
      <c r="P71" s="30"/>
      <c r="Q71" s="30"/>
      <c r="R71" s="119"/>
      <c r="S71" s="30"/>
      <c r="T71" s="30"/>
      <c r="U71" s="30"/>
      <c r="V71" s="30"/>
      <c r="W71" s="30"/>
      <c r="X71" s="30"/>
      <c r="Y71" s="30"/>
      <c r="Z71" s="30"/>
    </row>
    <row r="72" ht="13.5" customHeight="1">
      <c r="A72" s="111">
        <f t="shared" si="5"/>
        <v>72</v>
      </c>
      <c r="B72" s="50" t="s">
        <v>883</v>
      </c>
      <c r="C72" s="1111">
        <v>0.0</v>
      </c>
      <c r="D72" s="65" t="s">
        <v>528</v>
      </c>
      <c r="E72" s="65"/>
      <c r="F72" s="1107">
        <v>0.0</v>
      </c>
      <c r="G72" s="1108">
        <f>$C$72*' Enrol &amp; Rev'!G36</f>
        <v>0</v>
      </c>
      <c r="H72" s="1108">
        <f>$C$72*' Enrol &amp; Rev'!H36</f>
        <v>0</v>
      </c>
      <c r="I72" s="1108">
        <f>$C$72*' Enrol &amp; Rev'!I36</f>
        <v>0</v>
      </c>
      <c r="J72" s="1108">
        <f>$C$72*' Enrol &amp; Rev'!J36</f>
        <v>0</v>
      </c>
      <c r="K72" s="1108">
        <f>$C$72*' Enrol &amp; Rev'!K36</f>
        <v>0</v>
      </c>
      <c r="L72" s="1108">
        <f>$C$72*' Enrol &amp; Rev'!L36</f>
        <v>0</v>
      </c>
      <c r="M72" s="30"/>
      <c r="N72" s="30"/>
      <c r="O72" s="30"/>
      <c r="P72" s="30"/>
      <c r="Q72" s="30"/>
      <c r="R72" s="119"/>
      <c r="S72" s="30"/>
      <c r="T72" s="30"/>
      <c r="U72" s="30"/>
      <c r="V72" s="30"/>
      <c r="W72" s="30"/>
      <c r="X72" s="30"/>
      <c r="Y72" s="30"/>
      <c r="Z72" s="30"/>
    </row>
    <row r="73" ht="13.5" customHeight="1">
      <c r="A73" s="111">
        <f t="shared" si="5"/>
        <v>73</v>
      </c>
      <c r="B73" s="50" t="s">
        <v>884</v>
      </c>
      <c r="C73" s="1111">
        <v>0.0</v>
      </c>
      <c r="D73" s="65" t="s">
        <v>885</v>
      </c>
      <c r="E73" s="65"/>
      <c r="F73" s="1112">
        <v>0.0</v>
      </c>
      <c r="G73" s="1113">
        <f>$C$73*' Enrol &amp; Rev'!G36</f>
        <v>0</v>
      </c>
      <c r="H73" s="1113">
        <f>$C$73*' Enrol &amp; Rev'!H36</f>
        <v>0</v>
      </c>
      <c r="I73" s="1113">
        <f>$C$73*' Enrol &amp; Rev'!I36</f>
        <v>0</v>
      </c>
      <c r="J73" s="1113">
        <f>$C$73*' Enrol &amp; Rev'!J36</f>
        <v>0</v>
      </c>
      <c r="K73" s="1113">
        <f>$C$73*' Enrol &amp; Rev'!K36</f>
        <v>0</v>
      </c>
      <c r="L73" s="1113">
        <f>$C$73*' Enrol &amp; Rev'!L36</f>
        <v>0</v>
      </c>
      <c r="M73" s="30"/>
      <c r="N73" s="30"/>
      <c r="O73" s="30"/>
      <c r="P73" s="30"/>
      <c r="Q73" s="30"/>
      <c r="R73" s="119"/>
      <c r="S73" s="30"/>
      <c r="T73" s="30"/>
      <c r="U73" s="30"/>
      <c r="V73" s="30"/>
      <c r="W73" s="30"/>
      <c r="X73" s="30"/>
      <c r="Y73" s="30"/>
      <c r="Z73" s="30"/>
    </row>
    <row r="74" ht="13.5" customHeight="1">
      <c r="A74" s="111">
        <f t="shared" si="5"/>
        <v>74</v>
      </c>
      <c r="B74" s="50" t="s">
        <v>886</v>
      </c>
      <c r="C74" s="1110">
        <v>0.0</v>
      </c>
      <c r="D74" s="65" t="s">
        <v>887</v>
      </c>
      <c r="E74" s="65"/>
      <c r="F74" s="1112">
        <v>0.0</v>
      </c>
      <c r="G74" s="1108">
        <f>(' Enrol &amp; Rev'!G119+' Enrol &amp; Rev'!G135)*$C$74</f>
        <v>0</v>
      </c>
      <c r="H74" s="1108">
        <f>(' Enrol &amp; Rev'!H119+' Enrol &amp; Rev'!H135)*$C$74</f>
        <v>0</v>
      </c>
      <c r="I74" s="1108">
        <f>(' Enrol &amp; Rev'!I119+' Enrol &amp; Rev'!I135)*$C$74</f>
        <v>0</v>
      </c>
      <c r="J74" s="1108">
        <f>(' Enrol &amp; Rev'!J119+' Enrol &amp; Rev'!J135)*$C$74</f>
        <v>0</v>
      </c>
      <c r="K74" s="1108">
        <f>(' Enrol &amp; Rev'!K119+' Enrol &amp; Rev'!K135)*$C$74</f>
        <v>0</v>
      </c>
      <c r="L74" s="1108">
        <f>(' Enrol &amp; Rev'!L119+' Enrol &amp; Rev'!L135)*$C$74</f>
        <v>0</v>
      </c>
      <c r="M74" s="30"/>
      <c r="N74" s="30"/>
      <c r="O74" s="30"/>
      <c r="P74" s="30"/>
      <c r="Q74" s="30"/>
      <c r="R74" s="119"/>
      <c r="S74" s="30"/>
      <c r="T74" s="30"/>
      <c r="U74" s="30"/>
      <c r="V74" s="30"/>
      <c r="W74" s="30"/>
      <c r="X74" s="30"/>
      <c r="Y74" s="30"/>
      <c r="Z74" s="30"/>
    </row>
    <row r="75" ht="13.5" customHeight="1">
      <c r="A75" s="111">
        <f t="shared" si="5"/>
        <v>75</v>
      </c>
      <c r="B75" s="50" t="s">
        <v>888</v>
      </c>
      <c r="C75" s="1110">
        <v>0.0</v>
      </c>
      <c r="D75" s="65" t="s">
        <v>887</v>
      </c>
      <c r="E75" s="65"/>
      <c r="F75" s="1112">
        <v>0.0</v>
      </c>
      <c r="G75" s="1108">
        <f>(' Enrol &amp; Rev'!G119+' Enrol &amp; Rev'!G135)*$C$75</f>
        <v>0</v>
      </c>
      <c r="H75" s="1108">
        <f>(' Enrol &amp; Rev'!H119+' Enrol &amp; Rev'!H135)*$C$75</f>
        <v>0</v>
      </c>
      <c r="I75" s="1108">
        <f>(' Enrol &amp; Rev'!I119+' Enrol &amp; Rev'!I135)*$C$75</f>
        <v>0</v>
      </c>
      <c r="J75" s="1108">
        <f>(' Enrol &amp; Rev'!J119+' Enrol &amp; Rev'!J135)*$C$75</f>
        <v>0</v>
      </c>
      <c r="K75" s="1108">
        <f>(' Enrol &amp; Rev'!K119+' Enrol &amp; Rev'!K135)*$C$75</f>
        <v>0</v>
      </c>
      <c r="L75" s="1108">
        <f>(' Enrol &amp; Rev'!L119+' Enrol &amp; Rev'!L135)*$C$75</f>
        <v>0</v>
      </c>
      <c r="M75" s="30"/>
      <c r="N75" s="30"/>
      <c r="O75" s="30"/>
      <c r="P75" s="30"/>
      <c r="Q75" s="30"/>
      <c r="R75" s="119"/>
      <c r="S75" s="30"/>
      <c r="T75" s="30"/>
      <c r="U75" s="30"/>
      <c r="V75" s="30"/>
      <c r="W75" s="30"/>
      <c r="X75" s="30"/>
      <c r="Y75" s="30"/>
      <c r="Z75" s="30"/>
    </row>
    <row r="76" ht="13.5" customHeight="1">
      <c r="A76" s="111">
        <f t="shared" si="5"/>
        <v>76</v>
      </c>
      <c r="B76" s="50" t="s">
        <v>889</v>
      </c>
      <c r="C76" s="1104">
        <v>0.0</v>
      </c>
      <c r="D76" s="65" t="s">
        <v>528</v>
      </c>
      <c r="E76" s="65"/>
      <c r="F76" s="1112">
        <v>0.0</v>
      </c>
      <c r="G76" s="1112">
        <f>$C$76*' Enrol &amp; Rev'!G36</f>
        <v>0</v>
      </c>
      <c r="H76" s="1112">
        <f>$C$76*' Enrol &amp; Rev'!H36</f>
        <v>0</v>
      </c>
      <c r="I76" s="1112">
        <f>$C$76*' Enrol &amp; Rev'!I36</f>
        <v>0</v>
      </c>
      <c r="J76" s="1112">
        <f>$C$76*' Enrol &amp; Rev'!J36</f>
        <v>0</v>
      </c>
      <c r="K76" s="1112">
        <f>$C$76*' Enrol &amp; Rev'!K36</f>
        <v>0</v>
      </c>
      <c r="L76" s="1112">
        <f>$C$76*' Enrol &amp; Rev'!L36</f>
        <v>0</v>
      </c>
      <c r="M76" s="30"/>
      <c r="N76" s="30"/>
      <c r="O76" s="30"/>
      <c r="P76" s="30"/>
      <c r="Q76" s="30"/>
      <c r="R76" s="119"/>
      <c r="S76" s="30"/>
      <c r="T76" s="30"/>
      <c r="U76" s="30"/>
      <c r="V76" s="30"/>
      <c r="W76" s="30"/>
      <c r="X76" s="30"/>
      <c r="Y76" s="30"/>
      <c r="Z76" s="30"/>
    </row>
    <row r="77" ht="13.5" customHeight="1">
      <c r="A77" s="111">
        <f t="shared" si="5"/>
        <v>77</v>
      </c>
      <c r="B77" s="50" t="s">
        <v>890</v>
      </c>
      <c r="C77" s="1110">
        <v>0.0</v>
      </c>
      <c r="D77" s="65" t="s">
        <v>528</v>
      </c>
      <c r="E77" s="65"/>
      <c r="F77" s="1112">
        <f>$C$77*' Enrol &amp; Rev'!F36</f>
        <v>0</v>
      </c>
      <c r="G77" s="1112">
        <f>$C$77*' Enrol &amp; Rev'!G36</f>
        <v>0</v>
      </c>
      <c r="H77" s="1112">
        <f>$C$77*' Enrol &amp; Rev'!H36</f>
        <v>0</v>
      </c>
      <c r="I77" s="1112">
        <f>$C$77*' Enrol &amp; Rev'!I36</f>
        <v>0</v>
      </c>
      <c r="J77" s="1112">
        <f>$C$77*' Enrol &amp; Rev'!J36</f>
        <v>0</v>
      </c>
      <c r="K77" s="1112">
        <f>$C$77*' Enrol &amp; Rev'!K36</f>
        <v>0</v>
      </c>
      <c r="L77" s="1112">
        <f>$C$77*' Enrol &amp; Rev'!L36</f>
        <v>0</v>
      </c>
      <c r="M77" s="30"/>
      <c r="N77" s="30"/>
      <c r="O77" s="30"/>
      <c r="P77" s="30"/>
      <c r="Q77" s="30"/>
      <c r="R77" s="119"/>
      <c r="S77" s="30"/>
      <c r="T77" s="30"/>
      <c r="U77" s="30"/>
      <c r="V77" s="30"/>
      <c r="W77" s="30"/>
      <c r="X77" s="30"/>
      <c r="Y77" s="30"/>
      <c r="Z77" s="30"/>
    </row>
    <row r="78" ht="13.5" customHeight="1">
      <c r="A78" s="111">
        <f t="shared" si="5"/>
        <v>78</v>
      </c>
      <c r="B78" s="50" t="s">
        <v>891</v>
      </c>
      <c r="C78" s="1104">
        <v>12.5</v>
      </c>
      <c r="D78" s="65" t="s">
        <v>528</v>
      </c>
      <c r="E78" s="65"/>
      <c r="F78" s="1112">
        <f>$C$78*' Enrol &amp; Rev'!F$36</f>
        <v>7587.5</v>
      </c>
      <c r="G78" s="1112">
        <f>$C$78*' Enrol &amp; Rev'!G$36</f>
        <v>7900</v>
      </c>
      <c r="H78" s="1112">
        <f>$C$78*' Enrol &amp; Rev'!H$36</f>
        <v>8062.5</v>
      </c>
      <c r="I78" s="1112">
        <f>$C$78*' Enrol &amp; Rev'!I$36</f>
        <v>8337.5</v>
      </c>
      <c r="J78" s="1112">
        <f>$C$78*' Enrol &amp; Rev'!J$36</f>
        <v>8412.5</v>
      </c>
      <c r="K78" s="1112">
        <f>$C$78*' Enrol &amp; Rev'!K$36</f>
        <v>8450</v>
      </c>
      <c r="L78" s="1112">
        <f>$C$78*' Enrol &amp; Rev'!L$36</f>
        <v>8562.5</v>
      </c>
      <c r="M78" s="30"/>
      <c r="N78" s="30"/>
      <c r="O78" s="30"/>
      <c r="P78" s="30"/>
      <c r="Q78" s="30"/>
      <c r="R78" s="119"/>
      <c r="S78" s="30"/>
      <c r="T78" s="30"/>
      <c r="U78" s="30"/>
      <c r="V78" s="30"/>
      <c r="W78" s="30"/>
      <c r="X78" s="30"/>
      <c r="Y78" s="30"/>
      <c r="Z78" s="30"/>
    </row>
    <row r="79" ht="13.5" customHeight="1">
      <c r="A79" s="111">
        <f t="shared" si="5"/>
        <v>79</v>
      </c>
      <c r="B79" s="50" t="s">
        <v>892</v>
      </c>
      <c r="C79" s="1110">
        <v>0.0</v>
      </c>
      <c r="D79" s="65" t="s">
        <v>528</v>
      </c>
      <c r="E79" s="65"/>
      <c r="F79" s="1112">
        <v>0.0</v>
      </c>
      <c r="G79" s="1112">
        <f>$C$79*' Enrol &amp; Rev'!G36</f>
        <v>0</v>
      </c>
      <c r="H79" s="1112">
        <f>$C$79*' Enrol &amp; Rev'!H36</f>
        <v>0</v>
      </c>
      <c r="I79" s="1112">
        <f>$C$79*' Enrol &amp; Rev'!I36</f>
        <v>0</v>
      </c>
      <c r="J79" s="1112">
        <f>$C$79*' Enrol &amp; Rev'!J36</f>
        <v>0</v>
      </c>
      <c r="K79" s="1112">
        <f>$C$79*' Enrol &amp; Rev'!K36</f>
        <v>0</v>
      </c>
      <c r="L79" s="1112">
        <f>$C$79*' Enrol &amp; Rev'!L36</f>
        <v>0</v>
      </c>
      <c r="M79" s="30"/>
      <c r="N79" s="30"/>
      <c r="O79" s="30"/>
      <c r="P79" s="30"/>
      <c r="Q79" s="30"/>
      <c r="R79" s="119"/>
      <c r="S79" s="30"/>
      <c r="T79" s="30"/>
      <c r="U79" s="30"/>
      <c r="V79" s="30"/>
      <c r="W79" s="30"/>
      <c r="X79" s="30"/>
      <c r="Y79" s="30"/>
      <c r="Z79" s="30"/>
    </row>
    <row r="80" ht="13.5" customHeight="1">
      <c r="A80" s="111">
        <f t="shared" si="5"/>
        <v>80</v>
      </c>
      <c r="B80" s="50" t="s">
        <v>893</v>
      </c>
      <c r="C80" s="1110">
        <v>0.0</v>
      </c>
      <c r="D80" s="65" t="s">
        <v>528</v>
      </c>
      <c r="E80" s="65"/>
      <c r="F80" s="1112">
        <v>0.0</v>
      </c>
      <c r="G80" s="1112">
        <f>$C$80*' Enrol &amp; Rev'!G36</f>
        <v>0</v>
      </c>
      <c r="H80" s="1112">
        <f>$C$80*' Enrol &amp; Rev'!H36</f>
        <v>0</v>
      </c>
      <c r="I80" s="1112">
        <f>$C$80*' Enrol &amp; Rev'!I36</f>
        <v>0</v>
      </c>
      <c r="J80" s="1112">
        <f>$C$80*' Enrol &amp; Rev'!J36</f>
        <v>0</v>
      </c>
      <c r="K80" s="1112">
        <f>$C$80*' Enrol &amp; Rev'!K36</f>
        <v>0</v>
      </c>
      <c r="L80" s="1112">
        <f>$C$80*' Enrol &amp; Rev'!L36</f>
        <v>0</v>
      </c>
      <c r="M80" s="30"/>
      <c r="N80" s="30"/>
      <c r="O80" s="30"/>
      <c r="P80" s="30"/>
      <c r="Q80" s="30"/>
      <c r="R80" s="119"/>
      <c r="S80" s="30"/>
      <c r="T80" s="30"/>
      <c r="U80" s="30"/>
      <c r="V80" s="30"/>
      <c r="W80" s="30"/>
      <c r="X80" s="30"/>
      <c r="Y80" s="30"/>
      <c r="Z80" s="30"/>
    </row>
    <row r="81" ht="13.5" customHeight="1">
      <c r="A81" s="111">
        <f t="shared" si="5"/>
        <v>81</v>
      </c>
      <c r="B81" s="50" t="s">
        <v>894</v>
      </c>
      <c r="C81" s="1110">
        <v>0.0</v>
      </c>
      <c r="D81" s="65" t="s">
        <v>521</v>
      </c>
      <c r="E81" s="65"/>
      <c r="F81" s="1112">
        <v>0.0</v>
      </c>
      <c r="G81" s="1112">
        <f>$C$81*' Enrol &amp; Rev'!G36*' Enrol &amp; Rev'!G94</f>
        <v>0</v>
      </c>
      <c r="H81" s="1112">
        <f>$C$81*' Enrol &amp; Rev'!H36*' Enrol &amp; Rev'!H94</f>
        <v>0</v>
      </c>
      <c r="I81" s="1112">
        <f>$C$81*' Enrol &amp; Rev'!I36*' Enrol &amp; Rev'!I94</f>
        <v>0</v>
      </c>
      <c r="J81" s="1112">
        <f>$C$81*' Enrol &amp; Rev'!J36*' Enrol &amp; Rev'!J94</f>
        <v>0</v>
      </c>
      <c r="K81" s="1112">
        <f>$C$81*' Enrol &amp; Rev'!K36*' Enrol &amp; Rev'!K94</f>
        <v>0</v>
      </c>
      <c r="L81" s="1112">
        <f>$C$81*' Enrol &amp; Rev'!L36*' Enrol &amp; Rev'!L94</f>
        <v>0</v>
      </c>
      <c r="M81" s="30"/>
      <c r="N81" s="30"/>
      <c r="O81" s="30"/>
      <c r="P81" s="30"/>
      <c r="Q81" s="30"/>
      <c r="R81" s="119"/>
      <c r="S81" s="30"/>
      <c r="T81" s="30"/>
      <c r="U81" s="30"/>
      <c r="V81" s="30"/>
      <c r="W81" s="30"/>
      <c r="X81" s="30"/>
      <c r="Y81" s="30"/>
      <c r="Z81" s="30"/>
    </row>
    <row r="82" ht="13.5" customHeight="1">
      <c r="A82" s="111">
        <f t="shared" si="5"/>
        <v>82</v>
      </c>
      <c r="B82" s="50" t="s">
        <v>895</v>
      </c>
      <c r="C82" s="1104">
        <v>4.0</v>
      </c>
      <c r="D82" s="65" t="s">
        <v>896</v>
      </c>
      <c r="E82" s="65"/>
      <c r="F82" s="1114">
        <v>136.0</v>
      </c>
      <c r="G82" s="1112">
        <f>$C$82*(Staff!G19+Staff!G20+Staff!G22)</f>
        <v>134</v>
      </c>
      <c r="H82" s="1112">
        <f>$C$82*(Staff!H19+Staff!H20+Staff!H22)</f>
        <v>136</v>
      </c>
      <c r="I82" s="1112">
        <f>$C$82*(Staff!I19+Staff!I20+Staff!I22)</f>
        <v>136</v>
      </c>
      <c r="J82" s="1112">
        <f>$C$82*(Staff!J19+Staff!J20+Staff!J22)</f>
        <v>132</v>
      </c>
      <c r="K82" s="1112">
        <f>$C$82*(Staff!K19+Staff!K20+Staff!K22)</f>
        <v>132</v>
      </c>
      <c r="L82" s="1112">
        <f>$C$82*(Staff!L19+Staff!L20+Staff!L22)</f>
        <v>132</v>
      </c>
      <c r="M82" s="30"/>
      <c r="N82" s="30"/>
      <c r="O82" s="30"/>
      <c r="P82" s="30"/>
      <c r="Q82" s="30"/>
      <c r="R82" s="119"/>
      <c r="S82" s="30"/>
      <c r="T82" s="30"/>
      <c r="U82" s="30"/>
      <c r="V82" s="30"/>
      <c r="W82" s="30"/>
      <c r="X82" s="30"/>
      <c r="Y82" s="30"/>
      <c r="Z82" s="30"/>
    </row>
    <row r="83" ht="13.5" customHeight="1">
      <c r="A83" s="111">
        <f t="shared" si="5"/>
        <v>83</v>
      </c>
      <c r="B83" s="50" t="s">
        <v>897</v>
      </c>
      <c r="C83" s="1104">
        <v>375.0</v>
      </c>
      <c r="D83" s="65" t="s">
        <v>898</v>
      </c>
      <c r="E83" s="65"/>
      <c r="F83" s="1112">
        <f t="shared" ref="F83:L83" si="16">$C$83*12</f>
        <v>4500</v>
      </c>
      <c r="G83" s="1112">
        <f t="shared" si="16"/>
        <v>4500</v>
      </c>
      <c r="H83" s="1112">
        <f t="shared" si="16"/>
        <v>4500</v>
      </c>
      <c r="I83" s="1112">
        <f t="shared" si="16"/>
        <v>4500</v>
      </c>
      <c r="J83" s="1112">
        <f t="shared" si="16"/>
        <v>4500</v>
      </c>
      <c r="K83" s="1112">
        <f t="shared" si="16"/>
        <v>4500</v>
      </c>
      <c r="L83" s="1112">
        <f t="shared" si="16"/>
        <v>4500</v>
      </c>
      <c r="M83" s="30"/>
      <c r="N83" s="30"/>
      <c r="O83" s="30"/>
      <c r="P83" s="30"/>
      <c r="Q83" s="30"/>
      <c r="R83" s="119"/>
      <c r="S83" s="30"/>
      <c r="T83" s="30"/>
      <c r="U83" s="30"/>
      <c r="V83" s="30"/>
      <c r="W83" s="30"/>
      <c r="X83" s="30"/>
      <c r="Y83" s="30"/>
      <c r="Z83" s="30"/>
    </row>
    <row r="84" ht="13.5" customHeight="1">
      <c r="A84" s="111">
        <f t="shared" si="5"/>
        <v>84</v>
      </c>
      <c r="B84" s="50" t="s">
        <v>899</v>
      </c>
      <c r="C84" s="1110">
        <v>0.0</v>
      </c>
      <c r="D84" s="65" t="s">
        <v>900</v>
      </c>
      <c r="E84" s="65"/>
      <c r="F84" s="1112">
        <v>0.0</v>
      </c>
      <c r="G84" s="1112">
        <f>$C$84*(' Enrol &amp; Rev'!G36-' Enrol &amp; Rev'!F36)</f>
        <v>0</v>
      </c>
      <c r="H84" s="1112">
        <f>$C$84*(' Enrol &amp; Rev'!H36-' Enrol &amp; Rev'!G36)</f>
        <v>0</v>
      </c>
      <c r="I84" s="1112">
        <f>$C$84*(' Enrol &amp; Rev'!I36-' Enrol &amp; Rev'!H36)</f>
        <v>0</v>
      </c>
      <c r="J84" s="1112">
        <f>$C$84*(' Enrol &amp; Rev'!J36-' Enrol &amp; Rev'!I36)</f>
        <v>0</v>
      </c>
      <c r="K84" s="1112">
        <f>$C$84*(' Enrol &amp; Rev'!K36-' Enrol &amp; Rev'!J36)</f>
        <v>0</v>
      </c>
      <c r="L84" s="1112">
        <f>$C$84*(' Enrol &amp; Rev'!L36-' Enrol &amp; Rev'!K36)</f>
        <v>0</v>
      </c>
      <c r="M84" s="30"/>
      <c r="N84" s="30"/>
      <c r="O84" s="30"/>
      <c r="P84" s="30"/>
      <c r="Q84" s="30"/>
      <c r="R84" s="119"/>
      <c r="S84" s="30"/>
      <c r="T84" s="30"/>
      <c r="U84" s="30"/>
      <c r="V84" s="30"/>
      <c r="W84" s="30"/>
      <c r="X84" s="30"/>
      <c r="Y84" s="30"/>
      <c r="Z84" s="30"/>
    </row>
    <row r="85" ht="13.5" customHeight="1">
      <c r="A85" s="111">
        <f t="shared" si="5"/>
        <v>85</v>
      </c>
      <c r="B85" s="50" t="s">
        <v>901</v>
      </c>
      <c r="C85" s="1110">
        <v>0.0</v>
      </c>
      <c r="D85" s="65" t="s">
        <v>902</v>
      </c>
      <c r="E85" s="65"/>
      <c r="F85" s="1112">
        <v>0.0</v>
      </c>
      <c r="G85" s="1112">
        <v>0.0</v>
      </c>
      <c r="H85" s="1112">
        <v>0.0</v>
      </c>
      <c r="I85" s="1112">
        <v>0.0</v>
      </c>
      <c r="J85" s="1112">
        <v>0.0</v>
      </c>
      <c r="K85" s="1112">
        <v>0.0</v>
      </c>
      <c r="L85" s="1112">
        <v>0.0</v>
      </c>
      <c r="M85" s="30"/>
      <c r="N85" s="30"/>
      <c r="O85" s="30"/>
      <c r="P85" s="30"/>
      <c r="Q85" s="30"/>
      <c r="R85" s="119"/>
      <c r="S85" s="30"/>
      <c r="T85" s="30"/>
      <c r="U85" s="30"/>
      <c r="V85" s="30"/>
      <c r="W85" s="30"/>
      <c r="X85" s="30"/>
      <c r="Y85" s="30"/>
      <c r="Z85" s="30"/>
    </row>
    <row r="86" ht="13.5" customHeight="1">
      <c r="A86" s="111">
        <f t="shared" si="5"/>
        <v>86</v>
      </c>
      <c r="B86" s="50" t="s">
        <v>903</v>
      </c>
      <c r="C86" s="1110">
        <v>0.0</v>
      </c>
      <c r="D86" s="65" t="s">
        <v>904</v>
      </c>
      <c r="E86" s="65"/>
      <c r="F86" s="1112">
        <v>0.0</v>
      </c>
      <c r="G86" s="1112">
        <f t="shared" ref="G86:L86" si="17">$C$86</f>
        <v>0</v>
      </c>
      <c r="H86" s="1112">
        <f t="shared" si="17"/>
        <v>0</v>
      </c>
      <c r="I86" s="1112">
        <f t="shared" si="17"/>
        <v>0</v>
      </c>
      <c r="J86" s="1112">
        <f t="shared" si="17"/>
        <v>0</v>
      </c>
      <c r="K86" s="1112">
        <f t="shared" si="17"/>
        <v>0</v>
      </c>
      <c r="L86" s="1112">
        <f t="shared" si="17"/>
        <v>0</v>
      </c>
      <c r="M86" s="30"/>
      <c r="N86" s="30"/>
      <c r="O86" s="30"/>
      <c r="P86" s="30"/>
      <c r="Q86" s="30"/>
      <c r="R86" s="119"/>
      <c r="S86" s="30"/>
      <c r="T86" s="30"/>
      <c r="U86" s="30"/>
      <c r="V86" s="30"/>
      <c r="W86" s="30"/>
      <c r="X86" s="30"/>
      <c r="Y86" s="30"/>
      <c r="Z86" s="30"/>
    </row>
    <row r="87" ht="13.5" customHeight="1">
      <c r="A87" s="111">
        <f t="shared" si="5"/>
        <v>87</v>
      </c>
      <c r="B87" s="50" t="s">
        <v>905</v>
      </c>
      <c r="C87" s="1104">
        <v>2.47111</v>
      </c>
      <c r="D87" s="65" t="s">
        <v>906</v>
      </c>
      <c r="E87" s="65"/>
      <c r="F87" s="1112">
        <f>$C$87*' Enrol &amp; Rev'!F36</f>
        <v>1499.96377</v>
      </c>
      <c r="G87" s="1112">
        <f>$C$87*' Enrol &amp; Rev'!G36</f>
        <v>1561.74152</v>
      </c>
      <c r="H87" s="1112">
        <f>$C$87*' Enrol &amp; Rev'!H36</f>
        <v>1593.86595</v>
      </c>
      <c r="I87" s="1112">
        <f>$C$87*' Enrol &amp; Rev'!I36</f>
        <v>1648.23037</v>
      </c>
      <c r="J87" s="1112">
        <f>$C$87*' Enrol &amp; Rev'!J36</f>
        <v>1663.05703</v>
      </c>
      <c r="K87" s="1112">
        <f>$C$87*' Enrol &amp; Rev'!K36</f>
        <v>1670.47036</v>
      </c>
      <c r="L87" s="1112">
        <f>$C$87*' Enrol &amp; Rev'!L36</f>
        <v>1692.71035</v>
      </c>
      <c r="M87" s="30"/>
      <c r="N87" s="30"/>
      <c r="O87" s="30"/>
      <c r="P87" s="30"/>
      <c r="Q87" s="30"/>
      <c r="R87" s="119"/>
      <c r="S87" s="30"/>
      <c r="T87" s="30"/>
      <c r="U87" s="30"/>
      <c r="V87" s="30"/>
      <c r="W87" s="30"/>
      <c r="X87" s="30"/>
      <c r="Y87" s="30"/>
      <c r="Z87" s="30"/>
    </row>
    <row r="88" ht="13.5" customHeight="1">
      <c r="A88" s="111">
        <f t="shared" si="5"/>
        <v>88</v>
      </c>
      <c r="B88" s="50" t="s">
        <v>907</v>
      </c>
      <c r="C88" s="1110">
        <v>0.0</v>
      </c>
      <c r="D88" s="65" t="s">
        <v>904</v>
      </c>
      <c r="E88" s="65"/>
      <c r="F88" s="1112">
        <v>0.0</v>
      </c>
      <c r="G88" s="1112">
        <f t="shared" ref="G88:L88" si="18">$C$88</f>
        <v>0</v>
      </c>
      <c r="H88" s="1112">
        <f t="shared" si="18"/>
        <v>0</v>
      </c>
      <c r="I88" s="1112">
        <f t="shared" si="18"/>
        <v>0</v>
      </c>
      <c r="J88" s="1112">
        <f t="shared" si="18"/>
        <v>0</v>
      </c>
      <c r="K88" s="1112">
        <f t="shared" si="18"/>
        <v>0</v>
      </c>
      <c r="L88" s="1112">
        <f t="shared" si="18"/>
        <v>0</v>
      </c>
      <c r="M88" s="30"/>
      <c r="N88" s="30"/>
      <c r="O88" s="30"/>
      <c r="P88" s="30"/>
      <c r="Q88" s="30"/>
      <c r="R88" s="119"/>
      <c r="S88" s="30"/>
      <c r="T88" s="30"/>
      <c r="U88" s="30"/>
      <c r="V88" s="30"/>
      <c r="W88" s="30"/>
      <c r="X88" s="30"/>
      <c r="Y88" s="30"/>
      <c r="Z88" s="30"/>
    </row>
    <row r="89" ht="13.5" customHeight="1">
      <c r="A89" s="111">
        <f t="shared" si="5"/>
        <v>89</v>
      </c>
      <c r="B89" s="50" t="s">
        <v>908</v>
      </c>
      <c r="C89" s="1110">
        <v>0.0</v>
      </c>
      <c r="D89" s="65" t="s">
        <v>885</v>
      </c>
      <c r="E89" s="65"/>
      <c r="F89" s="1112">
        <v>0.0</v>
      </c>
      <c r="G89" s="1112">
        <f t="shared" ref="G89:L89" si="19">+G193</f>
        <v>0</v>
      </c>
      <c r="H89" s="1112">
        <f t="shared" si="19"/>
        <v>0</v>
      </c>
      <c r="I89" s="1112">
        <f t="shared" si="19"/>
        <v>0</v>
      </c>
      <c r="J89" s="1112">
        <f t="shared" si="19"/>
        <v>0</v>
      </c>
      <c r="K89" s="1112">
        <f t="shared" si="19"/>
        <v>0</v>
      </c>
      <c r="L89" s="1112">
        <f t="shared" si="19"/>
        <v>0</v>
      </c>
      <c r="M89" s="30"/>
      <c r="N89" s="30"/>
      <c r="O89" s="30"/>
      <c r="P89" s="30"/>
      <c r="Q89" s="30"/>
      <c r="R89" s="119"/>
      <c r="S89" s="30"/>
      <c r="T89" s="30"/>
      <c r="U89" s="30"/>
      <c r="V89" s="30"/>
      <c r="W89" s="30"/>
      <c r="X89" s="30"/>
      <c r="Y89" s="30"/>
      <c r="Z89" s="30"/>
    </row>
    <row r="90" ht="13.5" customHeight="1">
      <c r="A90" s="111">
        <f t="shared" si="5"/>
        <v>90</v>
      </c>
      <c r="B90" s="50" t="s">
        <v>909</v>
      </c>
      <c r="C90" s="1104">
        <v>2.8</v>
      </c>
      <c r="D90" s="65" t="s">
        <v>528</v>
      </c>
      <c r="E90" s="65"/>
      <c r="F90" s="1112">
        <f>$C$90*' Enrol &amp; Rev'!F36</f>
        <v>1699.6</v>
      </c>
      <c r="G90" s="1112">
        <f>$C$90*' Enrol &amp; Rev'!G36</f>
        <v>1769.6</v>
      </c>
      <c r="H90" s="1112">
        <f>$C$90*' Enrol &amp; Rev'!H36</f>
        <v>1806</v>
      </c>
      <c r="I90" s="1112">
        <f>$C$90*' Enrol &amp; Rev'!I36</f>
        <v>1867.6</v>
      </c>
      <c r="J90" s="1112">
        <f>$C$90*' Enrol &amp; Rev'!J36</f>
        <v>1884.4</v>
      </c>
      <c r="K90" s="1112">
        <f>$C$90*' Enrol &amp; Rev'!K36</f>
        <v>1892.8</v>
      </c>
      <c r="L90" s="1112">
        <f>$C$90*' Enrol &amp; Rev'!L36</f>
        <v>1918</v>
      </c>
      <c r="M90" s="30"/>
      <c r="N90" s="30"/>
      <c r="O90" s="30"/>
      <c r="P90" s="30"/>
      <c r="Q90" s="30"/>
      <c r="R90" s="119"/>
      <c r="S90" s="30"/>
      <c r="T90" s="30"/>
      <c r="U90" s="30"/>
      <c r="V90" s="30"/>
      <c r="W90" s="30"/>
      <c r="X90" s="30"/>
      <c r="Y90" s="30"/>
      <c r="Z90" s="30"/>
    </row>
    <row r="91" ht="13.5" customHeight="1">
      <c r="A91" s="111">
        <f t="shared" si="5"/>
        <v>91</v>
      </c>
      <c r="B91" s="50" t="s">
        <v>910</v>
      </c>
      <c r="C91" s="1110">
        <v>0.0</v>
      </c>
      <c r="D91" s="65" t="s">
        <v>528</v>
      </c>
      <c r="E91" s="65"/>
      <c r="F91" s="1112">
        <v>0.0</v>
      </c>
      <c r="G91" s="1112">
        <f>$C$91*' Enrol &amp; Rev'!G36</f>
        <v>0</v>
      </c>
      <c r="H91" s="1112">
        <f>$C$91*' Enrol &amp; Rev'!H36</f>
        <v>0</v>
      </c>
      <c r="I91" s="1112">
        <f>$C$91*' Enrol &amp; Rev'!I36</f>
        <v>0</v>
      </c>
      <c r="J91" s="1112">
        <f>$C$91*' Enrol &amp; Rev'!J36</f>
        <v>0</v>
      </c>
      <c r="K91" s="1112">
        <f>$C$91*' Enrol &amp; Rev'!K36</f>
        <v>0</v>
      </c>
      <c r="L91" s="1112">
        <f>$C$91*' Enrol &amp; Rev'!L36</f>
        <v>0</v>
      </c>
      <c r="M91" s="30"/>
      <c r="N91" s="30"/>
      <c r="O91" s="30"/>
      <c r="P91" s="30"/>
      <c r="Q91" s="30"/>
      <c r="R91" s="119"/>
      <c r="S91" s="30"/>
      <c r="T91" s="30"/>
      <c r="U91" s="30"/>
      <c r="V91" s="30"/>
      <c r="W91" s="30"/>
      <c r="X91" s="30"/>
      <c r="Y91" s="30"/>
      <c r="Z91" s="30"/>
    </row>
    <row r="92" ht="13.5" customHeight="1">
      <c r="A92" s="111">
        <f t="shared" si="5"/>
        <v>92</v>
      </c>
      <c r="B92" s="50" t="s">
        <v>911</v>
      </c>
      <c r="C92" s="1110">
        <v>0.0</v>
      </c>
      <c r="D92" s="65" t="s">
        <v>872</v>
      </c>
      <c r="E92" s="65"/>
      <c r="F92" s="1112">
        <v>0.0</v>
      </c>
      <c r="G92" s="1112">
        <f>$C$92*Staff!H$23</f>
        <v>0</v>
      </c>
      <c r="H92" s="1112">
        <f>$C$92*Staff!I$23</f>
        <v>0</v>
      </c>
      <c r="I92" s="1112">
        <f>$C$92*Staff!J$23</f>
        <v>0</v>
      </c>
      <c r="J92" s="1112">
        <f>$C$92*Staff!K$23</f>
        <v>0</v>
      </c>
      <c r="K92" s="1112">
        <f>$C$92*Staff!L$23</f>
        <v>0</v>
      </c>
      <c r="L92" s="1112">
        <f>$C$92*Staff!M$23</f>
        <v>0</v>
      </c>
      <c r="M92" s="30"/>
      <c r="N92" s="30"/>
      <c r="O92" s="30"/>
      <c r="P92" s="30"/>
      <c r="Q92" s="30"/>
      <c r="R92" s="119"/>
      <c r="S92" s="30"/>
      <c r="T92" s="30"/>
      <c r="U92" s="30"/>
      <c r="V92" s="30"/>
      <c r="W92" s="30"/>
      <c r="X92" s="30"/>
      <c r="Y92" s="30"/>
      <c r="Z92" s="30"/>
    </row>
    <row r="93" ht="13.5" customHeight="1">
      <c r="A93" s="111">
        <f t="shared" si="5"/>
        <v>93</v>
      </c>
      <c r="B93" s="50" t="s">
        <v>912</v>
      </c>
      <c r="C93" s="1104">
        <v>44.0</v>
      </c>
      <c r="D93" s="65" t="s">
        <v>872</v>
      </c>
      <c r="E93" s="65"/>
      <c r="F93" s="1112">
        <f>$C$93*Staff!G$23</f>
        <v>2178</v>
      </c>
      <c r="G93" s="1112">
        <f>$C$93*Staff!H$23</f>
        <v>2200</v>
      </c>
      <c r="H93" s="1112">
        <f>$C$93*Staff!I$23</f>
        <v>2200</v>
      </c>
      <c r="I93" s="1112">
        <f>$C$93*Staff!J$23</f>
        <v>2156</v>
      </c>
      <c r="J93" s="1112">
        <f>$C$93*Staff!K$23</f>
        <v>2156</v>
      </c>
      <c r="K93" s="1112">
        <f>$C$93*Staff!L$23</f>
        <v>2156</v>
      </c>
      <c r="L93" s="1112">
        <f>$C$93*Staff!M$23</f>
        <v>2156</v>
      </c>
      <c r="M93" s="30"/>
      <c r="N93" s="30"/>
      <c r="O93" s="30"/>
      <c r="P93" s="30"/>
      <c r="Q93" s="30"/>
      <c r="R93" s="119"/>
      <c r="S93" s="30"/>
      <c r="T93" s="30"/>
      <c r="U93" s="30"/>
      <c r="V93" s="30"/>
      <c r="W93" s="30"/>
      <c r="X93" s="30"/>
      <c r="Y93" s="30"/>
      <c r="Z93" s="30"/>
    </row>
    <row r="94" ht="13.5" customHeight="1">
      <c r="A94" s="111">
        <f t="shared" si="5"/>
        <v>94</v>
      </c>
      <c r="B94" s="50" t="s">
        <v>913</v>
      </c>
      <c r="C94" s="1110">
        <v>0.0</v>
      </c>
      <c r="D94" s="65" t="s">
        <v>872</v>
      </c>
      <c r="E94" s="65"/>
      <c r="F94" s="1107">
        <v>0.0</v>
      </c>
      <c r="G94" s="1112">
        <f>$C$94*Staff!H$23</f>
        <v>0</v>
      </c>
      <c r="H94" s="1112">
        <f>$C$94*Staff!I$23</f>
        <v>0</v>
      </c>
      <c r="I94" s="1112">
        <f>$C$94*Staff!J$23</f>
        <v>0</v>
      </c>
      <c r="J94" s="1112">
        <f>$C$94*Staff!K$23</f>
        <v>0</v>
      </c>
      <c r="K94" s="1112">
        <f>$C$94*Staff!L$23</f>
        <v>0</v>
      </c>
      <c r="L94" s="1112">
        <f>$C$94*Staff!M$23</f>
        <v>0</v>
      </c>
      <c r="M94" s="30"/>
      <c r="N94" s="30"/>
      <c r="O94" s="30"/>
      <c r="P94" s="30"/>
      <c r="Q94" s="30"/>
      <c r="R94" s="119"/>
      <c r="S94" s="30"/>
      <c r="T94" s="30"/>
      <c r="U94" s="30"/>
      <c r="V94" s="30"/>
      <c r="W94" s="30"/>
      <c r="X94" s="30"/>
      <c r="Y94" s="30"/>
      <c r="Z94" s="30"/>
    </row>
    <row r="95" ht="13.5" customHeight="1">
      <c r="A95" s="111">
        <f t="shared" si="5"/>
        <v>95</v>
      </c>
      <c r="B95" s="50" t="s">
        <v>914</v>
      </c>
      <c r="C95" s="1104">
        <v>0.0</v>
      </c>
      <c r="D95" s="65" t="s">
        <v>915</v>
      </c>
      <c r="E95" s="65"/>
      <c r="F95" s="1107">
        <v>0.0</v>
      </c>
      <c r="G95" s="1112">
        <f>IF($C$95*(Staff!G23-Staff!F23)&gt;0,$C$95*(Staff!G23-Staff!F23),0)</f>
        <v>0</v>
      </c>
      <c r="H95" s="1112">
        <f>IF($C$95*(Staff!H23-Staff!G23)&gt;0,$C$95*(Staff!H23-Staff!G23),0)</f>
        <v>0</v>
      </c>
      <c r="I95" s="1112">
        <f>IF($C$95*(Staff!I23-Staff!H23)&gt;0,$C$95*(Staff!I23-Staff!H23),0)</f>
        <v>0</v>
      </c>
      <c r="J95" s="1112">
        <f>IF($C$95*(Staff!J23-Staff!I23)&gt;0,$C$95*(Staff!J23-Staff!I23),0)</f>
        <v>0</v>
      </c>
      <c r="K95" s="1112">
        <f>IF($C$95*(Staff!K23-Staff!J23)&gt;0,$C$95*(Staff!K23-Staff!J23),0)</f>
        <v>0</v>
      </c>
      <c r="L95" s="1112">
        <f>IF($C$95*(Staff!L23-Staff!K23)&gt;0,$C$95*(Staff!L23-Staff!K23),0)</f>
        <v>0</v>
      </c>
      <c r="M95" s="30"/>
      <c r="N95" s="30"/>
      <c r="O95" s="30"/>
      <c r="P95" s="30"/>
      <c r="Q95" s="30"/>
      <c r="R95" s="119"/>
      <c r="S95" s="30"/>
      <c r="T95" s="30"/>
      <c r="U95" s="30"/>
      <c r="V95" s="30"/>
      <c r="W95" s="30"/>
      <c r="X95" s="30"/>
      <c r="Y95" s="30"/>
      <c r="Z95" s="30"/>
    </row>
    <row r="96" ht="13.5" customHeight="1">
      <c r="A96" s="111">
        <f t="shared" si="5"/>
        <v>96</v>
      </c>
      <c r="B96" s="50" t="s">
        <v>916</v>
      </c>
      <c r="C96" s="1104">
        <v>27000.0</v>
      </c>
      <c r="D96" s="65" t="s">
        <v>904</v>
      </c>
      <c r="E96" s="65"/>
      <c r="F96" s="1115">
        <v>27000.0</v>
      </c>
      <c r="G96" s="1115">
        <v>27000.0</v>
      </c>
      <c r="H96" s="1115">
        <v>27000.0</v>
      </c>
      <c r="I96" s="1115">
        <v>27000.0</v>
      </c>
      <c r="J96" s="1115">
        <v>27000.0</v>
      </c>
      <c r="K96" s="1115">
        <v>27000.0</v>
      </c>
      <c r="L96" s="1115">
        <v>27000.0</v>
      </c>
      <c r="M96" s="30"/>
      <c r="N96" s="30"/>
      <c r="O96" s="30"/>
      <c r="P96" s="30"/>
      <c r="Q96" s="30"/>
      <c r="R96" s="119"/>
      <c r="S96" s="30"/>
      <c r="T96" s="30"/>
      <c r="U96" s="30"/>
      <c r="V96" s="30"/>
      <c r="W96" s="30"/>
      <c r="X96" s="30"/>
      <c r="Y96" s="30"/>
      <c r="Z96" s="30"/>
    </row>
    <row r="97" ht="13.5" customHeight="1">
      <c r="A97" s="111">
        <f t="shared" si="5"/>
        <v>97</v>
      </c>
      <c r="B97" s="50" t="s">
        <v>917</v>
      </c>
      <c r="C97" s="1110">
        <v>0.0</v>
      </c>
      <c r="D97" s="65" t="s">
        <v>918</v>
      </c>
      <c r="E97" s="65"/>
      <c r="F97" s="1107">
        <v>0.0</v>
      </c>
      <c r="G97" s="1112">
        <f>$C$97*' Enrol &amp; Rev'!G17</f>
        <v>0</v>
      </c>
      <c r="H97" s="1112">
        <f>$C$97*' Enrol &amp; Rev'!H17</f>
        <v>0</v>
      </c>
      <c r="I97" s="1112">
        <f>$C$97*' Enrol &amp; Rev'!I17</f>
        <v>0</v>
      </c>
      <c r="J97" s="1112">
        <f>$C$97*' Enrol &amp; Rev'!J17</f>
        <v>0</v>
      </c>
      <c r="K97" s="1112">
        <f>$C$97*' Enrol &amp; Rev'!K17</f>
        <v>0</v>
      </c>
      <c r="L97" s="1112">
        <f>$C$97*' Enrol &amp; Rev'!L17</f>
        <v>0</v>
      </c>
      <c r="M97" s="30"/>
      <c r="N97" s="30"/>
      <c r="O97" s="30"/>
      <c r="P97" s="30"/>
      <c r="Q97" s="30"/>
      <c r="R97" s="119"/>
      <c r="S97" s="30"/>
      <c r="T97" s="30"/>
      <c r="U97" s="30"/>
      <c r="V97" s="30"/>
      <c r="W97" s="30"/>
      <c r="X97" s="30"/>
      <c r="Y97" s="30"/>
      <c r="Z97" s="30"/>
    </row>
    <row r="98" ht="13.5" customHeight="1">
      <c r="A98" s="111">
        <f t="shared" si="5"/>
        <v>98</v>
      </c>
      <c r="B98" s="50" t="s">
        <v>919</v>
      </c>
      <c r="C98" s="1110">
        <v>0.0</v>
      </c>
      <c r="D98" s="65" t="s">
        <v>918</v>
      </c>
      <c r="E98" s="65"/>
      <c r="F98" s="1107">
        <v>0.0</v>
      </c>
      <c r="G98" s="1112">
        <v>0.0</v>
      </c>
      <c r="H98" s="1112">
        <f>$C$98*' Enrol &amp; Rev'!H17</f>
        <v>0</v>
      </c>
      <c r="I98" s="1112">
        <f>$C$98*' Enrol &amp; Rev'!I17</f>
        <v>0</v>
      </c>
      <c r="J98" s="1112">
        <f>$C$98*' Enrol &amp; Rev'!J17</f>
        <v>0</v>
      </c>
      <c r="K98" s="1112">
        <f>$C$98*' Enrol &amp; Rev'!K17</f>
        <v>0</v>
      </c>
      <c r="L98" s="1112">
        <f>$C$98*' Enrol &amp; Rev'!L17</f>
        <v>0</v>
      </c>
      <c r="M98" s="30"/>
      <c r="N98" s="30"/>
      <c r="O98" s="30"/>
      <c r="P98" s="30"/>
      <c r="Q98" s="30"/>
      <c r="R98" s="119"/>
      <c r="S98" s="30"/>
      <c r="T98" s="30"/>
      <c r="U98" s="30"/>
      <c r="V98" s="30"/>
      <c r="W98" s="30"/>
      <c r="X98" s="30"/>
      <c r="Y98" s="30"/>
      <c r="Z98" s="30"/>
    </row>
    <row r="99" ht="13.5" customHeight="1">
      <c r="A99" s="111">
        <f t="shared" si="5"/>
        <v>99</v>
      </c>
      <c r="B99" s="50" t="s">
        <v>920</v>
      </c>
      <c r="C99" s="1111">
        <v>0.0</v>
      </c>
      <c r="D99" s="65" t="s">
        <v>625</v>
      </c>
      <c r="E99" s="65"/>
      <c r="F99" s="1107">
        <v>0.0</v>
      </c>
      <c r="G99" s="1112">
        <f t="shared" ref="G99:L99" si="20">+$C99</f>
        <v>0</v>
      </c>
      <c r="H99" s="1112">
        <f t="shared" si="20"/>
        <v>0</v>
      </c>
      <c r="I99" s="1112">
        <f t="shared" si="20"/>
        <v>0</v>
      </c>
      <c r="J99" s="1112">
        <f t="shared" si="20"/>
        <v>0</v>
      </c>
      <c r="K99" s="1112">
        <f t="shared" si="20"/>
        <v>0</v>
      </c>
      <c r="L99" s="1112">
        <f t="shared" si="20"/>
        <v>0</v>
      </c>
      <c r="M99" s="30"/>
      <c r="N99" s="30"/>
      <c r="O99" s="30"/>
      <c r="P99" s="30"/>
      <c r="Q99" s="30"/>
      <c r="R99" s="119"/>
      <c r="S99" s="30"/>
      <c r="T99" s="30"/>
      <c r="U99" s="30"/>
      <c r="V99" s="30"/>
      <c r="W99" s="30"/>
      <c r="X99" s="30"/>
      <c r="Y99" s="30"/>
      <c r="Z99" s="30"/>
    </row>
    <row r="100" ht="13.5" customHeight="1">
      <c r="A100" s="111">
        <f t="shared" si="5"/>
        <v>100</v>
      </c>
      <c r="B100" s="50" t="s">
        <v>921</v>
      </c>
      <c r="C100" s="1111">
        <v>0.0</v>
      </c>
      <c r="D100" s="65" t="s">
        <v>625</v>
      </c>
      <c r="E100" s="65"/>
      <c r="F100" s="1115">
        <v>800.0</v>
      </c>
      <c r="G100" s="1115">
        <v>800.0</v>
      </c>
      <c r="H100" s="1115">
        <v>800.0</v>
      </c>
      <c r="I100" s="1115">
        <v>800.0</v>
      </c>
      <c r="J100" s="1115">
        <v>800.0</v>
      </c>
      <c r="K100" s="1115">
        <v>800.0</v>
      </c>
      <c r="L100" s="1115">
        <v>800.0</v>
      </c>
      <c r="M100" s="30"/>
      <c r="N100" s="30"/>
      <c r="O100" s="30"/>
      <c r="P100" s="30"/>
      <c r="Q100" s="30"/>
      <c r="R100" s="119"/>
      <c r="S100" s="30"/>
      <c r="T100" s="30"/>
      <c r="U100" s="30"/>
      <c r="V100" s="30"/>
      <c r="W100" s="30"/>
      <c r="X100" s="30"/>
      <c r="Y100" s="30"/>
      <c r="Z100" s="30"/>
    </row>
    <row r="101" ht="13.5" customHeight="1">
      <c r="A101" s="111">
        <f t="shared" si="5"/>
        <v>101</v>
      </c>
      <c r="B101" s="50" t="s">
        <v>922</v>
      </c>
      <c r="C101" s="1111">
        <v>0.0</v>
      </c>
      <c r="D101" s="65" t="s">
        <v>625</v>
      </c>
      <c r="E101" s="65"/>
      <c r="F101" s="1107">
        <v>0.0</v>
      </c>
      <c r="G101" s="1112">
        <v>0.0</v>
      </c>
      <c r="H101" s="1112">
        <v>0.0</v>
      </c>
      <c r="I101" s="1112">
        <v>0.0</v>
      </c>
      <c r="J101" s="1112">
        <v>0.0</v>
      </c>
      <c r="K101" s="1112">
        <v>0.0</v>
      </c>
      <c r="L101" s="1112">
        <v>0.0</v>
      </c>
      <c r="M101" s="30"/>
      <c r="N101" s="30"/>
      <c r="O101" s="30"/>
      <c r="P101" s="30"/>
      <c r="Q101" s="30"/>
      <c r="R101" s="119"/>
      <c r="S101" s="30"/>
      <c r="T101" s="30"/>
      <c r="U101" s="30"/>
      <c r="V101" s="30"/>
      <c r="W101" s="30"/>
      <c r="X101" s="30"/>
      <c r="Y101" s="30"/>
      <c r="Z101" s="30"/>
    </row>
    <row r="102" ht="13.5" customHeight="1">
      <c r="A102" s="111">
        <f t="shared" si="5"/>
        <v>102</v>
      </c>
      <c r="B102" s="50" t="s">
        <v>923</v>
      </c>
      <c r="C102" s="1110">
        <v>0.0</v>
      </c>
      <c r="D102" s="65" t="s">
        <v>904</v>
      </c>
      <c r="E102" s="65"/>
      <c r="F102" s="1107">
        <v>0.0</v>
      </c>
      <c r="G102" s="1112">
        <v>0.0</v>
      </c>
      <c r="H102" s="1112">
        <f t="shared" ref="H102:L102" si="21">$C$102</f>
        <v>0</v>
      </c>
      <c r="I102" s="1112">
        <f t="shared" si="21"/>
        <v>0</v>
      </c>
      <c r="J102" s="1112">
        <f t="shared" si="21"/>
        <v>0</v>
      </c>
      <c r="K102" s="1112">
        <f t="shared" si="21"/>
        <v>0</v>
      </c>
      <c r="L102" s="1112">
        <f t="shared" si="21"/>
        <v>0</v>
      </c>
      <c r="M102" s="30"/>
      <c r="N102" s="30"/>
      <c r="O102" s="30"/>
      <c r="P102" s="30"/>
      <c r="Q102" s="30"/>
      <c r="R102" s="119"/>
      <c r="S102" s="30"/>
      <c r="T102" s="30"/>
      <c r="U102" s="30"/>
      <c r="V102" s="30"/>
      <c r="W102" s="30"/>
      <c r="X102" s="30"/>
      <c r="Y102" s="30"/>
      <c r="Z102" s="30"/>
    </row>
    <row r="103" ht="13.5" customHeight="1">
      <c r="A103" s="111">
        <f t="shared" si="5"/>
        <v>103</v>
      </c>
      <c r="B103" s="50" t="s">
        <v>924</v>
      </c>
      <c r="C103" s="1111" t="s">
        <v>523</v>
      </c>
      <c r="D103" s="65" t="s">
        <v>925</v>
      </c>
      <c r="E103" s="65"/>
      <c r="F103" s="1107">
        <v>0.0</v>
      </c>
      <c r="G103" s="1112">
        <v>0.0</v>
      </c>
      <c r="H103" s="1112">
        <f>IF($C$103="yes",Staff!$C$73*Staff!$C$72*Staff!$C$71,0)</f>
        <v>0</v>
      </c>
      <c r="I103" s="1112">
        <f>IF($C$103="yes",Staff!$C$73*Staff!$C$72*Staff!$C$71,0)</f>
        <v>0</v>
      </c>
      <c r="J103" s="1112">
        <f>IF($C$103="yes",Staff!$C$73*Staff!$C$72*Staff!$C$71,0)</f>
        <v>0</v>
      </c>
      <c r="K103" s="1112">
        <f>IF($C$103="yes",Staff!$C$73*Staff!$C$72*Staff!$C$71,0)</f>
        <v>0</v>
      </c>
      <c r="L103" s="1112">
        <f>IF($C$103="yes",Staff!$C$73*Staff!$C$72*Staff!$C$71,0)</f>
        <v>0</v>
      </c>
      <c r="M103" s="30"/>
      <c r="N103" s="30"/>
      <c r="O103" s="30"/>
      <c r="P103" s="30"/>
      <c r="Q103" s="30"/>
      <c r="R103" s="119"/>
      <c r="S103" s="30"/>
      <c r="T103" s="30"/>
      <c r="U103" s="30"/>
      <c r="V103" s="30"/>
      <c r="W103" s="30"/>
      <c r="X103" s="30"/>
      <c r="Y103" s="30"/>
      <c r="Z103" s="30"/>
    </row>
    <row r="104" ht="13.5" customHeight="1">
      <c r="A104" s="111">
        <f t="shared" si="5"/>
        <v>104</v>
      </c>
      <c r="B104" s="30"/>
      <c r="C104" s="142"/>
      <c r="D104" s="141"/>
      <c r="E104" s="141"/>
      <c r="F104" s="1116"/>
      <c r="G104" s="1116"/>
      <c r="H104" s="1116"/>
      <c r="I104" s="1116"/>
      <c r="J104" s="1116"/>
      <c r="K104" s="1116"/>
      <c r="L104" s="1116"/>
      <c r="M104" s="30"/>
      <c r="N104" s="30"/>
      <c r="O104" s="30"/>
      <c r="P104" s="30"/>
      <c r="Q104" s="30"/>
      <c r="R104" s="119"/>
      <c r="S104" s="30"/>
      <c r="T104" s="30"/>
      <c r="U104" s="30"/>
      <c r="V104" s="30"/>
      <c r="W104" s="30"/>
      <c r="X104" s="30"/>
      <c r="Y104" s="30"/>
      <c r="Z104" s="30"/>
    </row>
    <row r="105" ht="13.5" customHeight="1">
      <c r="A105" s="111">
        <f t="shared" si="5"/>
        <v>105</v>
      </c>
      <c r="B105" s="1117" t="s">
        <v>926</v>
      </c>
      <c r="C105" s="1118"/>
      <c r="D105" s="1117"/>
      <c r="E105" s="1117"/>
      <c r="F105" s="1119">
        <f t="shared" ref="F105:L105" si="22">SUM(F65:F104)</f>
        <v>200148.0638</v>
      </c>
      <c r="G105" s="1119">
        <f t="shared" si="22"/>
        <v>200627.3415</v>
      </c>
      <c r="H105" s="1119">
        <f t="shared" si="22"/>
        <v>200860.366</v>
      </c>
      <c r="I105" s="1119">
        <f t="shared" si="22"/>
        <v>201177.3304</v>
      </c>
      <c r="J105" s="1119">
        <f t="shared" si="22"/>
        <v>201279.957</v>
      </c>
      <c r="K105" s="1119">
        <f t="shared" si="22"/>
        <v>201333.2704</v>
      </c>
      <c r="L105" s="1119">
        <f t="shared" si="22"/>
        <v>201493.2104</v>
      </c>
      <c r="M105" s="30"/>
      <c r="N105" s="30"/>
      <c r="O105" s="30"/>
      <c r="P105" s="30"/>
      <c r="Q105" s="30"/>
      <c r="R105" s="119"/>
      <c r="S105" s="30"/>
      <c r="T105" s="30"/>
      <c r="U105" s="30"/>
      <c r="V105" s="30"/>
      <c r="W105" s="30"/>
      <c r="X105" s="30"/>
      <c r="Y105" s="30"/>
      <c r="Z105" s="30"/>
    </row>
    <row r="106" ht="13.5" customHeight="1">
      <c r="A106" s="111">
        <f t="shared" si="5"/>
        <v>106</v>
      </c>
      <c r="B106" s="67" t="s">
        <v>528</v>
      </c>
      <c r="C106" s="144"/>
      <c r="D106" s="67"/>
      <c r="E106" s="67"/>
      <c r="F106" s="147">
        <f>IFERROR(F105/' Enrol &amp; Rev'!F36,0)</f>
        <v>329.7332187</v>
      </c>
      <c r="G106" s="147">
        <f>IFERROR(G105/' Enrol &amp; Rev'!G36,0)</f>
        <v>317.4483252</v>
      </c>
      <c r="H106" s="147">
        <f>IFERROR(H105/' Enrol &amp; Rev'!H36,0)</f>
        <v>311.4114201</v>
      </c>
      <c r="I106" s="147">
        <f>IFERROR(I105/' Enrol &amp; Rev'!I36,0)</f>
        <v>301.615188</v>
      </c>
      <c r="J106" s="147">
        <f>IFERROR(J105/' Enrol &amp; Rev'!J36,0)</f>
        <v>299.078688</v>
      </c>
      <c r="K106" s="147">
        <f>IFERROR(K105/' Enrol &amp; Rev'!K36,0)</f>
        <v>297.8302816</v>
      </c>
      <c r="L106" s="147">
        <f>IFERROR(L105/' Enrol &amp; Rev'!L36,0)</f>
        <v>294.150672</v>
      </c>
      <c r="M106" s="67"/>
      <c r="N106" s="67"/>
      <c r="O106" s="67"/>
      <c r="P106" s="67"/>
      <c r="Q106" s="67"/>
      <c r="R106" s="119"/>
      <c r="S106" s="30"/>
      <c r="T106" s="30"/>
      <c r="U106" s="30"/>
      <c r="V106" s="30"/>
      <c r="W106" s="30"/>
      <c r="X106" s="30"/>
      <c r="Y106" s="30"/>
      <c r="Z106" s="30"/>
    </row>
    <row r="107" ht="13.5" customHeight="1">
      <c r="A107" s="111">
        <f t="shared" si="5"/>
        <v>107</v>
      </c>
      <c r="B107" s="63"/>
      <c r="C107" s="305"/>
      <c r="D107" s="63"/>
      <c r="E107" s="67"/>
      <c r="F107" s="142"/>
      <c r="G107" s="129"/>
      <c r="H107" s="129"/>
      <c r="I107" s="129"/>
      <c r="J107" s="129"/>
      <c r="K107" s="129"/>
      <c r="L107" s="129"/>
      <c r="M107" s="153"/>
      <c r="N107" s="30"/>
      <c r="O107" s="30"/>
      <c r="P107" s="30"/>
      <c r="Q107" s="30"/>
      <c r="R107" s="119"/>
      <c r="S107" s="30"/>
      <c r="T107" s="30"/>
      <c r="U107" s="30"/>
      <c r="V107" s="30"/>
      <c r="W107" s="30"/>
      <c r="X107" s="30"/>
      <c r="Y107" s="30"/>
      <c r="Z107" s="30"/>
    </row>
    <row r="108" ht="13.5" customHeight="1">
      <c r="A108" s="111">
        <f t="shared" si="5"/>
        <v>108</v>
      </c>
      <c r="B108" s="63" t="s">
        <v>927</v>
      </c>
      <c r="C108" s="305"/>
      <c r="D108" s="63"/>
      <c r="E108" s="67"/>
      <c r="F108" s="129"/>
      <c r="G108" s="129"/>
      <c r="H108" s="129"/>
      <c r="I108" s="129"/>
      <c r="J108" s="129"/>
      <c r="K108" s="129"/>
      <c r="L108" s="129"/>
      <c r="M108" s="30"/>
      <c r="N108" s="30"/>
      <c r="O108" s="30"/>
      <c r="P108" s="30"/>
      <c r="Q108" s="30"/>
      <c r="R108" s="119"/>
      <c r="S108" s="30"/>
      <c r="T108" s="30"/>
      <c r="U108" s="30"/>
      <c r="V108" s="30"/>
      <c r="W108" s="30"/>
      <c r="X108" s="30"/>
      <c r="Y108" s="30"/>
      <c r="Z108" s="30"/>
    </row>
    <row r="109" ht="13.5" customHeight="1">
      <c r="A109" s="111">
        <f t="shared" si="5"/>
        <v>109</v>
      </c>
      <c r="B109" s="30" t="s">
        <v>829</v>
      </c>
      <c r="C109" s="305"/>
      <c r="D109" s="63"/>
      <c r="E109" s="67"/>
      <c r="F109" s="1120">
        <v>0.0</v>
      </c>
      <c r="G109" s="1121"/>
      <c r="H109" s="1121"/>
      <c r="I109" s="1121"/>
      <c r="J109" s="1121"/>
      <c r="K109" s="1121"/>
      <c r="L109" s="1121"/>
      <c r="M109" s="30"/>
      <c r="N109" s="30"/>
      <c r="O109" s="30"/>
      <c r="P109" s="30"/>
      <c r="Q109" s="30"/>
      <c r="R109" s="119"/>
      <c r="S109" s="30"/>
      <c r="T109" s="30"/>
      <c r="U109" s="30"/>
      <c r="V109" s="30"/>
      <c r="W109" s="30"/>
      <c r="X109" s="30"/>
      <c r="Y109" s="30"/>
      <c r="Z109" s="30"/>
    </row>
    <row r="110" ht="13.5" customHeight="1">
      <c r="A110" s="111">
        <f t="shared" si="5"/>
        <v>110</v>
      </c>
      <c r="B110" s="30" t="s">
        <v>928</v>
      </c>
      <c r="C110" s="305"/>
      <c r="D110" s="63"/>
      <c r="E110" s="67"/>
      <c r="F110" s="1121"/>
      <c r="G110" s="1121"/>
      <c r="H110" s="1121"/>
      <c r="I110" s="1121"/>
      <c r="J110" s="1121"/>
      <c r="K110" s="1121"/>
      <c r="L110" s="1121"/>
      <c r="M110" s="30"/>
      <c r="N110" s="30"/>
      <c r="O110" s="30"/>
      <c r="P110" s="30"/>
      <c r="Q110" s="30"/>
      <c r="R110" s="119"/>
      <c r="S110" s="30"/>
      <c r="T110" s="30"/>
      <c r="U110" s="30"/>
      <c r="V110" s="30"/>
      <c r="W110" s="30"/>
      <c r="X110" s="30"/>
      <c r="Y110" s="30"/>
      <c r="Z110" s="30"/>
    </row>
    <row r="111" ht="13.5" customHeight="1">
      <c r="A111" s="111">
        <f t="shared" si="5"/>
        <v>111</v>
      </c>
      <c r="B111" s="30" t="s">
        <v>830</v>
      </c>
      <c r="C111" s="305"/>
      <c r="D111" s="63"/>
      <c r="E111" s="67"/>
      <c r="F111" s="1121"/>
      <c r="G111" s="1121"/>
      <c r="H111" s="1121"/>
      <c r="I111" s="1121"/>
      <c r="J111" s="1121"/>
      <c r="K111" s="1121"/>
      <c r="L111" s="1121"/>
      <c r="M111" s="30"/>
      <c r="N111" s="30"/>
      <c r="O111" s="30"/>
      <c r="P111" s="30"/>
      <c r="Q111" s="30"/>
      <c r="R111" s="119"/>
      <c r="S111" s="30"/>
      <c r="T111" s="30"/>
      <c r="U111" s="30"/>
      <c r="V111" s="30"/>
      <c r="W111" s="30"/>
      <c r="X111" s="30"/>
      <c r="Y111" s="30"/>
      <c r="Z111" s="30"/>
    </row>
    <row r="112" ht="13.5" customHeight="1">
      <c r="A112" s="111">
        <f t="shared" si="5"/>
        <v>112</v>
      </c>
      <c r="B112" s="30" t="s">
        <v>831</v>
      </c>
      <c r="C112" s="305"/>
      <c r="D112" s="63"/>
      <c r="E112" s="67"/>
      <c r="F112" s="1120">
        <v>0.0</v>
      </c>
      <c r="G112" s="1121"/>
      <c r="H112" s="1121"/>
      <c r="I112" s="1121"/>
      <c r="J112" s="1121"/>
      <c r="K112" s="1121"/>
      <c r="L112" s="1121"/>
      <c r="M112" s="30"/>
      <c r="N112" s="30"/>
      <c r="O112" s="30"/>
      <c r="P112" s="30"/>
      <c r="Q112" s="30"/>
      <c r="R112" s="119"/>
      <c r="S112" s="30"/>
      <c r="T112" s="30"/>
      <c r="U112" s="30"/>
      <c r="V112" s="30"/>
      <c r="W112" s="30"/>
      <c r="X112" s="30"/>
      <c r="Y112" s="30"/>
      <c r="Z112" s="30"/>
    </row>
    <row r="113" ht="13.5" customHeight="1">
      <c r="A113" s="111">
        <f t="shared" si="5"/>
        <v>113</v>
      </c>
      <c r="B113" s="30" t="s">
        <v>929</v>
      </c>
      <c r="C113" s="305"/>
      <c r="D113" s="63"/>
      <c r="E113" s="67"/>
      <c r="F113" s="1121"/>
      <c r="G113" s="1121"/>
      <c r="H113" s="1121"/>
      <c r="I113" s="1121"/>
      <c r="J113" s="1121"/>
      <c r="K113" s="1121"/>
      <c r="L113" s="1121"/>
      <c r="M113" s="30"/>
      <c r="N113" s="30"/>
      <c r="O113" s="30"/>
      <c r="P113" s="30"/>
      <c r="Q113" s="30"/>
      <c r="R113" s="119"/>
      <c r="S113" s="30"/>
      <c r="T113" s="30"/>
      <c r="U113" s="30"/>
      <c r="V113" s="30"/>
      <c r="W113" s="30"/>
      <c r="X113" s="30"/>
      <c r="Y113" s="30"/>
      <c r="Z113" s="30"/>
    </row>
    <row r="114" ht="13.5" customHeight="1">
      <c r="A114" s="111">
        <f t="shared" si="5"/>
        <v>114</v>
      </c>
      <c r="B114" s="30" t="s">
        <v>833</v>
      </c>
      <c r="C114" s="305"/>
      <c r="D114" s="63"/>
      <c r="E114" s="67"/>
      <c r="F114" s="1121"/>
      <c r="G114" s="1121"/>
      <c r="H114" s="1121"/>
      <c r="I114" s="1121"/>
      <c r="J114" s="1121"/>
      <c r="K114" s="1121"/>
      <c r="L114" s="1121"/>
      <c r="M114" s="30"/>
      <c r="N114" s="30"/>
      <c r="O114" s="30"/>
      <c r="P114" s="30"/>
      <c r="Q114" s="30"/>
      <c r="R114" s="119"/>
      <c r="S114" s="30"/>
      <c r="T114" s="30"/>
      <c r="U114" s="30"/>
      <c r="V114" s="30"/>
      <c r="W114" s="30"/>
      <c r="X114" s="30"/>
      <c r="Y114" s="30"/>
      <c r="Z114" s="30"/>
    </row>
    <row r="115" ht="13.5" customHeight="1">
      <c r="A115" s="111">
        <f t="shared" si="5"/>
        <v>115</v>
      </c>
      <c r="B115" s="30" t="s">
        <v>930</v>
      </c>
      <c r="C115" s="305"/>
      <c r="D115" s="63"/>
      <c r="E115" s="67"/>
      <c r="F115" s="1120">
        <v>0.0</v>
      </c>
      <c r="G115" s="1121"/>
      <c r="H115" s="1121"/>
      <c r="I115" s="1121"/>
      <c r="J115" s="1121"/>
      <c r="K115" s="1121"/>
      <c r="L115" s="1121"/>
      <c r="M115" s="30"/>
      <c r="N115" s="30"/>
      <c r="O115" s="30"/>
      <c r="P115" s="30"/>
      <c r="Q115" s="30"/>
      <c r="R115" s="119"/>
      <c r="S115" s="30"/>
      <c r="T115" s="30"/>
      <c r="U115" s="30"/>
      <c r="V115" s="30"/>
      <c r="W115" s="30"/>
      <c r="X115" s="30"/>
      <c r="Y115" s="30"/>
      <c r="Z115" s="30"/>
    </row>
    <row r="116" ht="13.5" customHeight="1">
      <c r="A116" s="111">
        <f t="shared" si="5"/>
        <v>116</v>
      </c>
      <c r="B116" s="30" t="s">
        <v>834</v>
      </c>
      <c r="C116" s="305"/>
      <c r="D116" s="63"/>
      <c r="E116" s="67"/>
      <c r="F116" s="1121"/>
      <c r="G116" s="1121"/>
      <c r="H116" s="1121"/>
      <c r="I116" s="1121"/>
      <c r="J116" s="1121"/>
      <c r="K116" s="1121"/>
      <c r="L116" s="1121"/>
      <c r="M116" s="30"/>
      <c r="N116" s="30"/>
      <c r="O116" s="30"/>
      <c r="P116" s="30"/>
      <c r="Q116" s="30"/>
      <c r="R116" s="119"/>
      <c r="S116" s="30"/>
      <c r="T116" s="30"/>
      <c r="U116" s="30"/>
      <c r="V116" s="30"/>
      <c r="W116" s="30"/>
      <c r="X116" s="30"/>
      <c r="Y116" s="30"/>
      <c r="Z116" s="30"/>
    </row>
    <row r="117" ht="13.5" customHeight="1">
      <c r="A117" s="111">
        <f t="shared" si="5"/>
        <v>117</v>
      </c>
      <c r="B117" s="30" t="s">
        <v>931</v>
      </c>
      <c r="C117" s="305"/>
      <c r="D117" s="63"/>
      <c r="E117" s="67"/>
      <c r="F117" s="1121"/>
      <c r="G117" s="1121"/>
      <c r="H117" s="1121"/>
      <c r="I117" s="1121"/>
      <c r="J117" s="1121"/>
      <c r="K117" s="1121"/>
      <c r="L117" s="1121"/>
      <c r="M117" s="30"/>
      <c r="N117" s="30"/>
      <c r="O117" s="30"/>
      <c r="P117" s="30"/>
      <c r="Q117" s="30"/>
      <c r="R117" s="119"/>
      <c r="S117" s="30"/>
      <c r="T117" s="30"/>
      <c r="U117" s="30"/>
      <c r="V117" s="30"/>
      <c r="W117" s="30"/>
      <c r="X117" s="30"/>
      <c r="Y117" s="30"/>
      <c r="Z117" s="30"/>
    </row>
    <row r="118" ht="13.5" customHeight="1">
      <c r="A118" s="111">
        <f t="shared" si="5"/>
        <v>118</v>
      </c>
      <c r="B118" s="30" t="s">
        <v>836</v>
      </c>
      <c r="C118" s="305"/>
      <c r="D118" s="63"/>
      <c r="E118" s="67"/>
      <c r="F118" s="1120">
        <v>0.0</v>
      </c>
      <c r="G118" s="1121"/>
      <c r="H118" s="1121"/>
      <c r="I118" s="1121"/>
      <c r="J118" s="1121"/>
      <c r="K118" s="1121"/>
      <c r="L118" s="1121"/>
      <c r="M118" s="30"/>
      <c r="N118" s="30"/>
      <c r="O118" s="30"/>
      <c r="P118" s="30"/>
      <c r="Q118" s="30"/>
      <c r="R118" s="119"/>
      <c r="S118" s="30"/>
      <c r="T118" s="30"/>
      <c r="U118" s="30"/>
      <c r="V118" s="30"/>
      <c r="W118" s="30"/>
      <c r="X118" s="30"/>
      <c r="Y118" s="30"/>
      <c r="Z118" s="30"/>
    </row>
    <row r="119" ht="13.5" customHeight="1">
      <c r="A119" s="111">
        <f t="shared" si="5"/>
        <v>119</v>
      </c>
      <c r="B119" s="30" t="s">
        <v>932</v>
      </c>
      <c r="C119" s="305"/>
      <c r="D119" s="63"/>
      <c r="E119" s="67"/>
      <c r="F119" s="1120">
        <v>0.0</v>
      </c>
      <c r="G119" s="1121"/>
      <c r="H119" s="1121"/>
      <c r="I119" s="1121"/>
      <c r="J119" s="1121"/>
      <c r="K119" s="1121"/>
      <c r="L119" s="1121"/>
      <c r="M119" s="30"/>
      <c r="N119" s="30"/>
      <c r="O119" s="30"/>
      <c r="P119" s="30"/>
      <c r="Q119" s="30"/>
      <c r="R119" s="119"/>
      <c r="S119" s="30"/>
      <c r="T119" s="30"/>
      <c r="U119" s="30"/>
      <c r="V119" s="30"/>
      <c r="W119" s="30"/>
      <c r="X119" s="30"/>
      <c r="Y119" s="30"/>
      <c r="Z119" s="30"/>
    </row>
    <row r="120" ht="13.5" customHeight="1">
      <c r="A120" s="111">
        <f t="shared" si="5"/>
        <v>120</v>
      </c>
      <c r="B120" s="30" t="s">
        <v>933</v>
      </c>
      <c r="C120" s="305"/>
      <c r="D120" s="63"/>
      <c r="E120" s="67"/>
      <c r="F120" s="1120">
        <v>0.0</v>
      </c>
      <c r="G120" s="1121"/>
      <c r="H120" s="1121"/>
      <c r="I120" s="1121"/>
      <c r="J120" s="1121"/>
      <c r="K120" s="1121"/>
      <c r="L120" s="1121"/>
      <c r="M120" s="30"/>
      <c r="N120" s="30"/>
      <c r="O120" s="30"/>
      <c r="P120" s="30"/>
      <c r="Q120" s="30"/>
      <c r="R120" s="119"/>
      <c r="S120" s="30"/>
      <c r="T120" s="30"/>
      <c r="U120" s="30"/>
      <c r="V120" s="30"/>
      <c r="W120" s="30"/>
      <c r="X120" s="30"/>
      <c r="Y120" s="30"/>
      <c r="Z120" s="30"/>
    </row>
    <row r="121" ht="13.5" customHeight="1">
      <c r="A121" s="111">
        <f t="shared" si="5"/>
        <v>121</v>
      </c>
      <c r="B121" s="30" t="s">
        <v>934</v>
      </c>
      <c r="C121" s="305"/>
      <c r="D121" s="63"/>
      <c r="E121" s="67"/>
      <c r="F121" s="1121"/>
      <c r="G121" s="1121"/>
      <c r="H121" s="1122"/>
      <c r="I121" s="1122"/>
      <c r="J121" s="1122"/>
      <c r="K121" s="1122"/>
      <c r="L121" s="1122"/>
      <c r="M121" s="30"/>
      <c r="N121" s="30"/>
      <c r="O121" s="30"/>
      <c r="P121" s="30"/>
      <c r="Q121" s="30"/>
      <c r="R121" s="119"/>
      <c r="S121" s="30"/>
      <c r="T121" s="30"/>
      <c r="U121" s="30"/>
      <c r="V121" s="30"/>
      <c r="W121" s="30"/>
      <c r="X121" s="30"/>
      <c r="Y121" s="30"/>
      <c r="Z121" s="30"/>
    </row>
    <row r="122" ht="13.5" customHeight="1">
      <c r="A122" s="111">
        <f t="shared" si="5"/>
        <v>122</v>
      </c>
      <c r="B122" s="30" t="s">
        <v>935</v>
      </c>
      <c r="C122" s="305"/>
      <c r="D122" s="63"/>
      <c r="E122" s="67"/>
      <c r="F122" s="1121"/>
      <c r="G122" s="1121"/>
      <c r="H122" s="1121"/>
      <c r="I122" s="1121"/>
      <c r="J122" s="1121"/>
      <c r="K122" s="1121"/>
      <c r="L122" s="1121"/>
      <c r="M122" s="30"/>
      <c r="N122" s="30"/>
      <c r="O122" s="30"/>
      <c r="P122" s="30"/>
      <c r="Q122" s="30"/>
      <c r="R122" s="119"/>
      <c r="S122" s="30"/>
      <c r="T122" s="30"/>
      <c r="U122" s="30"/>
      <c r="V122" s="30"/>
      <c r="W122" s="30"/>
      <c r="X122" s="30"/>
      <c r="Y122" s="30"/>
      <c r="Z122" s="30"/>
    </row>
    <row r="123" ht="13.5" customHeight="1">
      <c r="A123" s="111">
        <f t="shared" si="5"/>
        <v>123</v>
      </c>
      <c r="B123" s="30" t="s">
        <v>936</v>
      </c>
      <c r="C123" s="305"/>
      <c r="D123" s="63"/>
      <c r="E123" s="67"/>
      <c r="F123" s="1121"/>
      <c r="G123" s="1121"/>
      <c r="H123" s="1121"/>
      <c r="I123" s="1121"/>
      <c r="J123" s="1121"/>
      <c r="K123" s="1121"/>
      <c r="L123" s="1121"/>
      <c r="M123" s="30"/>
      <c r="N123" s="30"/>
      <c r="O123" s="30"/>
      <c r="P123" s="30"/>
      <c r="Q123" s="30"/>
      <c r="R123" s="119" t="s">
        <v>937</v>
      </c>
      <c r="S123" s="30"/>
      <c r="T123" s="30"/>
      <c r="U123" s="30"/>
      <c r="V123" s="30"/>
      <c r="W123" s="30"/>
      <c r="X123" s="30"/>
      <c r="Y123" s="30"/>
      <c r="Z123" s="30"/>
    </row>
    <row r="124" ht="13.5" customHeight="1">
      <c r="A124" s="111">
        <f t="shared" si="5"/>
        <v>124</v>
      </c>
      <c r="B124" s="30" t="s">
        <v>938</v>
      </c>
      <c r="C124" s="305"/>
      <c r="D124" s="63"/>
      <c r="E124" s="67"/>
      <c r="F124" s="1121"/>
      <c r="G124" s="1121"/>
      <c r="H124" s="1121"/>
      <c r="I124" s="1121"/>
      <c r="J124" s="1121"/>
      <c r="K124" s="1121"/>
      <c r="L124" s="1121"/>
      <c r="M124" s="30"/>
      <c r="N124" s="30"/>
      <c r="O124" s="30"/>
      <c r="P124" s="30"/>
      <c r="Q124" s="30"/>
      <c r="R124" s="119" t="s">
        <v>937</v>
      </c>
      <c r="S124" s="30"/>
      <c r="T124" s="30"/>
      <c r="U124" s="30"/>
      <c r="V124" s="30"/>
      <c r="W124" s="30"/>
      <c r="X124" s="30"/>
      <c r="Y124" s="30"/>
      <c r="Z124" s="30"/>
    </row>
    <row r="125" ht="13.5" customHeight="1">
      <c r="A125" s="111">
        <f t="shared" si="5"/>
        <v>125</v>
      </c>
      <c r="B125" s="30" t="s">
        <v>939</v>
      </c>
      <c r="C125" s="305"/>
      <c r="D125" s="63"/>
      <c r="E125" s="67"/>
      <c r="F125" s="1121"/>
      <c r="G125" s="1121"/>
      <c r="H125" s="1121"/>
      <c r="I125" s="1121"/>
      <c r="J125" s="1121"/>
      <c r="K125" s="1121"/>
      <c r="L125" s="1121"/>
      <c r="M125" s="30"/>
      <c r="N125" s="30"/>
      <c r="O125" s="30"/>
      <c r="P125" s="30"/>
      <c r="Q125" s="30"/>
      <c r="R125" s="119"/>
      <c r="S125" s="30"/>
      <c r="T125" s="30"/>
      <c r="U125" s="30"/>
      <c r="V125" s="30"/>
      <c r="W125" s="30"/>
      <c r="X125" s="30"/>
      <c r="Y125" s="30"/>
      <c r="Z125" s="30"/>
    </row>
    <row r="126" ht="13.5" customHeight="1">
      <c r="A126" s="111">
        <f t="shared" si="5"/>
        <v>126</v>
      </c>
      <c r="B126" s="30" t="s">
        <v>845</v>
      </c>
      <c r="C126" s="305"/>
      <c r="D126" s="63"/>
      <c r="E126" s="67"/>
      <c r="F126" s="1121"/>
      <c r="G126" s="1121"/>
      <c r="H126" s="1121"/>
      <c r="I126" s="1121"/>
      <c r="J126" s="1121"/>
      <c r="K126" s="1121"/>
      <c r="L126" s="1121"/>
      <c r="M126" s="30"/>
      <c r="N126" s="30"/>
      <c r="O126" s="30"/>
      <c r="P126" s="30"/>
      <c r="Q126" s="30"/>
      <c r="R126" s="119"/>
      <c r="S126" s="30"/>
      <c r="T126" s="30"/>
      <c r="U126" s="30"/>
      <c r="V126" s="30"/>
      <c r="W126" s="30"/>
      <c r="X126" s="30"/>
      <c r="Y126" s="30"/>
      <c r="Z126" s="30"/>
    </row>
    <row r="127" ht="13.5" customHeight="1">
      <c r="A127" s="111">
        <f t="shared" si="5"/>
        <v>127</v>
      </c>
      <c r="B127" s="30" t="s">
        <v>846</v>
      </c>
      <c r="C127" s="305"/>
      <c r="D127" s="63"/>
      <c r="E127" s="67"/>
      <c r="F127" s="1120">
        <v>0.0</v>
      </c>
      <c r="G127" s="1121"/>
      <c r="H127" s="1121"/>
      <c r="I127" s="1121"/>
      <c r="J127" s="1121"/>
      <c r="K127" s="1121"/>
      <c r="L127" s="1121"/>
      <c r="M127" s="30"/>
      <c r="N127" s="30"/>
      <c r="O127" s="30"/>
      <c r="P127" s="30"/>
      <c r="Q127" s="30"/>
      <c r="R127" s="119"/>
      <c r="S127" s="30"/>
      <c r="T127" s="30"/>
      <c r="U127" s="30"/>
      <c r="V127" s="30"/>
      <c r="W127" s="30"/>
      <c r="X127" s="30"/>
      <c r="Y127" s="30"/>
      <c r="Z127" s="30"/>
    </row>
    <row r="128" ht="13.5" customHeight="1">
      <c r="A128" s="111">
        <f t="shared" si="5"/>
        <v>128</v>
      </c>
      <c r="B128" s="30"/>
      <c r="C128" s="305"/>
      <c r="D128" s="63"/>
      <c r="E128" s="67"/>
      <c r="F128" s="1121"/>
      <c r="G128" s="1121"/>
      <c r="H128" s="1121"/>
      <c r="I128" s="1121"/>
      <c r="J128" s="1121"/>
      <c r="K128" s="1121"/>
      <c r="L128" s="1121"/>
      <c r="M128" s="30"/>
      <c r="N128" s="30"/>
      <c r="O128" s="30"/>
      <c r="P128" s="30"/>
      <c r="Q128" s="30"/>
      <c r="R128" s="119"/>
      <c r="S128" s="30"/>
      <c r="T128" s="30"/>
      <c r="U128" s="30"/>
      <c r="V128" s="30"/>
      <c r="W128" s="30"/>
      <c r="X128" s="30"/>
      <c r="Y128" s="30"/>
      <c r="Z128" s="30"/>
    </row>
    <row r="129" ht="13.5" customHeight="1">
      <c r="A129" s="111">
        <f t="shared" si="5"/>
        <v>129</v>
      </c>
      <c r="B129" s="1123" t="s">
        <v>940</v>
      </c>
      <c r="C129" s="305"/>
      <c r="D129" s="63"/>
      <c r="E129" s="67"/>
      <c r="F129" s="1120">
        <v>557441.0</v>
      </c>
      <c r="G129" s="1120">
        <v>557441.0</v>
      </c>
      <c r="H129" s="1120">
        <v>557441.0</v>
      </c>
      <c r="I129" s="1120">
        <v>557441.0</v>
      </c>
      <c r="J129" s="1120">
        <v>557441.0</v>
      </c>
      <c r="K129" s="1120">
        <v>557441.0</v>
      </c>
      <c r="L129" s="1120">
        <v>557441.0</v>
      </c>
      <c r="M129" s="30"/>
      <c r="N129" s="30"/>
      <c r="O129" s="30"/>
      <c r="P129" s="30"/>
      <c r="Q129" s="30"/>
      <c r="R129" s="119"/>
      <c r="S129" s="30"/>
      <c r="T129" s="30"/>
      <c r="U129" s="30"/>
      <c r="V129" s="30"/>
      <c r="W129" s="30"/>
      <c r="X129" s="30"/>
      <c r="Y129" s="30"/>
      <c r="Z129" s="30"/>
    </row>
    <row r="130" ht="13.5" customHeight="1">
      <c r="A130" s="111">
        <f t="shared" si="5"/>
        <v>130</v>
      </c>
      <c r="B130" s="1123" t="s">
        <v>941</v>
      </c>
      <c r="C130" s="305"/>
      <c r="D130" s="63"/>
      <c r="E130" s="67"/>
      <c r="F130" s="1120">
        <v>200201.0</v>
      </c>
      <c r="G130" s="1120">
        <v>200201.0</v>
      </c>
      <c r="H130" s="1120">
        <v>200201.0</v>
      </c>
      <c r="I130" s="1120">
        <v>200201.0</v>
      </c>
      <c r="J130" s="1120">
        <v>200201.0</v>
      </c>
      <c r="K130" s="1120">
        <v>200201.0</v>
      </c>
      <c r="L130" s="1120">
        <v>200201.0</v>
      </c>
      <c r="M130" s="30"/>
      <c r="N130" s="30"/>
      <c r="O130" s="30"/>
      <c r="P130" s="30"/>
      <c r="Q130" s="30"/>
      <c r="R130" s="119"/>
      <c r="S130" s="30"/>
      <c r="T130" s="30"/>
      <c r="U130" s="30"/>
      <c r="V130" s="30"/>
      <c r="W130" s="30"/>
      <c r="X130" s="30"/>
      <c r="Y130" s="30"/>
      <c r="Z130" s="30"/>
    </row>
    <row r="131" ht="13.5" customHeight="1">
      <c r="A131" s="111">
        <f t="shared" si="5"/>
        <v>131</v>
      </c>
      <c r="B131" s="507" t="s">
        <v>942</v>
      </c>
      <c r="C131" s="305"/>
      <c r="D131" s="63"/>
      <c r="E131" s="67"/>
      <c r="F131" s="1121"/>
      <c r="G131" s="1121"/>
      <c r="H131" s="1121"/>
      <c r="I131" s="1121"/>
      <c r="J131" s="1121"/>
      <c r="K131" s="1121"/>
      <c r="L131" s="1121"/>
      <c r="M131" s="30"/>
      <c r="N131" s="30"/>
      <c r="O131" s="30"/>
      <c r="P131" s="30"/>
      <c r="Q131" s="30"/>
      <c r="R131" s="119"/>
      <c r="S131" s="30"/>
      <c r="T131" s="30"/>
      <c r="U131" s="30"/>
      <c r="V131" s="30"/>
      <c r="W131" s="30"/>
      <c r="X131" s="30"/>
      <c r="Y131" s="30"/>
      <c r="Z131" s="30"/>
    </row>
    <row r="132" ht="13.5" customHeight="1">
      <c r="A132" s="111">
        <f t="shared" si="5"/>
        <v>132</v>
      </c>
      <c r="B132" s="507" t="s">
        <v>942</v>
      </c>
      <c r="C132" s="305"/>
      <c r="D132" s="63"/>
      <c r="E132" s="67"/>
      <c r="F132" s="1121"/>
      <c r="G132" s="1121"/>
      <c r="H132" s="1121"/>
      <c r="I132" s="1121"/>
      <c r="J132" s="1121"/>
      <c r="K132" s="1121"/>
      <c r="L132" s="1121"/>
      <c r="M132" s="30"/>
      <c r="N132" s="30"/>
      <c r="O132" s="30"/>
      <c r="P132" s="30"/>
      <c r="Q132" s="30"/>
      <c r="R132" s="119"/>
      <c r="S132" s="30"/>
      <c r="T132" s="30"/>
      <c r="U132" s="30"/>
      <c r="V132" s="30"/>
      <c r="W132" s="30"/>
      <c r="X132" s="30"/>
      <c r="Y132" s="30"/>
      <c r="Z132" s="30"/>
    </row>
    <row r="133" ht="13.5" customHeight="1">
      <c r="A133" s="111">
        <f t="shared" si="5"/>
        <v>133</v>
      </c>
      <c r="B133" s="507" t="s">
        <v>942</v>
      </c>
      <c r="C133" s="305"/>
      <c r="D133" s="63"/>
      <c r="E133" s="67"/>
      <c r="F133" s="1121"/>
      <c r="G133" s="1121"/>
      <c r="H133" s="1121"/>
      <c r="I133" s="1121"/>
      <c r="J133" s="1121"/>
      <c r="K133" s="1121"/>
      <c r="L133" s="1121"/>
      <c r="M133" s="30"/>
      <c r="N133" s="30"/>
      <c r="O133" s="30"/>
      <c r="P133" s="30"/>
      <c r="Q133" s="30"/>
      <c r="R133" s="119"/>
      <c r="S133" s="30"/>
      <c r="T133" s="30"/>
      <c r="U133" s="30"/>
      <c r="V133" s="30"/>
      <c r="W133" s="30"/>
      <c r="X133" s="30"/>
      <c r="Y133" s="30"/>
      <c r="Z133" s="30"/>
    </row>
    <row r="134" ht="13.5" customHeight="1">
      <c r="A134" s="111">
        <f t="shared" si="5"/>
        <v>134</v>
      </c>
      <c r="B134" s="507" t="s">
        <v>942</v>
      </c>
      <c r="C134" s="305"/>
      <c r="D134" s="63"/>
      <c r="E134" s="67"/>
      <c r="F134" s="1121"/>
      <c r="G134" s="1121"/>
      <c r="H134" s="1121"/>
      <c r="I134" s="1121"/>
      <c r="J134" s="1121"/>
      <c r="K134" s="1121"/>
      <c r="L134" s="1121"/>
      <c r="M134" s="30"/>
      <c r="N134" s="30"/>
      <c r="O134" s="30"/>
      <c r="P134" s="30"/>
      <c r="Q134" s="30"/>
      <c r="R134" s="119"/>
      <c r="S134" s="30"/>
      <c r="T134" s="30"/>
      <c r="U134" s="30"/>
      <c r="V134" s="30"/>
      <c r="W134" s="30"/>
      <c r="X134" s="30"/>
      <c r="Y134" s="30"/>
      <c r="Z134" s="30"/>
    </row>
    <row r="135" ht="13.5" customHeight="1">
      <c r="A135" s="111">
        <f t="shared" si="5"/>
        <v>135</v>
      </c>
      <c r="B135" s="507" t="s">
        <v>943</v>
      </c>
      <c r="C135" s="305"/>
      <c r="D135" s="63"/>
      <c r="E135" s="67"/>
      <c r="F135" s="1121"/>
      <c r="G135" s="1121"/>
      <c r="H135" s="1121"/>
      <c r="I135" s="1121"/>
      <c r="J135" s="1121"/>
      <c r="K135" s="1121"/>
      <c r="L135" s="1121"/>
      <c r="M135" s="30"/>
      <c r="N135" s="30"/>
      <c r="O135" s="30"/>
      <c r="P135" s="30"/>
      <c r="Q135" s="30"/>
      <c r="R135" s="119"/>
      <c r="S135" s="30"/>
      <c r="T135" s="30"/>
      <c r="U135" s="30"/>
      <c r="V135" s="30"/>
      <c r="W135" s="30"/>
      <c r="X135" s="30"/>
      <c r="Y135" s="30"/>
      <c r="Z135" s="30"/>
    </row>
    <row r="136" ht="13.5" customHeight="1">
      <c r="A136" s="111">
        <f t="shared" si="5"/>
        <v>136</v>
      </c>
      <c r="B136" s="507" t="s">
        <v>943</v>
      </c>
      <c r="C136" s="305"/>
      <c r="D136" s="63"/>
      <c r="E136" s="67"/>
      <c r="F136" s="1121"/>
      <c r="G136" s="1121"/>
      <c r="H136" s="1121"/>
      <c r="I136" s="1121"/>
      <c r="J136" s="1121"/>
      <c r="K136" s="1121"/>
      <c r="L136" s="1121"/>
      <c r="M136" s="30"/>
      <c r="N136" s="30"/>
      <c r="O136" s="30"/>
      <c r="P136" s="30"/>
      <c r="Q136" s="30"/>
      <c r="R136" s="119"/>
      <c r="S136" s="30"/>
      <c r="T136" s="30"/>
      <c r="U136" s="30"/>
      <c r="V136" s="30"/>
      <c r="W136" s="30"/>
      <c r="X136" s="30"/>
      <c r="Y136" s="30"/>
      <c r="Z136" s="30"/>
    </row>
    <row r="137" ht="13.5" customHeight="1">
      <c r="A137" s="111">
        <f t="shared" si="5"/>
        <v>137</v>
      </c>
      <c r="B137" s="507" t="s">
        <v>943</v>
      </c>
      <c r="C137" s="305"/>
      <c r="D137" s="63"/>
      <c r="E137" s="67"/>
      <c r="F137" s="1121"/>
      <c r="G137" s="1121"/>
      <c r="H137" s="1121"/>
      <c r="I137" s="1121"/>
      <c r="J137" s="1121"/>
      <c r="K137" s="1121"/>
      <c r="L137" s="1121"/>
      <c r="M137" s="30"/>
      <c r="N137" s="30"/>
      <c r="O137" s="30"/>
      <c r="P137" s="30"/>
      <c r="Q137" s="30"/>
      <c r="R137" s="119"/>
      <c r="S137" s="30"/>
      <c r="T137" s="30"/>
      <c r="U137" s="30"/>
      <c r="V137" s="30"/>
      <c r="W137" s="30"/>
      <c r="X137" s="30"/>
      <c r="Y137" s="30"/>
      <c r="Z137" s="30"/>
    </row>
    <row r="138" ht="13.5" customHeight="1">
      <c r="A138" s="111">
        <f t="shared" si="5"/>
        <v>138</v>
      </c>
      <c r="B138" s="507" t="s">
        <v>943</v>
      </c>
      <c r="C138" s="305"/>
      <c r="D138" s="63"/>
      <c r="E138" s="67"/>
      <c r="F138" s="1121"/>
      <c r="G138" s="1121"/>
      <c r="H138" s="1121"/>
      <c r="I138" s="1121"/>
      <c r="J138" s="1121"/>
      <c r="K138" s="1121"/>
      <c r="L138" s="1121"/>
      <c r="M138" s="30"/>
      <c r="N138" s="30"/>
      <c r="O138" s="30"/>
      <c r="P138" s="30"/>
      <c r="Q138" s="30"/>
      <c r="R138" s="119"/>
      <c r="S138" s="30"/>
      <c r="T138" s="30"/>
      <c r="U138" s="30"/>
      <c r="V138" s="30"/>
      <c r="W138" s="30"/>
      <c r="X138" s="30"/>
      <c r="Y138" s="30"/>
      <c r="Z138" s="30"/>
    </row>
    <row r="139" ht="13.5" customHeight="1">
      <c r="A139" s="111">
        <f t="shared" si="5"/>
        <v>139</v>
      </c>
      <c r="B139" s="507" t="s">
        <v>943</v>
      </c>
      <c r="C139" s="305"/>
      <c r="D139" s="63"/>
      <c r="E139" s="67"/>
      <c r="F139" s="1121"/>
      <c r="G139" s="1121"/>
      <c r="H139" s="1121"/>
      <c r="I139" s="1121"/>
      <c r="J139" s="1121"/>
      <c r="K139" s="1121"/>
      <c r="L139" s="1121"/>
      <c r="M139" s="30"/>
      <c r="N139" s="30"/>
      <c r="O139" s="30"/>
      <c r="P139" s="30"/>
      <c r="Q139" s="30"/>
      <c r="R139" s="119"/>
      <c r="S139" s="30"/>
      <c r="T139" s="30"/>
      <c r="U139" s="30"/>
      <c r="V139" s="30"/>
      <c r="W139" s="30"/>
      <c r="X139" s="30"/>
      <c r="Y139" s="30"/>
      <c r="Z139" s="30"/>
    </row>
    <row r="140" ht="13.5" customHeight="1">
      <c r="A140" s="111">
        <f t="shared" si="5"/>
        <v>140</v>
      </c>
      <c r="B140" s="119"/>
      <c r="C140" s="305"/>
      <c r="D140" s="63"/>
      <c r="E140" s="67"/>
      <c r="F140" s="1121"/>
      <c r="G140" s="1121"/>
      <c r="H140" s="1121"/>
      <c r="I140" s="1121"/>
      <c r="J140" s="1121"/>
      <c r="K140" s="1121"/>
      <c r="L140" s="1121"/>
      <c r="M140" s="30"/>
      <c r="N140" s="30"/>
      <c r="O140" s="30"/>
      <c r="P140" s="30"/>
      <c r="Q140" s="30"/>
      <c r="R140" s="119"/>
      <c r="S140" s="30"/>
      <c r="T140" s="30"/>
      <c r="U140" s="30"/>
      <c r="V140" s="30"/>
      <c r="W140" s="30"/>
      <c r="X140" s="30"/>
      <c r="Y140" s="30"/>
      <c r="Z140" s="30"/>
    </row>
    <row r="141" ht="13.5" customHeight="1">
      <c r="A141" s="111">
        <f t="shared" si="5"/>
        <v>141</v>
      </c>
      <c r="B141" s="119"/>
      <c r="C141" s="305"/>
      <c r="D141" s="63"/>
      <c r="E141" s="67"/>
      <c r="F141" s="1121"/>
      <c r="G141" s="1121"/>
      <c r="H141" s="1121"/>
      <c r="I141" s="1121"/>
      <c r="J141" s="1121"/>
      <c r="K141" s="1121"/>
      <c r="L141" s="1121"/>
      <c r="M141" s="30"/>
      <c r="N141" s="30"/>
      <c r="O141" s="30"/>
      <c r="P141" s="30"/>
      <c r="Q141" s="30"/>
      <c r="R141" s="119"/>
      <c r="S141" s="30"/>
      <c r="T141" s="30"/>
      <c r="U141" s="30"/>
      <c r="V141" s="30"/>
      <c r="W141" s="30"/>
      <c r="X141" s="30"/>
      <c r="Y141" s="30"/>
      <c r="Z141" s="30"/>
    </row>
    <row r="142" ht="13.5" customHeight="1">
      <c r="A142" s="111">
        <f t="shared" si="5"/>
        <v>142</v>
      </c>
      <c r="B142" s="63"/>
      <c r="C142" s="142"/>
      <c r="D142" s="141"/>
      <c r="E142" s="67"/>
      <c r="F142" s="1124"/>
      <c r="G142" s="1124"/>
      <c r="H142" s="1124"/>
      <c r="I142" s="1124"/>
      <c r="J142" s="1124"/>
      <c r="K142" s="1124"/>
      <c r="L142" s="1124"/>
      <c r="M142" s="30"/>
      <c r="N142" s="30"/>
      <c r="O142" s="30"/>
      <c r="P142" s="30"/>
      <c r="Q142" s="30"/>
      <c r="R142" s="119"/>
      <c r="S142" s="30"/>
      <c r="T142" s="30"/>
      <c r="U142" s="30"/>
      <c r="V142" s="30"/>
      <c r="W142" s="30"/>
      <c r="X142" s="30"/>
      <c r="Y142" s="30"/>
      <c r="Z142" s="30"/>
    </row>
    <row r="143" ht="13.5" customHeight="1">
      <c r="A143" s="111">
        <f t="shared" si="5"/>
        <v>143</v>
      </c>
      <c r="B143" s="1117" t="s">
        <v>944</v>
      </c>
      <c r="C143" s="1118"/>
      <c r="D143" s="1117"/>
      <c r="E143" s="1117"/>
      <c r="F143" s="1119">
        <f t="shared" ref="F143:L143" si="23">SUM(F109:F141)</f>
        <v>757642</v>
      </c>
      <c r="G143" s="1119">
        <f t="shared" si="23"/>
        <v>757642</v>
      </c>
      <c r="H143" s="1119">
        <f t="shared" si="23"/>
        <v>757642</v>
      </c>
      <c r="I143" s="1119">
        <f t="shared" si="23"/>
        <v>757642</v>
      </c>
      <c r="J143" s="1119">
        <f t="shared" si="23"/>
        <v>757642</v>
      </c>
      <c r="K143" s="1119">
        <f t="shared" si="23"/>
        <v>757642</v>
      </c>
      <c r="L143" s="1119">
        <f t="shared" si="23"/>
        <v>757642</v>
      </c>
      <c r="M143" s="30"/>
      <c r="N143" s="30"/>
      <c r="O143" s="30"/>
      <c r="P143" s="30"/>
      <c r="Q143" s="30"/>
      <c r="R143" s="119"/>
      <c r="S143" s="30"/>
      <c r="T143" s="30"/>
      <c r="U143" s="30"/>
      <c r="V143" s="30"/>
      <c r="W143" s="30"/>
      <c r="X143" s="30"/>
      <c r="Y143" s="30"/>
      <c r="Z143" s="30"/>
    </row>
    <row r="144" ht="13.5" customHeight="1">
      <c r="A144" s="111">
        <f t="shared" si="5"/>
        <v>144</v>
      </c>
      <c r="B144" s="63"/>
      <c r="C144" s="305"/>
      <c r="D144" s="63"/>
      <c r="E144" s="67"/>
      <c r="F144" s="142"/>
      <c r="G144" s="142"/>
      <c r="H144" s="142"/>
      <c r="I144" s="129"/>
      <c r="J144" s="129"/>
      <c r="K144" s="129"/>
      <c r="L144" s="129"/>
      <c r="M144" s="30"/>
      <c r="N144" s="153"/>
      <c r="O144" s="153"/>
      <c r="P144" s="153"/>
      <c r="Q144" s="153"/>
      <c r="R144" s="119"/>
      <c r="S144" s="30"/>
      <c r="T144" s="30"/>
      <c r="U144" s="30"/>
      <c r="V144" s="30"/>
      <c r="W144" s="30"/>
      <c r="X144" s="30"/>
      <c r="Y144" s="30"/>
      <c r="Z144" s="30"/>
    </row>
    <row r="145" ht="13.5" customHeight="1">
      <c r="A145" s="111">
        <f t="shared" si="5"/>
        <v>145</v>
      </c>
      <c r="B145" s="63" t="s">
        <v>945</v>
      </c>
      <c r="C145" s="305" t="s">
        <v>946</v>
      </c>
      <c r="D145" s="63"/>
      <c r="E145" s="63"/>
      <c r="F145" s="142"/>
      <c r="G145" s="142"/>
      <c r="H145" s="142"/>
      <c r="I145" s="129"/>
      <c r="J145" s="129"/>
      <c r="K145" s="129"/>
      <c r="L145" s="129"/>
      <c r="M145" s="30"/>
      <c r="N145" s="153"/>
      <c r="O145" s="153"/>
      <c r="P145" s="153"/>
      <c r="Q145" s="153"/>
      <c r="R145" s="119"/>
      <c r="S145" s="30"/>
      <c r="T145" s="30"/>
      <c r="U145" s="30"/>
      <c r="V145" s="30"/>
      <c r="W145" s="30"/>
      <c r="X145" s="30"/>
      <c r="Y145" s="30"/>
      <c r="Z145" s="30"/>
    </row>
    <row r="146" ht="13.5" customHeight="1">
      <c r="A146" s="111">
        <f t="shared" si="5"/>
        <v>146</v>
      </c>
      <c r="B146" s="30" t="s">
        <v>947</v>
      </c>
      <c r="C146" s="963" t="s">
        <v>523</v>
      </c>
      <c r="D146" s="1125">
        <v>0.0</v>
      </c>
      <c r="E146" s="1126"/>
      <c r="F146" s="129"/>
      <c r="G146" s="129">
        <f>IF($C$146="yes",' Enrol &amp; Rev'!G36*Staff!$C$70*$D$146,(' Enrol &amp; Rev'!G36*' Enrol &amp; Rev'!G92)*Staff!$C$70*$D$146)</f>
        <v>0</v>
      </c>
      <c r="H146" s="129">
        <f>IF($C$146="yes",' Enrol &amp; Rev'!H36*Staff!$C$70*$D$146,(' Enrol &amp; Rev'!H36*' Enrol &amp; Rev'!H92)*Staff!$C$70*$D$146)</f>
        <v>0</v>
      </c>
      <c r="I146" s="129">
        <f>IF($C$146="yes",' Enrol &amp; Rev'!I36*Staff!$C$70*$D$146,(' Enrol &amp; Rev'!I36*' Enrol &amp; Rev'!I92)*Staff!$C$70*$D$146)</f>
        <v>0</v>
      </c>
      <c r="J146" s="129">
        <f>IF($C$146="yes",' Enrol &amp; Rev'!J36*Staff!$C$70*$D$146,(' Enrol &amp; Rev'!J36*' Enrol &amp; Rev'!J92)*Staff!$C$70*$D$146)</f>
        <v>0</v>
      </c>
      <c r="K146" s="129">
        <f>IF($C$146="yes",' Enrol &amp; Rev'!K36*Staff!$C$70*$D$146,(' Enrol &amp; Rev'!K36*' Enrol &amp; Rev'!K92)*Staff!$C$70*$D$146)</f>
        <v>0</v>
      </c>
      <c r="L146" s="129">
        <f>IF($C$146="yes",' Enrol &amp; Rev'!L36*Staff!$C$70*$D$146,(' Enrol &amp; Rev'!L36*' Enrol &amp; Rev'!L92)*Staff!$C$70*$D$146)</f>
        <v>0</v>
      </c>
      <c r="M146" s="30"/>
      <c r="N146" s="30"/>
      <c r="O146" s="30"/>
      <c r="P146" s="30"/>
      <c r="Q146" s="30"/>
      <c r="R146" s="119"/>
      <c r="S146" s="30"/>
      <c r="T146" s="30"/>
      <c r="U146" s="30"/>
      <c r="V146" s="30"/>
      <c r="W146" s="30"/>
      <c r="X146" s="30"/>
      <c r="Y146" s="30"/>
      <c r="Z146" s="30"/>
    </row>
    <row r="147" ht="13.5" customHeight="1">
      <c r="A147" s="111">
        <f t="shared" si="5"/>
        <v>147</v>
      </c>
      <c r="B147" s="702" t="s">
        <v>948</v>
      </c>
      <c r="C147" s="963" t="s">
        <v>523</v>
      </c>
      <c r="D147" s="1127">
        <v>0.0</v>
      </c>
      <c r="E147" s="1128"/>
      <c r="F147" s="1129"/>
      <c r="G147" s="129">
        <f>IF($C$147="yes",' Enrol &amp; Rev'!G36*Staff!$C$70*$D$147,(' Enrol &amp; Rev'!G36*' Enrol &amp; Rev'!G92)*Staff!$C$70*$D$147)</f>
        <v>0</v>
      </c>
      <c r="H147" s="129">
        <f>IF($C$147="yes",' Enrol &amp; Rev'!H36*Staff!$C$70*$D$147,(' Enrol &amp; Rev'!H36*' Enrol &amp; Rev'!H92)*Staff!$C$70*$D$147)</f>
        <v>0</v>
      </c>
      <c r="I147" s="129">
        <f>IF($C$147="yes",' Enrol &amp; Rev'!I36*Staff!$C$70*$D$147,(' Enrol &amp; Rev'!I36*' Enrol &amp; Rev'!I92)*Staff!$C$70*$D$147)</f>
        <v>0</v>
      </c>
      <c r="J147" s="129">
        <f>IF($C$147="yes",' Enrol &amp; Rev'!J36*Staff!$C$70*$D$147,(' Enrol &amp; Rev'!J36*' Enrol &amp; Rev'!J92)*Staff!$C$70*$D$147)</f>
        <v>0</v>
      </c>
      <c r="K147" s="129">
        <f>IF($C$147="yes",' Enrol &amp; Rev'!K36*Staff!$C$70*$D$147,(' Enrol &amp; Rev'!K36*' Enrol &amp; Rev'!K92)*Staff!$C$70*$D$147)</f>
        <v>0</v>
      </c>
      <c r="L147" s="129">
        <f>IF($C$147="yes",' Enrol &amp; Rev'!L36*Staff!$C$70*$D$147,(' Enrol &amp; Rev'!L36*' Enrol &amp; Rev'!L92)*Staff!$C$70*$D$147)</f>
        <v>0</v>
      </c>
      <c r="M147" s="702"/>
      <c r="N147" s="702"/>
      <c r="O147" s="702"/>
      <c r="P147" s="702"/>
      <c r="Q147" s="702"/>
      <c r="R147" s="119"/>
      <c r="S147" s="30"/>
      <c r="T147" s="30"/>
      <c r="U147" s="30"/>
      <c r="V147" s="30"/>
      <c r="W147" s="30"/>
      <c r="X147" s="30"/>
      <c r="Y147" s="30"/>
      <c r="Z147" s="30"/>
    </row>
    <row r="148" ht="13.5" customHeight="1">
      <c r="A148" s="111">
        <f t="shared" si="5"/>
        <v>148</v>
      </c>
      <c r="B148" s="30" t="s">
        <v>949</v>
      </c>
      <c r="C148" s="963" t="s">
        <v>523</v>
      </c>
      <c r="D148" s="1125">
        <v>0.0</v>
      </c>
      <c r="E148" s="1126"/>
      <c r="F148" s="129"/>
      <c r="G148" s="129">
        <f>IF($C$148="yes",$D$148*' Enrol &amp; Rev'!G36*Staff!$C$70,0)</f>
        <v>0</v>
      </c>
      <c r="H148" s="129">
        <f>IF($C$148="yes",$D$148*' Enrol &amp; Rev'!H36*Staff!$C$70,0)</f>
        <v>0</v>
      </c>
      <c r="I148" s="129">
        <f>IF($C$148="yes",$D$148*' Enrol &amp; Rev'!I36*Staff!$C$70,0)</f>
        <v>0</v>
      </c>
      <c r="J148" s="129">
        <f>IF($C$148="yes",$D$148*' Enrol &amp; Rev'!J36*Staff!$C$70,0)</f>
        <v>0</v>
      </c>
      <c r="K148" s="129">
        <f>IF($C$148="yes",$D$148*' Enrol &amp; Rev'!K36*Staff!$C$70,0)</f>
        <v>0</v>
      </c>
      <c r="L148" s="129">
        <f>IF($C$148="yes",$D$148*' Enrol &amp; Rev'!L36*Staff!$C$70,0)</f>
        <v>0</v>
      </c>
      <c r="M148" s="30"/>
      <c r="N148" s="30"/>
      <c r="O148" s="30"/>
      <c r="P148" s="30"/>
      <c r="Q148" s="30"/>
      <c r="R148" s="119"/>
      <c r="S148" s="30"/>
      <c r="T148" s="30"/>
      <c r="U148" s="30"/>
      <c r="V148" s="30"/>
      <c r="W148" s="30"/>
      <c r="X148" s="30"/>
      <c r="Y148" s="30"/>
      <c r="Z148" s="30"/>
    </row>
    <row r="149" ht="13.5" customHeight="1">
      <c r="A149" s="111">
        <f t="shared" si="5"/>
        <v>149</v>
      </c>
      <c r="B149" s="30" t="s">
        <v>950</v>
      </c>
      <c r="C149" s="963" t="s">
        <v>523</v>
      </c>
      <c r="D149" s="1125">
        <v>0.0</v>
      </c>
      <c r="E149" s="1126"/>
      <c r="F149" s="129"/>
      <c r="G149" s="129">
        <f>IF($C$149="yes",$D$149*Staff!$C$71*' Enrol &amp; Rev'!G36,0)</f>
        <v>0</v>
      </c>
      <c r="H149" s="129">
        <f>IF($C$149="yes",$D$149*Staff!$C$71*' Enrol &amp; Rev'!H36,0)</f>
        <v>0</v>
      </c>
      <c r="I149" s="129">
        <f>IF($C$149="yes",$D$149*Staff!$C$71*' Enrol &amp; Rev'!I36,0)</f>
        <v>0</v>
      </c>
      <c r="J149" s="129">
        <f>IF($C$149="yes",$D$149*Staff!$C$71*' Enrol &amp; Rev'!J36,0)</f>
        <v>0</v>
      </c>
      <c r="K149" s="129">
        <f>IF($C$149="yes",$D$149*Staff!$C$71*' Enrol &amp; Rev'!K36,0)</f>
        <v>0</v>
      </c>
      <c r="L149" s="129">
        <f>IF($C$149="yes",$D$149*Staff!$C$71*' Enrol &amp; Rev'!L36,0)</f>
        <v>0</v>
      </c>
      <c r="M149" s="30"/>
      <c r="N149" s="30"/>
      <c r="O149" s="30"/>
      <c r="P149" s="30"/>
      <c r="Q149" s="30"/>
      <c r="R149" s="119"/>
      <c r="S149" s="30"/>
      <c r="T149" s="30"/>
      <c r="U149" s="30"/>
      <c r="V149" s="30"/>
      <c r="W149" s="30"/>
      <c r="X149" s="30"/>
      <c r="Y149" s="30"/>
      <c r="Z149" s="30"/>
    </row>
    <row r="150" ht="13.5" customHeight="1">
      <c r="A150" s="111">
        <f t="shared" si="5"/>
        <v>150</v>
      </c>
      <c r="B150" s="30"/>
      <c r="C150" s="142"/>
      <c r="D150" s="30"/>
      <c r="E150" s="30"/>
      <c r="F150" s="1124"/>
      <c r="G150" s="1124"/>
      <c r="H150" s="1124"/>
      <c r="I150" s="1124"/>
      <c r="J150" s="1124"/>
      <c r="K150" s="1124"/>
      <c r="L150" s="1124"/>
      <c r="M150" s="30"/>
      <c r="N150" s="30"/>
      <c r="O150" s="30"/>
      <c r="P150" s="30"/>
      <c r="Q150" s="30"/>
      <c r="R150" s="119"/>
      <c r="S150" s="30"/>
      <c r="T150" s="30"/>
      <c r="U150" s="30"/>
      <c r="V150" s="30"/>
      <c r="W150" s="30"/>
      <c r="X150" s="30"/>
      <c r="Y150" s="30"/>
      <c r="Z150" s="30"/>
    </row>
    <row r="151" ht="13.5" customHeight="1">
      <c r="A151" s="111">
        <f t="shared" si="5"/>
        <v>151</v>
      </c>
      <c r="B151" s="1117" t="s">
        <v>951</v>
      </c>
      <c r="C151" s="1118"/>
      <c r="D151" s="1117"/>
      <c r="E151" s="1117"/>
      <c r="F151" s="1119">
        <f t="shared" ref="F151:L151" si="24">SUM(F146:F149)</f>
        <v>0</v>
      </c>
      <c r="G151" s="1119">
        <f t="shared" si="24"/>
        <v>0</v>
      </c>
      <c r="H151" s="1119">
        <f t="shared" si="24"/>
        <v>0</v>
      </c>
      <c r="I151" s="1119">
        <f t="shared" si="24"/>
        <v>0</v>
      </c>
      <c r="J151" s="1119">
        <f t="shared" si="24"/>
        <v>0</v>
      </c>
      <c r="K151" s="1119">
        <f t="shared" si="24"/>
        <v>0</v>
      </c>
      <c r="L151" s="1119">
        <f t="shared" si="24"/>
        <v>0</v>
      </c>
      <c r="M151" s="30"/>
      <c r="N151" s="30"/>
      <c r="O151" s="30"/>
      <c r="P151" s="30"/>
      <c r="Q151" s="30"/>
      <c r="R151" s="119"/>
      <c r="S151" s="30"/>
      <c r="T151" s="30"/>
      <c r="U151" s="30"/>
      <c r="V151" s="30"/>
      <c r="W151" s="30"/>
      <c r="X151" s="30"/>
      <c r="Y151" s="30"/>
      <c r="Z151" s="30"/>
    </row>
    <row r="152" ht="13.5" customHeight="1">
      <c r="A152" s="111">
        <f t="shared" si="5"/>
        <v>152</v>
      </c>
      <c r="B152" s="30"/>
      <c r="C152" s="142"/>
      <c r="D152" s="30"/>
      <c r="E152" s="30"/>
      <c r="F152" s="129"/>
      <c r="G152" s="129"/>
      <c r="H152" s="129"/>
      <c r="I152" s="129"/>
      <c r="J152" s="129"/>
      <c r="K152" s="129"/>
      <c r="L152" s="129"/>
      <c r="M152" s="30"/>
      <c r="N152" s="30"/>
      <c r="O152" s="30"/>
      <c r="P152" s="30"/>
      <c r="Q152" s="30"/>
      <c r="R152" s="119"/>
      <c r="S152" s="30"/>
      <c r="T152" s="30"/>
      <c r="U152" s="30"/>
      <c r="V152" s="30"/>
      <c r="W152" s="30"/>
      <c r="X152" s="30"/>
      <c r="Y152" s="30"/>
      <c r="Z152" s="30"/>
    </row>
    <row r="153" ht="13.5" customHeight="1">
      <c r="A153" s="111">
        <f t="shared" si="5"/>
        <v>153</v>
      </c>
      <c r="B153" s="63" t="s">
        <v>952</v>
      </c>
      <c r="C153" s="305"/>
      <c r="D153" s="63"/>
      <c r="E153" s="63"/>
      <c r="F153" s="30"/>
      <c r="G153" s="833"/>
      <c r="H153" s="833"/>
      <c r="I153" s="833"/>
      <c r="J153" s="833"/>
      <c r="K153" s="833"/>
      <c r="L153" s="833"/>
      <c r="M153" s="30"/>
      <c r="N153" s="30"/>
      <c r="O153" s="30"/>
      <c r="P153" s="30"/>
      <c r="Q153" s="30"/>
      <c r="R153" s="119"/>
      <c r="S153" s="30"/>
      <c r="T153" s="30"/>
      <c r="U153" s="30"/>
      <c r="V153" s="30"/>
      <c r="W153" s="30"/>
      <c r="X153" s="30"/>
      <c r="Y153" s="30"/>
      <c r="Z153" s="30"/>
    </row>
    <row r="154" ht="13.5" customHeight="1">
      <c r="A154" s="111">
        <f t="shared" si="5"/>
        <v>154</v>
      </c>
      <c r="B154" s="460" t="s">
        <v>953</v>
      </c>
      <c r="C154" s="1130"/>
      <c r="D154" s="460"/>
      <c r="E154" s="460"/>
      <c r="F154" s="1131">
        <v>0.0</v>
      </c>
      <c r="G154" s="1132">
        <v>0.0</v>
      </c>
      <c r="H154" s="1131">
        <v>0.0</v>
      </c>
      <c r="I154" s="1131">
        <v>0.0</v>
      </c>
      <c r="J154" s="1131">
        <v>0.0</v>
      </c>
      <c r="K154" s="1131">
        <v>0.0</v>
      </c>
      <c r="L154" s="1131">
        <v>0.0</v>
      </c>
      <c r="M154" s="30"/>
      <c r="N154" s="30"/>
      <c r="O154" s="30"/>
      <c r="P154" s="30"/>
      <c r="Q154" s="30"/>
      <c r="R154" s="119"/>
      <c r="S154" s="30"/>
      <c r="T154" s="30"/>
      <c r="U154" s="30"/>
      <c r="V154" s="30"/>
      <c r="W154" s="30"/>
      <c r="X154" s="30"/>
      <c r="Y154" s="30"/>
      <c r="Z154" s="30"/>
    </row>
    <row r="155" ht="13.5" customHeight="1">
      <c r="A155" s="111">
        <f t="shared" si="5"/>
        <v>155</v>
      </c>
      <c r="B155" s="460"/>
      <c r="C155" s="1130"/>
      <c r="D155" s="460"/>
      <c r="E155" s="460"/>
      <c r="F155" s="460"/>
      <c r="G155" s="833"/>
      <c r="H155" s="833"/>
      <c r="I155" s="833"/>
      <c r="J155" s="833"/>
      <c r="K155" s="833"/>
      <c r="L155" s="833"/>
      <c r="M155" s="30"/>
      <c r="N155" s="30"/>
      <c r="O155" s="30"/>
      <c r="P155" s="30"/>
      <c r="Q155" s="30"/>
      <c r="R155" s="119"/>
      <c r="S155" s="30"/>
      <c r="T155" s="30"/>
      <c r="U155" s="30"/>
      <c r="V155" s="30"/>
      <c r="W155" s="30"/>
      <c r="X155" s="30"/>
      <c r="Y155" s="30"/>
      <c r="Z155" s="30"/>
    </row>
    <row r="156" ht="13.5" customHeight="1">
      <c r="A156" s="111">
        <f t="shared" si="5"/>
        <v>156</v>
      </c>
      <c r="B156" s="63" t="s">
        <v>954</v>
      </c>
      <c r="C156" s="305"/>
      <c r="D156" s="63"/>
      <c r="E156" s="63"/>
      <c r="F156" s="30"/>
      <c r="G156" s="30"/>
      <c r="H156" s="30"/>
      <c r="I156" s="30"/>
      <c r="J156" s="30"/>
      <c r="K156" s="30"/>
      <c r="L156" s="30"/>
      <c r="M156" s="99"/>
      <c r="N156" s="99"/>
      <c r="O156" s="99"/>
      <c r="P156" s="99"/>
      <c r="Q156" s="99"/>
      <c r="R156" s="119"/>
      <c r="S156" s="30"/>
      <c r="T156" s="30"/>
      <c r="U156" s="30"/>
      <c r="V156" s="30"/>
      <c r="W156" s="30"/>
      <c r="X156" s="30"/>
      <c r="Y156" s="30"/>
      <c r="Z156" s="30"/>
    </row>
    <row r="157" ht="13.5" customHeight="1">
      <c r="A157" s="111">
        <f t="shared" si="5"/>
        <v>157</v>
      </c>
      <c r="B157" s="460" t="s">
        <v>955</v>
      </c>
      <c r="C157" s="305"/>
      <c r="D157" s="460"/>
      <c r="E157" s="460"/>
      <c r="F157" s="30"/>
      <c r="G157" s="1133">
        <v>0.0</v>
      </c>
      <c r="H157" s="1134">
        <v>0.0</v>
      </c>
      <c r="I157" s="1134">
        <v>0.0</v>
      </c>
      <c r="J157" s="1134">
        <v>0.0</v>
      </c>
      <c r="K157" s="1134">
        <v>0.0</v>
      </c>
      <c r="L157" s="1134">
        <v>0.0</v>
      </c>
      <c r="M157" s="460"/>
      <c r="N157" s="460"/>
      <c r="O157" s="460"/>
      <c r="P157" s="460"/>
      <c r="Q157" s="860"/>
      <c r="R157" s="119"/>
      <c r="S157" s="30"/>
      <c r="T157" s="30"/>
      <c r="U157" s="30"/>
      <c r="V157" s="30"/>
      <c r="W157" s="30"/>
      <c r="X157" s="30"/>
      <c r="Y157" s="30"/>
      <c r="Z157" s="30"/>
    </row>
    <row r="158" ht="13.5" customHeight="1">
      <c r="A158" s="111">
        <f t="shared" si="5"/>
        <v>158</v>
      </c>
      <c r="B158" s="460" t="s">
        <v>956</v>
      </c>
      <c r="C158" s="305"/>
      <c r="D158" s="460"/>
      <c r="E158" s="460"/>
      <c r="F158" s="30"/>
      <c r="G158" s="1135">
        <v>0.0</v>
      </c>
      <c r="H158" s="1135">
        <v>0.0</v>
      </c>
      <c r="I158" s="1135">
        <v>0.0</v>
      </c>
      <c r="J158" s="1135">
        <v>0.0</v>
      </c>
      <c r="K158" s="1135">
        <v>0.0</v>
      </c>
      <c r="L158" s="1135">
        <v>0.0</v>
      </c>
      <c r="M158" s="460"/>
      <c r="N158" s="460"/>
      <c r="O158" s="460"/>
      <c r="P158" s="460"/>
      <c r="Q158" s="460"/>
      <c r="R158" s="119"/>
      <c r="S158" s="30"/>
      <c r="T158" s="30"/>
      <c r="U158" s="30"/>
      <c r="V158" s="30"/>
      <c r="W158" s="30"/>
      <c r="X158" s="30"/>
      <c r="Y158" s="30"/>
      <c r="Z158" s="30"/>
    </row>
    <row r="159" ht="13.5" customHeight="1">
      <c r="A159" s="111">
        <f t="shared" si="5"/>
        <v>159</v>
      </c>
      <c r="B159" s="460" t="s">
        <v>957</v>
      </c>
      <c r="C159" s="1136"/>
      <c r="D159" s="1136"/>
      <c r="E159" s="460"/>
      <c r="F159" s="30"/>
      <c r="G159" s="1137">
        <v>0.0</v>
      </c>
      <c r="H159" s="1137">
        <v>0.0</v>
      </c>
      <c r="I159" s="1137">
        <v>0.0</v>
      </c>
      <c r="J159" s="1137">
        <v>0.0</v>
      </c>
      <c r="K159" s="1137">
        <v>0.0</v>
      </c>
      <c r="L159" s="1137">
        <v>0.0</v>
      </c>
      <c r="M159" s="460"/>
      <c r="N159" s="460"/>
      <c r="O159" s="460"/>
      <c r="P159" s="460"/>
      <c r="Q159" s="460"/>
      <c r="R159" s="119"/>
      <c r="S159" s="30"/>
      <c r="T159" s="30"/>
      <c r="U159" s="30"/>
      <c r="V159" s="30"/>
      <c r="W159" s="30"/>
      <c r="X159" s="30"/>
      <c r="Y159" s="30"/>
      <c r="Z159" s="30"/>
    </row>
    <row r="160" ht="13.5" customHeight="1">
      <c r="A160" s="111">
        <f t="shared" si="5"/>
        <v>160</v>
      </c>
      <c r="B160" s="460" t="s">
        <v>958</v>
      </c>
      <c r="C160" s="1138">
        <v>0.0</v>
      </c>
      <c r="D160" s="873"/>
      <c r="E160" s="460"/>
      <c r="F160" s="30"/>
      <c r="G160" s="30"/>
      <c r="H160" s="873"/>
      <c r="I160" s="873"/>
      <c r="J160" s="460"/>
      <c r="K160" s="460"/>
      <c r="L160" s="460"/>
      <c r="M160" s="460"/>
      <c r="N160" s="460"/>
      <c r="O160" s="460"/>
      <c r="P160" s="460"/>
      <c r="Q160" s="460"/>
      <c r="R160" s="119"/>
      <c r="S160" s="30"/>
      <c r="T160" s="30"/>
      <c r="U160" s="30"/>
      <c r="V160" s="30"/>
      <c r="W160" s="30"/>
      <c r="X160" s="30"/>
      <c r="Y160" s="30"/>
      <c r="Z160" s="30"/>
    </row>
    <row r="161" ht="13.5" customHeight="1">
      <c r="A161" s="111">
        <f t="shared" si="5"/>
        <v>161</v>
      </c>
      <c r="B161" s="460" t="s">
        <v>959</v>
      </c>
      <c r="C161" s="1139">
        <f>C160*Staff!C70</f>
        <v>0</v>
      </c>
      <c r="D161" s="873"/>
      <c r="E161" s="460"/>
      <c r="F161" s="30"/>
      <c r="G161" s="30"/>
      <c r="H161" s="873"/>
      <c r="I161" s="873"/>
      <c r="J161" s="460"/>
      <c r="K161" s="460"/>
      <c r="L161" s="460"/>
      <c r="M161" s="460"/>
      <c r="N161" s="460"/>
      <c r="O161" s="460"/>
      <c r="P161" s="460"/>
      <c r="Q161" s="460"/>
      <c r="R161" s="119"/>
      <c r="S161" s="30"/>
      <c r="T161" s="30"/>
      <c r="U161" s="30"/>
      <c r="V161" s="30"/>
      <c r="W161" s="30"/>
      <c r="X161" s="30"/>
      <c r="Y161" s="30"/>
      <c r="Z161" s="30"/>
    </row>
    <row r="162" ht="13.5" customHeight="1">
      <c r="A162" s="111">
        <f t="shared" si="5"/>
        <v>162</v>
      </c>
      <c r="B162" s="460" t="s">
        <v>960</v>
      </c>
      <c r="C162" s="1140">
        <v>0.0</v>
      </c>
      <c r="D162" s="460"/>
      <c r="E162" s="460"/>
      <c r="F162" s="30"/>
      <c r="G162" s="30"/>
      <c r="H162" s="460"/>
      <c r="I162" s="460"/>
      <c r="J162" s="460"/>
      <c r="K162" s="460"/>
      <c r="L162" s="460"/>
      <c r="M162" s="460"/>
      <c r="N162" s="460"/>
      <c r="O162" s="460"/>
      <c r="P162" s="460"/>
      <c r="Q162" s="460"/>
      <c r="R162" s="119"/>
      <c r="S162" s="30"/>
      <c r="T162" s="30"/>
      <c r="U162" s="30"/>
      <c r="V162" s="30"/>
      <c r="W162" s="30"/>
      <c r="X162" s="30"/>
      <c r="Y162" s="30"/>
      <c r="Z162" s="30"/>
    </row>
    <row r="163" ht="13.5" customHeight="1">
      <c r="A163" s="111">
        <f t="shared" si="5"/>
        <v>163</v>
      </c>
      <c r="B163" s="460" t="s">
        <v>961</v>
      </c>
      <c r="C163" s="1139">
        <f>IF(C161&lt;&gt;0,C161/C162,0)</f>
        <v>0</v>
      </c>
      <c r="D163" s="460"/>
      <c r="E163" s="460"/>
      <c r="F163" s="30"/>
      <c r="G163" s="30"/>
      <c r="H163" s="460"/>
      <c r="I163" s="460"/>
      <c r="J163" s="460"/>
      <c r="K163" s="460"/>
      <c r="L163" s="460"/>
      <c r="M163" s="460"/>
      <c r="N163" s="460"/>
      <c r="O163" s="460"/>
      <c r="P163" s="460"/>
      <c r="Q163" s="460"/>
      <c r="R163" s="119"/>
      <c r="S163" s="30"/>
      <c r="T163" s="30"/>
      <c r="U163" s="30"/>
      <c r="V163" s="30"/>
      <c r="W163" s="30"/>
      <c r="X163" s="30"/>
      <c r="Y163" s="30"/>
      <c r="Z163" s="30"/>
    </row>
    <row r="164" ht="13.5" customHeight="1">
      <c r="A164" s="111">
        <f t="shared" si="5"/>
        <v>164</v>
      </c>
      <c r="B164" s="460" t="s">
        <v>962</v>
      </c>
      <c r="C164" s="1141">
        <v>0.0</v>
      </c>
      <c r="D164" s="460"/>
      <c r="E164" s="460"/>
      <c r="F164" s="30"/>
      <c r="G164" s="30"/>
      <c r="H164" s="460"/>
      <c r="I164" s="460"/>
      <c r="J164" s="460"/>
      <c r="K164" s="460"/>
      <c r="L164" s="460"/>
      <c r="M164" s="460"/>
      <c r="N164" s="460"/>
      <c r="O164" s="460"/>
      <c r="P164" s="460"/>
      <c r="Q164" s="460"/>
      <c r="R164" s="119"/>
      <c r="S164" s="30"/>
      <c r="T164" s="30"/>
      <c r="U164" s="30"/>
      <c r="V164" s="30"/>
      <c r="W164" s="30"/>
      <c r="X164" s="30"/>
      <c r="Y164" s="30"/>
      <c r="Z164" s="30"/>
    </row>
    <row r="165" ht="13.5" customHeight="1">
      <c r="A165" s="111">
        <f t="shared" si="5"/>
        <v>165</v>
      </c>
      <c r="B165" s="460" t="s">
        <v>963</v>
      </c>
      <c r="C165" s="1142">
        <f>C163*C164</f>
        <v>0</v>
      </c>
      <c r="D165" s="460"/>
      <c r="E165" s="460"/>
      <c r="F165" s="30"/>
      <c r="G165" s="30"/>
      <c r="H165" s="460"/>
      <c r="I165" s="460"/>
      <c r="J165" s="460"/>
      <c r="K165" s="460"/>
      <c r="L165" s="460"/>
      <c r="M165" s="460"/>
      <c r="N165" s="460"/>
      <c r="O165" s="460"/>
      <c r="P165" s="460"/>
      <c r="Q165" s="460"/>
      <c r="R165" s="119"/>
      <c r="S165" s="30"/>
      <c r="T165" s="30"/>
      <c r="U165" s="30"/>
      <c r="V165" s="30"/>
      <c r="W165" s="30"/>
      <c r="X165" s="30"/>
      <c r="Y165" s="30"/>
      <c r="Z165" s="30"/>
    </row>
    <row r="166" ht="13.5" customHeight="1">
      <c r="A166" s="111">
        <f t="shared" si="5"/>
        <v>166</v>
      </c>
      <c r="B166" s="460" t="s">
        <v>964</v>
      </c>
      <c r="C166" s="1143">
        <v>0.0</v>
      </c>
      <c r="D166" s="460" t="s">
        <v>965</v>
      </c>
      <c r="E166" s="460"/>
      <c r="F166" s="30"/>
      <c r="G166" s="30"/>
      <c r="H166" s="460"/>
      <c r="I166" s="460"/>
      <c r="J166" s="460"/>
      <c r="K166" s="460"/>
      <c r="L166" s="460"/>
      <c r="M166" s="460"/>
      <c r="N166" s="460"/>
      <c r="O166" s="460"/>
      <c r="P166" s="460"/>
      <c r="Q166" s="460"/>
      <c r="R166" s="119"/>
      <c r="S166" s="30"/>
      <c r="T166" s="30"/>
      <c r="U166" s="30"/>
      <c r="V166" s="30"/>
      <c r="W166" s="30"/>
      <c r="X166" s="30"/>
      <c r="Y166" s="30"/>
      <c r="Z166" s="30"/>
    </row>
    <row r="167" ht="13.5" customHeight="1">
      <c r="A167" s="111">
        <f t="shared" si="5"/>
        <v>167</v>
      </c>
      <c r="B167" s="460" t="s">
        <v>966</v>
      </c>
      <c r="C167" s="1144">
        <f>C166*C161</f>
        <v>0</v>
      </c>
      <c r="D167" s="460"/>
      <c r="E167" s="460"/>
      <c r="F167" s="30"/>
      <c r="G167" s="30"/>
      <c r="H167" s="460"/>
      <c r="I167" s="460"/>
      <c r="J167" s="460"/>
      <c r="K167" s="460"/>
      <c r="L167" s="460"/>
      <c r="M167" s="460"/>
      <c r="N167" s="460"/>
      <c r="O167" s="460"/>
      <c r="P167" s="460"/>
      <c r="Q167" s="460"/>
      <c r="R167" s="119"/>
      <c r="S167" s="30"/>
      <c r="T167" s="30"/>
      <c r="U167" s="30"/>
      <c r="V167" s="30"/>
      <c r="W167" s="30"/>
      <c r="X167" s="30"/>
      <c r="Y167" s="30"/>
      <c r="Z167" s="30"/>
    </row>
    <row r="168" ht="13.5" customHeight="1">
      <c r="A168" s="111">
        <f t="shared" si="5"/>
        <v>168</v>
      </c>
      <c r="B168" s="460" t="s">
        <v>967</v>
      </c>
      <c r="C168" s="1145">
        <v>0.0</v>
      </c>
      <c r="D168" s="460" t="s">
        <v>968</v>
      </c>
      <c r="E168" s="460"/>
      <c r="F168" s="30"/>
      <c r="G168" s="30"/>
      <c r="H168" s="460"/>
      <c r="I168" s="460"/>
      <c r="J168" s="460"/>
      <c r="K168" s="460"/>
      <c r="L168" s="460"/>
      <c r="M168" s="460"/>
      <c r="N168" s="460"/>
      <c r="O168" s="460"/>
      <c r="P168" s="460"/>
      <c r="Q168" s="460"/>
      <c r="R168" s="119"/>
      <c r="S168" s="30"/>
      <c r="T168" s="30"/>
      <c r="U168" s="30"/>
      <c r="V168" s="30"/>
      <c r="W168" s="30"/>
      <c r="X168" s="30"/>
      <c r="Y168" s="30"/>
      <c r="Z168" s="30"/>
    </row>
    <row r="169" ht="13.5" customHeight="1">
      <c r="A169" s="111">
        <f t="shared" si="5"/>
        <v>169</v>
      </c>
      <c r="B169" s="30" t="s">
        <v>969</v>
      </c>
      <c r="C169" s="142"/>
      <c r="D169" s="30"/>
      <c r="E169" s="30"/>
      <c r="F169" s="30"/>
      <c r="G169" s="115">
        <f>' Enrol &amp; Rev'!G36</f>
        <v>632</v>
      </c>
      <c r="H169" s="115">
        <f>' Enrol &amp; Rev'!H36</f>
        <v>645</v>
      </c>
      <c r="I169" s="115">
        <f>' Enrol &amp; Rev'!I36</f>
        <v>667</v>
      </c>
      <c r="J169" s="115">
        <f>' Enrol &amp; Rev'!J36</f>
        <v>673</v>
      </c>
      <c r="K169" s="115">
        <f>' Enrol &amp; Rev'!K36</f>
        <v>676</v>
      </c>
      <c r="L169" s="115">
        <f>' Enrol &amp; Rev'!L36</f>
        <v>685</v>
      </c>
      <c r="M169" s="30"/>
      <c r="N169" s="30"/>
      <c r="O169" s="30"/>
      <c r="P169" s="30"/>
      <c r="Q169" s="30"/>
      <c r="R169" s="119"/>
      <c r="S169" s="30"/>
      <c r="T169" s="30"/>
      <c r="U169" s="30"/>
      <c r="V169" s="30"/>
      <c r="W169" s="30"/>
      <c r="X169" s="30"/>
      <c r="Y169" s="30"/>
      <c r="Z169" s="30"/>
    </row>
    <row r="170" ht="13.5" customHeight="1">
      <c r="A170" s="111">
        <f t="shared" si="5"/>
        <v>170</v>
      </c>
      <c r="B170" s="30" t="s">
        <v>970</v>
      </c>
      <c r="C170" s="142"/>
      <c r="D170" s="30"/>
      <c r="E170" s="30"/>
      <c r="F170" s="66"/>
      <c r="G170" s="115">
        <f t="shared" ref="G170:L170" si="25">G$157*G169</f>
        <v>0</v>
      </c>
      <c r="H170" s="115">
        <f t="shared" si="25"/>
        <v>0</v>
      </c>
      <c r="I170" s="115">
        <f t="shared" si="25"/>
        <v>0</v>
      </c>
      <c r="J170" s="115">
        <f t="shared" si="25"/>
        <v>0</v>
      </c>
      <c r="K170" s="115">
        <f t="shared" si="25"/>
        <v>0</v>
      </c>
      <c r="L170" s="115">
        <f t="shared" si="25"/>
        <v>0</v>
      </c>
      <c r="M170" s="30"/>
      <c r="N170" s="30"/>
      <c r="O170" s="30"/>
      <c r="P170" s="30"/>
      <c r="Q170" s="30"/>
      <c r="R170" s="119"/>
      <c r="S170" s="30"/>
      <c r="T170" s="30"/>
      <c r="U170" s="30"/>
      <c r="V170" s="30"/>
      <c r="W170" s="30"/>
      <c r="X170" s="30"/>
      <c r="Y170" s="30"/>
      <c r="Z170" s="30"/>
    </row>
    <row r="171" ht="13.5" customHeight="1">
      <c r="A171" s="111">
        <f t="shared" si="5"/>
        <v>171</v>
      </c>
      <c r="B171" s="34" t="s">
        <v>971</v>
      </c>
      <c r="C171" s="850"/>
      <c r="D171" s="34"/>
      <c r="E171" s="34"/>
      <c r="F171" s="1146"/>
      <c r="G171" s="971">
        <f t="shared" ref="G171:L171" si="26">IF(G170=0,0,IF(G170&gt;(G$158*5),6,IF(G170&gt;(G$158*4),5,IF(G170&gt;(G$158*3),4,IF(G170&gt;(G$158*2),3,IF(G170&gt;G$158,2,IF(G170&gt;0,1)))))))</f>
        <v>0</v>
      </c>
      <c r="H171" s="971">
        <f t="shared" si="26"/>
        <v>0</v>
      </c>
      <c r="I171" s="971">
        <f t="shared" si="26"/>
        <v>0</v>
      </c>
      <c r="J171" s="971">
        <f t="shared" si="26"/>
        <v>0</v>
      </c>
      <c r="K171" s="971">
        <f t="shared" si="26"/>
        <v>0</v>
      </c>
      <c r="L171" s="971">
        <f t="shared" si="26"/>
        <v>0</v>
      </c>
      <c r="M171" s="30"/>
      <c r="N171" s="30"/>
      <c r="O171" s="30"/>
      <c r="P171" s="30"/>
      <c r="Q171" s="30"/>
      <c r="R171" s="119"/>
      <c r="S171" s="30"/>
      <c r="T171" s="30"/>
      <c r="U171" s="30"/>
      <c r="V171" s="30"/>
      <c r="W171" s="30"/>
      <c r="X171" s="30"/>
      <c r="Y171" s="30"/>
      <c r="Z171" s="30"/>
    </row>
    <row r="172" ht="13.5" customHeight="1">
      <c r="A172" s="111">
        <f t="shared" si="5"/>
        <v>172</v>
      </c>
      <c r="B172" s="30" t="s">
        <v>972</v>
      </c>
      <c r="C172" s="142"/>
      <c r="D172" s="30"/>
      <c r="E172" s="30"/>
      <c r="F172" s="153"/>
      <c r="G172" s="129">
        <f>G171*G$159</f>
        <v>0</v>
      </c>
      <c r="H172" s="129">
        <f t="shared" ref="H172:L172" si="27">(H171-G171)*H$159</f>
        <v>0</v>
      </c>
      <c r="I172" s="129">
        <f t="shared" si="27"/>
        <v>0</v>
      </c>
      <c r="J172" s="129">
        <f t="shared" si="27"/>
        <v>0</v>
      </c>
      <c r="K172" s="129">
        <f t="shared" si="27"/>
        <v>0</v>
      </c>
      <c r="L172" s="129">
        <f t="shared" si="27"/>
        <v>0</v>
      </c>
      <c r="M172" s="30"/>
      <c r="N172" s="30"/>
      <c r="O172" s="30"/>
      <c r="P172" s="30"/>
      <c r="Q172" s="30"/>
      <c r="R172" s="119"/>
      <c r="S172" s="30"/>
      <c r="T172" s="30"/>
      <c r="U172" s="30"/>
      <c r="V172" s="30"/>
      <c r="W172" s="30"/>
      <c r="X172" s="30"/>
      <c r="Y172" s="30"/>
      <c r="Z172" s="30"/>
    </row>
    <row r="173" ht="13.5" customHeight="1">
      <c r="A173" s="111">
        <f t="shared" si="5"/>
        <v>173</v>
      </c>
      <c r="B173" s="30" t="s">
        <v>973</v>
      </c>
      <c r="C173" s="142"/>
      <c r="D173" s="30"/>
      <c r="E173" s="30"/>
      <c r="F173" s="1147"/>
      <c r="G173" s="142">
        <f t="shared" ref="G173:L173" si="28">G171*$C$165</f>
        <v>0</v>
      </c>
      <c r="H173" s="142">
        <f t="shared" si="28"/>
        <v>0</v>
      </c>
      <c r="I173" s="142">
        <f t="shared" si="28"/>
        <v>0</v>
      </c>
      <c r="J173" s="142">
        <f t="shared" si="28"/>
        <v>0</v>
      </c>
      <c r="K173" s="142">
        <f t="shared" si="28"/>
        <v>0</v>
      </c>
      <c r="L173" s="142">
        <f t="shared" si="28"/>
        <v>0</v>
      </c>
      <c r="M173" s="30"/>
      <c r="N173" s="30"/>
      <c r="O173" s="30"/>
      <c r="P173" s="30"/>
      <c r="Q173" s="30"/>
      <c r="R173" s="119"/>
      <c r="S173" s="30"/>
      <c r="T173" s="30"/>
      <c r="U173" s="30"/>
      <c r="V173" s="30"/>
      <c r="W173" s="30"/>
      <c r="X173" s="30"/>
      <c r="Y173" s="30"/>
      <c r="Z173" s="30"/>
    </row>
    <row r="174" ht="13.5" customHeight="1">
      <c r="A174" s="111">
        <f t="shared" si="5"/>
        <v>174</v>
      </c>
      <c r="B174" s="30" t="s">
        <v>974</v>
      </c>
      <c r="C174" s="142"/>
      <c r="D174" s="30"/>
      <c r="E174" s="30"/>
      <c r="F174" s="1147"/>
      <c r="G174" s="142">
        <f t="shared" ref="G174:L174" si="29">G171*$C$167</f>
        <v>0</v>
      </c>
      <c r="H174" s="142">
        <f t="shared" si="29"/>
        <v>0</v>
      </c>
      <c r="I174" s="142">
        <f t="shared" si="29"/>
        <v>0</v>
      </c>
      <c r="J174" s="142">
        <f t="shared" si="29"/>
        <v>0</v>
      </c>
      <c r="K174" s="142">
        <f t="shared" si="29"/>
        <v>0</v>
      </c>
      <c r="L174" s="142">
        <f t="shared" si="29"/>
        <v>0</v>
      </c>
      <c r="M174" s="30"/>
      <c r="N174" s="30"/>
      <c r="O174" s="30"/>
      <c r="P174" s="30"/>
      <c r="Q174" s="30"/>
      <c r="R174" s="119"/>
      <c r="S174" s="30"/>
      <c r="T174" s="30"/>
      <c r="U174" s="30"/>
      <c r="V174" s="30"/>
      <c r="W174" s="30"/>
      <c r="X174" s="30"/>
      <c r="Y174" s="30"/>
      <c r="Z174" s="30"/>
    </row>
    <row r="175" ht="13.5" customHeight="1">
      <c r="A175" s="111">
        <f t="shared" si="5"/>
        <v>175</v>
      </c>
      <c r="B175" s="30" t="s">
        <v>967</v>
      </c>
      <c r="C175" s="142"/>
      <c r="D175" s="30"/>
      <c r="E175" s="30"/>
      <c r="F175" s="1147"/>
      <c r="G175" s="142">
        <f t="shared" ref="G175:L175" si="30">G171*$C$168</f>
        <v>0</v>
      </c>
      <c r="H175" s="142">
        <f t="shared" si="30"/>
        <v>0</v>
      </c>
      <c r="I175" s="142">
        <f t="shared" si="30"/>
        <v>0</v>
      </c>
      <c r="J175" s="142">
        <f t="shared" si="30"/>
        <v>0</v>
      </c>
      <c r="K175" s="142">
        <f t="shared" si="30"/>
        <v>0</v>
      </c>
      <c r="L175" s="142">
        <f t="shared" si="30"/>
        <v>0</v>
      </c>
      <c r="M175" s="30"/>
      <c r="N175" s="30"/>
      <c r="O175" s="30"/>
      <c r="P175" s="30"/>
      <c r="Q175" s="30"/>
      <c r="R175" s="119"/>
      <c r="S175" s="30"/>
      <c r="T175" s="30"/>
      <c r="U175" s="30"/>
      <c r="V175" s="30"/>
      <c r="W175" s="30"/>
      <c r="X175" s="30"/>
      <c r="Y175" s="30"/>
      <c r="Z175" s="30"/>
    </row>
    <row r="176" ht="13.5" customHeight="1">
      <c r="A176" s="111">
        <f t="shared" si="5"/>
        <v>176</v>
      </c>
      <c r="B176" s="30"/>
      <c r="C176" s="142"/>
      <c r="D176" s="30"/>
      <c r="E176" s="30"/>
      <c r="F176" s="1148"/>
      <c r="G176" s="1148"/>
      <c r="H176" s="1148"/>
      <c r="I176" s="1148"/>
      <c r="J176" s="1148"/>
      <c r="K176" s="1148"/>
      <c r="L176" s="1148"/>
      <c r="M176" s="30"/>
      <c r="N176" s="30"/>
      <c r="O176" s="30"/>
      <c r="P176" s="30"/>
      <c r="Q176" s="30"/>
      <c r="R176" s="119"/>
      <c r="S176" s="30"/>
      <c r="T176" s="30"/>
      <c r="U176" s="30"/>
      <c r="V176" s="30"/>
      <c r="W176" s="30"/>
      <c r="X176" s="30"/>
      <c r="Y176" s="30"/>
      <c r="Z176" s="30"/>
    </row>
    <row r="177" ht="13.5" customHeight="1">
      <c r="A177" s="111">
        <f t="shared" si="5"/>
        <v>177</v>
      </c>
      <c r="B177" s="1149" t="s">
        <v>975</v>
      </c>
      <c r="C177" s="1150">
        <f>SUM(F177:L177)</f>
        <v>0</v>
      </c>
      <c r="D177" s="1151"/>
      <c r="E177" s="1151"/>
      <c r="F177" s="1150">
        <f t="shared" ref="F177:L177" si="31">SUM(F172:F175)</f>
        <v>0</v>
      </c>
      <c r="G177" s="1150">
        <f t="shared" si="31"/>
        <v>0</v>
      </c>
      <c r="H177" s="1150">
        <f t="shared" si="31"/>
        <v>0</v>
      </c>
      <c r="I177" s="1150">
        <f t="shared" si="31"/>
        <v>0</v>
      </c>
      <c r="J177" s="1150">
        <f t="shared" si="31"/>
        <v>0</v>
      </c>
      <c r="K177" s="1150">
        <f t="shared" si="31"/>
        <v>0</v>
      </c>
      <c r="L177" s="1150">
        <f t="shared" si="31"/>
        <v>0</v>
      </c>
      <c r="M177" s="30"/>
      <c r="N177" s="30"/>
      <c r="O177" s="30"/>
      <c r="P177" s="30"/>
      <c r="Q177" s="30"/>
      <c r="R177" s="119"/>
      <c r="S177" s="30"/>
      <c r="T177" s="30"/>
      <c r="U177" s="30"/>
      <c r="V177" s="30"/>
      <c r="W177" s="30"/>
      <c r="X177" s="30"/>
      <c r="Y177" s="30"/>
      <c r="Z177" s="30"/>
    </row>
    <row r="178" ht="13.5" customHeight="1">
      <c r="A178" s="111">
        <f t="shared" si="5"/>
        <v>178</v>
      </c>
      <c r="B178" s="30" t="s">
        <v>976</v>
      </c>
      <c r="C178" s="30"/>
      <c r="D178" s="30"/>
      <c r="E178" s="30"/>
      <c r="F178" s="30"/>
      <c r="G178" s="1152">
        <v>0.0</v>
      </c>
      <c r="H178" s="1152">
        <v>0.0</v>
      </c>
      <c r="I178" s="1152">
        <v>0.0</v>
      </c>
      <c r="J178" s="1152">
        <v>0.0</v>
      </c>
      <c r="K178" s="1152">
        <v>0.0</v>
      </c>
      <c r="L178" s="1152">
        <v>0.0</v>
      </c>
      <c r="M178" s="30"/>
      <c r="N178" s="30"/>
      <c r="O178" s="30"/>
      <c r="P178" s="30"/>
      <c r="Q178" s="30"/>
      <c r="R178" s="119"/>
      <c r="S178" s="30"/>
      <c r="T178" s="30"/>
      <c r="U178" s="30"/>
      <c r="V178" s="30"/>
      <c r="W178" s="30"/>
      <c r="X178" s="30"/>
      <c r="Y178" s="30"/>
      <c r="Z178" s="30"/>
    </row>
    <row r="179" ht="13.5" customHeight="1">
      <c r="A179" s="111">
        <f t="shared" si="5"/>
        <v>179</v>
      </c>
      <c r="B179" s="30"/>
      <c r="C179" s="30"/>
      <c r="D179" s="30"/>
      <c r="E179" s="30"/>
      <c r="F179" s="30"/>
      <c r="G179" s="30"/>
      <c r="H179" s="30"/>
      <c r="I179" s="30"/>
      <c r="J179" s="30"/>
      <c r="K179" s="30"/>
      <c r="L179" s="30"/>
      <c r="M179" s="30"/>
      <c r="N179" s="30"/>
      <c r="O179" s="30"/>
      <c r="P179" s="30"/>
      <c r="Q179" s="30"/>
      <c r="R179" s="119"/>
      <c r="S179" s="30"/>
      <c r="T179" s="30"/>
      <c r="U179" s="30"/>
      <c r="V179" s="30"/>
      <c r="W179" s="30"/>
      <c r="X179" s="30"/>
      <c r="Y179" s="30"/>
      <c r="Z179" s="30"/>
    </row>
    <row r="180" ht="13.5" customHeight="1">
      <c r="A180" s="111">
        <f t="shared" si="5"/>
        <v>180</v>
      </c>
      <c r="B180" s="1117" t="s">
        <v>977</v>
      </c>
      <c r="C180" s="1118">
        <f>SUM(F180:L180)</f>
        <v>0</v>
      </c>
      <c r="D180" s="1117"/>
      <c r="E180" s="1117"/>
      <c r="F180" s="1119">
        <f t="shared" ref="F180:L180" si="32">F177-F154</f>
        <v>0</v>
      </c>
      <c r="G180" s="1119">
        <f t="shared" si="32"/>
        <v>0</v>
      </c>
      <c r="H180" s="1119">
        <f t="shared" si="32"/>
        <v>0</v>
      </c>
      <c r="I180" s="1119">
        <f t="shared" si="32"/>
        <v>0</v>
      </c>
      <c r="J180" s="1119">
        <f t="shared" si="32"/>
        <v>0</v>
      </c>
      <c r="K180" s="1119">
        <f t="shared" si="32"/>
        <v>0</v>
      </c>
      <c r="L180" s="1119">
        <f t="shared" si="32"/>
        <v>0</v>
      </c>
      <c r="M180" s="30"/>
      <c r="N180" s="30"/>
      <c r="O180" s="30"/>
      <c r="P180" s="30"/>
      <c r="Q180" s="30"/>
      <c r="R180" s="1153" t="s">
        <v>978</v>
      </c>
      <c r="S180" s="30"/>
      <c r="T180" s="30"/>
      <c r="U180" s="30"/>
      <c r="V180" s="30"/>
      <c r="W180" s="30"/>
      <c r="X180" s="30"/>
      <c r="Y180" s="30"/>
      <c r="Z180" s="30"/>
    </row>
    <row r="181" ht="13.5" customHeight="1">
      <c r="A181" s="111">
        <f t="shared" si="5"/>
        <v>181</v>
      </c>
      <c r="B181" s="30"/>
      <c r="C181" s="142"/>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111">
        <f t="shared" si="5"/>
        <v>182</v>
      </c>
      <c r="B182" s="36" t="s">
        <v>979</v>
      </c>
      <c r="C182" s="850"/>
      <c r="D182" s="543"/>
      <c r="E182" s="543"/>
      <c r="F182" s="880"/>
      <c r="G182" s="34"/>
      <c r="H182" s="36"/>
      <c r="I182" s="34"/>
      <c r="J182" s="34"/>
      <c r="K182" s="34"/>
      <c r="L182" s="34"/>
      <c r="M182" s="30"/>
      <c r="N182" s="30"/>
      <c r="O182" s="30"/>
      <c r="P182" s="30"/>
      <c r="Q182" s="30"/>
      <c r="R182" s="30"/>
      <c r="S182" s="30"/>
      <c r="T182" s="30"/>
      <c r="U182" s="30"/>
      <c r="V182" s="30"/>
      <c r="W182" s="30"/>
      <c r="X182" s="30"/>
      <c r="Y182" s="30"/>
      <c r="Z182" s="30"/>
    </row>
    <row r="183" ht="13.5" customHeight="1">
      <c r="A183" s="111">
        <f t="shared" si="5"/>
        <v>183</v>
      </c>
      <c r="B183" s="1154"/>
      <c r="C183" s="142"/>
      <c r="D183" s="1155"/>
      <c r="E183" s="845"/>
      <c r="F183" s="1156">
        <v>0.0</v>
      </c>
      <c r="G183" s="1156">
        <v>0.0</v>
      </c>
      <c r="H183" s="1156">
        <v>0.0</v>
      </c>
      <c r="I183" s="1156">
        <v>0.0</v>
      </c>
      <c r="J183" s="1156">
        <v>0.0</v>
      </c>
      <c r="K183" s="1156">
        <v>0.0</v>
      </c>
      <c r="L183" s="1156">
        <v>0.0</v>
      </c>
      <c r="M183" s="30"/>
      <c r="N183" s="30"/>
      <c r="O183" s="30"/>
      <c r="P183" s="30"/>
      <c r="Q183" s="30"/>
      <c r="R183" s="30"/>
      <c r="S183" s="30"/>
      <c r="T183" s="30"/>
      <c r="U183" s="30"/>
      <c r="V183" s="30"/>
      <c r="W183" s="30"/>
      <c r="X183" s="30"/>
      <c r="Y183" s="30"/>
      <c r="Z183" s="30"/>
    </row>
    <row r="184" ht="13.5" customHeight="1">
      <c r="A184" s="111">
        <f t="shared" si="5"/>
        <v>184</v>
      </c>
      <c r="B184" s="507"/>
      <c r="C184" s="142"/>
      <c r="D184" s="780"/>
      <c r="E184" s="841"/>
      <c r="F184" s="1112">
        <v>0.0</v>
      </c>
      <c r="G184" s="1112">
        <v>0.0</v>
      </c>
      <c r="H184" s="1112">
        <v>0.0</v>
      </c>
      <c r="I184" s="1112">
        <v>0.0</v>
      </c>
      <c r="J184" s="1112">
        <v>0.0</v>
      </c>
      <c r="K184" s="1112">
        <v>0.0</v>
      </c>
      <c r="L184" s="1112">
        <v>0.0</v>
      </c>
      <c r="M184" s="30"/>
      <c r="N184" s="30"/>
      <c r="O184" s="30"/>
      <c r="P184" s="30"/>
      <c r="Q184" s="30"/>
      <c r="R184" s="30"/>
      <c r="S184" s="30"/>
      <c r="T184" s="30"/>
      <c r="U184" s="30"/>
      <c r="V184" s="30"/>
      <c r="W184" s="30"/>
      <c r="X184" s="30"/>
      <c r="Y184" s="30"/>
      <c r="Z184" s="30"/>
    </row>
    <row r="185" ht="13.5" customHeight="1">
      <c r="A185" s="111">
        <f t="shared" si="5"/>
        <v>185</v>
      </c>
      <c r="B185" s="507"/>
      <c r="C185" s="142"/>
      <c r="D185" s="780"/>
      <c r="E185" s="841"/>
      <c r="F185" s="1112">
        <v>0.0</v>
      </c>
      <c r="G185" s="1112">
        <v>0.0</v>
      </c>
      <c r="H185" s="1112">
        <v>0.0</v>
      </c>
      <c r="I185" s="1112">
        <v>0.0</v>
      </c>
      <c r="J185" s="1112">
        <v>0.0</v>
      </c>
      <c r="K185" s="1112">
        <v>0.0</v>
      </c>
      <c r="L185" s="1112">
        <v>0.0</v>
      </c>
      <c r="M185" s="30"/>
      <c r="N185" s="30"/>
      <c r="O185" s="30"/>
      <c r="P185" s="30"/>
      <c r="Q185" s="30"/>
      <c r="R185" s="30"/>
      <c r="S185" s="30"/>
      <c r="T185" s="30"/>
      <c r="U185" s="30"/>
      <c r="V185" s="30"/>
      <c r="W185" s="30"/>
      <c r="X185" s="30"/>
      <c r="Y185" s="30"/>
      <c r="Z185" s="30"/>
    </row>
    <row r="186" ht="13.5" customHeight="1">
      <c r="A186" s="111">
        <f t="shared" si="5"/>
        <v>186</v>
      </c>
      <c r="B186" s="507"/>
      <c r="C186" s="142"/>
      <c r="D186" s="780"/>
      <c r="E186" s="841"/>
      <c r="F186" s="1112">
        <v>0.0</v>
      </c>
      <c r="G186" s="1112">
        <v>0.0</v>
      </c>
      <c r="H186" s="1112">
        <v>0.0</v>
      </c>
      <c r="I186" s="1112">
        <v>0.0</v>
      </c>
      <c r="J186" s="1112">
        <v>0.0</v>
      </c>
      <c r="K186" s="1112">
        <v>0.0</v>
      </c>
      <c r="L186" s="1112">
        <v>0.0</v>
      </c>
      <c r="M186" s="30"/>
      <c r="N186" s="30"/>
      <c r="O186" s="30"/>
      <c r="P186" s="30"/>
      <c r="Q186" s="30"/>
      <c r="R186" s="30"/>
      <c r="S186" s="30"/>
      <c r="T186" s="30"/>
      <c r="U186" s="30"/>
      <c r="V186" s="30"/>
      <c r="W186" s="30"/>
      <c r="X186" s="30"/>
      <c r="Y186" s="30"/>
      <c r="Z186" s="30"/>
    </row>
    <row r="187" ht="13.5" customHeight="1">
      <c r="A187" s="111">
        <f t="shared" si="5"/>
        <v>187</v>
      </c>
      <c r="B187" s="507"/>
      <c r="C187" s="142"/>
      <c r="D187" s="780"/>
      <c r="E187" s="841"/>
      <c r="F187" s="1112">
        <v>0.0</v>
      </c>
      <c r="G187" s="1112">
        <v>0.0</v>
      </c>
      <c r="H187" s="1112">
        <v>0.0</v>
      </c>
      <c r="I187" s="1112">
        <v>0.0</v>
      </c>
      <c r="J187" s="1112">
        <v>0.0</v>
      </c>
      <c r="K187" s="1112">
        <v>0.0</v>
      </c>
      <c r="L187" s="1112">
        <v>0.0</v>
      </c>
      <c r="M187" s="30"/>
      <c r="N187" s="30"/>
      <c r="O187" s="30"/>
      <c r="P187" s="30"/>
      <c r="Q187" s="30"/>
      <c r="R187" s="30"/>
      <c r="S187" s="30"/>
      <c r="T187" s="30"/>
      <c r="U187" s="30"/>
      <c r="V187" s="30"/>
      <c r="W187" s="30"/>
      <c r="X187" s="30"/>
      <c r="Y187" s="30"/>
      <c r="Z187" s="30"/>
    </row>
    <row r="188" ht="13.5" customHeight="1">
      <c r="A188" s="111">
        <f t="shared" si="5"/>
        <v>188</v>
      </c>
      <c r="B188" s="507"/>
      <c r="C188" s="142"/>
      <c r="D188" s="780"/>
      <c r="E188" s="841"/>
      <c r="F188" s="1112">
        <v>0.0</v>
      </c>
      <c r="G188" s="1112">
        <v>0.0</v>
      </c>
      <c r="H188" s="1112">
        <v>0.0</v>
      </c>
      <c r="I188" s="1112">
        <v>0.0</v>
      </c>
      <c r="J188" s="1112">
        <v>0.0</v>
      </c>
      <c r="K188" s="1112">
        <v>0.0</v>
      </c>
      <c r="L188" s="1112">
        <v>0.0</v>
      </c>
      <c r="M188" s="30"/>
      <c r="N188" s="30"/>
      <c r="O188" s="30"/>
      <c r="P188" s="30"/>
      <c r="Q188" s="30"/>
      <c r="R188" s="30"/>
      <c r="S188" s="30"/>
      <c r="T188" s="30"/>
      <c r="U188" s="30"/>
      <c r="V188" s="30"/>
      <c r="W188" s="30"/>
      <c r="X188" s="30"/>
      <c r="Y188" s="30"/>
      <c r="Z188" s="30"/>
    </row>
    <row r="189" ht="13.5" customHeight="1">
      <c r="A189" s="111">
        <f t="shared" si="5"/>
        <v>189</v>
      </c>
      <c r="B189" s="507"/>
      <c r="C189" s="142"/>
      <c r="D189" s="780"/>
      <c r="E189" s="841"/>
      <c r="F189" s="1112">
        <v>0.0</v>
      </c>
      <c r="G189" s="1112">
        <v>0.0</v>
      </c>
      <c r="H189" s="1112">
        <v>0.0</v>
      </c>
      <c r="I189" s="1112">
        <v>0.0</v>
      </c>
      <c r="J189" s="1112">
        <v>0.0</v>
      </c>
      <c r="K189" s="1112">
        <v>0.0</v>
      </c>
      <c r="L189" s="1112">
        <v>0.0</v>
      </c>
      <c r="M189" s="30"/>
      <c r="N189" s="30"/>
      <c r="O189" s="30"/>
      <c r="P189" s="30"/>
      <c r="Q189" s="30"/>
      <c r="R189" s="30"/>
      <c r="S189" s="30"/>
      <c r="T189" s="30"/>
      <c r="U189" s="30"/>
      <c r="V189" s="30"/>
      <c r="W189" s="30"/>
      <c r="X189" s="30"/>
      <c r="Y189" s="30"/>
      <c r="Z189" s="30"/>
    </row>
    <row r="190" ht="13.5" customHeight="1">
      <c r="A190" s="111">
        <f t="shared" si="5"/>
        <v>190</v>
      </c>
      <c r="B190" s="507"/>
      <c r="C190" s="142"/>
      <c r="D190" s="780"/>
      <c r="E190" s="841"/>
      <c r="F190" s="1112">
        <v>0.0</v>
      </c>
      <c r="G190" s="1112">
        <v>0.0</v>
      </c>
      <c r="H190" s="1112">
        <v>0.0</v>
      </c>
      <c r="I190" s="1112">
        <v>0.0</v>
      </c>
      <c r="J190" s="1112">
        <v>0.0</v>
      </c>
      <c r="K190" s="1112">
        <v>0.0</v>
      </c>
      <c r="L190" s="1112">
        <v>0.0</v>
      </c>
      <c r="M190" s="30"/>
      <c r="N190" s="30"/>
      <c r="O190" s="30"/>
      <c r="P190" s="30"/>
      <c r="Q190" s="30"/>
      <c r="R190" s="30"/>
      <c r="S190" s="30"/>
      <c r="T190" s="30"/>
      <c r="U190" s="30"/>
      <c r="V190" s="30"/>
      <c r="W190" s="30"/>
      <c r="X190" s="30"/>
      <c r="Y190" s="30"/>
      <c r="Z190" s="30"/>
    </row>
    <row r="191" ht="13.5" customHeight="1">
      <c r="A191" s="111">
        <f t="shared" si="5"/>
        <v>191</v>
      </c>
      <c r="B191" s="507"/>
      <c r="C191" s="142"/>
      <c r="D191" s="780"/>
      <c r="E191" s="841"/>
      <c r="F191" s="1112">
        <v>0.0</v>
      </c>
      <c r="G191" s="1112">
        <v>0.0</v>
      </c>
      <c r="H191" s="1112">
        <v>0.0</v>
      </c>
      <c r="I191" s="1112">
        <v>0.0</v>
      </c>
      <c r="J191" s="1112">
        <v>0.0</v>
      </c>
      <c r="K191" s="1112">
        <v>0.0</v>
      </c>
      <c r="L191" s="1112">
        <v>0.0</v>
      </c>
      <c r="M191" s="30"/>
      <c r="N191" s="30"/>
      <c r="O191" s="30"/>
      <c r="P191" s="30"/>
      <c r="Q191" s="30"/>
      <c r="R191" s="30"/>
      <c r="S191" s="30"/>
      <c r="T191" s="30"/>
      <c r="U191" s="30"/>
      <c r="V191" s="30"/>
      <c r="W191" s="30"/>
      <c r="X191" s="30"/>
      <c r="Y191" s="30"/>
      <c r="Z191" s="30"/>
    </row>
    <row r="192" ht="13.5" customHeight="1">
      <c r="A192" s="111">
        <f t="shared" si="5"/>
        <v>192</v>
      </c>
      <c r="B192" s="30"/>
      <c r="C192" s="142"/>
      <c r="D192" s="14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111">
        <f t="shared" si="5"/>
        <v>193</v>
      </c>
      <c r="B193" s="990" t="s">
        <v>980</v>
      </c>
      <c r="C193" s="991">
        <f>SUM(F193:L193)</f>
        <v>0</v>
      </c>
      <c r="D193" s="1018"/>
      <c r="E193" s="1018"/>
      <c r="F193" s="991">
        <f t="shared" ref="F193:L193" si="33">SUM(F183:F191)</f>
        <v>0</v>
      </c>
      <c r="G193" s="991">
        <f t="shared" si="33"/>
        <v>0</v>
      </c>
      <c r="H193" s="991">
        <f t="shared" si="33"/>
        <v>0</v>
      </c>
      <c r="I193" s="991">
        <f t="shared" si="33"/>
        <v>0</v>
      </c>
      <c r="J193" s="991">
        <f t="shared" si="33"/>
        <v>0</v>
      </c>
      <c r="K193" s="991">
        <f t="shared" si="33"/>
        <v>0</v>
      </c>
      <c r="L193" s="991">
        <f t="shared" si="33"/>
        <v>0</v>
      </c>
      <c r="M193" s="30"/>
      <c r="N193" s="30"/>
      <c r="O193" s="30"/>
      <c r="P193" s="30"/>
      <c r="Q193" s="30"/>
      <c r="R193" s="30"/>
      <c r="S193" s="30"/>
      <c r="T193" s="30"/>
      <c r="U193" s="30"/>
      <c r="V193" s="30"/>
      <c r="W193" s="30"/>
      <c r="X193" s="30"/>
      <c r="Y193" s="30"/>
      <c r="Z193" s="30"/>
    </row>
    <row r="194" ht="13.5" customHeight="1">
      <c r="A194" s="111">
        <f t="shared" si="5"/>
        <v>194</v>
      </c>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111">
        <f t="shared" si="5"/>
        <v>195</v>
      </c>
      <c r="B195" s="30" t="s">
        <v>981</v>
      </c>
      <c r="C195" s="1157">
        <v>0.03</v>
      </c>
      <c r="D195" s="30"/>
      <c r="E195" s="30"/>
      <c r="F195" s="129">
        <f t="shared" ref="F195:L195" si="34">SUM(F151,F143,F105,F180,F193)*((1+$C$195)^(F11-$F11)-1)</f>
        <v>0</v>
      </c>
      <c r="G195" s="129">
        <f t="shared" si="34"/>
        <v>28748.08025</v>
      </c>
      <c r="H195" s="129">
        <f t="shared" si="34"/>
        <v>58372.79409</v>
      </c>
      <c r="I195" s="129">
        <f t="shared" si="34"/>
        <v>88908.44005</v>
      </c>
      <c r="J195" s="129">
        <f t="shared" si="34"/>
        <v>120353.1537</v>
      </c>
      <c r="K195" s="129">
        <f t="shared" si="34"/>
        <v>152739.8985</v>
      </c>
      <c r="L195" s="129">
        <f t="shared" si="34"/>
        <v>186122.3903</v>
      </c>
      <c r="M195" s="30"/>
      <c r="N195" s="30"/>
      <c r="O195" s="30"/>
      <c r="P195" s="30"/>
      <c r="Q195" s="30"/>
      <c r="R195" s="30"/>
      <c r="S195" s="30"/>
      <c r="T195" s="30"/>
      <c r="U195" s="30"/>
      <c r="V195" s="30"/>
      <c r="W195" s="30"/>
      <c r="X195" s="30"/>
      <c r="Y195" s="30"/>
      <c r="Z195" s="30"/>
    </row>
    <row r="196" ht="13.5" customHeight="1">
      <c r="A196" s="111">
        <f t="shared" si="5"/>
        <v>196</v>
      </c>
      <c r="B196" s="30"/>
      <c r="C196" s="142"/>
      <c r="D196" s="30"/>
      <c r="E196" s="30"/>
      <c r="F196" s="1158"/>
      <c r="G196" s="1158"/>
      <c r="H196" s="1158"/>
      <c r="I196" s="1158"/>
      <c r="J196" s="1158"/>
      <c r="K196" s="1158"/>
      <c r="L196" s="1158"/>
      <c r="M196" s="30"/>
      <c r="N196" s="30"/>
      <c r="O196" s="30"/>
      <c r="P196" s="30"/>
      <c r="Q196" s="30"/>
      <c r="R196" s="30"/>
      <c r="S196" s="30"/>
      <c r="T196" s="30"/>
      <c r="U196" s="30"/>
      <c r="V196" s="30"/>
      <c r="W196" s="30"/>
      <c r="X196" s="30"/>
      <c r="Y196" s="30"/>
      <c r="Z196" s="30"/>
    </row>
    <row r="197" ht="13.5" customHeight="1">
      <c r="A197" s="111">
        <f t="shared" si="5"/>
        <v>197</v>
      </c>
      <c r="B197" s="1149" t="s">
        <v>982</v>
      </c>
      <c r="C197" s="170">
        <f>SUM(F197:L197)</f>
        <v>7345658.296</v>
      </c>
      <c r="D197" s="1159"/>
      <c r="E197" s="1159"/>
      <c r="F197" s="170">
        <f t="shared" ref="F197:L197" si="35">SUM(F151,F143,F105,F195,F180,F193)</f>
        <v>957790.0638</v>
      </c>
      <c r="G197" s="170">
        <f t="shared" si="35"/>
        <v>987017.4218</v>
      </c>
      <c r="H197" s="170">
        <f t="shared" si="35"/>
        <v>1016875.16</v>
      </c>
      <c r="I197" s="170">
        <f t="shared" si="35"/>
        <v>1047727.77</v>
      </c>
      <c r="J197" s="170">
        <f t="shared" si="35"/>
        <v>1079275.111</v>
      </c>
      <c r="K197" s="170">
        <f t="shared" si="35"/>
        <v>1111715.169</v>
      </c>
      <c r="L197" s="170">
        <f t="shared" si="35"/>
        <v>1145257.601</v>
      </c>
      <c r="M197" s="30"/>
      <c r="N197" s="30"/>
      <c r="O197" s="30"/>
      <c r="P197" s="30"/>
      <c r="Q197" s="30"/>
      <c r="R197" s="30"/>
      <c r="S197" s="30"/>
      <c r="T197" s="30"/>
      <c r="U197" s="30"/>
      <c r="V197" s="30"/>
      <c r="W197" s="30"/>
      <c r="X197" s="30"/>
      <c r="Y197" s="30"/>
      <c r="Z197" s="30"/>
    </row>
    <row r="198" ht="13.5" customHeight="1">
      <c r="A198" s="111">
        <f t="shared" si="5"/>
        <v>198</v>
      </c>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111">
        <f t="shared" si="5"/>
        <v>199</v>
      </c>
      <c r="B199" s="1160" t="s">
        <v>983</v>
      </c>
      <c r="C199" s="1161">
        <f>SUM(F199:L199)</f>
        <v>7345658.296</v>
      </c>
      <c r="D199" s="1162"/>
      <c r="E199" s="1162"/>
      <c r="F199" s="1161">
        <f t="shared" ref="F199:L199" si="36">+F197-F180</f>
        <v>957790.0638</v>
      </c>
      <c r="G199" s="1161">
        <f t="shared" si="36"/>
        <v>987017.4218</v>
      </c>
      <c r="H199" s="1161">
        <f t="shared" si="36"/>
        <v>1016875.16</v>
      </c>
      <c r="I199" s="1161">
        <f t="shared" si="36"/>
        <v>1047727.77</v>
      </c>
      <c r="J199" s="1161">
        <f t="shared" si="36"/>
        <v>1079275.111</v>
      </c>
      <c r="K199" s="1161">
        <f t="shared" si="36"/>
        <v>1111715.169</v>
      </c>
      <c r="L199" s="1161">
        <f t="shared" si="36"/>
        <v>1145257.601</v>
      </c>
      <c r="M199" s="30"/>
      <c r="N199" s="30"/>
      <c r="O199" s="30"/>
      <c r="P199" s="30"/>
      <c r="Q199" s="30"/>
      <c r="R199" s="30"/>
      <c r="S199" s="30"/>
      <c r="T199" s="30"/>
      <c r="U199" s="30"/>
      <c r="V199" s="30"/>
      <c r="W199" s="30"/>
      <c r="X199" s="30"/>
      <c r="Y199" s="30"/>
      <c r="Z199" s="30"/>
    </row>
    <row r="200" ht="13.5" customHeight="1">
      <c r="A200" s="30"/>
      <c r="B200" s="67" t="s">
        <v>984</v>
      </c>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
    <mergeCell ref="D10:E10"/>
  </mergeCells>
  <conditionalFormatting sqref="B43:E43">
    <cfRule type="expression" dxfId="2" priority="1" stopIfTrue="1">
      <formula>MOD(ROW(),2)=0</formula>
    </cfRule>
  </conditionalFormatting>
  <conditionalFormatting sqref="B15:L34">
    <cfRule type="expression" dxfId="2" priority="2" stopIfTrue="1">
      <formula>MOD(ROW(),2)=0</formula>
    </cfRule>
  </conditionalFormatting>
  <conditionalFormatting sqref="B36:L42">
    <cfRule type="expression" dxfId="2" priority="3" stopIfTrue="1">
      <formula>MOD(ROW(),2)=0</formula>
    </cfRule>
  </conditionalFormatting>
  <conditionalFormatting sqref="B46:L52">
    <cfRule type="expression" dxfId="2" priority="4" stopIfTrue="1">
      <formula>MOD(ROW(),2)=0</formula>
    </cfRule>
  </conditionalFormatting>
  <conditionalFormatting sqref="B55:L60">
    <cfRule type="expression" dxfId="2" priority="5" stopIfTrue="1">
      <formula>MOD(ROW(),2)=0</formula>
    </cfRule>
  </conditionalFormatting>
  <conditionalFormatting sqref="C13:E13">
    <cfRule type="expression" dxfId="2" priority="6" stopIfTrue="1">
      <formula>MOD(ROW(),2)=0</formula>
    </cfRule>
  </conditionalFormatting>
  <conditionalFormatting sqref="D1">
    <cfRule type="expression" dxfId="2" priority="7" stopIfTrue="1">
      <formula>MOD(ROW(),2)=0</formula>
    </cfRule>
  </conditionalFormatting>
  <printOptions/>
  <pageMargins bottom="0.45" footer="0.0" header="0.0" left="0.25" right="0.25" top="0.5"/>
  <pageSetup orientation="landscape"/>
  <headerFooter>
    <oddHeader>&amp;L &amp;C &amp;R </oddHeader>
    <oddFooter>&amp;L&amp;D  at &amp;T Mike 702.854.0691&amp;C&amp;F  &amp;A&amp;RPage &amp;P of </oddFooter>
  </headerFooter>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7.0"/>
    <col customWidth="1" min="2" max="2" width="32.71"/>
    <col customWidth="1" min="3" max="3" width="15.43"/>
    <col customWidth="1" min="4" max="4" width="17.29"/>
    <col customWidth="1" min="5" max="5" width="2.29"/>
    <col customWidth="1" min="6" max="6" width="12.29"/>
    <col customWidth="1" min="7" max="12" width="13.71"/>
    <col customWidth="1" min="13" max="13" width="4.71"/>
    <col customWidth="1" min="14" max="14" width="76.43"/>
    <col customWidth="1" min="15" max="15" width="11.43"/>
    <col customWidth="1" min="16" max="16" width="8.71"/>
    <col customWidth="1" min="17" max="17" width="17.29"/>
    <col customWidth="1" min="18" max="26" width="8.71"/>
  </cols>
  <sheetData>
    <row r="1" ht="33.0" customHeight="1">
      <c r="A1" s="1163" t="s">
        <v>985</v>
      </c>
      <c r="B1" s="1164"/>
      <c r="C1" s="30"/>
      <c r="D1" s="219" t="s">
        <v>3</v>
      </c>
      <c r="E1" s="30"/>
      <c r="F1" s="30"/>
      <c r="G1" s="30"/>
      <c r="H1" s="30"/>
      <c r="I1" s="30"/>
      <c r="J1" s="30"/>
      <c r="K1" s="94"/>
      <c r="L1" s="30"/>
      <c r="M1" s="30"/>
      <c r="N1" s="30"/>
      <c r="O1" s="5" t="str">
        <f t="array" ref="O1">CELL("protect",A1)</f>
        <v>#VALUE!</v>
      </c>
      <c r="P1" s="5" t="str">
        <f t="array" ref="P1">CELL("protect",B1)</f>
        <v>#VALUE!</v>
      </c>
      <c r="Q1" s="5" t="str">
        <f t="array" ref="Q1">CELL("protect",C1)</f>
        <v>#VALUE!</v>
      </c>
      <c r="R1" s="5" t="str">
        <f t="array" ref="R1">CELL("protect",D1)</f>
        <v>#VALUE!</v>
      </c>
      <c r="S1" s="5" t="str">
        <f t="array" ref="S1">CELL("protect",E1)</f>
        <v>#VALUE!</v>
      </c>
      <c r="T1" s="5" t="str">
        <f t="array" ref="T1">CELL("protect",F1)</f>
        <v>#VALUE!</v>
      </c>
      <c r="U1" s="5" t="str">
        <f t="array" ref="U1">CELL("protect",G1)</f>
        <v>#VALUE!</v>
      </c>
      <c r="V1" s="5" t="str">
        <f t="array" ref="V1">CELL("protect",H1)</f>
        <v>#VALUE!</v>
      </c>
      <c r="W1" s="5" t="str">
        <f t="array" ref="W1">CELL("protect",I1)</f>
        <v>#VALUE!</v>
      </c>
      <c r="X1" s="5" t="str">
        <f t="array" ref="X1">CELL("protect",J1)</f>
        <v>#VALUE!</v>
      </c>
      <c r="Y1" s="5" t="str">
        <f t="array" ref="Y1">CELL("protect",K1)</f>
        <v>#VALUE!</v>
      </c>
      <c r="Z1" s="5" t="str">
        <f t="array" ref="Z1">CELL("protect",L1)</f>
        <v>#VALUE!</v>
      </c>
    </row>
    <row r="2" ht="13.5" customHeight="1">
      <c r="A2" s="96" t="str">
        <f>SchoolName</f>
        <v>Explore Knowledge Academy</v>
      </c>
      <c r="B2" s="1165"/>
      <c r="C2" s="63"/>
      <c r="D2" s="30"/>
      <c r="E2" s="30"/>
      <c r="F2" s="30"/>
      <c r="M2" s="30"/>
      <c r="N2" s="30"/>
      <c r="O2" s="30"/>
      <c r="P2" s="30"/>
      <c r="Q2" s="30"/>
      <c r="R2" s="30"/>
      <c r="S2" s="30"/>
      <c r="T2" s="30"/>
      <c r="U2" s="30"/>
      <c r="V2" s="30"/>
      <c r="W2" s="30"/>
      <c r="X2" s="30"/>
      <c r="Y2" s="30"/>
      <c r="Z2" s="30"/>
    </row>
    <row r="3" ht="13.5" customHeight="1">
      <c r="A3" s="95" t="s">
        <v>134</v>
      </c>
      <c r="B3" s="30"/>
      <c r="C3" s="30"/>
      <c r="D3" s="30"/>
      <c r="E3" s="30"/>
      <c r="F3" s="30"/>
      <c r="M3" s="30"/>
      <c r="N3" s="30"/>
      <c r="O3" s="30"/>
      <c r="P3" s="30"/>
      <c r="Q3" s="30"/>
      <c r="R3" s="30"/>
      <c r="S3" s="30"/>
      <c r="T3" s="30"/>
      <c r="U3" s="30"/>
      <c r="V3" s="30"/>
      <c r="W3" s="30"/>
      <c r="X3" s="30"/>
      <c r="Y3" s="30"/>
      <c r="Z3" s="30"/>
    </row>
    <row r="4" ht="13.5" customHeight="1">
      <c r="A4" s="222" t="s">
        <v>135</v>
      </c>
      <c r="B4" s="30"/>
      <c r="C4" s="30"/>
      <c r="D4" s="30"/>
      <c r="E4" s="30"/>
      <c r="F4" s="30"/>
      <c r="M4" s="30"/>
      <c r="N4" s="30"/>
      <c r="O4" s="30"/>
      <c r="P4" s="30"/>
      <c r="Q4" s="30"/>
      <c r="R4" s="30"/>
      <c r="S4" s="30"/>
      <c r="T4" s="30"/>
      <c r="U4" s="30"/>
      <c r="V4" s="30"/>
      <c r="W4" s="30"/>
      <c r="X4" s="30"/>
      <c r="Y4" s="30"/>
      <c r="Z4" s="30"/>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30"/>
      <c r="Z5" s="30"/>
    </row>
    <row r="6" ht="13.5" customHeight="1">
      <c r="A6" s="30"/>
      <c r="B6" s="30"/>
      <c r="C6" s="30"/>
      <c r="D6" s="30"/>
      <c r="E6" s="30"/>
      <c r="F6" s="545">
        <f>' Enrol &amp; Rev'!F9</f>
        <v>0</v>
      </c>
      <c r="G6" s="1166">
        <f>' Enrol &amp; Rev'!G9</f>
        <v>1</v>
      </c>
      <c r="H6" s="1166">
        <f>' Enrol &amp; Rev'!H9</f>
        <v>2</v>
      </c>
      <c r="I6" s="1166">
        <f>' Enrol &amp; Rev'!I9</f>
        <v>3</v>
      </c>
      <c r="J6" s="1166">
        <f>' Enrol &amp; Rev'!J9</f>
        <v>4</v>
      </c>
      <c r="K6" s="1166">
        <f>' Enrol &amp; Rev'!K9</f>
        <v>5</v>
      </c>
      <c r="L6" s="1167">
        <f>' Enrol &amp; Rev'!L9</f>
        <v>6</v>
      </c>
      <c r="M6" s="460"/>
      <c r="N6" s="460"/>
      <c r="O6" s="30"/>
      <c r="P6" s="30"/>
      <c r="Q6" s="30"/>
      <c r="R6" s="30"/>
      <c r="S6" s="30"/>
      <c r="T6" s="30"/>
      <c r="U6" s="30"/>
      <c r="V6" s="30"/>
      <c r="W6" s="30"/>
      <c r="X6" s="30"/>
      <c r="Y6" s="30"/>
      <c r="Z6" s="30"/>
    </row>
    <row r="7" ht="13.5" customHeight="1">
      <c r="A7" s="30"/>
      <c r="B7" s="30"/>
      <c r="C7" s="30"/>
      <c r="D7" s="30"/>
      <c r="E7" s="30"/>
      <c r="F7" s="1168">
        <f>' Enrol &amp; Rev'!F10</f>
        <v>2024</v>
      </c>
      <c r="G7" s="1168">
        <f>' Enrol &amp; Rev'!G10</f>
        <v>2025</v>
      </c>
      <c r="H7" s="1169">
        <f>' Enrol &amp; Rev'!H10</f>
        <v>2026</v>
      </c>
      <c r="I7" s="1169">
        <f>' Enrol &amp; Rev'!I10</f>
        <v>2027</v>
      </c>
      <c r="J7" s="1169">
        <f>' Enrol &amp; Rev'!J10</f>
        <v>2028</v>
      </c>
      <c r="K7" s="1169">
        <f>' Enrol &amp; Rev'!K10</f>
        <v>2029</v>
      </c>
      <c r="L7" s="1170">
        <f>' Enrol &amp; Rev'!L10</f>
        <v>2030</v>
      </c>
      <c r="M7" s="460"/>
      <c r="N7" s="460"/>
      <c r="O7" s="30"/>
      <c r="P7" s="30"/>
      <c r="Q7" s="30"/>
      <c r="R7" s="30"/>
      <c r="S7" s="30"/>
      <c r="T7" s="30"/>
      <c r="U7" s="30"/>
      <c r="V7" s="30"/>
      <c r="W7" s="30"/>
      <c r="X7" s="30"/>
      <c r="Y7" s="30"/>
      <c r="Z7" s="30"/>
    </row>
    <row r="8" ht="13.5" customHeight="1">
      <c r="A8" s="30"/>
      <c r="B8" s="30"/>
      <c r="C8" s="30"/>
      <c r="D8" s="30"/>
      <c r="E8" s="30"/>
      <c r="F8" s="1171">
        <f>' Enrol &amp; Rev'!F11</f>
        <v>2025</v>
      </c>
      <c r="G8" s="1171">
        <f>' Enrol &amp; Rev'!G11</f>
        <v>2026</v>
      </c>
      <c r="H8" s="1172">
        <f>' Enrol &amp; Rev'!H11</f>
        <v>2027</v>
      </c>
      <c r="I8" s="1172">
        <f>' Enrol &amp; Rev'!I11</f>
        <v>2028</v>
      </c>
      <c r="J8" s="1172">
        <f>' Enrol &amp; Rev'!J11</f>
        <v>2029</v>
      </c>
      <c r="K8" s="1172">
        <f>' Enrol &amp; Rev'!K11</f>
        <v>2030</v>
      </c>
      <c r="L8" s="1173">
        <f>' Enrol &amp; Rev'!L11</f>
        <v>2031</v>
      </c>
      <c r="M8" s="460"/>
      <c r="N8" s="460"/>
      <c r="O8" s="30"/>
      <c r="P8" s="30"/>
      <c r="Q8" s="30"/>
      <c r="R8" s="30"/>
      <c r="S8" s="30"/>
      <c r="T8" s="30"/>
      <c r="U8" s="30"/>
      <c r="V8" s="30"/>
      <c r="W8" s="30"/>
      <c r="X8" s="30"/>
      <c r="Y8" s="30"/>
      <c r="Z8" s="30"/>
    </row>
    <row r="9" ht="13.5" customHeight="1">
      <c r="A9" s="30"/>
      <c r="B9" s="30"/>
      <c r="C9" s="30"/>
      <c r="D9" s="30"/>
      <c r="E9" s="30"/>
      <c r="F9" s="30"/>
      <c r="G9" s="30"/>
      <c r="H9" s="30"/>
      <c r="I9" s="30"/>
      <c r="J9" s="30"/>
      <c r="K9" s="30"/>
      <c r="L9" s="30"/>
      <c r="M9" s="460"/>
      <c r="N9" s="460"/>
      <c r="O9" s="30"/>
      <c r="P9" s="30"/>
      <c r="Q9" s="30"/>
      <c r="R9" s="30"/>
      <c r="S9" s="30"/>
      <c r="T9" s="30"/>
      <c r="U9" s="30"/>
      <c r="V9" s="30"/>
      <c r="W9" s="30"/>
      <c r="X9" s="30"/>
      <c r="Y9" s="30"/>
      <c r="Z9" s="30"/>
    </row>
    <row r="10" ht="13.5" customHeight="1">
      <c r="A10" s="111">
        <f t="shared" ref="A10:A69" si="1">ROW()</f>
        <v>10</v>
      </c>
      <c r="B10" s="1174" t="s">
        <v>675</v>
      </c>
      <c r="C10" s="30"/>
      <c r="D10" s="30"/>
      <c r="E10" s="30"/>
      <c r="F10" s="30"/>
      <c r="G10" s="99"/>
      <c r="H10" s="99"/>
      <c r="I10" s="99"/>
      <c r="J10" s="99"/>
      <c r="K10" s="99"/>
      <c r="L10" s="99"/>
      <c r="M10" s="460"/>
      <c r="N10" s="36" t="s">
        <v>986</v>
      </c>
      <c r="O10" s="30"/>
      <c r="P10" s="30"/>
      <c r="Q10" s="30"/>
      <c r="R10" s="30"/>
      <c r="S10" s="30"/>
      <c r="T10" s="30"/>
      <c r="U10" s="30"/>
      <c r="V10" s="30"/>
      <c r="W10" s="30"/>
      <c r="X10" s="30"/>
      <c r="Y10" s="30"/>
      <c r="Z10" s="30"/>
    </row>
    <row r="11" ht="13.5" customHeight="1">
      <c r="A11" s="111">
        <f t="shared" si="1"/>
        <v>11</v>
      </c>
      <c r="B11" s="30" t="s">
        <v>987</v>
      </c>
      <c r="C11" s="30"/>
      <c r="D11" s="30"/>
      <c r="E11" s="30"/>
      <c r="F11" s="927">
        <v>607.0</v>
      </c>
      <c r="G11" s="200">
        <f>' Enrol &amp; Rev'!G36</f>
        <v>632</v>
      </c>
      <c r="H11" s="200">
        <f>' Enrol &amp; Rev'!H36</f>
        <v>645</v>
      </c>
      <c r="I11" s="200">
        <f>' Enrol &amp; Rev'!I36</f>
        <v>667</v>
      </c>
      <c r="J11" s="200">
        <f>' Enrol &amp; Rev'!J36</f>
        <v>673</v>
      </c>
      <c r="K11" s="200">
        <f>' Enrol &amp; Rev'!K36</f>
        <v>676</v>
      </c>
      <c r="L11" s="200">
        <f>' Enrol &amp; Rev'!L36</f>
        <v>685</v>
      </c>
      <c r="M11" s="1175"/>
      <c r="N11" s="116"/>
      <c r="O11" s="30"/>
      <c r="P11" s="30"/>
      <c r="Q11" s="30"/>
      <c r="R11" s="30"/>
      <c r="S11" s="30"/>
      <c r="T11" s="30"/>
      <c r="U11" s="30"/>
      <c r="V11" s="30"/>
      <c r="W11" s="30"/>
      <c r="X11" s="30"/>
      <c r="Y11" s="30"/>
      <c r="Z11" s="30"/>
    </row>
    <row r="12" ht="13.5" customHeight="1">
      <c r="A12" s="111">
        <f t="shared" si="1"/>
        <v>12</v>
      </c>
      <c r="B12" s="30" t="s">
        <v>988</v>
      </c>
      <c r="C12" s="30"/>
      <c r="D12" s="30"/>
      <c r="E12" s="30"/>
      <c r="F12" s="927">
        <v>50.0</v>
      </c>
      <c r="G12" s="230">
        <f>+Staff!H23</f>
        <v>50</v>
      </c>
      <c r="H12" s="230">
        <f>+Staff!I23</f>
        <v>50</v>
      </c>
      <c r="I12" s="230">
        <f>+Staff!J23</f>
        <v>49</v>
      </c>
      <c r="J12" s="230">
        <f>+Staff!K23</f>
        <v>49</v>
      </c>
      <c r="K12" s="230">
        <f>+Staff!L23</f>
        <v>49</v>
      </c>
      <c r="L12" s="230">
        <f>+Staff!M23</f>
        <v>49</v>
      </c>
      <c r="M12" s="1175"/>
      <c r="N12" s="116"/>
      <c r="O12" s="30"/>
      <c r="P12" s="30"/>
      <c r="Q12" s="30"/>
      <c r="R12" s="30"/>
      <c r="S12" s="30"/>
      <c r="T12" s="30"/>
      <c r="U12" s="30"/>
      <c r="V12" s="30"/>
      <c r="W12" s="30"/>
      <c r="X12" s="30"/>
      <c r="Y12" s="30"/>
      <c r="Z12" s="30"/>
    </row>
    <row r="13" ht="13.5" customHeight="1">
      <c r="A13" s="111">
        <f t="shared" si="1"/>
        <v>13</v>
      </c>
      <c r="B13" s="30"/>
      <c r="C13" s="30"/>
      <c r="D13" s="30"/>
      <c r="E13" s="30"/>
      <c r="F13" s="1176" t="s">
        <v>989</v>
      </c>
      <c r="G13" s="30"/>
      <c r="H13" s="30"/>
      <c r="I13" s="30"/>
      <c r="J13" s="30"/>
      <c r="K13" s="30"/>
      <c r="L13" s="30"/>
      <c r="M13" s="460"/>
      <c r="N13" s="119"/>
      <c r="O13" s="30"/>
      <c r="P13" s="30"/>
      <c r="Q13" s="30"/>
      <c r="R13" s="30"/>
      <c r="S13" s="30"/>
      <c r="T13" s="30"/>
      <c r="U13" s="30"/>
      <c r="V13" s="30"/>
      <c r="W13" s="30"/>
      <c r="X13" s="30"/>
      <c r="Y13" s="30"/>
      <c r="Z13" s="30"/>
    </row>
    <row r="14" ht="13.5" customHeight="1">
      <c r="A14" s="111">
        <f t="shared" si="1"/>
        <v>14</v>
      </c>
      <c r="B14" s="30" t="s">
        <v>990</v>
      </c>
      <c r="C14" s="1177"/>
      <c r="D14" s="30"/>
      <c r="E14" s="30"/>
      <c r="F14" s="876">
        <v>4.0</v>
      </c>
      <c r="G14" s="876">
        <v>4.0</v>
      </c>
      <c r="H14" s="876">
        <v>4.0</v>
      </c>
      <c r="I14" s="876">
        <v>4.0</v>
      </c>
      <c r="J14" s="876">
        <v>4.0</v>
      </c>
      <c r="K14" s="876">
        <v>4.0</v>
      </c>
      <c r="L14" s="876">
        <v>4.0</v>
      </c>
      <c r="M14" s="460"/>
      <c r="N14" s="119"/>
      <c r="O14" s="30"/>
      <c r="P14" s="30"/>
      <c r="Q14" s="30"/>
      <c r="R14" s="30"/>
      <c r="S14" s="30"/>
      <c r="T14" s="30"/>
      <c r="U14" s="30"/>
      <c r="V14" s="30"/>
      <c r="W14" s="30"/>
      <c r="X14" s="30"/>
      <c r="Y14" s="30"/>
      <c r="Z14" s="30"/>
    </row>
    <row r="15" ht="13.5" customHeight="1">
      <c r="A15" s="111">
        <f t="shared" si="1"/>
        <v>15</v>
      </c>
      <c r="B15" s="30" t="s">
        <v>991</v>
      </c>
      <c r="C15" s="1177"/>
      <c r="D15" s="30"/>
      <c r="E15" s="30"/>
      <c r="F15" s="876">
        <v>22200.0</v>
      </c>
      <c r="G15" s="876">
        <v>22200.0</v>
      </c>
      <c r="H15" s="876">
        <v>22200.0</v>
      </c>
      <c r="I15" s="876">
        <v>22200.0</v>
      </c>
      <c r="J15" s="876">
        <v>22200.0</v>
      </c>
      <c r="K15" s="876">
        <v>22200.0</v>
      </c>
      <c r="L15" s="876">
        <v>22200.0</v>
      </c>
      <c r="M15" s="460"/>
      <c r="N15" s="119"/>
      <c r="O15" s="30"/>
      <c r="P15" s="30"/>
      <c r="Q15" s="30"/>
      <c r="R15" s="30"/>
      <c r="S15" s="30"/>
      <c r="T15" s="30"/>
      <c r="U15" s="30"/>
      <c r="V15" s="30"/>
      <c r="W15" s="30"/>
      <c r="X15" s="30"/>
      <c r="Y15" s="30"/>
      <c r="Z15" s="30"/>
    </row>
    <row r="16" ht="13.5" customHeight="1">
      <c r="A16" s="111">
        <f t="shared" si="1"/>
        <v>16</v>
      </c>
      <c r="B16" s="30" t="s">
        <v>992</v>
      </c>
      <c r="C16" s="1178">
        <v>34.6</v>
      </c>
      <c r="D16" s="30" t="s">
        <v>528</v>
      </c>
      <c r="E16" s="30"/>
      <c r="F16" s="1179">
        <v>21000.0</v>
      </c>
      <c r="G16" s="1180">
        <f t="shared" ref="G16:L16" si="2">$C$16*G11</f>
        <v>21867.2</v>
      </c>
      <c r="H16" s="1180">
        <f t="shared" si="2"/>
        <v>22317</v>
      </c>
      <c r="I16" s="1180">
        <f t="shared" si="2"/>
        <v>23078.2</v>
      </c>
      <c r="J16" s="1180">
        <f t="shared" si="2"/>
        <v>23285.8</v>
      </c>
      <c r="K16" s="1180">
        <f t="shared" si="2"/>
        <v>23389.6</v>
      </c>
      <c r="L16" s="1180">
        <f t="shared" si="2"/>
        <v>23701</v>
      </c>
      <c r="M16" s="460"/>
      <c r="N16" s="119"/>
      <c r="O16" s="30"/>
      <c r="P16" s="30"/>
      <c r="Q16" s="30"/>
      <c r="R16" s="30"/>
      <c r="S16" s="30"/>
      <c r="T16" s="30"/>
      <c r="U16" s="30"/>
      <c r="V16" s="30"/>
      <c r="W16" s="30"/>
      <c r="X16" s="30"/>
      <c r="Y16" s="30"/>
      <c r="Z16" s="30"/>
    </row>
    <row r="17" ht="13.5" customHeight="1">
      <c r="A17" s="111">
        <f t="shared" si="1"/>
        <v>17</v>
      </c>
      <c r="B17" s="30" t="s">
        <v>993</v>
      </c>
      <c r="C17" s="758">
        <v>0.0</v>
      </c>
      <c r="D17" s="30" t="s">
        <v>994</v>
      </c>
      <c r="E17" s="30"/>
      <c r="F17" s="877">
        <v>0.0</v>
      </c>
      <c r="G17" s="877">
        <f>IF($C$17*(Staff!H23-Staff!G23)&gt;0,$C$17*(Staff!H23-Staff!G23),0)</f>
        <v>0</v>
      </c>
      <c r="H17" s="877">
        <f>IF($C$17*(Staff!I23-Staff!H23)&gt;0,$C$17*(Staff!I23-Staff!H23),0)</f>
        <v>0</v>
      </c>
      <c r="I17" s="1135"/>
      <c r="J17" s="1135"/>
      <c r="K17" s="1135"/>
      <c r="L17" s="877">
        <f>IF($C$17*(Staff!M23-Staff!L23)&gt;0,$C$17*(Staff!M23-Staff!L23),0)</f>
        <v>0</v>
      </c>
      <c r="M17" s="460"/>
      <c r="N17" s="119"/>
      <c r="O17" s="30"/>
      <c r="P17" s="30"/>
      <c r="Q17" s="30"/>
      <c r="R17" s="30"/>
      <c r="S17" s="30"/>
      <c r="T17" s="30"/>
      <c r="U17" s="30"/>
      <c r="V17" s="30"/>
      <c r="W17" s="30"/>
      <c r="X17" s="30"/>
      <c r="Y17" s="30"/>
      <c r="Z17" s="30"/>
    </row>
    <row r="18" ht="13.5" customHeight="1">
      <c r="A18" s="111">
        <f t="shared" si="1"/>
        <v>18</v>
      </c>
      <c r="B18" s="30" t="s">
        <v>995</v>
      </c>
      <c r="C18" s="1178">
        <v>10000.0</v>
      </c>
      <c r="D18" s="951" t="s">
        <v>996</v>
      </c>
      <c r="E18" s="30"/>
      <c r="F18" s="877">
        <v>0.0</v>
      </c>
      <c r="G18" s="877"/>
      <c r="H18" s="877"/>
      <c r="I18" s="1179">
        <v>10000.0</v>
      </c>
      <c r="J18" s="877"/>
      <c r="K18" s="877"/>
      <c r="L18" s="877"/>
      <c r="M18" s="460"/>
      <c r="N18" s="119"/>
      <c r="O18" s="30"/>
      <c r="P18" s="30"/>
      <c r="Q18" s="30"/>
      <c r="R18" s="30"/>
      <c r="S18" s="30"/>
      <c r="T18" s="30"/>
      <c r="U18" s="30"/>
      <c r="V18" s="30"/>
      <c r="W18" s="30"/>
      <c r="X18" s="30"/>
      <c r="Y18" s="30"/>
      <c r="Z18" s="30"/>
    </row>
    <row r="19" ht="13.5" customHeight="1">
      <c r="A19" s="111">
        <f t="shared" si="1"/>
        <v>19</v>
      </c>
      <c r="B19" s="30" t="s">
        <v>997</v>
      </c>
      <c r="C19" s="758">
        <v>0.0</v>
      </c>
      <c r="D19" s="30"/>
      <c r="E19" s="30"/>
      <c r="F19" s="877">
        <v>0.0</v>
      </c>
      <c r="G19" s="877">
        <f>$C$19*(G11)</f>
        <v>0</v>
      </c>
      <c r="H19" s="877">
        <f t="shared" ref="H19:L19" si="3">IF($C$19*(H11-G11)&gt;0,$C$19*(H11-G11),0)</f>
        <v>0</v>
      </c>
      <c r="I19" s="877">
        <f t="shared" si="3"/>
        <v>0</v>
      </c>
      <c r="J19" s="877">
        <f t="shared" si="3"/>
        <v>0</v>
      </c>
      <c r="K19" s="877">
        <f t="shared" si="3"/>
        <v>0</v>
      </c>
      <c r="L19" s="877">
        <f t="shared" si="3"/>
        <v>0</v>
      </c>
      <c r="M19" s="460"/>
      <c r="N19" s="119"/>
      <c r="O19" s="30"/>
      <c r="P19" s="30"/>
      <c r="Q19" s="30"/>
      <c r="R19" s="30"/>
      <c r="S19" s="30"/>
      <c r="T19" s="30"/>
      <c r="U19" s="30"/>
      <c r="V19" s="30"/>
      <c r="W19" s="30"/>
      <c r="X19" s="30"/>
      <c r="Y19" s="30"/>
      <c r="Z19" s="30"/>
    </row>
    <row r="20" ht="13.5" customHeight="1">
      <c r="A20" s="111">
        <f t="shared" si="1"/>
        <v>20</v>
      </c>
      <c r="B20" s="30" t="s">
        <v>998</v>
      </c>
      <c r="C20" s="758">
        <v>0.0</v>
      </c>
      <c r="D20" s="30"/>
      <c r="E20" s="30"/>
      <c r="F20" s="877">
        <v>0.0</v>
      </c>
      <c r="G20" s="877"/>
      <c r="H20" s="877"/>
      <c r="I20" s="877"/>
      <c r="J20" s="877"/>
      <c r="K20" s="877"/>
      <c r="L20" s="877"/>
      <c r="M20" s="460"/>
      <c r="N20" s="119"/>
      <c r="O20" s="30"/>
      <c r="P20" s="30"/>
      <c r="Q20" s="30"/>
      <c r="R20" s="30"/>
      <c r="S20" s="30"/>
      <c r="T20" s="30"/>
      <c r="U20" s="30"/>
      <c r="V20" s="30"/>
      <c r="W20" s="30"/>
      <c r="X20" s="30"/>
      <c r="Y20" s="30"/>
      <c r="Z20" s="30"/>
    </row>
    <row r="21" ht="13.5" customHeight="1">
      <c r="A21" s="111">
        <f t="shared" si="1"/>
        <v>21</v>
      </c>
      <c r="B21" s="30" t="s">
        <v>999</v>
      </c>
      <c r="C21" s="758">
        <v>0.0</v>
      </c>
      <c r="D21" s="30"/>
      <c r="E21" s="30"/>
      <c r="F21" s="877">
        <v>0.0</v>
      </c>
      <c r="G21" s="877"/>
      <c r="H21" s="877"/>
      <c r="I21" s="877"/>
      <c r="J21" s="877"/>
      <c r="K21" s="877"/>
      <c r="L21" s="877"/>
      <c r="M21" s="460"/>
      <c r="N21" s="119"/>
      <c r="O21" s="30"/>
      <c r="P21" s="30"/>
      <c r="Q21" s="30"/>
      <c r="R21" s="30"/>
      <c r="S21" s="30"/>
      <c r="T21" s="30"/>
      <c r="U21" s="30"/>
      <c r="V21" s="30"/>
      <c r="W21" s="30"/>
      <c r="X21" s="30"/>
      <c r="Y21" s="30"/>
      <c r="Z21" s="30"/>
    </row>
    <row r="22" ht="13.5" customHeight="1">
      <c r="A22" s="111">
        <f t="shared" si="1"/>
        <v>22</v>
      </c>
      <c r="B22" s="30" t="s">
        <v>1000</v>
      </c>
      <c r="C22" s="758">
        <v>0.0</v>
      </c>
      <c r="D22" s="30" t="s">
        <v>1001</v>
      </c>
      <c r="E22" s="30"/>
      <c r="F22" s="877">
        <v>0.0</v>
      </c>
      <c r="G22" s="877">
        <f>IF($C$22*(Staff!H23-Staff!G23)&gt;0,$C$22*(Staff!H23-Staff!G23),0)</f>
        <v>0</v>
      </c>
      <c r="H22" s="877">
        <f>IF($C$22*(Staff!I23-Staff!H23)&gt;0,$C$22*(Staff!I23-Staff!H23),0)</f>
        <v>0</v>
      </c>
      <c r="I22" s="877">
        <f>IF($C$22*(Staff!J23-Staff!I23)&gt;0,$C$22*(Staff!J23-Staff!I23),0)</f>
        <v>0</v>
      </c>
      <c r="J22" s="877">
        <f>IF($C$22*(Staff!K23-Staff!J23)&gt;0,$C$22*(Staff!K23-Staff!J23),0)</f>
        <v>0</v>
      </c>
      <c r="K22" s="877">
        <f>IF($C$22*(Staff!L23-Staff!K23)&gt;0,$C$22*(Staff!L23-Staff!K23),0)</f>
        <v>0</v>
      </c>
      <c r="L22" s="877">
        <f>IF($C$22*(Staff!M23-Staff!L23)&gt;0,$C$22*(Staff!M23-Staff!L23),0)</f>
        <v>0</v>
      </c>
      <c r="M22" s="460"/>
      <c r="N22" s="119"/>
      <c r="O22" s="30"/>
      <c r="P22" s="30"/>
      <c r="Q22" s="30"/>
      <c r="R22" s="30"/>
      <c r="S22" s="30"/>
      <c r="T22" s="30"/>
      <c r="U22" s="30"/>
      <c r="V22" s="30"/>
      <c r="W22" s="30"/>
      <c r="X22" s="30"/>
      <c r="Y22" s="30"/>
      <c r="Z22" s="30"/>
    </row>
    <row r="23" ht="13.5" customHeight="1">
      <c r="A23" s="111">
        <f t="shared" si="1"/>
        <v>23</v>
      </c>
      <c r="B23" s="30" t="s">
        <v>1002</v>
      </c>
      <c r="C23" s="1178">
        <v>5.0</v>
      </c>
      <c r="D23" s="30" t="s">
        <v>898</v>
      </c>
      <c r="E23" s="30"/>
      <c r="F23" s="1179">
        <v>3000.0</v>
      </c>
      <c r="G23" s="1180">
        <f>($C$23*12)*Staff!H23</f>
        <v>3000</v>
      </c>
      <c r="H23" s="1180">
        <f>($C$23*12)*Staff!I23</f>
        <v>3000</v>
      </c>
      <c r="I23" s="1180">
        <f>($C$23*12)*Staff!J23</f>
        <v>2940</v>
      </c>
      <c r="J23" s="1180">
        <f>($C$23*12)*Staff!K23</f>
        <v>2940</v>
      </c>
      <c r="K23" s="1180">
        <f>($C$23*12)*Staff!L23</f>
        <v>2940</v>
      </c>
      <c r="L23" s="1180">
        <f>($C$23*12)*Staff!M23</f>
        <v>2940</v>
      </c>
      <c r="M23" s="460"/>
      <c r="N23" s="119"/>
      <c r="O23" s="30"/>
      <c r="P23" s="30"/>
      <c r="Q23" s="30"/>
      <c r="R23" s="30"/>
      <c r="S23" s="30"/>
      <c r="T23" s="30"/>
      <c r="U23" s="30"/>
      <c r="V23" s="30"/>
      <c r="W23" s="30"/>
      <c r="X23" s="30"/>
      <c r="Y23" s="30"/>
      <c r="Z23" s="30"/>
    </row>
    <row r="24" ht="13.5" customHeight="1">
      <c r="A24" s="111">
        <f t="shared" si="1"/>
        <v>24</v>
      </c>
      <c r="B24" s="30" t="s">
        <v>1003</v>
      </c>
      <c r="C24" s="1181"/>
      <c r="D24" s="30"/>
      <c r="E24" s="30"/>
      <c r="F24" s="877">
        <v>0.0</v>
      </c>
      <c r="G24" s="877"/>
      <c r="H24" s="877"/>
      <c r="I24" s="877"/>
      <c r="J24" s="877"/>
      <c r="K24" s="877"/>
      <c r="L24" s="877"/>
      <c r="M24" s="460"/>
      <c r="N24" s="119"/>
      <c r="O24" s="30"/>
      <c r="P24" s="30"/>
      <c r="Q24" s="30"/>
      <c r="R24" s="30"/>
      <c r="S24" s="30"/>
      <c r="T24" s="30"/>
      <c r="U24" s="30"/>
      <c r="V24" s="30"/>
      <c r="W24" s="30"/>
      <c r="X24" s="30"/>
      <c r="Y24" s="30"/>
      <c r="Z24" s="30"/>
    </row>
    <row r="25" ht="13.5" customHeight="1">
      <c r="A25" s="111">
        <f t="shared" si="1"/>
        <v>25</v>
      </c>
      <c r="B25" s="30" t="s">
        <v>1004</v>
      </c>
      <c r="C25" s="1181"/>
      <c r="D25" s="30"/>
      <c r="E25" s="30"/>
      <c r="F25" s="877">
        <v>0.0</v>
      </c>
      <c r="G25" s="877"/>
      <c r="H25" s="877"/>
      <c r="I25" s="877"/>
      <c r="J25" s="877"/>
      <c r="K25" s="877"/>
      <c r="L25" s="877"/>
      <c r="M25" s="460"/>
      <c r="N25" s="119"/>
      <c r="O25" s="30"/>
      <c r="P25" s="30"/>
      <c r="Q25" s="30"/>
      <c r="R25" s="30"/>
      <c r="S25" s="30"/>
      <c r="T25" s="30"/>
      <c r="U25" s="30"/>
      <c r="V25" s="30"/>
      <c r="W25" s="30"/>
      <c r="X25" s="30"/>
      <c r="Y25" s="30"/>
      <c r="Z25" s="30"/>
    </row>
    <row r="26" ht="13.5" customHeight="1">
      <c r="A26" s="111">
        <f t="shared" si="1"/>
        <v>26</v>
      </c>
      <c r="B26" s="30" t="s">
        <v>1005</v>
      </c>
      <c r="C26" s="758">
        <v>0.0</v>
      </c>
      <c r="D26" s="30" t="s">
        <v>1006</v>
      </c>
      <c r="E26" s="30"/>
      <c r="F26" s="877">
        <v>0.0</v>
      </c>
      <c r="G26" s="877">
        <f>' Enrol &amp; Rev'!G19*'FFE&amp;T'!C26</f>
        <v>0</v>
      </c>
      <c r="H26" s="877">
        <f>$C$26*(' Enrol &amp; Rev'!H19-' Enrol &amp; Rev'!G19)</f>
        <v>0</v>
      </c>
      <c r="I26" s="877">
        <f>$C$26*(' Enrol &amp; Rev'!I19-' Enrol &amp; Rev'!H19)</f>
        <v>0</v>
      </c>
      <c r="J26" s="877">
        <f>$C$26*(' Enrol &amp; Rev'!J19-' Enrol &amp; Rev'!I19)</f>
        <v>0</v>
      </c>
      <c r="K26" s="877">
        <f>$C$26*(' Enrol &amp; Rev'!K19-' Enrol &amp; Rev'!J19)</f>
        <v>0</v>
      </c>
      <c r="L26" s="877">
        <f>$C$26*(' Enrol &amp; Rev'!L19-' Enrol &amp; Rev'!K19)</f>
        <v>0</v>
      </c>
      <c r="M26" s="460"/>
      <c r="N26" s="119"/>
      <c r="O26" s="30"/>
      <c r="P26" s="30"/>
      <c r="Q26" s="30"/>
      <c r="R26" s="30"/>
      <c r="S26" s="30"/>
      <c r="T26" s="30"/>
      <c r="U26" s="30"/>
      <c r="V26" s="30"/>
      <c r="W26" s="30"/>
      <c r="X26" s="30"/>
      <c r="Y26" s="30"/>
      <c r="Z26" s="30"/>
    </row>
    <row r="27" ht="13.5" customHeight="1">
      <c r="A27" s="111">
        <f t="shared" si="1"/>
        <v>27</v>
      </c>
      <c r="B27" s="30" t="s">
        <v>1007</v>
      </c>
      <c r="C27" s="1178">
        <v>155.0</v>
      </c>
      <c r="D27" s="30" t="s">
        <v>528</v>
      </c>
      <c r="E27" s="30"/>
      <c r="F27" s="877">
        <f t="shared" ref="F27:L27" si="4">$C27*F$11</f>
        <v>94085</v>
      </c>
      <c r="G27" s="877">
        <f t="shared" si="4"/>
        <v>97960</v>
      </c>
      <c r="H27" s="877">
        <f t="shared" si="4"/>
        <v>99975</v>
      </c>
      <c r="I27" s="877">
        <f t="shared" si="4"/>
        <v>103385</v>
      </c>
      <c r="J27" s="877">
        <f t="shared" si="4"/>
        <v>104315</v>
      </c>
      <c r="K27" s="877">
        <f t="shared" si="4"/>
        <v>104780</v>
      </c>
      <c r="L27" s="877">
        <f t="shared" si="4"/>
        <v>106175</v>
      </c>
      <c r="M27" s="460"/>
      <c r="N27" s="119"/>
      <c r="O27" s="30"/>
      <c r="P27" s="30"/>
      <c r="Q27" s="30"/>
      <c r="R27" s="30"/>
      <c r="S27" s="30"/>
      <c r="T27" s="30"/>
      <c r="U27" s="30"/>
      <c r="V27" s="30"/>
      <c r="W27" s="30"/>
      <c r="X27" s="30"/>
      <c r="Y27" s="30"/>
      <c r="Z27" s="30"/>
    </row>
    <row r="28" ht="13.5" customHeight="1">
      <c r="A28" s="111">
        <f t="shared" si="1"/>
        <v>28</v>
      </c>
      <c r="B28" s="30" t="s">
        <v>1008</v>
      </c>
      <c r="C28" s="1178">
        <v>12.5</v>
      </c>
      <c r="D28" s="30" t="s">
        <v>528</v>
      </c>
      <c r="E28" s="30"/>
      <c r="F28" s="877">
        <f t="shared" ref="F28:L28" si="5">$C28*F$11</f>
        <v>7587.5</v>
      </c>
      <c r="G28" s="877">
        <f t="shared" si="5"/>
        <v>7900</v>
      </c>
      <c r="H28" s="877">
        <f t="shared" si="5"/>
        <v>8062.5</v>
      </c>
      <c r="I28" s="877">
        <f t="shared" si="5"/>
        <v>8337.5</v>
      </c>
      <c r="J28" s="877">
        <f t="shared" si="5"/>
        <v>8412.5</v>
      </c>
      <c r="K28" s="877">
        <f t="shared" si="5"/>
        <v>8450</v>
      </c>
      <c r="L28" s="877">
        <f t="shared" si="5"/>
        <v>8562.5</v>
      </c>
      <c r="M28" s="460"/>
      <c r="N28" s="119"/>
      <c r="O28" s="30"/>
      <c r="P28" s="30"/>
      <c r="Q28" s="30"/>
      <c r="R28" s="30"/>
      <c r="S28" s="30"/>
      <c r="T28" s="30"/>
      <c r="U28" s="30"/>
      <c r="V28" s="30"/>
      <c r="W28" s="30"/>
      <c r="X28" s="30"/>
      <c r="Y28" s="30"/>
      <c r="Z28" s="30"/>
    </row>
    <row r="29" ht="13.5" customHeight="1">
      <c r="A29" s="111">
        <f t="shared" si="1"/>
        <v>29</v>
      </c>
      <c r="B29" s="30" t="s">
        <v>1009</v>
      </c>
      <c r="C29" s="758">
        <v>0.0</v>
      </c>
      <c r="D29" s="30" t="s">
        <v>528</v>
      </c>
      <c r="E29" s="30"/>
      <c r="F29" s="877">
        <f t="shared" ref="F29:L29" si="6">$C29*F$11</f>
        <v>0</v>
      </c>
      <c r="G29" s="877">
        <f t="shared" si="6"/>
        <v>0</v>
      </c>
      <c r="H29" s="877">
        <f t="shared" si="6"/>
        <v>0</v>
      </c>
      <c r="I29" s="877">
        <f t="shared" si="6"/>
        <v>0</v>
      </c>
      <c r="J29" s="877">
        <f t="shared" si="6"/>
        <v>0</v>
      </c>
      <c r="K29" s="877">
        <f t="shared" si="6"/>
        <v>0</v>
      </c>
      <c r="L29" s="877">
        <f t="shared" si="6"/>
        <v>0</v>
      </c>
      <c r="M29" s="460"/>
      <c r="N29" s="119"/>
      <c r="O29" s="30"/>
      <c r="P29" s="30"/>
      <c r="Q29" s="30"/>
      <c r="R29" s="30"/>
      <c r="S29" s="30"/>
      <c r="T29" s="30"/>
      <c r="U29" s="30"/>
      <c r="V29" s="30"/>
      <c r="W29" s="30"/>
      <c r="X29" s="30"/>
      <c r="Y29" s="30"/>
      <c r="Z29" s="30"/>
    </row>
    <row r="30" ht="13.5" customHeight="1">
      <c r="A30" s="111">
        <f t="shared" si="1"/>
        <v>30</v>
      </c>
      <c r="B30" s="30" t="s">
        <v>1010</v>
      </c>
      <c r="C30" s="758">
        <v>0.0</v>
      </c>
      <c r="D30" s="30" t="s">
        <v>528</v>
      </c>
      <c r="E30" s="30"/>
      <c r="F30" s="1135">
        <v>0.0</v>
      </c>
      <c r="G30" s="1135">
        <v>0.0</v>
      </c>
      <c r="H30" s="1135">
        <v>0.0</v>
      </c>
      <c r="I30" s="1135">
        <v>0.0</v>
      </c>
      <c r="J30" s="1135">
        <v>0.0</v>
      </c>
      <c r="K30" s="877">
        <f t="shared" ref="K30:L30" si="7">$C30*K$11</f>
        <v>0</v>
      </c>
      <c r="L30" s="877">
        <f t="shared" si="7"/>
        <v>0</v>
      </c>
      <c r="M30" s="460"/>
      <c r="N30" s="119"/>
      <c r="O30" s="30"/>
      <c r="P30" s="30"/>
      <c r="Q30" s="30"/>
      <c r="R30" s="30"/>
      <c r="S30" s="30"/>
      <c r="T30" s="30"/>
      <c r="U30" s="30"/>
      <c r="V30" s="30"/>
      <c r="W30" s="30"/>
      <c r="X30" s="30"/>
      <c r="Y30" s="30"/>
      <c r="Z30" s="30"/>
    </row>
    <row r="31" ht="13.5" customHeight="1">
      <c r="A31" s="111">
        <f t="shared" si="1"/>
        <v>31</v>
      </c>
      <c r="B31" s="30" t="s">
        <v>1011</v>
      </c>
      <c r="C31" s="1178">
        <v>50.0</v>
      </c>
      <c r="D31" s="30" t="s">
        <v>528</v>
      </c>
      <c r="E31" s="30"/>
      <c r="F31" s="877">
        <f t="shared" ref="F31:L31" si="8">$C31*F$11</f>
        <v>30350</v>
      </c>
      <c r="G31" s="877">
        <f t="shared" si="8"/>
        <v>31600</v>
      </c>
      <c r="H31" s="877">
        <f t="shared" si="8"/>
        <v>32250</v>
      </c>
      <c r="I31" s="877">
        <f t="shared" si="8"/>
        <v>33350</v>
      </c>
      <c r="J31" s="877">
        <f t="shared" si="8"/>
        <v>33650</v>
      </c>
      <c r="K31" s="877">
        <f t="shared" si="8"/>
        <v>33800</v>
      </c>
      <c r="L31" s="877">
        <f t="shared" si="8"/>
        <v>34250</v>
      </c>
      <c r="M31" s="460"/>
      <c r="N31" s="119"/>
      <c r="O31" s="30"/>
      <c r="P31" s="30"/>
      <c r="Q31" s="30"/>
      <c r="R31" s="30"/>
      <c r="S31" s="30"/>
      <c r="T31" s="30"/>
      <c r="U31" s="30"/>
      <c r="V31" s="30"/>
      <c r="W31" s="30"/>
      <c r="X31" s="30"/>
      <c r="Y31" s="30"/>
      <c r="Z31" s="30"/>
    </row>
    <row r="32" ht="13.5" customHeight="1">
      <c r="A32" s="111">
        <f t="shared" si="1"/>
        <v>32</v>
      </c>
      <c r="B32" s="30" t="s">
        <v>1012</v>
      </c>
      <c r="C32" s="758">
        <v>0.0</v>
      </c>
      <c r="D32" s="30" t="s">
        <v>898</v>
      </c>
      <c r="E32" s="30"/>
      <c r="F32" s="877">
        <v>0.0</v>
      </c>
      <c r="G32" s="877">
        <f t="shared" ref="G32:L32" si="9">$C$32*12</f>
        <v>0</v>
      </c>
      <c r="H32" s="877">
        <f t="shared" si="9"/>
        <v>0</v>
      </c>
      <c r="I32" s="877">
        <f t="shared" si="9"/>
        <v>0</v>
      </c>
      <c r="J32" s="877">
        <f t="shared" si="9"/>
        <v>0</v>
      </c>
      <c r="K32" s="877">
        <f t="shared" si="9"/>
        <v>0</v>
      </c>
      <c r="L32" s="877">
        <f t="shared" si="9"/>
        <v>0</v>
      </c>
      <c r="M32" s="460"/>
      <c r="N32" s="119"/>
      <c r="O32" s="30"/>
      <c r="P32" s="30"/>
      <c r="Q32" s="30"/>
      <c r="R32" s="30"/>
      <c r="S32" s="30"/>
      <c r="T32" s="30"/>
      <c r="U32" s="30"/>
      <c r="V32" s="30"/>
      <c r="W32" s="30"/>
      <c r="X32" s="30"/>
      <c r="Y32" s="30"/>
      <c r="Z32" s="30"/>
    </row>
    <row r="33" ht="13.5" customHeight="1">
      <c r="A33" s="111">
        <f t="shared" si="1"/>
        <v>33</v>
      </c>
      <c r="B33" s="30" t="s">
        <v>1013</v>
      </c>
      <c r="C33" s="1178">
        <v>666.0</v>
      </c>
      <c r="D33" s="30" t="s">
        <v>898</v>
      </c>
      <c r="E33" s="30"/>
      <c r="F33" s="1179">
        <v>7992.0</v>
      </c>
      <c r="G33" s="1180">
        <f t="shared" ref="G33:L33" si="10">$C$33*12</f>
        <v>7992</v>
      </c>
      <c r="H33" s="1180">
        <f t="shared" si="10"/>
        <v>7992</v>
      </c>
      <c r="I33" s="1180">
        <f t="shared" si="10"/>
        <v>7992</v>
      </c>
      <c r="J33" s="1180">
        <f t="shared" si="10"/>
        <v>7992</v>
      </c>
      <c r="K33" s="1180">
        <f t="shared" si="10"/>
        <v>7992</v>
      </c>
      <c r="L33" s="1180">
        <f t="shared" si="10"/>
        <v>7992</v>
      </c>
      <c r="M33" s="460"/>
      <c r="N33" s="119"/>
      <c r="O33" s="30"/>
      <c r="P33" s="30"/>
      <c r="Q33" s="30"/>
      <c r="R33" s="30"/>
      <c r="S33" s="30"/>
      <c r="T33" s="30"/>
      <c r="U33" s="30"/>
      <c r="V33" s="30"/>
      <c r="W33" s="30"/>
      <c r="X33" s="30"/>
      <c r="Y33" s="30"/>
      <c r="Z33" s="30"/>
    </row>
    <row r="34" ht="13.5" customHeight="1">
      <c r="A34" s="111">
        <f t="shared" si="1"/>
        <v>34</v>
      </c>
      <c r="B34" s="30" t="s">
        <v>1014</v>
      </c>
      <c r="C34" s="758">
        <v>0.0</v>
      </c>
      <c r="D34" s="30"/>
      <c r="E34" s="30"/>
      <c r="F34" s="877">
        <v>0.0</v>
      </c>
      <c r="G34" s="1135">
        <v>0.0</v>
      </c>
      <c r="H34" s="1135">
        <v>0.0</v>
      </c>
      <c r="I34" s="1135">
        <v>0.0</v>
      </c>
      <c r="J34" s="1135">
        <v>0.0</v>
      </c>
      <c r="K34" s="1135">
        <v>0.0</v>
      </c>
      <c r="L34" s="1135">
        <v>0.0</v>
      </c>
      <c r="M34" s="460"/>
      <c r="N34" s="119"/>
      <c r="O34" s="30"/>
      <c r="P34" s="30"/>
      <c r="Q34" s="30"/>
      <c r="R34" s="30"/>
      <c r="S34" s="30"/>
      <c r="T34" s="30"/>
      <c r="U34" s="30"/>
      <c r="V34" s="30"/>
      <c r="W34" s="30"/>
      <c r="X34" s="30"/>
      <c r="Y34" s="30"/>
      <c r="Z34" s="30"/>
    </row>
    <row r="35" ht="13.5" customHeight="1">
      <c r="A35" s="111">
        <f t="shared" si="1"/>
        <v>35</v>
      </c>
      <c r="B35" s="702" t="s">
        <v>1015</v>
      </c>
      <c r="C35" s="1181"/>
      <c r="D35" s="30"/>
      <c r="E35" s="30"/>
      <c r="F35" s="877">
        <v>0.0</v>
      </c>
      <c r="G35" s="877">
        <v>0.0</v>
      </c>
      <c r="H35" s="877">
        <v>0.0</v>
      </c>
      <c r="I35" s="877">
        <v>0.0</v>
      </c>
      <c r="J35" s="877">
        <v>0.0</v>
      </c>
      <c r="K35" s="877">
        <v>0.0</v>
      </c>
      <c r="L35" s="877">
        <v>0.0</v>
      </c>
      <c r="M35" s="460"/>
      <c r="N35" s="119"/>
      <c r="O35" s="30"/>
      <c r="P35" s="30"/>
      <c r="Q35" s="30"/>
      <c r="R35" s="30"/>
      <c r="S35" s="30"/>
      <c r="T35" s="30"/>
      <c r="U35" s="30"/>
      <c r="V35" s="30"/>
      <c r="W35" s="30"/>
      <c r="X35" s="30"/>
      <c r="Y35" s="30"/>
      <c r="Z35" s="30"/>
    </row>
    <row r="36" ht="13.5" customHeight="1">
      <c r="A36" s="111">
        <f t="shared" si="1"/>
        <v>36</v>
      </c>
      <c r="B36" s="30" t="s">
        <v>1016</v>
      </c>
      <c r="C36" s="758">
        <v>0.0</v>
      </c>
      <c r="D36" s="30" t="s">
        <v>1017</v>
      </c>
      <c r="E36" s="30"/>
      <c r="F36" s="877">
        <v>0.0</v>
      </c>
      <c r="G36" s="877">
        <v>0.0</v>
      </c>
      <c r="H36" s="877">
        <v>0.0</v>
      </c>
      <c r="I36" s="877">
        <v>0.0</v>
      </c>
      <c r="J36" s="877">
        <v>0.0</v>
      </c>
      <c r="K36" s="877">
        <v>0.0</v>
      </c>
      <c r="L36" s="877">
        <v>0.0</v>
      </c>
      <c r="M36" s="460"/>
      <c r="N36" s="119"/>
      <c r="O36" s="30"/>
      <c r="P36" s="30"/>
      <c r="Q36" s="30"/>
      <c r="R36" s="30"/>
      <c r="S36" s="30"/>
      <c r="T36" s="30"/>
      <c r="U36" s="30"/>
      <c r="V36" s="30"/>
      <c r="W36" s="30"/>
      <c r="X36" s="30"/>
      <c r="Y36" s="30"/>
      <c r="Z36" s="30"/>
    </row>
    <row r="37" ht="13.5" customHeight="1">
      <c r="A37" s="111">
        <f t="shared" si="1"/>
        <v>37</v>
      </c>
      <c r="B37" s="30" t="s">
        <v>1018</v>
      </c>
      <c r="C37" s="758">
        <v>0.0</v>
      </c>
      <c r="D37" s="30" t="s">
        <v>898</v>
      </c>
      <c r="E37" s="30"/>
      <c r="F37" s="877">
        <v>0.0</v>
      </c>
      <c r="G37" s="877">
        <f t="shared" ref="G37:L37" si="11">$C$37*12</f>
        <v>0</v>
      </c>
      <c r="H37" s="877">
        <f t="shared" si="11"/>
        <v>0</v>
      </c>
      <c r="I37" s="877">
        <f t="shared" si="11"/>
        <v>0</v>
      </c>
      <c r="J37" s="877">
        <f t="shared" si="11"/>
        <v>0</v>
      </c>
      <c r="K37" s="877">
        <f t="shared" si="11"/>
        <v>0</v>
      </c>
      <c r="L37" s="877">
        <f t="shared" si="11"/>
        <v>0</v>
      </c>
      <c r="M37" s="460"/>
      <c r="N37" s="119"/>
      <c r="O37" s="30"/>
      <c r="P37" s="30"/>
      <c r="Q37" s="30"/>
      <c r="R37" s="30"/>
      <c r="S37" s="30"/>
      <c r="T37" s="30"/>
      <c r="U37" s="30"/>
      <c r="V37" s="30"/>
      <c r="W37" s="30"/>
      <c r="X37" s="30"/>
      <c r="Y37" s="30"/>
      <c r="Z37" s="30"/>
    </row>
    <row r="38" ht="13.5" customHeight="1">
      <c r="A38" s="111">
        <f t="shared" si="1"/>
        <v>38</v>
      </c>
      <c r="B38" s="30" t="s">
        <v>1019</v>
      </c>
      <c r="C38" s="758">
        <v>0.0</v>
      </c>
      <c r="D38" s="30" t="s">
        <v>915</v>
      </c>
      <c r="E38" s="30"/>
      <c r="F38" s="877">
        <v>0.0</v>
      </c>
      <c r="G38" s="877">
        <f>IF($C$38*(Staff!H23-Staff!G23)&gt;0,$C$38*(Staff!H23-Staff!G23),0)</f>
        <v>0</v>
      </c>
      <c r="H38" s="877">
        <f>IF($C$38*(Staff!I23-Staff!H23)&gt;0,$C$38*(Staff!I23-Staff!H23),0)</f>
        <v>0</v>
      </c>
      <c r="I38" s="877">
        <f>IF($C$38*(Staff!J23-Staff!I23)&gt;0,$C$38*(Staff!J23-Staff!I23),0)</f>
        <v>0</v>
      </c>
      <c r="J38" s="877">
        <f>IF($C$38*(Staff!K23-Staff!J23)&gt;0,$C$38*(Staff!K23-Staff!J23),0)</f>
        <v>0</v>
      </c>
      <c r="K38" s="877">
        <f>IF($C$38*(Staff!L23-Staff!K23)&gt;0,$C$38*(Staff!L23-Staff!K23),0)</f>
        <v>0</v>
      </c>
      <c r="L38" s="877">
        <f>IF($C$38*(Staff!M23-Staff!L23)&gt;0,$C$38*(Staff!M23-Staff!L23),0)</f>
        <v>0</v>
      </c>
      <c r="M38" s="460"/>
      <c r="N38" s="119"/>
      <c r="O38" s="30"/>
      <c r="P38" s="30"/>
      <c r="Q38" s="30"/>
      <c r="R38" s="30"/>
      <c r="S38" s="30"/>
      <c r="T38" s="30"/>
      <c r="U38" s="30"/>
      <c r="V38" s="30"/>
      <c r="W38" s="30"/>
      <c r="X38" s="30"/>
      <c r="Y38" s="30"/>
      <c r="Z38" s="30"/>
    </row>
    <row r="39" ht="13.5" customHeight="1">
      <c r="A39" s="111">
        <f t="shared" si="1"/>
        <v>39</v>
      </c>
      <c r="B39" s="30" t="s">
        <v>1020</v>
      </c>
      <c r="C39" s="758">
        <v>0.0</v>
      </c>
      <c r="D39" s="30" t="s">
        <v>872</v>
      </c>
      <c r="E39" s="30"/>
      <c r="F39" s="877">
        <v>0.0</v>
      </c>
      <c r="G39" s="877">
        <f>$C$39*Staff!H23</f>
        <v>0</v>
      </c>
      <c r="H39" s="877">
        <f>$C$39*Staff!I23</f>
        <v>0</v>
      </c>
      <c r="I39" s="877">
        <f>$C$39*Staff!J23</f>
        <v>0</v>
      </c>
      <c r="J39" s="877">
        <f>$C$39*Staff!K23</f>
        <v>0</v>
      </c>
      <c r="K39" s="877">
        <f>$C$39*Staff!L23</f>
        <v>0</v>
      </c>
      <c r="L39" s="877">
        <f>$C$39*Staff!M23</f>
        <v>0</v>
      </c>
      <c r="M39" s="460"/>
      <c r="N39" s="119"/>
      <c r="O39" s="30"/>
      <c r="P39" s="30"/>
      <c r="Q39" s="30"/>
      <c r="R39" s="30"/>
      <c r="S39" s="30"/>
      <c r="T39" s="30"/>
      <c r="U39" s="30"/>
      <c r="V39" s="30"/>
      <c r="W39" s="30"/>
      <c r="X39" s="30"/>
      <c r="Y39" s="30"/>
      <c r="Z39" s="30"/>
    </row>
    <row r="40" ht="13.5" customHeight="1">
      <c r="A40" s="111">
        <f t="shared" si="1"/>
        <v>40</v>
      </c>
      <c r="B40" s="30" t="s">
        <v>1021</v>
      </c>
      <c r="C40" s="758">
        <v>0.0</v>
      </c>
      <c r="D40" s="30" t="s">
        <v>915</v>
      </c>
      <c r="E40" s="30"/>
      <c r="F40" s="877">
        <v>0.0</v>
      </c>
      <c r="G40" s="877">
        <f>IF($C$40*(Staff!H23-Staff!G23)&gt;0,$C$40*(Staff!H23-Staff!G23),0)</f>
        <v>0</v>
      </c>
      <c r="H40" s="877">
        <f>IF($C$40*(Staff!I23-Staff!H23)&gt;0,$C$40*(Staff!I23-Staff!H23),0)</f>
        <v>0</v>
      </c>
      <c r="I40" s="877">
        <f>IF($C$40*(Staff!J23-Staff!I23)&gt;0,$C$40*(Staff!J23-Staff!I23),0)</f>
        <v>0</v>
      </c>
      <c r="J40" s="877">
        <f>IF($C$40*(Staff!K23-Staff!J23)&gt;0,$C$40*(Staff!K23-Staff!J23),0)</f>
        <v>0</v>
      </c>
      <c r="K40" s="877">
        <f>IF($C$40*(Staff!L23-Staff!K23)&gt;0,$C$40*(Staff!L23-Staff!K23),0)</f>
        <v>0</v>
      </c>
      <c r="L40" s="877">
        <f>IF($C$40*(Staff!M23-Staff!L23)&gt;0,$C$40*(Staff!M23-Staff!L23),0)</f>
        <v>0</v>
      </c>
      <c r="M40" s="460"/>
      <c r="N40" s="119"/>
      <c r="O40" s="30"/>
      <c r="P40" s="30"/>
      <c r="Q40" s="30"/>
      <c r="R40" s="30"/>
      <c r="S40" s="30"/>
      <c r="T40" s="30"/>
      <c r="U40" s="30"/>
      <c r="V40" s="30"/>
      <c r="W40" s="30"/>
      <c r="X40" s="30"/>
      <c r="Y40" s="30"/>
      <c r="Z40" s="30"/>
    </row>
    <row r="41" ht="13.5" customHeight="1">
      <c r="A41" s="111">
        <f t="shared" si="1"/>
        <v>41</v>
      </c>
      <c r="B41" s="30" t="s">
        <v>1022</v>
      </c>
      <c r="C41" s="758">
        <v>0.0</v>
      </c>
      <c r="D41" s="30" t="s">
        <v>900</v>
      </c>
      <c r="E41" s="30"/>
      <c r="F41" s="877">
        <v>0.0</v>
      </c>
      <c r="G41" s="877">
        <f>$C$41*' Enrol &amp; Rev'!G36</f>
        <v>0</v>
      </c>
      <c r="H41" s="877">
        <f>IF($C$41*(' Enrol &amp; Rev'!H36-' Enrol &amp; Rev'!G36)&gt;0,$C$41*(' Enrol &amp; Rev'!H36-' Enrol &amp; Rev'!G36),0)</f>
        <v>0</v>
      </c>
      <c r="I41" s="877">
        <f>IF($C$41*(' Enrol &amp; Rev'!I36-' Enrol &amp; Rev'!H36)&gt;0,$C$41*(' Enrol &amp; Rev'!I36-' Enrol &amp; Rev'!H36),0)</f>
        <v>0</v>
      </c>
      <c r="J41" s="877">
        <f>IF($C$41*(' Enrol &amp; Rev'!J36-' Enrol &amp; Rev'!I36)&gt;0,$C$41*(' Enrol &amp; Rev'!J36-' Enrol &amp; Rev'!I36),0)</f>
        <v>0</v>
      </c>
      <c r="K41" s="877">
        <f>IF($C$41*(' Enrol &amp; Rev'!K36-' Enrol &amp; Rev'!J36)&gt;0,$C$41*(' Enrol &amp; Rev'!K36-' Enrol &amp; Rev'!J36),0)</f>
        <v>0</v>
      </c>
      <c r="L41" s="877">
        <f>IF($C$41*(' Enrol &amp; Rev'!L36-' Enrol &amp; Rev'!K36)&gt;0,$C$41*(' Enrol &amp; Rev'!L36-' Enrol &amp; Rev'!K36),0)</f>
        <v>0</v>
      </c>
      <c r="M41" s="460"/>
      <c r="N41" s="119"/>
      <c r="O41" s="30"/>
      <c r="P41" s="30"/>
      <c r="Q41" s="30"/>
      <c r="R41" s="30"/>
      <c r="S41" s="30"/>
      <c r="T41" s="30"/>
      <c r="U41" s="30"/>
      <c r="V41" s="30"/>
      <c r="W41" s="30"/>
      <c r="X41" s="30"/>
      <c r="Y41" s="30"/>
      <c r="Z41" s="30"/>
    </row>
    <row r="42" ht="13.5" customHeight="1">
      <c r="A42" s="111">
        <f t="shared" si="1"/>
        <v>42</v>
      </c>
      <c r="B42" s="30"/>
      <c r="C42" s="30"/>
      <c r="D42" s="30"/>
      <c r="E42" s="30"/>
      <c r="F42" s="30"/>
      <c r="G42" s="131"/>
      <c r="H42" s="131"/>
      <c r="I42" s="131"/>
      <c r="J42" s="131"/>
      <c r="K42" s="131"/>
      <c r="L42" s="131"/>
      <c r="M42" s="460"/>
      <c r="N42" s="119"/>
      <c r="O42" s="30"/>
      <c r="P42" s="30"/>
      <c r="Q42" s="30"/>
      <c r="R42" s="30"/>
      <c r="S42" s="30"/>
      <c r="T42" s="30"/>
      <c r="U42" s="30"/>
      <c r="V42" s="30"/>
      <c r="W42" s="30"/>
      <c r="X42" s="30"/>
      <c r="Y42" s="30"/>
      <c r="Z42" s="30"/>
    </row>
    <row r="43" ht="13.5" customHeight="1">
      <c r="A43" s="111">
        <f t="shared" si="1"/>
        <v>43</v>
      </c>
      <c r="B43" s="1182" t="s">
        <v>1023</v>
      </c>
      <c r="C43" s="1183">
        <f>SUM(G43:L43)</f>
        <v>1211765.8</v>
      </c>
      <c r="D43" s="1151"/>
      <c r="E43" s="1151"/>
      <c r="F43" s="1184">
        <f t="shared" ref="F43:L43" si="12">SUM(F15:F42)</f>
        <v>186214.5</v>
      </c>
      <c r="G43" s="1184">
        <f t="shared" si="12"/>
        <v>192519.2</v>
      </c>
      <c r="H43" s="1184">
        <f t="shared" si="12"/>
        <v>195796.5</v>
      </c>
      <c r="I43" s="1184">
        <f t="shared" si="12"/>
        <v>211282.7</v>
      </c>
      <c r="J43" s="1184">
        <f t="shared" si="12"/>
        <v>202795.3</v>
      </c>
      <c r="K43" s="1184">
        <f t="shared" si="12"/>
        <v>203551.6</v>
      </c>
      <c r="L43" s="1184">
        <f t="shared" si="12"/>
        <v>205820.5</v>
      </c>
      <c r="M43" s="460"/>
      <c r="N43" s="119"/>
      <c r="O43" s="30"/>
      <c r="P43" s="30"/>
      <c r="Q43" s="30"/>
      <c r="R43" s="30"/>
      <c r="S43" s="30"/>
      <c r="T43" s="30"/>
      <c r="U43" s="30"/>
      <c r="V43" s="30"/>
      <c r="W43" s="30"/>
      <c r="X43" s="30"/>
      <c r="Y43" s="30"/>
      <c r="Z43" s="30"/>
    </row>
    <row r="44" ht="13.5" customHeight="1">
      <c r="A44" s="111">
        <f t="shared" si="1"/>
        <v>44</v>
      </c>
      <c r="B44" s="67"/>
      <c r="C44" s="30"/>
      <c r="D44" s="30"/>
      <c r="E44" s="30"/>
      <c r="F44" s="30"/>
      <c r="G44" s="30"/>
      <c r="H44" s="30"/>
      <c r="I44" s="30"/>
      <c r="J44" s="30"/>
      <c r="K44" s="30"/>
      <c r="L44" s="30"/>
      <c r="M44" s="30"/>
      <c r="N44" s="119"/>
      <c r="O44" s="30"/>
      <c r="P44" s="30"/>
      <c r="Q44" s="30"/>
      <c r="R44" s="30"/>
      <c r="S44" s="30"/>
      <c r="T44" s="30"/>
      <c r="U44" s="30"/>
      <c r="V44" s="30"/>
      <c r="W44" s="30"/>
      <c r="X44" s="30"/>
      <c r="Y44" s="30"/>
      <c r="Z44" s="30"/>
    </row>
    <row r="45" ht="13.5" customHeight="1">
      <c r="A45" s="111">
        <f t="shared" si="1"/>
        <v>45</v>
      </c>
      <c r="B45" s="164" t="s">
        <v>1024</v>
      </c>
      <c r="C45" s="30"/>
      <c r="D45" s="30"/>
      <c r="E45" s="30"/>
      <c r="F45" s="30"/>
      <c r="G45" s="30"/>
      <c r="H45" s="30"/>
      <c r="I45" s="30"/>
      <c r="J45" s="30"/>
      <c r="K45" s="30"/>
      <c r="L45" s="30"/>
      <c r="M45" s="30"/>
      <c r="N45" s="119"/>
      <c r="O45" s="30"/>
      <c r="P45" s="30"/>
      <c r="Q45" s="30"/>
      <c r="R45" s="30"/>
      <c r="S45" s="30"/>
      <c r="T45" s="30"/>
      <c r="U45" s="30"/>
      <c r="V45" s="30"/>
      <c r="W45" s="30"/>
      <c r="X45" s="30"/>
      <c r="Y45" s="30"/>
      <c r="Z45" s="30"/>
    </row>
    <row r="46" ht="13.5" customHeight="1">
      <c r="A46" s="111">
        <f t="shared" si="1"/>
        <v>46</v>
      </c>
      <c r="B46" s="506" t="s">
        <v>1025</v>
      </c>
      <c r="C46" s="1185"/>
      <c r="D46" s="1185"/>
      <c r="E46" s="1185"/>
      <c r="F46" s="1185"/>
      <c r="G46" s="1185"/>
      <c r="H46" s="1185"/>
      <c r="I46" s="1185"/>
      <c r="J46" s="1185"/>
      <c r="K46" s="1185"/>
      <c r="L46" s="1185"/>
      <c r="M46" s="30"/>
      <c r="N46" s="119"/>
      <c r="O46" s="30"/>
      <c r="P46" s="30"/>
      <c r="Q46" s="30"/>
      <c r="R46" s="30"/>
      <c r="S46" s="30"/>
      <c r="T46" s="30"/>
      <c r="U46" s="30"/>
      <c r="V46" s="30"/>
      <c r="W46" s="30"/>
      <c r="X46" s="30"/>
      <c r="Y46" s="30"/>
      <c r="Z46" s="30"/>
    </row>
    <row r="47" ht="13.5" customHeight="1">
      <c r="A47" s="111">
        <f t="shared" si="1"/>
        <v>47</v>
      </c>
      <c r="B47" s="119"/>
      <c r="C47" s="1185"/>
      <c r="D47" s="1185"/>
      <c r="E47" s="1185"/>
      <c r="F47" s="1185"/>
      <c r="G47" s="1185"/>
      <c r="H47" s="1185"/>
      <c r="I47" s="1185"/>
      <c r="J47" s="1185"/>
      <c r="K47" s="1185"/>
      <c r="L47" s="1185"/>
      <c r="M47" s="30"/>
      <c r="N47" s="119"/>
      <c r="O47" s="30"/>
      <c r="P47" s="30"/>
      <c r="Q47" s="30"/>
      <c r="R47" s="30"/>
      <c r="S47" s="30"/>
      <c r="T47" s="30"/>
      <c r="U47" s="30"/>
      <c r="V47" s="30"/>
      <c r="W47" s="30"/>
      <c r="X47" s="30"/>
      <c r="Y47" s="30"/>
      <c r="Z47" s="30"/>
    </row>
    <row r="48" ht="13.5" customHeight="1">
      <c r="A48" s="111">
        <f t="shared" si="1"/>
        <v>48</v>
      </c>
      <c r="B48" s="119"/>
      <c r="C48" s="1185"/>
      <c r="D48" s="1185"/>
      <c r="E48" s="1185"/>
      <c r="F48" s="1185"/>
      <c r="G48" s="1185"/>
      <c r="H48" s="1185"/>
      <c r="I48" s="1185"/>
      <c r="J48" s="1185"/>
      <c r="K48" s="1185"/>
      <c r="L48" s="1185"/>
      <c r="M48" s="30"/>
      <c r="N48" s="119"/>
      <c r="O48" s="30"/>
      <c r="P48" s="30"/>
      <c r="Q48" s="30"/>
      <c r="R48" s="30"/>
      <c r="S48" s="30"/>
      <c r="T48" s="30"/>
      <c r="U48" s="30"/>
      <c r="V48" s="30"/>
      <c r="W48" s="30"/>
      <c r="X48" s="30"/>
      <c r="Y48" s="30"/>
      <c r="Z48" s="30"/>
    </row>
    <row r="49" ht="13.5" customHeight="1">
      <c r="A49" s="111">
        <f t="shared" si="1"/>
        <v>49</v>
      </c>
      <c r="B49" s="119"/>
      <c r="C49" s="1185"/>
      <c r="D49" s="1185"/>
      <c r="E49" s="1185"/>
      <c r="F49" s="1185"/>
      <c r="G49" s="1185"/>
      <c r="H49" s="1185"/>
      <c r="I49" s="1185"/>
      <c r="J49" s="1185"/>
      <c r="K49" s="1185"/>
      <c r="L49" s="1185"/>
      <c r="M49" s="30"/>
      <c r="N49" s="119"/>
      <c r="O49" s="30"/>
      <c r="P49" s="30"/>
      <c r="Q49" s="30"/>
      <c r="R49" s="30"/>
      <c r="S49" s="30"/>
      <c r="T49" s="30"/>
      <c r="U49" s="30"/>
      <c r="V49" s="30"/>
      <c r="W49" s="30"/>
      <c r="X49" s="30"/>
      <c r="Y49" s="30"/>
      <c r="Z49" s="30"/>
    </row>
    <row r="50" ht="13.5" customHeight="1">
      <c r="A50" s="111">
        <f t="shared" si="1"/>
        <v>50</v>
      </c>
      <c r="B50" s="119"/>
      <c r="C50" s="1185"/>
      <c r="D50" s="1185"/>
      <c r="E50" s="1185"/>
      <c r="F50" s="1185"/>
      <c r="G50" s="1185"/>
      <c r="H50" s="1185"/>
      <c r="I50" s="1185"/>
      <c r="J50" s="1185"/>
      <c r="K50" s="1185"/>
      <c r="L50" s="1185"/>
      <c r="M50" s="30"/>
      <c r="N50" s="119"/>
      <c r="O50" s="30"/>
      <c r="P50" s="30"/>
      <c r="Q50" s="30"/>
      <c r="R50" s="30"/>
      <c r="S50" s="30"/>
      <c r="T50" s="30"/>
      <c r="U50" s="30"/>
      <c r="V50" s="30"/>
      <c r="W50" s="30"/>
      <c r="X50" s="30"/>
      <c r="Y50" s="30"/>
      <c r="Z50" s="30"/>
    </row>
    <row r="51" ht="13.5" customHeight="1">
      <c r="A51" s="111">
        <f t="shared" si="1"/>
        <v>51</v>
      </c>
      <c r="B51" s="119"/>
      <c r="C51" s="1185"/>
      <c r="D51" s="1185"/>
      <c r="E51" s="1185"/>
      <c r="F51" s="1185"/>
      <c r="G51" s="1185"/>
      <c r="H51" s="1185"/>
      <c r="I51" s="1185"/>
      <c r="J51" s="1185"/>
      <c r="K51" s="1185"/>
      <c r="L51" s="1185"/>
      <c r="M51" s="30"/>
      <c r="N51" s="119"/>
      <c r="O51" s="30"/>
      <c r="P51" s="30"/>
      <c r="Q51" s="30"/>
      <c r="R51" s="30"/>
      <c r="S51" s="30"/>
      <c r="T51" s="30"/>
      <c r="U51" s="30"/>
      <c r="V51" s="30"/>
      <c r="W51" s="30"/>
      <c r="X51" s="30"/>
      <c r="Y51" s="30"/>
      <c r="Z51" s="30"/>
    </row>
    <row r="52" ht="13.5" customHeight="1">
      <c r="A52" s="111">
        <f t="shared" si="1"/>
        <v>52</v>
      </c>
      <c r="B52" s="119"/>
      <c r="C52" s="1185"/>
      <c r="D52" s="1185"/>
      <c r="E52" s="1185"/>
      <c r="F52" s="1185"/>
      <c r="G52" s="1185"/>
      <c r="H52" s="1185"/>
      <c r="I52" s="1185"/>
      <c r="J52" s="1185"/>
      <c r="K52" s="1185"/>
      <c r="L52" s="1185"/>
      <c r="M52" s="30"/>
      <c r="N52" s="119"/>
      <c r="O52" s="30"/>
      <c r="P52" s="30"/>
      <c r="Q52" s="30"/>
      <c r="R52" s="30"/>
      <c r="S52" s="30"/>
      <c r="T52" s="30"/>
      <c r="U52" s="30"/>
      <c r="V52" s="30"/>
      <c r="W52" s="30"/>
      <c r="X52" s="30"/>
      <c r="Y52" s="30"/>
      <c r="Z52" s="30"/>
    </row>
    <row r="53" ht="13.5" customHeight="1">
      <c r="A53" s="111">
        <f t="shared" si="1"/>
        <v>53</v>
      </c>
      <c r="B53" s="119"/>
      <c r="C53" s="1185"/>
      <c r="D53" s="1185"/>
      <c r="E53" s="1185"/>
      <c r="F53" s="1185"/>
      <c r="G53" s="1185"/>
      <c r="H53" s="1185"/>
      <c r="I53" s="1185"/>
      <c r="J53" s="1185"/>
      <c r="K53" s="1185"/>
      <c r="L53" s="1185"/>
      <c r="M53" s="30"/>
      <c r="N53" s="119"/>
      <c r="O53" s="30"/>
      <c r="P53" s="30"/>
      <c r="Q53" s="30"/>
      <c r="R53" s="30"/>
      <c r="S53" s="30"/>
      <c r="T53" s="30"/>
      <c r="U53" s="30"/>
      <c r="V53" s="30"/>
      <c r="W53" s="30"/>
      <c r="X53" s="30"/>
      <c r="Y53" s="30"/>
      <c r="Z53" s="30"/>
    </row>
    <row r="54" ht="13.5" customHeight="1">
      <c r="A54" s="111">
        <f t="shared" si="1"/>
        <v>54</v>
      </c>
      <c r="B54" s="119"/>
      <c r="C54" s="1185"/>
      <c r="D54" s="1185"/>
      <c r="E54" s="1185"/>
      <c r="F54" s="1185"/>
      <c r="G54" s="1185"/>
      <c r="H54" s="1185"/>
      <c r="I54" s="1185"/>
      <c r="J54" s="1185"/>
      <c r="K54" s="1185"/>
      <c r="L54" s="1185"/>
      <c r="M54" s="30"/>
      <c r="N54" s="119"/>
      <c r="O54" s="30"/>
      <c r="P54" s="30"/>
      <c r="Q54" s="30"/>
      <c r="R54" s="30"/>
      <c r="S54" s="30"/>
      <c r="T54" s="30"/>
      <c r="U54" s="30"/>
      <c r="V54" s="30"/>
      <c r="W54" s="30"/>
      <c r="X54" s="30"/>
      <c r="Y54" s="30"/>
      <c r="Z54" s="30"/>
    </row>
    <row r="55" ht="13.5" customHeight="1">
      <c r="A55" s="111">
        <f t="shared" si="1"/>
        <v>55</v>
      </c>
      <c r="B55" s="119"/>
      <c r="C55" s="1185"/>
      <c r="D55" s="1185"/>
      <c r="E55" s="1185"/>
      <c r="F55" s="1185"/>
      <c r="G55" s="1185"/>
      <c r="H55" s="1185"/>
      <c r="I55" s="1185"/>
      <c r="J55" s="1185"/>
      <c r="K55" s="1185"/>
      <c r="L55" s="1185"/>
      <c r="M55" s="30"/>
      <c r="N55" s="119"/>
      <c r="O55" s="30"/>
      <c r="P55" s="30"/>
      <c r="Q55" s="30"/>
      <c r="R55" s="30"/>
      <c r="S55" s="30"/>
      <c r="T55" s="30"/>
      <c r="U55" s="30"/>
      <c r="V55" s="30"/>
      <c r="W55" s="30"/>
      <c r="X55" s="30"/>
      <c r="Y55" s="30"/>
      <c r="Z55" s="30"/>
    </row>
    <row r="56" ht="13.5" customHeight="1">
      <c r="A56" s="111">
        <f t="shared" si="1"/>
        <v>56</v>
      </c>
      <c r="B56" s="30"/>
      <c r="C56" s="30"/>
      <c r="D56" s="30"/>
      <c r="E56" s="30"/>
      <c r="F56" s="30"/>
      <c r="G56" s="30"/>
      <c r="H56" s="30"/>
      <c r="I56" s="30"/>
      <c r="J56" s="30"/>
      <c r="K56" s="30"/>
      <c r="L56" s="30"/>
      <c r="M56" s="30"/>
      <c r="N56" s="119"/>
      <c r="O56" s="30"/>
      <c r="P56" s="30"/>
      <c r="Q56" s="30"/>
      <c r="R56" s="30"/>
      <c r="S56" s="30"/>
      <c r="T56" s="30"/>
      <c r="U56" s="30"/>
      <c r="V56" s="30"/>
      <c r="W56" s="30"/>
      <c r="X56" s="30"/>
      <c r="Y56" s="30"/>
      <c r="Z56" s="30"/>
    </row>
    <row r="57" ht="13.5" customHeight="1">
      <c r="A57" s="111">
        <f t="shared" si="1"/>
        <v>57</v>
      </c>
      <c r="B57" s="30"/>
      <c r="C57" s="30"/>
      <c r="D57" s="30"/>
      <c r="E57" s="30"/>
      <c r="F57" s="30"/>
      <c r="G57" s="30"/>
      <c r="H57" s="30"/>
      <c r="I57" s="30"/>
      <c r="J57" s="30"/>
      <c r="K57" s="30"/>
      <c r="L57" s="30"/>
      <c r="M57" s="30"/>
      <c r="N57" s="119"/>
      <c r="O57" s="30"/>
      <c r="P57" s="30"/>
      <c r="Q57" s="30"/>
      <c r="R57" s="30"/>
      <c r="S57" s="30"/>
      <c r="T57" s="30"/>
      <c r="U57" s="30"/>
      <c r="V57" s="30"/>
      <c r="W57" s="30"/>
      <c r="X57" s="30"/>
      <c r="Y57" s="30"/>
      <c r="Z57" s="30"/>
    </row>
    <row r="58" ht="13.5" customHeight="1">
      <c r="A58" s="111">
        <f t="shared" si="1"/>
        <v>58</v>
      </c>
      <c r="B58" s="30"/>
      <c r="C58" s="63" t="s">
        <v>1026</v>
      </c>
      <c r="D58" s="30"/>
      <c r="E58" s="30"/>
      <c r="F58" s="1186">
        <f t="shared" ref="F58:L58" si="13">F6</f>
        <v>0</v>
      </c>
      <c r="G58" s="1166">
        <f t="shared" si="13"/>
        <v>1</v>
      </c>
      <c r="H58" s="1166">
        <f t="shared" si="13"/>
        <v>2</v>
      </c>
      <c r="I58" s="1166">
        <f t="shared" si="13"/>
        <v>3</v>
      </c>
      <c r="J58" s="1166">
        <f t="shared" si="13"/>
        <v>4</v>
      </c>
      <c r="K58" s="1166">
        <f t="shared" si="13"/>
        <v>5</v>
      </c>
      <c r="L58" s="1167">
        <f t="shared" si="13"/>
        <v>6</v>
      </c>
      <c r="M58" s="30"/>
      <c r="N58" s="119"/>
      <c r="O58" s="30"/>
      <c r="P58" s="30"/>
      <c r="Q58" s="30"/>
      <c r="R58" s="30"/>
      <c r="S58" s="30"/>
      <c r="T58" s="30"/>
      <c r="U58" s="30"/>
      <c r="V58" s="30"/>
      <c r="W58" s="30"/>
      <c r="X58" s="30"/>
      <c r="Y58" s="30"/>
      <c r="Z58" s="30"/>
    </row>
    <row r="59" ht="13.5" customHeight="1">
      <c r="A59" s="111">
        <f t="shared" si="1"/>
        <v>59</v>
      </c>
      <c r="B59" s="30"/>
      <c r="C59" s="30"/>
      <c r="D59" s="30"/>
      <c r="E59" s="30"/>
      <c r="F59" s="1168">
        <f t="shared" ref="F59:L59" si="14">F7</f>
        <v>2024</v>
      </c>
      <c r="G59" s="1168">
        <f t="shared" si="14"/>
        <v>2025</v>
      </c>
      <c r="H59" s="1169">
        <f t="shared" si="14"/>
        <v>2026</v>
      </c>
      <c r="I59" s="1169">
        <f t="shared" si="14"/>
        <v>2027</v>
      </c>
      <c r="J59" s="1169">
        <f t="shared" si="14"/>
        <v>2028</v>
      </c>
      <c r="K59" s="1169">
        <f t="shared" si="14"/>
        <v>2029</v>
      </c>
      <c r="L59" s="1170">
        <f t="shared" si="14"/>
        <v>2030</v>
      </c>
      <c r="M59" s="30"/>
      <c r="N59" s="119"/>
      <c r="O59" s="30"/>
      <c r="P59" s="30"/>
      <c r="Q59" s="30"/>
      <c r="R59" s="30"/>
      <c r="S59" s="30"/>
      <c r="T59" s="30"/>
      <c r="U59" s="30"/>
      <c r="V59" s="30"/>
      <c r="W59" s="30"/>
      <c r="X59" s="30"/>
      <c r="Y59" s="30"/>
      <c r="Z59" s="30"/>
    </row>
    <row r="60" ht="13.5" customHeight="1">
      <c r="A60" s="111">
        <f t="shared" si="1"/>
        <v>60</v>
      </c>
      <c r="B60" s="30"/>
      <c r="C60" s="30"/>
      <c r="D60" s="30" t="s">
        <v>160</v>
      </c>
      <c r="E60" s="30"/>
      <c r="F60" s="1171">
        <f t="shared" ref="F60:L60" si="15">F8</f>
        <v>2025</v>
      </c>
      <c r="G60" s="1171">
        <f t="shared" si="15"/>
        <v>2026</v>
      </c>
      <c r="H60" s="1172">
        <f t="shared" si="15"/>
        <v>2027</v>
      </c>
      <c r="I60" s="1172">
        <f t="shared" si="15"/>
        <v>2028</v>
      </c>
      <c r="J60" s="1172">
        <f t="shared" si="15"/>
        <v>2029</v>
      </c>
      <c r="K60" s="1172">
        <f t="shared" si="15"/>
        <v>2030</v>
      </c>
      <c r="L60" s="1173">
        <f t="shared" si="15"/>
        <v>2031</v>
      </c>
      <c r="M60" s="30"/>
      <c r="N60" s="119"/>
      <c r="O60" s="30"/>
      <c r="P60" s="30"/>
      <c r="Q60" s="30"/>
      <c r="R60" s="30"/>
      <c r="S60" s="30"/>
      <c r="T60" s="30"/>
      <c r="U60" s="30"/>
      <c r="V60" s="30"/>
      <c r="W60" s="30"/>
      <c r="X60" s="30"/>
      <c r="Y60" s="30"/>
      <c r="Z60" s="30"/>
    </row>
    <row r="61" ht="13.5" customHeight="1">
      <c r="A61" s="111">
        <f t="shared" si="1"/>
        <v>61</v>
      </c>
      <c r="B61" s="30"/>
      <c r="C61" s="30" t="s">
        <v>1027</v>
      </c>
      <c r="D61" s="1051">
        <f>Levers!B9</f>
        <v>4585</v>
      </c>
      <c r="E61" s="1051"/>
      <c r="F61" s="1051"/>
      <c r="G61" s="1051">
        <f>Levers!D9</f>
        <v>632</v>
      </c>
      <c r="H61" s="1051">
        <f>Levers!E9</f>
        <v>645</v>
      </c>
      <c r="I61" s="1051">
        <f>Levers!F9</f>
        <v>667</v>
      </c>
      <c r="J61" s="1051">
        <f>Levers!G9</f>
        <v>673</v>
      </c>
      <c r="K61" s="1051">
        <f>Levers!H9</f>
        <v>676</v>
      </c>
      <c r="L61" s="1051">
        <f>Levers!I9</f>
        <v>685</v>
      </c>
      <c r="M61" s="30"/>
      <c r="N61" s="119"/>
      <c r="O61" s="30"/>
      <c r="P61" s="30"/>
      <c r="Q61" s="30"/>
      <c r="R61" s="30"/>
      <c r="S61" s="30"/>
      <c r="T61" s="30"/>
      <c r="U61" s="30"/>
      <c r="V61" s="30"/>
      <c r="W61" s="30"/>
      <c r="X61" s="30"/>
      <c r="Y61" s="30"/>
      <c r="Z61" s="30"/>
    </row>
    <row r="62" ht="13.5" customHeight="1">
      <c r="A62" s="111">
        <f t="shared" si="1"/>
        <v>62</v>
      </c>
      <c r="B62" s="30"/>
      <c r="C62" s="30" t="s">
        <v>664</v>
      </c>
      <c r="D62" s="140">
        <f>Levers!B10</f>
        <v>49036598.63</v>
      </c>
      <c r="E62" s="140"/>
      <c r="F62" s="140">
        <f>Levers!C10</f>
        <v>6431812.88</v>
      </c>
      <c r="G62" s="140">
        <f>Levers!D10</f>
        <v>6792118.003</v>
      </c>
      <c r="H62" s="140">
        <f>Levers!E10</f>
        <v>6917370.748</v>
      </c>
      <c r="I62" s="140">
        <f>Levers!F10</f>
        <v>7139336.931</v>
      </c>
      <c r="J62" s="140">
        <f>Levers!G10</f>
        <v>7197145.89</v>
      </c>
      <c r="K62" s="140">
        <f>Levers!H10</f>
        <v>7236050.369</v>
      </c>
      <c r="L62" s="140">
        <f>Levers!I10</f>
        <v>7322763.808</v>
      </c>
      <c r="M62" s="30"/>
      <c r="N62" s="119"/>
      <c r="O62" s="30"/>
      <c r="P62" s="30"/>
      <c r="Q62" s="30"/>
      <c r="R62" s="30"/>
      <c r="S62" s="30"/>
      <c r="T62" s="30"/>
      <c r="U62" s="30"/>
      <c r="V62" s="30"/>
      <c r="W62" s="30"/>
      <c r="X62" s="30"/>
      <c r="Y62" s="30"/>
      <c r="Z62" s="30"/>
    </row>
    <row r="63" ht="13.5" customHeight="1">
      <c r="A63" s="111">
        <f t="shared" si="1"/>
        <v>63</v>
      </c>
      <c r="B63" s="30"/>
      <c r="C63" s="30" t="s">
        <v>1028</v>
      </c>
      <c r="D63" s="140">
        <f>Levers!B11</f>
        <v>10695.00515</v>
      </c>
      <c r="E63" s="140"/>
      <c r="F63" s="220"/>
      <c r="G63" s="220">
        <f>Levers!D11</f>
        <v>10747.02216</v>
      </c>
      <c r="H63" s="220">
        <f>Levers!E11</f>
        <v>10724.60581</v>
      </c>
      <c r="I63" s="220">
        <f>Levers!F11</f>
        <v>10703.65357</v>
      </c>
      <c r="J63" s="220">
        <f>Levers!G11</f>
        <v>10694.12465</v>
      </c>
      <c r="K63" s="220">
        <f>Levers!H11</f>
        <v>10704.21652</v>
      </c>
      <c r="L63" s="220">
        <f>Levers!I11</f>
        <v>10690.16614</v>
      </c>
      <c r="M63" s="30"/>
      <c r="N63" s="119"/>
      <c r="O63" s="30"/>
      <c r="P63" s="30"/>
      <c r="Q63" s="30"/>
      <c r="R63" s="30"/>
      <c r="S63" s="30"/>
      <c r="T63" s="30"/>
      <c r="U63" s="30"/>
      <c r="V63" s="30"/>
      <c r="W63" s="30"/>
      <c r="X63" s="30"/>
      <c r="Y63" s="30"/>
      <c r="Z63" s="30"/>
    </row>
    <row r="64" ht="13.5" customHeight="1">
      <c r="A64" s="111">
        <f t="shared" si="1"/>
        <v>64</v>
      </c>
      <c r="B64" s="30"/>
      <c r="C64" s="30" t="s">
        <v>1029</v>
      </c>
      <c r="D64" s="140">
        <f>Levers!B24</f>
        <v>1397980.3</v>
      </c>
      <c r="E64" s="140"/>
      <c r="F64" s="220">
        <f>Levers!C24</f>
        <v>186214.5</v>
      </c>
      <c r="G64" s="220">
        <f>Levers!D24</f>
        <v>192519.2</v>
      </c>
      <c r="H64" s="220">
        <f>Levers!E24</f>
        <v>195796.5</v>
      </c>
      <c r="I64" s="220">
        <f>Levers!F24</f>
        <v>211282.7</v>
      </c>
      <c r="J64" s="220">
        <f>Levers!G24</f>
        <v>202795.3</v>
      </c>
      <c r="K64" s="220">
        <f>Levers!H24</f>
        <v>203551.6</v>
      </c>
      <c r="L64" s="220">
        <f>Levers!I24</f>
        <v>205820.5</v>
      </c>
      <c r="M64" s="30"/>
      <c r="N64" s="119"/>
      <c r="O64" s="30"/>
      <c r="P64" s="30"/>
      <c r="Q64" s="30"/>
      <c r="R64" s="30"/>
      <c r="S64" s="30"/>
      <c r="T64" s="30"/>
      <c r="U64" s="30"/>
      <c r="V64" s="30"/>
      <c r="W64" s="30"/>
      <c r="X64" s="30"/>
      <c r="Y64" s="30"/>
      <c r="Z64" s="30"/>
    </row>
    <row r="65" ht="13.5" customHeight="1">
      <c r="A65" s="111">
        <f t="shared" si="1"/>
        <v>65</v>
      </c>
      <c r="B65" s="30"/>
      <c r="C65" s="30" t="s">
        <v>1030</v>
      </c>
      <c r="D65" s="140">
        <f>Levers!B25</f>
        <v>304.9030098</v>
      </c>
      <c r="E65" s="140"/>
      <c r="F65" s="220"/>
      <c r="G65" s="220">
        <f>Levers!D25</f>
        <v>304.6189873</v>
      </c>
      <c r="H65" s="220">
        <f>Levers!E25</f>
        <v>303.5604651</v>
      </c>
      <c r="I65" s="220">
        <f>Levers!F25</f>
        <v>316.7656672</v>
      </c>
      <c r="J65" s="220">
        <f>Levers!G25</f>
        <v>301.330312</v>
      </c>
      <c r="K65" s="220">
        <f>Levers!H25</f>
        <v>301.1118343</v>
      </c>
      <c r="L65" s="220">
        <f>Levers!I25</f>
        <v>300.4678832</v>
      </c>
      <c r="M65" s="30"/>
      <c r="N65" s="119"/>
      <c r="O65" s="30"/>
      <c r="P65" s="30"/>
      <c r="Q65" s="30"/>
      <c r="R65" s="30"/>
      <c r="S65" s="30"/>
      <c r="T65" s="30"/>
      <c r="U65" s="30"/>
      <c r="V65" s="30"/>
      <c r="W65" s="30"/>
      <c r="X65" s="30"/>
      <c r="Y65" s="30"/>
      <c r="Z65" s="30"/>
    </row>
    <row r="66" ht="29.25" customHeight="1">
      <c r="A66" s="111">
        <f t="shared" si="1"/>
        <v>66</v>
      </c>
      <c r="B66" s="30"/>
      <c r="C66" s="702" t="s">
        <v>1031</v>
      </c>
      <c r="D66" s="140">
        <f>Levers!B26</f>
        <v>47638618.33</v>
      </c>
      <c r="E66" s="140"/>
      <c r="F66" s="220">
        <f>Levers!C26</f>
        <v>6245598.38</v>
      </c>
      <c r="G66" s="220">
        <f>Levers!D26</f>
        <v>6599598.803</v>
      </c>
      <c r="H66" s="220">
        <f>Levers!E26</f>
        <v>6721574.248</v>
      </c>
      <c r="I66" s="220">
        <f>Levers!F26</f>
        <v>6928054.231</v>
      </c>
      <c r="J66" s="220">
        <f>Levers!G26</f>
        <v>6994350.59</v>
      </c>
      <c r="K66" s="220">
        <f>Levers!H26</f>
        <v>7032498.769</v>
      </c>
      <c r="L66" s="220">
        <f>Levers!I26</f>
        <v>7116943.308</v>
      </c>
      <c r="M66" s="30"/>
      <c r="N66" s="119"/>
      <c r="O66" s="30"/>
      <c r="P66" s="30"/>
      <c r="Q66" s="30"/>
      <c r="R66" s="30"/>
      <c r="S66" s="30"/>
      <c r="T66" s="30"/>
      <c r="U66" s="30"/>
      <c r="V66" s="30"/>
      <c r="W66" s="30"/>
      <c r="X66" s="30"/>
      <c r="Y66" s="30"/>
      <c r="Z66" s="30"/>
    </row>
    <row r="67" ht="29.25" customHeight="1">
      <c r="A67" s="111">
        <f t="shared" si="1"/>
        <v>67</v>
      </c>
      <c r="B67" s="30"/>
      <c r="C67" s="702" t="s">
        <v>1032</v>
      </c>
      <c r="D67" s="140">
        <f>Levers!B27</f>
        <v>10390.10214</v>
      </c>
      <c r="E67" s="140"/>
      <c r="F67" s="220"/>
      <c r="G67" s="220">
        <f>Levers!D27</f>
        <v>10442.40317</v>
      </c>
      <c r="H67" s="220">
        <f>Levers!E27</f>
        <v>10421.04534</v>
      </c>
      <c r="I67" s="220">
        <f>Levers!F27</f>
        <v>10386.8879</v>
      </c>
      <c r="J67" s="220">
        <f>Levers!G27</f>
        <v>10392.79434</v>
      </c>
      <c r="K67" s="220">
        <f>Levers!H27</f>
        <v>10403.10469</v>
      </c>
      <c r="L67" s="220">
        <f>Levers!I27</f>
        <v>10389.69826</v>
      </c>
      <c r="M67" s="30"/>
      <c r="N67" s="119"/>
      <c r="O67" s="30"/>
      <c r="P67" s="30"/>
      <c r="Q67" s="30"/>
      <c r="R67" s="30"/>
      <c r="S67" s="30"/>
      <c r="T67" s="30"/>
      <c r="U67" s="30"/>
      <c r="V67" s="30"/>
      <c r="W67" s="30"/>
      <c r="X67" s="30"/>
      <c r="Y67" s="30"/>
      <c r="Z67" s="30"/>
    </row>
    <row r="68" ht="13.5" customHeight="1">
      <c r="A68" s="111">
        <f t="shared" si="1"/>
        <v>68</v>
      </c>
      <c r="B68" s="30"/>
      <c r="C68" s="30" t="s">
        <v>633</v>
      </c>
      <c r="D68" s="140">
        <f>Levers!B38</f>
        <v>1869434.156</v>
      </c>
      <c r="E68" s="140"/>
      <c r="F68" s="220">
        <f>Levers!C38</f>
        <v>26180.0113</v>
      </c>
      <c r="G68" s="220">
        <f>Levers!D38</f>
        <v>239028.9313</v>
      </c>
      <c r="H68" s="220">
        <f>Levers!E38</f>
        <v>243129.4016</v>
      </c>
      <c r="I68" s="220">
        <f>Levers!F38</f>
        <v>431611.6831</v>
      </c>
      <c r="J68" s="220">
        <f>Levers!G38</f>
        <v>378880.2193</v>
      </c>
      <c r="K68" s="220">
        <f>Levers!H38</f>
        <v>295358.2485</v>
      </c>
      <c r="L68" s="220">
        <f>Levers!I38</f>
        <v>255245.6612</v>
      </c>
      <c r="M68" s="30"/>
      <c r="N68" s="119"/>
      <c r="O68" s="30"/>
      <c r="P68" s="30"/>
      <c r="Q68" s="30"/>
      <c r="R68" s="30"/>
      <c r="S68" s="30"/>
      <c r="T68" s="30"/>
      <c r="U68" s="30"/>
      <c r="V68" s="30"/>
      <c r="W68" s="30"/>
      <c r="X68" s="30"/>
      <c r="Y68" s="30"/>
      <c r="Z68" s="30"/>
    </row>
    <row r="69" ht="30.75" customHeight="1">
      <c r="A69" s="111">
        <f t="shared" si="1"/>
        <v>69</v>
      </c>
      <c r="B69" s="30"/>
      <c r="C69" s="702" t="s">
        <v>634</v>
      </c>
      <c r="D69" s="140">
        <f>Levers!B39</f>
        <v>407.7282784</v>
      </c>
      <c r="E69" s="140"/>
      <c r="F69" s="220">
        <f>Levers!C39</f>
        <v>43.13016689</v>
      </c>
      <c r="G69" s="220">
        <f>Levers!D39</f>
        <v>378.2103344</v>
      </c>
      <c r="H69" s="220">
        <f>Levers!E39</f>
        <v>376.9448086</v>
      </c>
      <c r="I69" s="220">
        <f>Levers!F39</f>
        <v>647.0939777</v>
      </c>
      <c r="J69" s="220">
        <f>Levers!G39</f>
        <v>562.972094</v>
      </c>
      <c r="K69" s="220">
        <f>Levers!H39</f>
        <v>436.9204859</v>
      </c>
      <c r="L69" s="220">
        <f>Levers!I39</f>
        <v>372.6214032</v>
      </c>
      <c r="M69" s="30"/>
      <c r="N69" s="119"/>
      <c r="O69" s="30"/>
      <c r="P69" s="30"/>
      <c r="Q69" s="30"/>
      <c r="R69" s="30"/>
      <c r="S69" s="30"/>
      <c r="T69" s="30"/>
      <c r="U69" s="30"/>
      <c r="V69" s="30"/>
      <c r="W69" s="30"/>
      <c r="X69" s="30"/>
      <c r="Y69" s="30"/>
      <c r="Z69" s="30"/>
    </row>
    <row r="70" ht="13.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ht="13.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ht="13.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ht="13.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ht="13.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ht="13.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ht="13.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ht="13.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ht="13.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ht="13.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ht="13.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ht="13.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ht="13.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ht="13.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ht="13.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ht="13.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ht="13.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ht="13.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ht="13.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ht="13.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ht="13.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4">
    <mergeCell ref="A1:B1"/>
    <mergeCell ref="F2:L2"/>
    <mergeCell ref="F3:L3"/>
    <mergeCell ref="F4:L4"/>
  </mergeCells>
  <conditionalFormatting sqref="D1">
    <cfRule type="expression" dxfId="2" priority="1" stopIfTrue="1">
      <formula>MOD(ROW(),2)=0</formula>
    </cfRule>
  </conditionalFormatting>
  <conditionalFormatting sqref="O1:Z1">
    <cfRule type="cellIs" dxfId="1" priority="2" stopIfTrue="1" operator="equal">
      <formula>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rowBreaks count="1" manualBreakCount="1">
    <brk id="44" man="1"/>
  </rowBreak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5.43"/>
    <col customWidth="1" min="2" max="2" width="57.43"/>
    <col customWidth="1" min="3" max="3" width="12.29"/>
    <col customWidth="1" min="4" max="4" width="8.71"/>
    <col customWidth="1" min="5" max="5" width="11.29"/>
    <col customWidth="1" min="6" max="7" width="12.71"/>
    <col customWidth="1" min="8" max="8" width="12.43"/>
    <col customWidth="1" min="9" max="12" width="12.71"/>
    <col customWidth="1" min="13" max="13" width="4.71"/>
    <col customWidth="1" min="14" max="14" width="56.71"/>
    <col customWidth="1" min="15" max="39" width="8.71"/>
  </cols>
  <sheetData>
    <row r="1" ht="13.5" customHeight="1">
      <c r="A1" s="217" t="s">
        <v>1033</v>
      </c>
      <c r="B1" s="719"/>
      <c r="C1" s="219" t="s">
        <v>3</v>
      </c>
      <c r="D1" s="164" t="s">
        <v>1034</v>
      </c>
      <c r="E1" s="30"/>
      <c r="F1" s="30"/>
      <c r="G1" s="30"/>
      <c r="H1" s="30"/>
      <c r="I1" s="30"/>
      <c r="J1" s="30"/>
      <c r="K1" s="95"/>
      <c r="L1" s="30"/>
      <c r="M1" s="30"/>
      <c r="N1" s="30"/>
      <c r="O1" s="30"/>
      <c r="P1" s="30"/>
      <c r="Q1" s="30"/>
      <c r="R1" s="30"/>
      <c r="S1" s="30"/>
      <c r="T1" s="30"/>
      <c r="U1" s="30"/>
      <c r="V1" s="30"/>
      <c r="W1" s="30"/>
      <c r="X1" s="30"/>
      <c r="Y1" s="5" t="str">
        <f t="array" ref="Y1">CELL("protect",A1)</f>
        <v>#VALUE!</v>
      </c>
      <c r="Z1" s="5" t="str">
        <f t="array" ref="Z1">CELL("protect",B1)</f>
        <v>#VALUE!</v>
      </c>
      <c r="AA1" s="5" t="str">
        <f t="array" ref="AA1">CELL("protect",C1)</f>
        <v>#VALUE!</v>
      </c>
      <c r="AB1" s="5" t="str">
        <f t="array" ref="AB1">CELL("protect",D1)</f>
        <v>#VALUE!</v>
      </c>
      <c r="AC1" s="5" t="str">
        <f t="array" ref="AC1">CELL("protect",E1)</f>
        <v>#VALUE!</v>
      </c>
      <c r="AD1" s="5" t="str">
        <f t="array" ref="AD1">CELL("protect",F1)</f>
        <v>#VALUE!</v>
      </c>
      <c r="AE1" s="5" t="str">
        <f t="array" ref="AE1">CELL("protect",G1)</f>
        <v>#VALUE!</v>
      </c>
      <c r="AF1" s="5" t="str">
        <f t="array" ref="AF1">CELL("protect",H1)</f>
        <v>#VALUE!</v>
      </c>
      <c r="AG1" s="5" t="str">
        <f t="array" ref="AG1">CELL("protect",I1)</f>
        <v>#VALUE!</v>
      </c>
      <c r="AH1" s="5" t="str">
        <f t="array" ref="AH1">CELL("protect",J1)</f>
        <v>#VALUE!</v>
      </c>
      <c r="AI1" s="5" t="str">
        <f t="array" ref="AI1">CELL("protect",K1)</f>
        <v>#VALUE!</v>
      </c>
      <c r="AJ1" s="5" t="str">
        <f t="array" ref="AJ1">CELL("protect",L1)</f>
        <v>#VALUE!</v>
      </c>
      <c r="AK1" s="5"/>
      <c r="AL1" s="5"/>
      <c r="AM1" s="5"/>
    </row>
    <row r="2" ht="13.5" customHeight="1">
      <c r="A2" s="96" t="str">
        <f>SchoolName</f>
        <v>Explore Knowledge Academy</v>
      </c>
      <c r="B2" s="1165"/>
      <c r="C2" s="30"/>
      <c r="D2" s="30"/>
      <c r="E2" s="30"/>
      <c r="F2" s="30"/>
      <c r="G2" s="30"/>
      <c r="H2" s="30"/>
      <c r="I2" s="30"/>
      <c r="J2" s="30"/>
      <c r="K2" s="30"/>
      <c r="L2" s="30"/>
      <c r="M2" s="30"/>
      <c r="N2" s="30"/>
      <c r="O2" s="30"/>
      <c r="P2" s="30"/>
      <c r="Q2" s="30"/>
      <c r="R2" s="30"/>
      <c r="S2" s="30"/>
      <c r="T2" s="30"/>
      <c r="U2" s="30"/>
      <c r="V2" s="30"/>
      <c r="W2" s="30"/>
      <c r="X2" s="30"/>
      <c r="Y2" s="5" t="str">
        <f t="array" ref="Y2">CELL("protect",A2)</f>
        <v>#VALUE!</v>
      </c>
      <c r="Z2" s="5" t="str">
        <f t="array" ref="Z2">CELL("protect",B2)</f>
        <v>#VALUE!</v>
      </c>
      <c r="AA2" s="5" t="str">
        <f t="array" ref="AA2">CELL("protect",C2)</f>
        <v>#VALUE!</v>
      </c>
      <c r="AB2" s="5" t="str">
        <f t="array" ref="AB2">CELL("protect",D2)</f>
        <v>#VALUE!</v>
      </c>
      <c r="AC2" s="5" t="str">
        <f t="array" ref="AC2">CELL("protect",E2)</f>
        <v>#VALUE!</v>
      </c>
      <c r="AD2" s="5" t="str">
        <f t="array" ref="AD2">CELL("protect",F2)</f>
        <v>#VALUE!</v>
      </c>
      <c r="AE2" s="5" t="str">
        <f t="array" ref="AE2">CELL("protect",G2)</f>
        <v>#VALUE!</v>
      </c>
      <c r="AF2" s="5" t="str">
        <f t="array" ref="AF2">CELL("protect",H2)</f>
        <v>#VALUE!</v>
      </c>
      <c r="AG2" s="5" t="str">
        <f t="array" ref="AG2">CELL("protect",I2)</f>
        <v>#VALUE!</v>
      </c>
      <c r="AH2" s="5" t="str">
        <f t="array" ref="AH2">CELL("protect",J2)</f>
        <v>#VALUE!</v>
      </c>
      <c r="AI2" s="5" t="str">
        <f t="array" ref="AI2">CELL("protect",K2)</f>
        <v>#VALUE!</v>
      </c>
      <c r="AJ2" s="5" t="str">
        <f t="array" ref="AJ2">CELL("protect",L2)</f>
        <v>#VALUE!</v>
      </c>
      <c r="AK2" s="5"/>
      <c r="AL2" s="5"/>
      <c r="AM2" s="5"/>
    </row>
    <row r="3" ht="13.5" customHeight="1">
      <c r="A3" s="95" t="s">
        <v>134</v>
      </c>
      <c r="B3" s="30"/>
      <c r="C3" s="30"/>
      <c r="D3" s="30"/>
      <c r="E3" s="30"/>
      <c r="F3" s="30"/>
      <c r="G3" s="30"/>
      <c r="H3" s="30"/>
      <c r="I3" s="30"/>
      <c r="J3" s="30"/>
      <c r="K3" s="30"/>
      <c r="L3" s="30"/>
      <c r="M3" s="30"/>
      <c r="N3" s="30"/>
      <c r="O3" s="30"/>
      <c r="P3" s="30"/>
      <c r="Q3" s="30"/>
      <c r="R3" s="30"/>
      <c r="S3" s="30"/>
      <c r="T3" s="30"/>
      <c r="U3" s="30"/>
      <c r="V3" s="30"/>
      <c r="W3" s="30"/>
      <c r="X3" s="30"/>
      <c r="Y3" s="5" t="str">
        <f t="array" ref="Y3">CELL("protect",A3)</f>
        <v>#VALUE!</v>
      </c>
      <c r="Z3" s="5" t="str">
        <f t="array" ref="Z3">CELL("protect",B3)</f>
        <v>#VALUE!</v>
      </c>
      <c r="AA3" s="5" t="str">
        <f t="array" ref="AA3">CELL("protect",C3)</f>
        <v>#VALUE!</v>
      </c>
      <c r="AB3" s="5" t="str">
        <f t="array" ref="AB3">CELL("protect",D3)</f>
        <v>#VALUE!</v>
      </c>
      <c r="AC3" s="5" t="str">
        <f t="array" ref="AC3">CELL("protect",E3)</f>
        <v>#VALUE!</v>
      </c>
      <c r="AD3" s="5" t="str">
        <f t="array" ref="AD3">CELL("protect",F3)</f>
        <v>#VALUE!</v>
      </c>
      <c r="AE3" s="5" t="str">
        <f t="array" ref="AE3">CELL("protect",G3)</f>
        <v>#VALUE!</v>
      </c>
      <c r="AF3" s="5" t="str">
        <f t="array" ref="AF3">CELL("protect",H3)</f>
        <v>#VALUE!</v>
      </c>
      <c r="AG3" s="5" t="str">
        <f t="array" ref="AG3">CELL("protect",I3)</f>
        <v>#VALUE!</v>
      </c>
      <c r="AH3" s="5" t="str">
        <f t="array" ref="AH3">CELL("protect",J3)</f>
        <v>#VALUE!</v>
      </c>
      <c r="AI3" s="5" t="str">
        <f t="array" ref="AI3">CELL("protect",K3)</f>
        <v>#VALUE!</v>
      </c>
      <c r="AJ3" s="5" t="str">
        <f t="array" ref="AJ3">CELL("protect",L3)</f>
        <v>#VALUE!</v>
      </c>
      <c r="AK3" s="5"/>
      <c r="AL3" s="5"/>
      <c r="AM3" s="5"/>
    </row>
    <row r="4" ht="13.5" customHeight="1">
      <c r="A4" s="222" t="s">
        <v>135</v>
      </c>
      <c r="B4" s="30"/>
      <c r="C4" s="30"/>
      <c r="D4" s="30"/>
      <c r="E4" s="30"/>
      <c r="F4" s="30"/>
      <c r="G4" s="30"/>
      <c r="H4" s="30"/>
      <c r="I4" s="30"/>
      <c r="J4" s="30"/>
      <c r="K4" s="30"/>
      <c r="L4" s="30"/>
      <c r="M4" s="30"/>
      <c r="N4" s="30"/>
      <c r="O4" s="30"/>
      <c r="P4" s="30"/>
      <c r="Q4" s="30"/>
      <c r="R4" s="30"/>
      <c r="S4" s="30"/>
      <c r="T4" s="30"/>
      <c r="U4" s="30"/>
      <c r="V4" s="30"/>
      <c r="W4" s="30"/>
      <c r="X4" s="30"/>
      <c r="Y4" s="5" t="str">
        <f t="array" ref="Y4">CELL("protect",A4)</f>
        <v>#VALUE!</v>
      </c>
      <c r="Z4" s="5" t="str">
        <f t="array" ref="Z4">CELL("protect",B4)</f>
        <v>#VALUE!</v>
      </c>
      <c r="AA4" s="5" t="str">
        <f t="array" ref="AA4">CELL("protect",C4)</f>
        <v>#VALUE!</v>
      </c>
      <c r="AB4" s="5" t="str">
        <f t="array" ref="AB4">CELL("protect",D4)</f>
        <v>#VALUE!</v>
      </c>
      <c r="AC4" s="5" t="str">
        <f t="array" ref="AC4">CELL("protect",E4)</f>
        <v>#VALUE!</v>
      </c>
      <c r="AD4" s="5" t="str">
        <f t="array" ref="AD4">CELL("protect",F4)</f>
        <v>#VALUE!</v>
      </c>
      <c r="AE4" s="5" t="str">
        <f t="array" ref="AE4">CELL("protect",G4)</f>
        <v>#VALUE!</v>
      </c>
      <c r="AF4" s="5" t="str">
        <f t="array" ref="AF4">CELL("protect",H4)</f>
        <v>#VALUE!</v>
      </c>
      <c r="AG4" s="5" t="str">
        <f t="array" ref="AG4">CELL("protect",I4)</f>
        <v>#VALUE!</v>
      </c>
      <c r="AH4" s="5" t="str">
        <f t="array" ref="AH4">CELL("protect",J4)</f>
        <v>#VALUE!</v>
      </c>
      <c r="AI4" s="5" t="str">
        <f t="array" ref="AI4">CELL("protect",K4)</f>
        <v>#VALUE!</v>
      </c>
      <c r="AJ4" s="5" t="str">
        <f t="array" ref="AJ4">CELL("protect",L4)</f>
        <v>#VALUE!</v>
      </c>
      <c r="AK4" s="5"/>
      <c r="AL4" s="5"/>
      <c r="AM4" s="5"/>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5" t="str">
        <f t="array" ref="Y5">CELL("protect",A5)</f>
        <v>#VALUE!</v>
      </c>
      <c r="Z5" s="5" t="str">
        <f t="array" ref="Z5">CELL("protect",B5)</f>
        <v>#VALUE!</v>
      </c>
      <c r="AA5" s="5" t="str">
        <f t="array" ref="AA5">CELL("protect",C5)</f>
        <v>#VALUE!</v>
      </c>
      <c r="AB5" s="5" t="str">
        <f t="array" ref="AB5">CELL("protect",D5)</f>
        <v>#VALUE!</v>
      </c>
      <c r="AC5" s="5" t="str">
        <f t="array" ref="AC5">CELL("protect",E5)</f>
        <v>#VALUE!</v>
      </c>
      <c r="AD5" s="5" t="str">
        <f t="array" ref="AD5">CELL("protect",F5)</f>
        <v>#VALUE!</v>
      </c>
      <c r="AE5" s="5" t="str">
        <f t="array" ref="AE5">CELL("protect",G5)</f>
        <v>#VALUE!</v>
      </c>
      <c r="AF5" s="5" t="str">
        <f t="array" ref="AF5">CELL("protect",H5)</f>
        <v>#VALUE!</v>
      </c>
      <c r="AG5" s="5" t="str">
        <f t="array" ref="AG5">CELL("protect",I5)</f>
        <v>#VALUE!</v>
      </c>
      <c r="AH5" s="5" t="str">
        <f t="array" ref="AH5">CELL("protect",J5)</f>
        <v>#VALUE!</v>
      </c>
      <c r="AI5" s="5" t="str">
        <f t="array" ref="AI5">CELL("protect",K5)</f>
        <v>#VALUE!</v>
      </c>
      <c r="AJ5" s="5" t="str">
        <f t="array" ref="AJ5">CELL("protect",L5)</f>
        <v>#VALUE!</v>
      </c>
      <c r="AK5" s="5"/>
      <c r="AL5" s="5"/>
      <c r="AM5" s="5"/>
    </row>
    <row r="6" ht="13.5" customHeight="1">
      <c r="A6" s="30"/>
      <c r="B6" s="30"/>
      <c r="C6" s="30"/>
      <c r="D6" s="30"/>
      <c r="E6" s="30"/>
      <c r="F6" s="63" t="s">
        <v>1035</v>
      </c>
      <c r="G6" s="164" t="s">
        <v>1036</v>
      </c>
      <c r="H6" s="30"/>
      <c r="I6" s="30"/>
      <c r="J6" s="30"/>
      <c r="K6" s="30"/>
      <c r="L6" s="30"/>
      <c r="M6" s="30"/>
      <c r="N6" s="30"/>
      <c r="O6" s="30"/>
      <c r="P6" s="30"/>
      <c r="Q6" s="30"/>
      <c r="R6" s="30"/>
      <c r="S6" s="30"/>
      <c r="T6" s="30"/>
      <c r="U6" s="30"/>
      <c r="V6" s="30"/>
      <c r="W6" s="30"/>
      <c r="X6" s="30"/>
      <c r="Y6" s="5" t="str">
        <f t="array" ref="Y6">CELL("protect",A6)</f>
        <v>#VALUE!</v>
      </c>
      <c r="Z6" s="5" t="str">
        <f t="array" ref="Z6">CELL("protect",B6)</f>
        <v>#VALUE!</v>
      </c>
      <c r="AA6" s="5" t="str">
        <f t="array" ref="AA6">CELL("protect",C6)</f>
        <v>#VALUE!</v>
      </c>
      <c r="AB6" s="5" t="str">
        <f t="array" ref="AB6">CELL("protect",D6)</f>
        <v>#VALUE!</v>
      </c>
      <c r="AC6" s="5" t="str">
        <f t="array" ref="AC6">CELL("protect",E6)</f>
        <v>#VALUE!</v>
      </c>
      <c r="AD6" s="5" t="str">
        <f t="array" ref="AD6">CELL("protect",F6)</f>
        <v>#VALUE!</v>
      </c>
      <c r="AE6" s="5" t="str">
        <f t="array" ref="AE6">CELL("protect",G6)</f>
        <v>#VALUE!</v>
      </c>
      <c r="AF6" s="5" t="str">
        <f t="array" ref="AF6">CELL("protect",H6)</f>
        <v>#VALUE!</v>
      </c>
      <c r="AG6" s="5" t="str">
        <f t="array" ref="AG6">CELL("protect",I6)</f>
        <v>#VALUE!</v>
      </c>
      <c r="AH6" s="5" t="str">
        <f t="array" ref="AH6">CELL("protect",J6)</f>
        <v>#VALUE!</v>
      </c>
      <c r="AI6" s="5" t="str">
        <f t="array" ref="AI6">CELL("protect",K6)</f>
        <v>#VALUE!</v>
      </c>
      <c r="AJ6" s="5" t="str">
        <f t="array" ref="AJ6">CELL("protect",L6)</f>
        <v>#VALUE!</v>
      </c>
      <c r="AK6" s="5"/>
      <c r="AL6" s="5"/>
      <c r="AM6" s="5"/>
    </row>
    <row r="7" ht="13.5" customHeight="1">
      <c r="A7" s="30"/>
      <c r="B7" s="1187" t="s">
        <v>1037</v>
      </c>
      <c r="C7" s="1188" t="s">
        <v>1038</v>
      </c>
      <c r="D7" s="1189" t="s">
        <v>1039</v>
      </c>
      <c r="E7" s="1190" t="s">
        <v>450</v>
      </c>
      <c r="F7" s="545">
        <v>0.0</v>
      </c>
      <c r="G7" s="1166">
        <v>1.0</v>
      </c>
      <c r="H7" s="1166">
        <f t="shared" ref="H7:L7" si="1">+G7+1</f>
        <v>2</v>
      </c>
      <c r="I7" s="1166">
        <f t="shared" si="1"/>
        <v>3</v>
      </c>
      <c r="J7" s="1166">
        <f t="shared" si="1"/>
        <v>4</v>
      </c>
      <c r="K7" s="1166">
        <f t="shared" si="1"/>
        <v>5</v>
      </c>
      <c r="L7" s="1167">
        <f t="shared" si="1"/>
        <v>6</v>
      </c>
      <c r="M7" s="30"/>
      <c r="N7" s="36" t="s">
        <v>85</v>
      </c>
      <c r="O7" s="30"/>
      <c r="P7" s="30"/>
      <c r="Q7" s="30"/>
      <c r="R7" s="30"/>
      <c r="S7" s="30"/>
      <c r="T7" s="30"/>
      <c r="U7" s="30"/>
      <c r="V7" s="30"/>
      <c r="W7" s="30"/>
      <c r="X7" s="30"/>
      <c r="Y7" s="5" t="str">
        <f t="array" ref="Y7">CELL("protect",A7)</f>
        <v>#VALUE!</v>
      </c>
      <c r="Z7" s="5" t="str">
        <f t="array" ref="Z7">CELL("protect",B7)</f>
        <v>#VALUE!</v>
      </c>
      <c r="AA7" s="5" t="str">
        <f t="array" ref="AA7">CELL("protect",C7)</f>
        <v>#VALUE!</v>
      </c>
      <c r="AB7" s="5" t="str">
        <f t="array" ref="AB7">CELL("protect",D7)</f>
        <v>#VALUE!</v>
      </c>
      <c r="AC7" s="5" t="str">
        <f t="array" ref="AC7">CELL("protect",E7)</f>
        <v>#VALUE!</v>
      </c>
      <c r="AD7" s="5" t="str">
        <f t="array" ref="AD7">CELL("protect",F7)</f>
        <v>#VALUE!</v>
      </c>
      <c r="AE7" s="5" t="str">
        <f t="array" ref="AE7">CELL("protect",G7)</f>
        <v>#VALUE!</v>
      </c>
      <c r="AF7" s="5" t="str">
        <f t="array" ref="AF7">CELL("protect",H7)</f>
        <v>#VALUE!</v>
      </c>
      <c r="AG7" s="5" t="str">
        <f t="array" ref="AG7">CELL("protect",I7)</f>
        <v>#VALUE!</v>
      </c>
      <c r="AH7" s="5" t="str">
        <f t="array" ref="AH7">CELL("protect",J7)</f>
        <v>#VALUE!</v>
      </c>
      <c r="AI7" s="5" t="str">
        <f t="array" ref="AI7">CELL("protect",K7)</f>
        <v>#VALUE!</v>
      </c>
      <c r="AJ7" s="5" t="str">
        <f t="array" ref="AJ7">CELL("protect",L7)</f>
        <v>#VALUE!</v>
      </c>
      <c r="AK7" s="5"/>
      <c r="AL7" s="5"/>
      <c r="AM7" s="5"/>
    </row>
    <row r="8" ht="13.5" customHeight="1">
      <c r="A8" s="30"/>
      <c r="B8" s="1191"/>
      <c r="C8" s="1192"/>
      <c r="D8" s="1189"/>
      <c r="E8" s="1193"/>
      <c r="F8" s="1168">
        <f>+'FFE&amp;T'!F7</f>
        <v>2024</v>
      </c>
      <c r="G8" s="1168">
        <f>+'FFE&amp;T'!G7</f>
        <v>2025</v>
      </c>
      <c r="H8" s="1169">
        <f>+'FFE&amp;T'!H7</f>
        <v>2026</v>
      </c>
      <c r="I8" s="1169">
        <f>+'FFE&amp;T'!I7</f>
        <v>2027</v>
      </c>
      <c r="J8" s="1169">
        <f>+'FFE&amp;T'!J7</f>
        <v>2028</v>
      </c>
      <c r="K8" s="1169">
        <f>+'FFE&amp;T'!K7</f>
        <v>2029</v>
      </c>
      <c r="L8" s="1170">
        <f>+'FFE&amp;T'!L7</f>
        <v>2030</v>
      </c>
      <c r="M8" s="30"/>
      <c r="N8" s="63"/>
      <c r="O8" s="30"/>
      <c r="P8" s="30"/>
      <c r="Q8" s="30"/>
      <c r="R8" s="30"/>
      <c r="S8" s="30"/>
      <c r="T8" s="30"/>
      <c r="U8" s="30"/>
      <c r="V8" s="30"/>
      <c r="W8" s="30"/>
      <c r="X8" s="30"/>
      <c r="Y8" s="5"/>
      <c r="Z8" s="5"/>
      <c r="AA8" s="5"/>
      <c r="AB8" s="5"/>
      <c r="AC8" s="5"/>
      <c r="AD8" s="5"/>
      <c r="AE8" s="5"/>
      <c r="AF8" s="5"/>
      <c r="AG8" s="5"/>
      <c r="AH8" s="5"/>
      <c r="AI8" s="5"/>
      <c r="AJ8" s="5"/>
      <c r="AK8" s="5"/>
      <c r="AL8" s="5"/>
      <c r="AM8" s="5"/>
    </row>
    <row r="9" ht="13.5" customHeight="1">
      <c r="A9" s="63"/>
      <c r="B9" s="1194" t="s">
        <v>1040</v>
      </c>
      <c r="C9" s="1172" t="s">
        <v>1041</v>
      </c>
      <c r="D9" s="1189" t="s">
        <v>1042</v>
      </c>
      <c r="E9" s="1195" t="s">
        <v>1043</v>
      </c>
      <c r="F9" s="1171">
        <f>' Enrol &amp; Rev'!F11</f>
        <v>2025</v>
      </c>
      <c r="G9" s="1171">
        <f>' Enrol &amp; Rev'!G11</f>
        <v>2026</v>
      </c>
      <c r="H9" s="1172">
        <f>' Enrol &amp; Rev'!H11</f>
        <v>2027</v>
      </c>
      <c r="I9" s="1172">
        <f>' Enrol &amp; Rev'!I11</f>
        <v>2028</v>
      </c>
      <c r="J9" s="1172">
        <f>' Enrol &amp; Rev'!J11</f>
        <v>2029</v>
      </c>
      <c r="K9" s="1172">
        <f>' Enrol &amp; Rev'!K11</f>
        <v>2030</v>
      </c>
      <c r="L9" s="1173">
        <f>' Enrol &amp; Rev'!L11</f>
        <v>2031</v>
      </c>
      <c r="M9" s="63"/>
      <c r="N9" s="116"/>
      <c r="O9" s="63"/>
      <c r="P9" s="63"/>
      <c r="Q9" s="63"/>
      <c r="R9" s="63"/>
      <c r="S9" s="63"/>
      <c r="T9" s="63"/>
      <c r="U9" s="63"/>
      <c r="V9" s="63"/>
      <c r="W9" s="63"/>
      <c r="X9" s="63"/>
      <c r="Y9" s="5" t="str">
        <f t="array" ref="Y9">CELL("protect",A9)</f>
        <v>#VALUE!</v>
      </c>
      <c r="Z9" s="5" t="str">
        <f t="array" ref="Z9">CELL("protect",B9)</f>
        <v>#VALUE!</v>
      </c>
      <c r="AA9" s="5" t="str">
        <f t="array" ref="AA9">CELL("protect",C9)</f>
        <v>#VALUE!</v>
      </c>
      <c r="AB9" s="5" t="str">
        <f t="array" ref="AB9">CELL("protect",D9)</f>
        <v>#VALUE!</v>
      </c>
      <c r="AC9" s="5" t="str">
        <f t="array" ref="AC9">CELL("protect",E9)</f>
        <v>#VALUE!</v>
      </c>
      <c r="AD9" s="5" t="str">
        <f t="array" ref="AD9">CELL("protect",F9)</f>
        <v>#VALUE!</v>
      </c>
      <c r="AE9" s="5" t="str">
        <f t="array" ref="AE9">CELL("protect",G9)</f>
        <v>#VALUE!</v>
      </c>
      <c r="AF9" s="5" t="str">
        <f t="array" ref="AF9">CELL("protect",H9)</f>
        <v>#VALUE!</v>
      </c>
      <c r="AG9" s="5" t="str">
        <f t="array" ref="AG9">CELL("protect",I9)</f>
        <v>#VALUE!</v>
      </c>
      <c r="AH9" s="5" t="str">
        <f t="array" ref="AH9">CELL("protect",J9)</f>
        <v>#VALUE!</v>
      </c>
      <c r="AI9" s="5" t="str">
        <f t="array" ref="AI9">CELL("protect",K9)</f>
        <v>#VALUE!</v>
      </c>
      <c r="AJ9" s="5" t="str">
        <f t="array" ref="AJ9">CELL("protect",L9)</f>
        <v>#VALUE!</v>
      </c>
      <c r="AK9" s="5"/>
      <c r="AL9" s="5"/>
      <c r="AM9" s="5"/>
    </row>
    <row r="10" ht="13.5" customHeight="1">
      <c r="A10" s="1196"/>
      <c r="B10" s="1197"/>
      <c r="C10" s="1198"/>
      <c r="D10" s="1198"/>
      <c r="E10" s="140"/>
      <c r="F10" s="1199"/>
      <c r="G10" s="1199"/>
      <c r="H10" s="1200"/>
      <c r="I10" s="1200"/>
      <c r="J10" s="1200"/>
      <c r="K10" s="1200"/>
      <c r="L10" s="1200"/>
      <c r="M10" s="30"/>
      <c r="N10" s="119" t="s">
        <v>1044</v>
      </c>
      <c r="O10" s="30"/>
      <c r="P10" s="30"/>
      <c r="Q10" s="30"/>
      <c r="R10" s="30"/>
      <c r="S10" s="30"/>
      <c r="T10" s="30"/>
      <c r="U10" s="30"/>
      <c r="V10" s="30"/>
      <c r="W10" s="30"/>
      <c r="X10" s="30"/>
      <c r="Y10" s="5" t="str">
        <f t="array" ref="Y10">CELL("protect",A10)</f>
        <v>#VALUE!</v>
      </c>
      <c r="Z10" s="5" t="str">
        <f t="array" ref="Z10">CELL("protect",B10)</f>
        <v>#VALUE!</v>
      </c>
      <c r="AA10" s="5" t="str">
        <f t="array" ref="AA10">CELL("protect",C10)</f>
        <v>#VALUE!</v>
      </c>
      <c r="AB10" s="5" t="str">
        <f t="array" ref="AB10">CELL("protect",D10)</f>
        <v>#VALUE!</v>
      </c>
      <c r="AC10" s="5" t="str">
        <f t="array" ref="AC10">CELL("protect",E10)</f>
        <v>#VALUE!</v>
      </c>
      <c r="AD10" s="5" t="str">
        <f t="array" ref="AD10">CELL("protect",F10)</f>
        <v>#VALUE!</v>
      </c>
      <c r="AE10" s="5" t="str">
        <f t="array" ref="AE10">CELL("protect",G10)</f>
        <v>#VALUE!</v>
      </c>
      <c r="AF10" s="5" t="str">
        <f t="array" ref="AF10">CELL("protect",H10)</f>
        <v>#VALUE!</v>
      </c>
      <c r="AG10" s="5" t="str">
        <f t="array" ref="AG10">CELL("protect",I10)</f>
        <v>#VALUE!</v>
      </c>
      <c r="AH10" s="5" t="str">
        <f t="array" ref="AH10">CELL("protect",J10)</f>
        <v>#VALUE!</v>
      </c>
      <c r="AI10" s="5" t="str">
        <f t="array" ref="AI10">CELL("protect",K10)</f>
        <v>#VALUE!</v>
      </c>
      <c r="AJ10" s="5" t="str">
        <f t="array" ref="AJ10">CELL("protect",L10)</f>
        <v>#VALUE!</v>
      </c>
      <c r="AK10" s="5"/>
      <c r="AL10" s="5"/>
      <c r="AM10" s="5"/>
    </row>
    <row r="11" ht="13.5" customHeight="1">
      <c r="A11" s="1196">
        <f t="shared" ref="A11:A100" si="2">ROW()</f>
        <v>11</v>
      </c>
      <c r="B11" s="1201" t="s">
        <v>1045</v>
      </c>
      <c r="C11" s="1202"/>
      <c r="D11" s="1202"/>
      <c r="E11" s="220"/>
      <c r="F11" s="1203"/>
      <c r="G11" s="1203"/>
      <c r="H11" s="1204"/>
      <c r="I11" s="1204"/>
      <c r="J11" s="1204"/>
      <c r="K11" s="1204"/>
      <c r="L11" s="1204"/>
      <c r="M11" s="30"/>
      <c r="N11" s="119" t="s">
        <v>1046</v>
      </c>
      <c r="O11" s="30"/>
      <c r="P11" s="30"/>
      <c r="Q11" s="30"/>
      <c r="R11" s="30"/>
      <c r="S11" s="30"/>
      <c r="T11" s="30"/>
      <c r="U11" s="30"/>
      <c r="V11" s="30"/>
      <c r="W11" s="30"/>
      <c r="X11" s="30"/>
      <c r="Y11" s="5" t="str">
        <f t="array" ref="Y11">CELL("protect",A11)</f>
        <v>#VALUE!</v>
      </c>
      <c r="Z11" s="5" t="str">
        <f t="array" ref="Z11">CELL("protect",B11)</f>
        <v>#VALUE!</v>
      </c>
      <c r="AA11" s="5" t="str">
        <f t="array" ref="AA11">CELL("protect",C11)</f>
        <v>#VALUE!</v>
      </c>
      <c r="AB11" s="5" t="str">
        <f t="array" ref="AB11">CELL("protect",D11)</f>
        <v>#VALUE!</v>
      </c>
      <c r="AC11" s="5" t="str">
        <f t="array" ref="AC11">CELL("protect",E11)</f>
        <v>#VALUE!</v>
      </c>
      <c r="AD11" s="5" t="str">
        <f t="array" ref="AD11">CELL("protect",F11)</f>
        <v>#VALUE!</v>
      </c>
      <c r="AE11" s="5" t="str">
        <f t="array" ref="AE11">CELL("protect",G11)</f>
        <v>#VALUE!</v>
      </c>
      <c r="AF11" s="5" t="str">
        <f t="array" ref="AF11">CELL("protect",H11)</f>
        <v>#VALUE!</v>
      </c>
      <c r="AG11" s="5" t="str">
        <f t="array" ref="AG11">CELL("protect",I11)</f>
        <v>#VALUE!</v>
      </c>
      <c r="AH11" s="5" t="str">
        <f t="array" ref="AH11">CELL("protect",J11)</f>
        <v>#VALUE!</v>
      </c>
      <c r="AI11" s="5" t="str">
        <f t="array" ref="AI11">CELL("protect",K11)</f>
        <v>#VALUE!</v>
      </c>
      <c r="AJ11" s="5" t="str">
        <f t="array" ref="AJ11">CELL("protect",L11)</f>
        <v>#VALUE!</v>
      </c>
      <c r="AK11" s="5"/>
      <c r="AL11" s="5"/>
      <c r="AM11" s="5"/>
    </row>
    <row r="12" ht="13.5" customHeight="1">
      <c r="A12" s="1196">
        <f t="shared" si="2"/>
        <v>12</v>
      </c>
      <c r="B12" s="1205" t="s">
        <v>1047</v>
      </c>
      <c r="C12" s="1206">
        <v>0.0</v>
      </c>
      <c r="D12" s="1207">
        <v>0.0</v>
      </c>
      <c r="E12" s="1208">
        <f t="shared" ref="E12:E20" si="4">SUM(F12:L12)</f>
        <v>0</v>
      </c>
      <c r="F12" s="1209">
        <v>0.0</v>
      </c>
      <c r="G12" s="1210">
        <f t="shared" ref="G12:L12" si="3">+$D12</f>
        <v>0</v>
      </c>
      <c r="H12" s="1211">
        <f t="shared" si="3"/>
        <v>0</v>
      </c>
      <c r="I12" s="1211">
        <f t="shared" si="3"/>
        <v>0</v>
      </c>
      <c r="J12" s="1211">
        <f t="shared" si="3"/>
        <v>0</v>
      </c>
      <c r="K12" s="1211">
        <f t="shared" si="3"/>
        <v>0</v>
      </c>
      <c r="L12" s="1211">
        <f t="shared" si="3"/>
        <v>0</v>
      </c>
      <c r="M12" s="30"/>
      <c r="N12" s="119"/>
      <c r="O12" s="30"/>
      <c r="P12" s="30"/>
      <c r="Q12" s="30"/>
      <c r="R12" s="30"/>
      <c r="S12" s="30"/>
      <c r="T12" s="30"/>
      <c r="U12" s="30"/>
      <c r="V12" s="30"/>
      <c r="W12" s="30"/>
      <c r="X12" s="30"/>
      <c r="Y12" s="5" t="str">
        <f t="array" ref="Y12">CELL("protect",A12)</f>
        <v>#VALUE!</v>
      </c>
      <c r="Z12" s="5" t="str">
        <f t="array" ref="Z12">CELL("protect",B12)</f>
        <v>#VALUE!</v>
      </c>
      <c r="AA12" s="5" t="str">
        <f t="array" ref="AA12">CELL("protect",C12)</f>
        <v>#VALUE!</v>
      </c>
      <c r="AB12" s="5" t="str">
        <f t="array" ref="AB12">CELL("protect",D12)</f>
        <v>#VALUE!</v>
      </c>
      <c r="AC12" s="5" t="str">
        <f t="array" ref="AC12">CELL("protect",E12)</f>
        <v>#VALUE!</v>
      </c>
      <c r="AD12" s="5" t="str">
        <f t="array" ref="AD12">CELL("protect",F12)</f>
        <v>#VALUE!</v>
      </c>
      <c r="AE12" s="5" t="str">
        <f t="array" ref="AE12">CELL("protect",G12)</f>
        <v>#VALUE!</v>
      </c>
      <c r="AF12" s="5" t="str">
        <f t="array" ref="AF12">CELL("protect",H12)</f>
        <v>#VALUE!</v>
      </c>
      <c r="AG12" s="5" t="str">
        <f t="array" ref="AG12">CELL("protect",I12)</f>
        <v>#VALUE!</v>
      </c>
      <c r="AH12" s="5" t="str">
        <f t="array" ref="AH12">CELL("protect",J12)</f>
        <v>#VALUE!</v>
      </c>
      <c r="AI12" s="5" t="str">
        <f t="array" ref="AI12">CELL("protect",K12)</f>
        <v>#VALUE!</v>
      </c>
      <c r="AJ12" s="5" t="str">
        <f t="array" ref="AJ12">CELL("protect",L12)</f>
        <v>#VALUE!</v>
      </c>
      <c r="AK12" s="5"/>
      <c r="AL12" s="5"/>
      <c r="AM12" s="5"/>
    </row>
    <row r="13" ht="13.5" customHeight="1">
      <c r="A13" s="1212">
        <f t="shared" si="2"/>
        <v>13</v>
      </c>
      <c r="B13" s="1213" t="s">
        <v>1048</v>
      </c>
      <c r="C13" s="1214">
        <v>1000000.0</v>
      </c>
      <c r="D13" s="1215">
        <v>12881.0</v>
      </c>
      <c r="E13" s="1216">
        <f t="shared" si="4"/>
        <v>90167</v>
      </c>
      <c r="F13" s="1217">
        <f t="shared" ref="F13:L13" si="5">+$D13</f>
        <v>12881</v>
      </c>
      <c r="G13" s="1217">
        <f t="shared" si="5"/>
        <v>12881</v>
      </c>
      <c r="H13" s="1218">
        <f t="shared" si="5"/>
        <v>12881</v>
      </c>
      <c r="I13" s="1218">
        <f t="shared" si="5"/>
        <v>12881</v>
      </c>
      <c r="J13" s="1218">
        <f t="shared" si="5"/>
        <v>12881</v>
      </c>
      <c r="K13" s="1218">
        <f t="shared" si="5"/>
        <v>12881</v>
      </c>
      <c r="L13" s="1218">
        <f t="shared" si="5"/>
        <v>12881</v>
      </c>
      <c r="M13" s="30"/>
      <c r="N13" s="119"/>
      <c r="O13" s="30"/>
      <c r="P13" s="30"/>
      <c r="Q13" s="30"/>
      <c r="R13" s="30"/>
      <c r="S13" s="30"/>
      <c r="T13" s="30"/>
      <c r="U13" s="30"/>
      <c r="V13" s="30"/>
      <c r="W13" s="30"/>
      <c r="X13" s="30"/>
      <c r="Y13" s="5" t="str">
        <f t="array" ref="Y13">CELL("protect",A13)</f>
        <v>#VALUE!</v>
      </c>
      <c r="Z13" s="5" t="str">
        <f t="array" ref="Z13">CELL("protect",B13)</f>
        <v>#VALUE!</v>
      </c>
      <c r="AA13" s="5" t="str">
        <f t="array" ref="AA13">CELL("protect",C13)</f>
        <v>#VALUE!</v>
      </c>
      <c r="AB13" s="5" t="str">
        <f t="array" ref="AB13">CELL("protect",D13)</f>
        <v>#VALUE!</v>
      </c>
      <c r="AC13" s="5" t="str">
        <f t="array" ref="AC13">CELL("protect",E13)</f>
        <v>#VALUE!</v>
      </c>
      <c r="AD13" s="5" t="str">
        <f t="array" ref="AD13">CELL("protect",F13)</f>
        <v>#VALUE!</v>
      </c>
      <c r="AE13" s="5" t="str">
        <f t="array" ref="AE13">CELL("protect",G13)</f>
        <v>#VALUE!</v>
      </c>
      <c r="AF13" s="5" t="str">
        <f t="array" ref="AF13">CELL("protect",H13)</f>
        <v>#VALUE!</v>
      </c>
      <c r="AG13" s="5" t="str">
        <f t="array" ref="AG13">CELL("protect",I13)</f>
        <v>#VALUE!</v>
      </c>
      <c r="AH13" s="5" t="str">
        <f t="array" ref="AH13">CELL("protect",J13)</f>
        <v>#VALUE!</v>
      </c>
      <c r="AI13" s="5" t="str">
        <f t="array" ref="AI13">CELL("protect",K13)</f>
        <v>#VALUE!</v>
      </c>
      <c r="AJ13" s="5" t="str">
        <f t="array" ref="AJ13">CELL("protect",L13)</f>
        <v>#VALUE!</v>
      </c>
      <c r="AK13" s="5"/>
      <c r="AL13" s="5"/>
      <c r="AM13" s="5"/>
    </row>
    <row r="14" ht="13.5" customHeight="1">
      <c r="A14" s="1196">
        <f t="shared" si="2"/>
        <v>14</v>
      </c>
      <c r="B14" s="1219" t="s">
        <v>1049</v>
      </c>
      <c r="C14" s="1220">
        <v>3000000.0</v>
      </c>
      <c r="D14" s="1215">
        <v>5185.0</v>
      </c>
      <c r="E14" s="1216">
        <f t="shared" si="4"/>
        <v>36295</v>
      </c>
      <c r="F14" s="1217">
        <f t="shared" ref="F14:L14" si="6">+$D14</f>
        <v>5185</v>
      </c>
      <c r="G14" s="1217">
        <f t="shared" si="6"/>
        <v>5185</v>
      </c>
      <c r="H14" s="1218">
        <f t="shared" si="6"/>
        <v>5185</v>
      </c>
      <c r="I14" s="1218">
        <f t="shared" si="6"/>
        <v>5185</v>
      </c>
      <c r="J14" s="1218">
        <f t="shared" si="6"/>
        <v>5185</v>
      </c>
      <c r="K14" s="1218">
        <f t="shared" si="6"/>
        <v>5185</v>
      </c>
      <c r="L14" s="1218">
        <f t="shared" si="6"/>
        <v>5185</v>
      </c>
      <c r="M14" s="30"/>
      <c r="N14" s="119"/>
      <c r="O14" s="30"/>
      <c r="P14" s="30"/>
      <c r="Q14" s="30"/>
      <c r="R14" s="30"/>
      <c r="S14" s="30"/>
      <c r="T14" s="30"/>
      <c r="U14" s="30"/>
      <c r="V14" s="30"/>
      <c r="W14" s="30"/>
      <c r="X14" s="30"/>
      <c r="Y14" s="5" t="str">
        <f t="array" ref="Y14">CELL("protect",A14)</f>
        <v>#VALUE!</v>
      </c>
      <c r="Z14" s="5" t="str">
        <f t="array" ref="Z14">CELL("protect",B14)</f>
        <v>#VALUE!</v>
      </c>
      <c r="AA14" s="5" t="str">
        <f t="array" ref="AA14">CELL("protect",C14)</f>
        <v>#VALUE!</v>
      </c>
      <c r="AB14" s="5" t="str">
        <f t="array" ref="AB14">CELL("protect",D14)</f>
        <v>#VALUE!</v>
      </c>
      <c r="AC14" s="5" t="str">
        <f t="array" ref="AC14">CELL("protect",E14)</f>
        <v>#VALUE!</v>
      </c>
      <c r="AD14" s="5" t="str">
        <f t="array" ref="AD14">CELL("protect",F14)</f>
        <v>#VALUE!</v>
      </c>
      <c r="AE14" s="5" t="str">
        <f t="array" ref="AE14">CELL("protect",G14)</f>
        <v>#VALUE!</v>
      </c>
      <c r="AF14" s="5" t="str">
        <f t="array" ref="AF14">CELL("protect",H14)</f>
        <v>#VALUE!</v>
      </c>
      <c r="AG14" s="5" t="str">
        <f t="array" ref="AG14">CELL("protect",I14)</f>
        <v>#VALUE!</v>
      </c>
      <c r="AH14" s="5" t="str">
        <f t="array" ref="AH14">CELL("protect",J14)</f>
        <v>#VALUE!</v>
      </c>
      <c r="AI14" s="5" t="str">
        <f t="array" ref="AI14">CELL("protect",K14)</f>
        <v>#VALUE!</v>
      </c>
      <c r="AJ14" s="5" t="str">
        <f t="array" ref="AJ14">CELL("protect",L14)</f>
        <v>#VALUE!</v>
      </c>
      <c r="AK14" s="5"/>
      <c r="AL14" s="5"/>
      <c r="AM14" s="5"/>
    </row>
    <row r="15" ht="13.5" customHeight="1">
      <c r="A15" s="1196">
        <f t="shared" si="2"/>
        <v>15</v>
      </c>
      <c r="B15" s="1219" t="s">
        <v>1050</v>
      </c>
      <c r="C15" s="1220">
        <v>1000000.0</v>
      </c>
      <c r="D15" s="1215">
        <v>13249.0</v>
      </c>
      <c r="E15" s="1216">
        <f t="shared" si="4"/>
        <v>92743</v>
      </c>
      <c r="F15" s="1217">
        <f t="shared" ref="F15:L15" si="7">+$D15</f>
        <v>13249</v>
      </c>
      <c r="G15" s="1217">
        <f t="shared" si="7"/>
        <v>13249</v>
      </c>
      <c r="H15" s="1218">
        <f t="shared" si="7"/>
        <v>13249</v>
      </c>
      <c r="I15" s="1218">
        <f t="shared" si="7"/>
        <v>13249</v>
      </c>
      <c r="J15" s="1218">
        <f t="shared" si="7"/>
        <v>13249</v>
      </c>
      <c r="K15" s="1218">
        <f t="shared" si="7"/>
        <v>13249</v>
      </c>
      <c r="L15" s="1218">
        <f t="shared" si="7"/>
        <v>13249</v>
      </c>
      <c r="M15" s="30"/>
      <c r="N15" s="119"/>
      <c r="O15" s="30"/>
      <c r="P15" s="30"/>
      <c r="Q15" s="30"/>
      <c r="R15" s="30"/>
      <c r="S15" s="30"/>
      <c r="T15" s="30"/>
      <c r="U15" s="30"/>
      <c r="V15" s="30"/>
      <c r="W15" s="30"/>
      <c r="X15" s="30"/>
      <c r="Y15" s="5" t="str">
        <f t="array" ref="Y15">CELL("protect",A15)</f>
        <v>#VALUE!</v>
      </c>
      <c r="Z15" s="5" t="str">
        <f t="array" ref="Z15">CELL("protect",B15)</f>
        <v>#VALUE!</v>
      </c>
      <c r="AA15" s="5" t="str">
        <f t="array" ref="AA15">CELL("protect",C15)</f>
        <v>#VALUE!</v>
      </c>
      <c r="AB15" s="5" t="str">
        <f t="array" ref="AB15">CELL("protect",D15)</f>
        <v>#VALUE!</v>
      </c>
      <c r="AC15" s="5" t="str">
        <f t="array" ref="AC15">CELL("protect",E15)</f>
        <v>#VALUE!</v>
      </c>
      <c r="AD15" s="5" t="str">
        <f t="array" ref="AD15">CELL("protect",F15)</f>
        <v>#VALUE!</v>
      </c>
      <c r="AE15" s="5" t="str">
        <f t="array" ref="AE15">CELL("protect",G15)</f>
        <v>#VALUE!</v>
      </c>
      <c r="AF15" s="5" t="str">
        <f t="array" ref="AF15">CELL("protect",H15)</f>
        <v>#VALUE!</v>
      </c>
      <c r="AG15" s="5" t="str">
        <f t="array" ref="AG15">CELL("protect",I15)</f>
        <v>#VALUE!</v>
      </c>
      <c r="AH15" s="5" t="str">
        <f t="array" ref="AH15">CELL("protect",J15)</f>
        <v>#VALUE!</v>
      </c>
      <c r="AI15" s="5" t="str">
        <f t="array" ref="AI15">CELL("protect",K15)</f>
        <v>#VALUE!</v>
      </c>
      <c r="AJ15" s="5" t="str">
        <f t="array" ref="AJ15">CELL("protect",L15)</f>
        <v>#VALUE!</v>
      </c>
      <c r="AK15" s="5"/>
      <c r="AL15" s="5"/>
      <c r="AM15" s="5"/>
    </row>
    <row r="16" ht="13.5" customHeight="1">
      <c r="A16" s="1196">
        <f t="shared" si="2"/>
        <v>16</v>
      </c>
      <c r="B16" s="1219" t="s">
        <v>1051</v>
      </c>
      <c r="C16" s="1220">
        <v>1000000.0</v>
      </c>
      <c r="D16" s="505">
        <v>0.0</v>
      </c>
      <c r="E16" s="1216">
        <f t="shared" si="4"/>
        <v>0</v>
      </c>
      <c r="F16" s="1217">
        <f t="shared" ref="F16:L16" si="8">+$D16</f>
        <v>0</v>
      </c>
      <c r="G16" s="1217">
        <f t="shared" si="8"/>
        <v>0</v>
      </c>
      <c r="H16" s="1218">
        <f t="shared" si="8"/>
        <v>0</v>
      </c>
      <c r="I16" s="1218">
        <f t="shared" si="8"/>
        <v>0</v>
      </c>
      <c r="J16" s="1218">
        <f t="shared" si="8"/>
        <v>0</v>
      </c>
      <c r="K16" s="1218">
        <f t="shared" si="8"/>
        <v>0</v>
      </c>
      <c r="L16" s="1218">
        <f t="shared" si="8"/>
        <v>0</v>
      </c>
      <c r="M16" s="30"/>
      <c r="N16" s="119"/>
      <c r="O16" s="30"/>
      <c r="P16" s="30"/>
      <c r="Q16" s="30"/>
      <c r="R16" s="30"/>
      <c r="S16" s="30"/>
      <c r="T16" s="30"/>
      <c r="U16" s="30"/>
      <c r="V16" s="30"/>
      <c r="W16" s="30"/>
      <c r="X16" s="30"/>
      <c r="Y16" s="5" t="str">
        <f t="array" ref="Y16">CELL("protect",A16)</f>
        <v>#VALUE!</v>
      </c>
      <c r="Z16" s="5" t="str">
        <f t="array" ref="Z16">CELL("protect",B16)</f>
        <v>#VALUE!</v>
      </c>
      <c r="AA16" s="5" t="str">
        <f t="array" ref="AA16">CELL("protect",C16)</f>
        <v>#VALUE!</v>
      </c>
      <c r="AB16" s="5" t="str">
        <f t="array" ref="AB16">CELL("protect",D16)</f>
        <v>#VALUE!</v>
      </c>
      <c r="AC16" s="5" t="str">
        <f t="array" ref="AC16">CELL("protect",E16)</f>
        <v>#VALUE!</v>
      </c>
      <c r="AD16" s="5" t="str">
        <f t="array" ref="AD16">CELL("protect",F16)</f>
        <v>#VALUE!</v>
      </c>
      <c r="AE16" s="5" t="str">
        <f t="array" ref="AE16">CELL("protect",G16)</f>
        <v>#VALUE!</v>
      </c>
      <c r="AF16" s="5" t="str">
        <f t="array" ref="AF16">CELL("protect",H16)</f>
        <v>#VALUE!</v>
      </c>
      <c r="AG16" s="5" t="str">
        <f t="array" ref="AG16">CELL("protect",I16)</f>
        <v>#VALUE!</v>
      </c>
      <c r="AH16" s="5" t="str">
        <f t="array" ref="AH16">CELL("protect",J16)</f>
        <v>#VALUE!</v>
      </c>
      <c r="AI16" s="5" t="str">
        <f t="array" ref="AI16">CELL("protect",K16)</f>
        <v>#VALUE!</v>
      </c>
      <c r="AJ16" s="5" t="str">
        <f t="array" ref="AJ16">CELL("protect",L16)</f>
        <v>#VALUE!</v>
      </c>
      <c r="AK16" s="5"/>
      <c r="AL16" s="5"/>
      <c r="AM16" s="5"/>
    </row>
    <row r="17" ht="13.5" customHeight="1">
      <c r="A17" s="1196">
        <f t="shared" si="2"/>
        <v>17</v>
      </c>
      <c r="B17" s="1221" t="s">
        <v>1052</v>
      </c>
      <c r="C17" s="1220">
        <v>1000000.0</v>
      </c>
      <c r="D17" s="1215">
        <v>300.0</v>
      </c>
      <c r="E17" s="1216">
        <f t="shared" si="4"/>
        <v>2100</v>
      </c>
      <c r="F17" s="1217">
        <f t="shared" ref="F17:L17" si="9">+$D17</f>
        <v>300</v>
      </c>
      <c r="G17" s="1217">
        <f t="shared" si="9"/>
        <v>300</v>
      </c>
      <c r="H17" s="1218">
        <f t="shared" si="9"/>
        <v>300</v>
      </c>
      <c r="I17" s="1218">
        <f t="shared" si="9"/>
        <v>300</v>
      </c>
      <c r="J17" s="1218">
        <f t="shared" si="9"/>
        <v>300</v>
      </c>
      <c r="K17" s="1218">
        <f t="shared" si="9"/>
        <v>300</v>
      </c>
      <c r="L17" s="1218">
        <f t="shared" si="9"/>
        <v>300</v>
      </c>
      <c r="M17" s="30"/>
      <c r="N17" s="119"/>
      <c r="O17" s="30"/>
      <c r="P17" s="30"/>
      <c r="Q17" s="30"/>
      <c r="R17" s="30"/>
      <c r="S17" s="30"/>
      <c r="T17" s="30"/>
      <c r="U17" s="30"/>
      <c r="V17" s="30"/>
      <c r="W17" s="30"/>
      <c r="X17" s="30"/>
      <c r="Y17" s="5" t="str">
        <f t="array" ref="Y17">CELL("protect",A17)</f>
        <v>#VALUE!</v>
      </c>
      <c r="Z17" s="5" t="str">
        <f t="array" ref="Z17">CELL("protect",B17)</f>
        <v>#VALUE!</v>
      </c>
      <c r="AA17" s="5" t="str">
        <f t="array" ref="AA17">CELL("protect",C17)</f>
        <v>#VALUE!</v>
      </c>
      <c r="AB17" s="5" t="str">
        <f t="array" ref="AB17">CELL("protect",D17)</f>
        <v>#VALUE!</v>
      </c>
      <c r="AC17" s="5" t="str">
        <f t="array" ref="AC17">CELL("protect",E17)</f>
        <v>#VALUE!</v>
      </c>
      <c r="AD17" s="5" t="str">
        <f t="array" ref="AD17">CELL("protect",F17)</f>
        <v>#VALUE!</v>
      </c>
      <c r="AE17" s="5" t="str">
        <f t="array" ref="AE17">CELL("protect",G17)</f>
        <v>#VALUE!</v>
      </c>
      <c r="AF17" s="5" t="str">
        <f t="array" ref="AF17">CELL("protect",H17)</f>
        <v>#VALUE!</v>
      </c>
      <c r="AG17" s="5" t="str">
        <f t="array" ref="AG17">CELL("protect",I17)</f>
        <v>#VALUE!</v>
      </c>
      <c r="AH17" s="5" t="str">
        <f t="array" ref="AH17">CELL("protect",J17)</f>
        <v>#VALUE!</v>
      </c>
      <c r="AI17" s="5" t="str">
        <f t="array" ref="AI17">CELL("protect",K17)</f>
        <v>#VALUE!</v>
      </c>
      <c r="AJ17" s="5" t="str">
        <f t="array" ref="AJ17">CELL("protect",L17)</f>
        <v>#VALUE!</v>
      </c>
      <c r="AK17" s="5"/>
      <c r="AL17" s="5"/>
      <c r="AM17" s="5"/>
    </row>
    <row r="18" ht="30.0" customHeight="1">
      <c r="A18" s="1212">
        <f t="shared" si="2"/>
        <v>18</v>
      </c>
      <c r="B18" s="1213" t="s">
        <v>1053</v>
      </c>
      <c r="C18" s="1220">
        <v>1000000.0</v>
      </c>
      <c r="D18" s="505">
        <v>0.0</v>
      </c>
      <c r="E18" s="1216">
        <f t="shared" si="4"/>
        <v>0</v>
      </c>
      <c r="F18" s="1217">
        <f t="shared" ref="F18:L18" si="10">+$D18</f>
        <v>0</v>
      </c>
      <c r="G18" s="1217">
        <f t="shared" si="10"/>
        <v>0</v>
      </c>
      <c r="H18" s="1218">
        <f t="shared" si="10"/>
        <v>0</v>
      </c>
      <c r="I18" s="1218">
        <f t="shared" si="10"/>
        <v>0</v>
      </c>
      <c r="J18" s="1218">
        <f t="shared" si="10"/>
        <v>0</v>
      </c>
      <c r="K18" s="1218">
        <f t="shared" si="10"/>
        <v>0</v>
      </c>
      <c r="L18" s="1218">
        <f t="shared" si="10"/>
        <v>0</v>
      </c>
      <c r="M18" s="30"/>
      <c r="N18" s="119"/>
      <c r="O18" s="30"/>
      <c r="P18" s="30"/>
      <c r="Q18" s="30"/>
      <c r="R18" s="30"/>
      <c r="S18" s="30"/>
      <c r="T18" s="30"/>
      <c r="U18" s="30"/>
      <c r="V18" s="30"/>
      <c r="W18" s="30"/>
      <c r="X18" s="30"/>
      <c r="Y18" s="5" t="str">
        <f t="array" ref="Y18">CELL("protect",A18)</f>
        <v>#VALUE!</v>
      </c>
      <c r="Z18" s="5" t="str">
        <f t="array" ref="Z18">CELL("protect",B18)</f>
        <v>#VALUE!</v>
      </c>
      <c r="AA18" s="5" t="str">
        <f t="array" ref="AA18">CELL("protect",C18)</f>
        <v>#VALUE!</v>
      </c>
      <c r="AB18" s="5" t="str">
        <f t="array" ref="AB18">CELL("protect",D18)</f>
        <v>#VALUE!</v>
      </c>
      <c r="AC18" s="5" t="str">
        <f t="array" ref="AC18">CELL("protect",E18)</f>
        <v>#VALUE!</v>
      </c>
      <c r="AD18" s="5" t="str">
        <f t="array" ref="AD18">CELL("protect",F18)</f>
        <v>#VALUE!</v>
      </c>
      <c r="AE18" s="5" t="str">
        <f t="array" ref="AE18">CELL("protect",G18)</f>
        <v>#VALUE!</v>
      </c>
      <c r="AF18" s="5" t="str">
        <f t="array" ref="AF18">CELL("protect",H18)</f>
        <v>#VALUE!</v>
      </c>
      <c r="AG18" s="5" t="str">
        <f t="array" ref="AG18">CELL("protect",I18)</f>
        <v>#VALUE!</v>
      </c>
      <c r="AH18" s="5" t="str">
        <f t="array" ref="AH18">CELL("protect",J18)</f>
        <v>#VALUE!</v>
      </c>
      <c r="AI18" s="5" t="str">
        <f t="array" ref="AI18">CELL("protect",K18)</f>
        <v>#VALUE!</v>
      </c>
      <c r="AJ18" s="5" t="str">
        <f t="array" ref="AJ18">CELL("protect",L18)</f>
        <v>#VALUE!</v>
      </c>
      <c r="AK18" s="5"/>
      <c r="AL18" s="5"/>
      <c r="AM18" s="5"/>
    </row>
    <row r="19" ht="13.5" customHeight="1">
      <c r="A19" s="1196">
        <f t="shared" si="2"/>
        <v>19</v>
      </c>
      <c r="B19" s="1219" t="s">
        <v>1054</v>
      </c>
      <c r="C19" s="1220">
        <v>1000000.0</v>
      </c>
      <c r="D19" s="1215">
        <v>981.0</v>
      </c>
      <c r="E19" s="1216">
        <f t="shared" si="4"/>
        <v>6867</v>
      </c>
      <c r="F19" s="1217">
        <f t="shared" ref="F19:L19" si="11">+$D19</f>
        <v>981</v>
      </c>
      <c r="G19" s="1217">
        <f t="shared" si="11"/>
        <v>981</v>
      </c>
      <c r="H19" s="1218">
        <f t="shared" si="11"/>
        <v>981</v>
      </c>
      <c r="I19" s="1218">
        <f t="shared" si="11"/>
        <v>981</v>
      </c>
      <c r="J19" s="1218">
        <f t="shared" si="11"/>
        <v>981</v>
      </c>
      <c r="K19" s="1218">
        <f t="shared" si="11"/>
        <v>981</v>
      </c>
      <c r="L19" s="1218">
        <f t="shared" si="11"/>
        <v>981</v>
      </c>
      <c r="M19" s="30"/>
      <c r="N19" s="119"/>
      <c r="O19" s="30"/>
      <c r="P19" s="30"/>
      <c r="Q19" s="30"/>
      <c r="R19" s="30"/>
      <c r="S19" s="30"/>
      <c r="T19" s="30"/>
      <c r="U19" s="30"/>
      <c r="V19" s="30"/>
      <c r="W19" s="30"/>
      <c r="X19" s="30"/>
      <c r="Y19" s="5" t="str">
        <f t="array" ref="Y19">CELL("protect",A19)</f>
        <v>#VALUE!</v>
      </c>
      <c r="Z19" s="5" t="str">
        <f t="array" ref="Z19">CELL("protect",B19)</f>
        <v>#VALUE!</v>
      </c>
      <c r="AA19" s="5" t="str">
        <f t="array" ref="AA19">CELL("protect",C19)</f>
        <v>#VALUE!</v>
      </c>
      <c r="AB19" s="5" t="str">
        <f t="array" ref="AB19">CELL("protect",D19)</f>
        <v>#VALUE!</v>
      </c>
      <c r="AC19" s="5" t="str">
        <f t="array" ref="AC19">CELL("protect",E19)</f>
        <v>#VALUE!</v>
      </c>
      <c r="AD19" s="5" t="str">
        <f t="array" ref="AD19">CELL("protect",F19)</f>
        <v>#VALUE!</v>
      </c>
      <c r="AE19" s="5" t="str">
        <f t="array" ref="AE19">CELL("protect",G19)</f>
        <v>#VALUE!</v>
      </c>
      <c r="AF19" s="5" t="str">
        <f t="array" ref="AF19">CELL("protect",H19)</f>
        <v>#VALUE!</v>
      </c>
      <c r="AG19" s="5" t="str">
        <f t="array" ref="AG19">CELL("protect",I19)</f>
        <v>#VALUE!</v>
      </c>
      <c r="AH19" s="5" t="str">
        <f t="array" ref="AH19">CELL("protect",J19)</f>
        <v>#VALUE!</v>
      </c>
      <c r="AI19" s="5" t="str">
        <f t="array" ref="AI19">CELL("protect",K19)</f>
        <v>#VALUE!</v>
      </c>
      <c r="AJ19" s="5" t="str">
        <f t="array" ref="AJ19">CELL("protect",L19)</f>
        <v>#VALUE!</v>
      </c>
      <c r="AK19" s="5"/>
      <c r="AL19" s="5"/>
      <c r="AM19" s="5"/>
    </row>
    <row r="20" ht="13.5" customHeight="1">
      <c r="A20" s="1196">
        <f t="shared" si="2"/>
        <v>20</v>
      </c>
      <c r="B20" s="1219" t="s">
        <v>1055</v>
      </c>
      <c r="C20" s="1220">
        <v>1000000.0</v>
      </c>
      <c r="D20" s="505">
        <v>0.0</v>
      </c>
      <c r="E20" s="1216">
        <f t="shared" si="4"/>
        <v>0</v>
      </c>
      <c r="F20" s="1222">
        <v>0.0</v>
      </c>
      <c r="G20" s="1217">
        <f t="shared" ref="G20:L20" si="12">+$D20</f>
        <v>0</v>
      </c>
      <c r="H20" s="1218">
        <f t="shared" si="12"/>
        <v>0</v>
      </c>
      <c r="I20" s="1218">
        <f t="shared" si="12"/>
        <v>0</v>
      </c>
      <c r="J20" s="1218">
        <f t="shared" si="12"/>
        <v>0</v>
      </c>
      <c r="K20" s="1218">
        <f t="shared" si="12"/>
        <v>0</v>
      </c>
      <c r="L20" s="1218">
        <f t="shared" si="12"/>
        <v>0</v>
      </c>
      <c r="M20" s="30"/>
      <c r="N20" s="119"/>
      <c r="O20" s="30"/>
      <c r="P20" s="30"/>
      <c r="Q20" s="30"/>
      <c r="R20" s="30"/>
      <c r="S20" s="30"/>
      <c r="T20" s="30"/>
      <c r="U20" s="30"/>
      <c r="V20" s="30"/>
      <c r="W20" s="30"/>
      <c r="X20" s="30"/>
      <c r="Y20" s="5" t="str">
        <f t="array" ref="Y20">CELL("protect",A20)</f>
        <v>#VALUE!</v>
      </c>
      <c r="Z20" s="5" t="str">
        <f t="array" ref="Z20">CELL("protect",B20)</f>
        <v>#VALUE!</v>
      </c>
      <c r="AA20" s="5" t="str">
        <f t="array" ref="AA20">CELL("protect",C20)</f>
        <v>#VALUE!</v>
      </c>
      <c r="AB20" s="5" t="str">
        <f t="array" ref="AB20">CELL("protect",D20)</f>
        <v>#VALUE!</v>
      </c>
      <c r="AC20" s="5" t="str">
        <f t="array" ref="AC20">CELL("protect",E20)</f>
        <v>#VALUE!</v>
      </c>
      <c r="AD20" s="5" t="str">
        <f t="array" ref="AD20">CELL("protect",F20)</f>
        <v>#VALUE!</v>
      </c>
      <c r="AE20" s="5" t="str">
        <f t="array" ref="AE20">CELL("protect",G20)</f>
        <v>#VALUE!</v>
      </c>
      <c r="AF20" s="5" t="str">
        <f t="array" ref="AF20">CELL("protect",H20)</f>
        <v>#VALUE!</v>
      </c>
      <c r="AG20" s="5" t="str">
        <f t="array" ref="AG20">CELL("protect",I20)</f>
        <v>#VALUE!</v>
      </c>
      <c r="AH20" s="5" t="str">
        <f t="array" ref="AH20">CELL("protect",J20)</f>
        <v>#VALUE!</v>
      </c>
      <c r="AI20" s="5" t="str">
        <f t="array" ref="AI20">CELL("protect",K20)</f>
        <v>#VALUE!</v>
      </c>
      <c r="AJ20" s="5" t="str">
        <f t="array" ref="AJ20">CELL("protect",L20)</f>
        <v>#VALUE!</v>
      </c>
      <c r="AK20" s="5"/>
      <c r="AL20" s="5"/>
      <c r="AM20" s="5"/>
    </row>
    <row r="21" ht="13.5" customHeight="1">
      <c r="A21" s="1196">
        <f t="shared" si="2"/>
        <v>21</v>
      </c>
      <c r="B21" s="1223"/>
      <c r="C21" s="1224"/>
      <c r="D21" s="1224"/>
      <c r="E21" s="1216"/>
      <c r="F21" s="1225"/>
      <c r="G21" s="1226"/>
      <c r="H21" s="1227"/>
      <c r="I21" s="1227"/>
      <c r="J21" s="1227"/>
      <c r="K21" s="1227"/>
      <c r="L21" s="1227"/>
      <c r="M21" s="30"/>
      <c r="N21" s="119"/>
      <c r="O21" s="30"/>
      <c r="P21" s="30"/>
      <c r="Q21" s="30"/>
      <c r="R21" s="30"/>
      <c r="S21" s="30"/>
      <c r="T21" s="30"/>
      <c r="U21" s="30"/>
      <c r="V21" s="30"/>
      <c r="W21" s="30"/>
      <c r="X21" s="30"/>
      <c r="Y21" s="5" t="str">
        <f t="array" ref="Y21">CELL("protect",A21)</f>
        <v>#VALUE!</v>
      </c>
      <c r="Z21" s="5" t="str">
        <f t="array" ref="Z21">CELL("protect",B21)</f>
        <v>#VALUE!</v>
      </c>
      <c r="AA21" s="5" t="str">
        <f t="array" ref="AA21">CELL("protect",C21)</f>
        <v>#VALUE!</v>
      </c>
      <c r="AB21" s="5" t="str">
        <f t="array" ref="AB21">CELL("protect",D21)</f>
        <v>#VALUE!</v>
      </c>
      <c r="AC21" s="5" t="str">
        <f t="array" ref="AC21">CELL("protect",E21)</f>
        <v>#VALUE!</v>
      </c>
      <c r="AD21" s="5" t="str">
        <f t="array" ref="AD21">CELL("protect",F21)</f>
        <v>#VALUE!</v>
      </c>
      <c r="AE21" s="5" t="str">
        <f t="array" ref="AE21">CELL("protect",G21)</f>
        <v>#VALUE!</v>
      </c>
      <c r="AF21" s="5" t="str">
        <f t="array" ref="AF21">CELL("protect",H21)</f>
        <v>#VALUE!</v>
      </c>
      <c r="AG21" s="5" t="str">
        <f t="array" ref="AG21">CELL("protect",I21)</f>
        <v>#VALUE!</v>
      </c>
      <c r="AH21" s="5" t="str">
        <f t="array" ref="AH21">CELL("protect",J21)</f>
        <v>#VALUE!</v>
      </c>
      <c r="AI21" s="5" t="str">
        <f t="array" ref="AI21">CELL("protect",K21)</f>
        <v>#VALUE!</v>
      </c>
      <c r="AJ21" s="5" t="str">
        <f t="array" ref="AJ21">CELL("protect",L21)</f>
        <v>#VALUE!</v>
      </c>
      <c r="AK21" s="5"/>
      <c r="AL21" s="5"/>
      <c r="AM21" s="5"/>
    </row>
    <row r="22" ht="13.5" customHeight="1">
      <c r="A22" s="1196">
        <f t="shared" si="2"/>
        <v>22</v>
      </c>
      <c r="B22" s="1201" t="s">
        <v>1056</v>
      </c>
      <c r="C22" s="1228"/>
      <c r="D22" s="1228"/>
      <c r="E22" s="1229"/>
      <c r="F22" s="1230"/>
      <c r="G22" s="1231"/>
      <c r="H22" s="1232"/>
      <c r="I22" s="1232"/>
      <c r="J22" s="1232"/>
      <c r="K22" s="1232"/>
      <c r="L22" s="1232"/>
      <c r="M22" s="30"/>
      <c r="N22" s="119"/>
      <c r="O22" s="30"/>
      <c r="P22" s="30"/>
      <c r="Q22" s="30"/>
      <c r="R22" s="30"/>
      <c r="S22" s="30"/>
      <c r="T22" s="30"/>
      <c r="U22" s="30"/>
      <c r="V22" s="30"/>
      <c r="W22" s="30"/>
      <c r="X22" s="30"/>
      <c r="Y22" s="5"/>
      <c r="Z22" s="5"/>
      <c r="AA22" s="5"/>
      <c r="AB22" s="5"/>
      <c r="AC22" s="5"/>
      <c r="AD22" s="5"/>
      <c r="AE22" s="5"/>
      <c r="AF22" s="5"/>
      <c r="AG22" s="5"/>
      <c r="AH22" s="5"/>
      <c r="AI22" s="5"/>
      <c r="AJ22" s="5"/>
      <c r="AK22" s="5"/>
      <c r="AL22" s="5"/>
      <c r="AM22" s="5"/>
    </row>
    <row r="23" ht="13.5" customHeight="1">
      <c r="A23" s="1196">
        <f t="shared" si="2"/>
        <v>23</v>
      </c>
      <c r="B23" s="1233" t="s">
        <v>1057</v>
      </c>
      <c r="C23" s="1220" t="s">
        <v>1058</v>
      </c>
      <c r="D23" s="505">
        <v>0.0</v>
      </c>
      <c r="E23" s="664">
        <f>SUM(F23:L23)</f>
        <v>0</v>
      </c>
      <c r="F23" s="1222">
        <v>0.0</v>
      </c>
      <c r="G23" s="1217">
        <v>0.0</v>
      </c>
      <c r="H23" s="1218">
        <v>0.0</v>
      </c>
      <c r="I23" s="1218">
        <v>0.0</v>
      </c>
      <c r="J23" s="1218">
        <v>0.0</v>
      </c>
      <c r="K23" s="1218">
        <v>0.0</v>
      </c>
      <c r="L23" s="1218">
        <v>0.0</v>
      </c>
      <c r="M23" s="30"/>
      <c r="N23" s="119"/>
      <c r="O23" s="30"/>
      <c r="P23" s="30"/>
      <c r="Q23" s="30"/>
      <c r="R23" s="30"/>
      <c r="S23" s="30"/>
      <c r="T23" s="30"/>
      <c r="U23" s="30"/>
      <c r="V23" s="30"/>
      <c r="W23" s="30"/>
      <c r="X23" s="30"/>
      <c r="Y23" s="5"/>
      <c r="Z23" s="5"/>
      <c r="AA23" s="5"/>
      <c r="AB23" s="5"/>
      <c r="AC23" s="5"/>
      <c r="AD23" s="5"/>
      <c r="AE23" s="5"/>
      <c r="AF23" s="5"/>
      <c r="AG23" s="5"/>
      <c r="AH23" s="5"/>
      <c r="AI23" s="5"/>
      <c r="AJ23" s="5"/>
      <c r="AK23" s="5"/>
      <c r="AL23" s="5"/>
      <c r="AM23" s="5"/>
    </row>
    <row r="24" ht="13.5" customHeight="1">
      <c r="A24" s="1196">
        <f t="shared" si="2"/>
        <v>24</v>
      </c>
      <c r="B24" s="1233" t="s">
        <v>1059</v>
      </c>
      <c r="C24" s="1228"/>
      <c r="D24" s="1228"/>
      <c r="E24" s="1229"/>
      <c r="F24" s="1230"/>
      <c r="G24" s="1231"/>
      <c r="H24" s="1232"/>
      <c r="I24" s="1232"/>
      <c r="J24" s="1232"/>
      <c r="K24" s="1232"/>
      <c r="L24" s="1232"/>
      <c r="M24" s="30"/>
      <c r="N24" s="119"/>
      <c r="O24" s="30"/>
      <c r="P24" s="30"/>
      <c r="Q24" s="30"/>
      <c r="R24" s="30"/>
      <c r="S24" s="30"/>
      <c r="T24" s="30"/>
      <c r="U24" s="30"/>
      <c r="V24" s="30"/>
      <c r="W24" s="30"/>
      <c r="X24" s="30"/>
      <c r="Y24" s="5"/>
      <c r="Z24" s="5"/>
      <c r="AA24" s="5"/>
      <c r="AB24" s="5"/>
      <c r="AC24" s="5"/>
      <c r="AD24" s="5"/>
      <c r="AE24" s="5"/>
      <c r="AF24" s="5"/>
      <c r="AG24" s="5"/>
      <c r="AH24" s="5"/>
      <c r="AI24" s="5"/>
      <c r="AJ24" s="5"/>
      <c r="AK24" s="5"/>
      <c r="AL24" s="5"/>
      <c r="AM24" s="5"/>
    </row>
    <row r="25" ht="13.5" customHeight="1">
      <c r="A25" s="1196">
        <f t="shared" si="2"/>
        <v>25</v>
      </c>
      <c r="B25" s="1234"/>
      <c r="C25" s="1228"/>
      <c r="D25" s="1228"/>
      <c r="E25" s="1229"/>
      <c r="F25" s="1230"/>
      <c r="G25" s="1231"/>
      <c r="H25" s="1232"/>
      <c r="I25" s="1232"/>
      <c r="J25" s="1232"/>
      <c r="K25" s="1232"/>
      <c r="L25" s="1232"/>
      <c r="M25" s="30"/>
      <c r="N25" s="119"/>
      <c r="O25" s="30"/>
      <c r="P25" s="30"/>
      <c r="Q25" s="30"/>
      <c r="R25" s="30"/>
      <c r="S25" s="30"/>
      <c r="T25" s="30"/>
      <c r="U25" s="30"/>
      <c r="V25" s="30"/>
      <c r="W25" s="30"/>
      <c r="X25" s="30"/>
      <c r="Y25" s="5"/>
      <c r="Z25" s="5"/>
      <c r="AA25" s="5"/>
      <c r="AB25" s="5"/>
      <c r="AC25" s="5"/>
      <c r="AD25" s="5"/>
      <c r="AE25" s="5"/>
      <c r="AF25" s="5"/>
      <c r="AG25" s="5"/>
      <c r="AH25" s="5"/>
      <c r="AI25" s="5"/>
      <c r="AJ25" s="5"/>
      <c r="AK25" s="5"/>
      <c r="AL25" s="5"/>
      <c r="AM25" s="5"/>
    </row>
    <row r="26" ht="13.5" customHeight="1">
      <c r="A26" s="1196">
        <f t="shared" si="2"/>
        <v>26</v>
      </c>
      <c r="B26" s="1235" t="s">
        <v>1060</v>
      </c>
      <c r="C26" s="1202"/>
      <c r="D26" s="1202"/>
      <c r="E26" s="1229"/>
      <c r="F26" s="1230"/>
      <c r="G26" s="1231"/>
      <c r="H26" s="1232"/>
      <c r="I26" s="1232"/>
      <c r="J26" s="1232"/>
      <c r="K26" s="1232"/>
      <c r="L26" s="1232"/>
      <c r="M26" s="30"/>
      <c r="N26" s="119"/>
      <c r="O26" s="30"/>
      <c r="P26" s="30"/>
      <c r="Q26" s="30"/>
      <c r="R26" s="30"/>
      <c r="S26" s="30"/>
      <c r="T26" s="30"/>
      <c r="U26" s="30"/>
      <c r="V26" s="30"/>
      <c r="W26" s="30"/>
      <c r="X26" s="30"/>
      <c r="Y26" s="5" t="str">
        <f t="array" ref="Y26">CELL("protect",A26)</f>
        <v>#VALUE!</v>
      </c>
      <c r="Z26" s="5" t="str">
        <f t="array" ref="Z26">CELL("protect",B26)</f>
        <v>#VALUE!</v>
      </c>
      <c r="AA26" s="5" t="str">
        <f t="array" ref="AA26">CELL("protect",C26)</f>
        <v>#VALUE!</v>
      </c>
      <c r="AB26" s="5" t="str">
        <f t="array" ref="AB26">CELL("protect",D26)</f>
        <v>#VALUE!</v>
      </c>
      <c r="AC26" s="5" t="str">
        <f t="array" ref="AC26">CELL("protect",E26)</f>
        <v>#VALUE!</v>
      </c>
      <c r="AD26" s="5" t="str">
        <f t="array" ref="AD26">CELL("protect",F26)</f>
        <v>#VALUE!</v>
      </c>
      <c r="AE26" s="5" t="str">
        <f t="array" ref="AE26">CELL("protect",G26)</f>
        <v>#VALUE!</v>
      </c>
      <c r="AF26" s="5" t="str">
        <f t="array" ref="AF26">CELL("protect",H26)</f>
        <v>#VALUE!</v>
      </c>
      <c r="AG26" s="5" t="str">
        <f t="array" ref="AG26">CELL("protect",I26)</f>
        <v>#VALUE!</v>
      </c>
      <c r="AH26" s="5" t="str">
        <f t="array" ref="AH26">CELL("protect",J26)</f>
        <v>#VALUE!</v>
      </c>
      <c r="AI26" s="5" t="str">
        <f t="array" ref="AI26">CELL("protect",K26)</f>
        <v>#VALUE!</v>
      </c>
      <c r="AJ26" s="5" t="str">
        <f t="array" ref="AJ26">CELL("protect",L26)</f>
        <v>#VALUE!</v>
      </c>
      <c r="AK26" s="5"/>
      <c r="AL26" s="5"/>
      <c r="AM26" s="5"/>
    </row>
    <row r="27" ht="13.5" customHeight="1">
      <c r="A27" s="1196">
        <f t="shared" si="2"/>
        <v>27</v>
      </c>
      <c r="B27" s="1154" t="s">
        <v>1061</v>
      </c>
      <c r="C27" s="1236">
        <v>1000000.0</v>
      </c>
      <c r="D27" s="1236">
        <v>3290.0</v>
      </c>
      <c r="E27" s="1237">
        <f t="shared" ref="E27:E48" si="14">SUM(F27:L27)</f>
        <v>23030</v>
      </c>
      <c r="F27" s="1238">
        <f t="shared" ref="F27:L27" si="13">+$D27</f>
        <v>3290</v>
      </c>
      <c r="G27" s="1239">
        <f t="shared" si="13"/>
        <v>3290</v>
      </c>
      <c r="H27" s="1240">
        <f t="shared" si="13"/>
        <v>3290</v>
      </c>
      <c r="I27" s="1240">
        <f t="shared" si="13"/>
        <v>3290</v>
      </c>
      <c r="J27" s="1240">
        <f t="shared" si="13"/>
        <v>3290</v>
      </c>
      <c r="K27" s="1240">
        <f t="shared" si="13"/>
        <v>3290</v>
      </c>
      <c r="L27" s="1240">
        <f t="shared" si="13"/>
        <v>3290</v>
      </c>
      <c r="M27" s="30"/>
      <c r="N27" s="119"/>
      <c r="O27" s="30"/>
      <c r="P27" s="30"/>
      <c r="Q27" s="30"/>
      <c r="R27" s="30"/>
      <c r="S27" s="30"/>
      <c r="T27" s="30"/>
      <c r="U27" s="30"/>
      <c r="V27" s="30"/>
      <c r="W27" s="30"/>
      <c r="X27" s="30"/>
      <c r="Y27" s="5" t="str">
        <f t="array" ref="Y27">CELL("protect",A27)</f>
        <v>#VALUE!</v>
      </c>
      <c r="Z27" s="5" t="str">
        <f t="array" ref="Z27">CELL("protect",B27)</f>
        <v>#VALUE!</v>
      </c>
      <c r="AA27" s="5" t="str">
        <f t="array" ref="AA27">CELL("protect",C27)</f>
        <v>#VALUE!</v>
      </c>
      <c r="AB27" s="5" t="str">
        <f t="array" ref="AB27">CELL("protect",D27)</f>
        <v>#VALUE!</v>
      </c>
      <c r="AC27" s="5" t="str">
        <f t="array" ref="AC27">CELL("protect",E27)</f>
        <v>#VALUE!</v>
      </c>
      <c r="AD27" s="5" t="str">
        <f t="array" ref="AD27">CELL("protect",F27)</f>
        <v>#VALUE!</v>
      </c>
      <c r="AE27" s="5" t="str">
        <f t="array" ref="AE27">CELL("protect",G27)</f>
        <v>#VALUE!</v>
      </c>
      <c r="AF27" s="5" t="str">
        <f t="array" ref="AF27">CELL("protect",H27)</f>
        <v>#VALUE!</v>
      </c>
      <c r="AG27" s="5" t="str">
        <f t="array" ref="AG27">CELL("protect",I27)</f>
        <v>#VALUE!</v>
      </c>
      <c r="AH27" s="5" t="str">
        <f t="array" ref="AH27">CELL("protect",J27)</f>
        <v>#VALUE!</v>
      </c>
      <c r="AI27" s="5" t="str">
        <f t="array" ref="AI27">CELL("protect",K27)</f>
        <v>#VALUE!</v>
      </c>
      <c r="AJ27" s="5" t="str">
        <f t="array" ref="AJ27">CELL("protect",L27)</f>
        <v>#VALUE!</v>
      </c>
      <c r="AK27" s="5"/>
      <c r="AL27" s="5"/>
      <c r="AM27" s="5"/>
    </row>
    <row r="28" ht="13.5" customHeight="1">
      <c r="A28" s="1196">
        <f t="shared" si="2"/>
        <v>28</v>
      </c>
      <c r="B28" s="1241" t="s">
        <v>1062</v>
      </c>
      <c r="C28" s="505">
        <v>0.0</v>
      </c>
      <c r="D28" s="505"/>
      <c r="E28" s="1216">
        <f t="shared" si="14"/>
        <v>0</v>
      </c>
      <c r="F28" s="1222" t="str">
        <f t="shared" ref="F28:L28" si="15">+$D28</f>
        <v/>
      </c>
      <c r="G28" s="1217" t="str">
        <f t="shared" si="15"/>
        <v/>
      </c>
      <c r="H28" s="1218" t="str">
        <f t="shared" si="15"/>
        <v/>
      </c>
      <c r="I28" s="1218" t="str">
        <f t="shared" si="15"/>
        <v/>
      </c>
      <c r="J28" s="1218" t="str">
        <f t="shared" si="15"/>
        <v/>
      </c>
      <c r="K28" s="1218" t="str">
        <f t="shared" si="15"/>
        <v/>
      </c>
      <c r="L28" s="1218" t="str">
        <f t="shared" si="15"/>
        <v/>
      </c>
      <c r="M28" s="30"/>
      <c r="N28" s="119"/>
      <c r="O28" s="30"/>
      <c r="P28" s="30"/>
      <c r="Q28" s="30"/>
      <c r="R28" s="30"/>
      <c r="S28" s="30"/>
      <c r="T28" s="30"/>
      <c r="U28" s="30"/>
      <c r="V28" s="30"/>
      <c r="W28" s="30"/>
      <c r="X28" s="30"/>
      <c r="Y28" s="5" t="str">
        <f t="array" ref="Y28">CELL("protect",A28)</f>
        <v>#VALUE!</v>
      </c>
      <c r="Z28" s="5" t="str">
        <f t="array" ref="Z28">CELL("protect",B28)</f>
        <v>#VALUE!</v>
      </c>
      <c r="AA28" s="5" t="str">
        <f t="array" ref="AA28">CELL("protect",C28)</f>
        <v>#VALUE!</v>
      </c>
      <c r="AB28" s="5" t="str">
        <f t="array" ref="AB28">CELL("protect",D28)</f>
        <v>#VALUE!</v>
      </c>
      <c r="AC28" s="5" t="str">
        <f t="array" ref="AC28">CELL("protect",E28)</f>
        <v>#VALUE!</v>
      </c>
      <c r="AD28" s="5" t="str">
        <f t="array" ref="AD28">CELL("protect",F28)</f>
        <v>#VALUE!</v>
      </c>
      <c r="AE28" s="5" t="str">
        <f t="array" ref="AE28">CELL("protect",G28)</f>
        <v>#VALUE!</v>
      </c>
      <c r="AF28" s="5" t="str">
        <f t="array" ref="AF28">CELL("protect",H28)</f>
        <v>#VALUE!</v>
      </c>
      <c r="AG28" s="5" t="str">
        <f t="array" ref="AG28">CELL("protect",I28)</f>
        <v>#VALUE!</v>
      </c>
      <c r="AH28" s="5" t="str">
        <f t="array" ref="AH28">CELL("protect",J28)</f>
        <v>#VALUE!</v>
      </c>
      <c r="AI28" s="5" t="str">
        <f t="array" ref="AI28">CELL("protect",K28)</f>
        <v>#VALUE!</v>
      </c>
      <c r="AJ28" s="5" t="str">
        <f t="array" ref="AJ28">CELL("protect",L28)</f>
        <v>#VALUE!</v>
      </c>
      <c r="AK28" s="5"/>
      <c r="AL28" s="5"/>
      <c r="AM28" s="5"/>
    </row>
    <row r="29" ht="13.5" customHeight="1">
      <c r="A29" s="1196">
        <f t="shared" si="2"/>
        <v>29</v>
      </c>
      <c r="B29" s="507" t="s">
        <v>1063</v>
      </c>
      <c r="C29" s="505">
        <v>0.0</v>
      </c>
      <c r="D29" s="1215">
        <v>19312.0</v>
      </c>
      <c r="E29" s="1216">
        <f t="shared" si="14"/>
        <v>135184</v>
      </c>
      <c r="F29" s="1222">
        <f t="shared" ref="F29:L29" si="16">+$D29</f>
        <v>19312</v>
      </c>
      <c r="G29" s="1217">
        <f t="shared" si="16"/>
        <v>19312</v>
      </c>
      <c r="H29" s="1218">
        <f t="shared" si="16"/>
        <v>19312</v>
      </c>
      <c r="I29" s="1218">
        <f t="shared" si="16"/>
        <v>19312</v>
      </c>
      <c r="J29" s="1218">
        <f t="shared" si="16"/>
        <v>19312</v>
      </c>
      <c r="K29" s="1218">
        <f t="shared" si="16"/>
        <v>19312</v>
      </c>
      <c r="L29" s="1218">
        <f t="shared" si="16"/>
        <v>19312</v>
      </c>
      <c r="M29" s="30"/>
      <c r="N29" s="119"/>
      <c r="O29" s="30"/>
      <c r="P29" s="30"/>
      <c r="Q29" s="30"/>
      <c r="R29" s="30"/>
      <c r="S29" s="30"/>
      <c r="T29" s="30"/>
      <c r="U29" s="30"/>
      <c r="V29" s="30"/>
      <c r="W29" s="30"/>
      <c r="X29" s="30"/>
      <c r="Y29" s="5" t="str">
        <f t="array" ref="Y29">CELL("protect",A29)</f>
        <v>#VALUE!</v>
      </c>
      <c r="Z29" s="5" t="str">
        <f t="array" ref="Z29">CELL("protect",B29)</f>
        <v>#VALUE!</v>
      </c>
      <c r="AA29" s="5" t="str">
        <f t="array" ref="AA29">CELL("protect",C29)</f>
        <v>#VALUE!</v>
      </c>
      <c r="AB29" s="5" t="str">
        <f t="array" ref="AB29">CELL("protect",D29)</f>
        <v>#VALUE!</v>
      </c>
      <c r="AC29" s="5" t="str">
        <f t="array" ref="AC29">CELL("protect",E29)</f>
        <v>#VALUE!</v>
      </c>
      <c r="AD29" s="5" t="str">
        <f t="array" ref="AD29">CELL("protect",F29)</f>
        <v>#VALUE!</v>
      </c>
      <c r="AE29" s="5" t="str">
        <f t="array" ref="AE29">CELL("protect",G29)</f>
        <v>#VALUE!</v>
      </c>
      <c r="AF29" s="5" t="str">
        <f t="array" ref="AF29">CELL("protect",H29)</f>
        <v>#VALUE!</v>
      </c>
      <c r="AG29" s="5" t="str">
        <f t="array" ref="AG29">CELL("protect",I29)</f>
        <v>#VALUE!</v>
      </c>
      <c r="AH29" s="5" t="str">
        <f t="array" ref="AH29">CELL("protect",J29)</f>
        <v>#VALUE!</v>
      </c>
      <c r="AI29" s="5" t="str">
        <f t="array" ref="AI29">CELL("protect",K29)</f>
        <v>#VALUE!</v>
      </c>
      <c r="AJ29" s="5" t="str">
        <f t="array" ref="AJ29">CELL("protect",L29)</f>
        <v>#VALUE!</v>
      </c>
      <c r="AK29" s="5"/>
      <c r="AL29" s="5"/>
      <c r="AM29" s="5"/>
    </row>
    <row r="30" ht="13.5" customHeight="1">
      <c r="A30" s="1196">
        <f t="shared" si="2"/>
        <v>30</v>
      </c>
      <c r="B30" s="507" t="s">
        <v>1064</v>
      </c>
      <c r="C30" s="505">
        <v>0.0</v>
      </c>
      <c r="D30" s="505"/>
      <c r="E30" s="1216">
        <f t="shared" si="14"/>
        <v>0</v>
      </c>
      <c r="F30" s="1222" t="str">
        <f t="shared" ref="F30:L30" si="17">+$D30</f>
        <v/>
      </c>
      <c r="G30" s="1217" t="str">
        <f t="shared" si="17"/>
        <v/>
      </c>
      <c r="H30" s="1218" t="str">
        <f t="shared" si="17"/>
        <v/>
      </c>
      <c r="I30" s="1218" t="str">
        <f t="shared" si="17"/>
        <v/>
      </c>
      <c r="J30" s="1218" t="str">
        <f t="shared" si="17"/>
        <v/>
      </c>
      <c r="K30" s="1218" t="str">
        <f t="shared" si="17"/>
        <v/>
      </c>
      <c r="L30" s="1218" t="str">
        <f t="shared" si="17"/>
        <v/>
      </c>
      <c r="M30" s="30"/>
      <c r="N30" s="119"/>
      <c r="O30" s="30"/>
      <c r="P30" s="30"/>
      <c r="Q30" s="30"/>
      <c r="R30" s="30"/>
      <c r="S30" s="30"/>
      <c r="T30" s="30"/>
      <c r="U30" s="30"/>
      <c r="V30" s="30"/>
      <c r="W30" s="30"/>
      <c r="X30" s="30"/>
      <c r="Y30" s="5" t="str">
        <f t="array" ref="Y30">CELL("protect",A30)</f>
        <v>#VALUE!</v>
      </c>
      <c r="Z30" s="5" t="str">
        <f t="array" ref="Z30">CELL("protect",B30)</f>
        <v>#VALUE!</v>
      </c>
      <c r="AA30" s="5" t="str">
        <f t="array" ref="AA30">CELL("protect",C30)</f>
        <v>#VALUE!</v>
      </c>
      <c r="AB30" s="5" t="str">
        <f t="array" ref="AB30">CELL("protect",D30)</f>
        <v>#VALUE!</v>
      </c>
      <c r="AC30" s="5" t="str">
        <f t="array" ref="AC30">CELL("protect",E30)</f>
        <v>#VALUE!</v>
      </c>
      <c r="AD30" s="5" t="str">
        <f t="array" ref="AD30">CELL("protect",F30)</f>
        <v>#VALUE!</v>
      </c>
      <c r="AE30" s="5" t="str">
        <f t="array" ref="AE30">CELL("protect",G30)</f>
        <v>#VALUE!</v>
      </c>
      <c r="AF30" s="5" t="str">
        <f t="array" ref="AF30">CELL("protect",H30)</f>
        <v>#VALUE!</v>
      </c>
      <c r="AG30" s="5" t="str">
        <f t="array" ref="AG30">CELL("protect",I30)</f>
        <v>#VALUE!</v>
      </c>
      <c r="AH30" s="5" t="str">
        <f t="array" ref="AH30">CELL("protect",J30)</f>
        <v>#VALUE!</v>
      </c>
      <c r="AI30" s="5" t="str">
        <f t="array" ref="AI30">CELL("protect",K30)</f>
        <v>#VALUE!</v>
      </c>
      <c r="AJ30" s="5" t="str">
        <f t="array" ref="AJ30">CELL("protect",L30)</f>
        <v>#VALUE!</v>
      </c>
      <c r="AK30" s="5"/>
      <c r="AL30" s="5"/>
      <c r="AM30" s="5"/>
    </row>
    <row r="31" ht="13.5" customHeight="1">
      <c r="A31" s="1196">
        <f t="shared" si="2"/>
        <v>31</v>
      </c>
      <c r="B31" s="507" t="s">
        <v>1065</v>
      </c>
      <c r="C31" s="1215">
        <v>1000000.0</v>
      </c>
      <c r="D31" s="1215">
        <v>1942.94</v>
      </c>
      <c r="E31" s="1216">
        <f t="shared" si="14"/>
        <v>13600.58</v>
      </c>
      <c r="F31" s="1222">
        <f t="shared" ref="F31:L31" si="18">+$D31</f>
        <v>1942.94</v>
      </c>
      <c r="G31" s="1217">
        <f t="shared" si="18"/>
        <v>1942.94</v>
      </c>
      <c r="H31" s="1218">
        <f t="shared" si="18"/>
        <v>1942.94</v>
      </c>
      <c r="I31" s="1218">
        <f t="shared" si="18"/>
        <v>1942.94</v>
      </c>
      <c r="J31" s="1218">
        <f t="shared" si="18"/>
        <v>1942.94</v>
      </c>
      <c r="K31" s="1218">
        <f t="shared" si="18"/>
        <v>1942.94</v>
      </c>
      <c r="L31" s="1218">
        <f t="shared" si="18"/>
        <v>1942.94</v>
      </c>
      <c r="M31" s="30"/>
      <c r="N31" s="119"/>
      <c r="O31" s="30"/>
      <c r="P31" s="30"/>
      <c r="Q31" s="30"/>
      <c r="R31" s="30"/>
      <c r="S31" s="30"/>
      <c r="T31" s="30"/>
      <c r="U31" s="30"/>
      <c r="V31" s="30"/>
      <c r="W31" s="30"/>
      <c r="X31" s="30"/>
      <c r="Y31" s="5" t="str">
        <f t="array" ref="Y31">CELL("protect",A31)</f>
        <v>#VALUE!</v>
      </c>
      <c r="Z31" s="5" t="str">
        <f t="array" ref="Z31">CELL("protect",B31)</f>
        <v>#VALUE!</v>
      </c>
      <c r="AA31" s="5" t="str">
        <f t="array" ref="AA31">CELL("protect",C31)</f>
        <v>#VALUE!</v>
      </c>
      <c r="AB31" s="5" t="str">
        <f t="array" ref="AB31">CELL("protect",D31)</f>
        <v>#VALUE!</v>
      </c>
      <c r="AC31" s="5" t="str">
        <f t="array" ref="AC31">CELL("protect",E31)</f>
        <v>#VALUE!</v>
      </c>
      <c r="AD31" s="5" t="str">
        <f t="array" ref="AD31">CELL("protect",F31)</f>
        <v>#VALUE!</v>
      </c>
      <c r="AE31" s="5" t="str">
        <f t="array" ref="AE31">CELL("protect",G31)</f>
        <v>#VALUE!</v>
      </c>
      <c r="AF31" s="5" t="str">
        <f t="array" ref="AF31">CELL("protect",H31)</f>
        <v>#VALUE!</v>
      </c>
      <c r="AG31" s="5" t="str">
        <f t="array" ref="AG31">CELL("protect",I31)</f>
        <v>#VALUE!</v>
      </c>
      <c r="AH31" s="5" t="str">
        <f t="array" ref="AH31">CELL("protect",J31)</f>
        <v>#VALUE!</v>
      </c>
      <c r="AI31" s="5" t="str">
        <f t="array" ref="AI31">CELL("protect",K31)</f>
        <v>#VALUE!</v>
      </c>
      <c r="AJ31" s="5" t="str">
        <f t="array" ref="AJ31">CELL("protect",L31)</f>
        <v>#VALUE!</v>
      </c>
      <c r="AK31" s="5"/>
      <c r="AL31" s="5"/>
      <c r="AM31" s="5"/>
    </row>
    <row r="32" ht="13.5" customHeight="1">
      <c r="A32" s="1196">
        <f t="shared" si="2"/>
        <v>32</v>
      </c>
      <c r="B32" s="507" t="s">
        <v>1066</v>
      </c>
      <c r="C32" s="505">
        <v>0.0</v>
      </c>
      <c r="D32" s="502">
        <v>0.0</v>
      </c>
      <c r="E32" s="1216">
        <f t="shared" si="14"/>
        <v>0</v>
      </c>
      <c r="F32" s="1222">
        <v>0.0</v>
      </c>
      <c r="G32" s="1217">
        <f t="shared" ref="G32:L32" si="19">+$D32</f>
        <v>0</v>
      </c>
      <c r="H32" s="1218">
        <f t="shared" si="19"/>
        <v>0</v>
      </c>
      <c r="I32" s="1218">
        <f t="shared" si="19"/>
        <v>0</v>
      </c>
      <c r="J32" s="1218">
        <f t="shared" si="19"/>
        <v>0</v>
      </c>
      <c r="K32" s="1218">
        <f t="shared" si="19"/>
        <v>0</v>
      </c>
      <c r="L32" s="1218">
        <f t="shared" si="19"/>
        <v>0</v>
      </c>
      <c r="M32" s="30"/>
      <c r="N32" s="119"/>
      <c r="O32" s="30"/>
      <c r="P32" s="30"/>
      <c r="Q32" s="30"/>
      <c r="R32" s="30"/>
      <c r="S32" s="30"/>
      <c r="T32" s="30"/>
      <c r="U32" s="30"/>
      <c r="V32" s="30"/>
      <c r="W32" s="30"/>
      <c r="X32" s="30"/>
      <c r="Y32" s="5" t="str">
        <f t="array" ref="Y32">CELL("protect",A32)</f>
        <v>#VALUE!</v>
      </c>
      <c r="Z32" s="5" t="str">
        <f t="array" ref="Z32">CELL("protect",B32)</f>
        <v>#VALUE!</v>
      </c>
      <c r="AA32" s="5" t="str">
        <f t="array" ref="AA32">CELL("protect",C32)</f>
        <v>#VALUE!</v>
      </c>
      <c r="AB32" s="5" t="str">
        <f t="array" ref="AB32">CELL("protect",D32)</f>
        <v>#VALUE!</v>
      </c>
      <c r="AC32" s="5" t="str">
        <f t="array" ref="AC32">CELL("protect",E32)</f>
        <v>#VALUE!</v>
      </c>
      <c r="AD32" s="5" t="str">
        <f t="array" ref="AD32">CELL("protect",F32)</f>
        <v>#VALUE!</v>
      </c>
      <c r="AE32" s="5" t="str">
        <f t="array" ref="AE32">CELL("protect",G32)</f>
        <v>#VALUE!</v>
      </c>
      <c r="AF32" s="5" t="str">
        <f t="array" ref="AF32">CELL("protect",H32)</f>
        <v>#VALUE!</v>
      </c>
      <c r="AG32" s="5" t="str">
        <f t="array" ref="AG32">CELL("protect",I32)</f>
        <v>#VALUE!</v>
      </c>
      <c r="AH32" s="5" t="str">
        <f t="array" ref="AH32">CELL("protect",J32)</f>
        <v>#VALUE!</v>
      </c>
      <c r="AI32" s="5" t="str">
        <f t="array" ref="AI32">CELL("protect",K32)</f>
        <v>#VALUE!</v>
      </c>
      <c r="AJ32" s="5" t="str">
        <f t="array" ref="AJ32">CELL("protect",L32)</f>
        <v>#VALUE!</v>
      </c>
      <c r="AK32" s="5"/>
      <c r="AL32" s="5"/>
      <c r="AM32" s="5"/>
    </row>
    <row r="33" ht="13.5" customHeight="1">
      <c r="A33" s="1196">
        <f t="shared" si="2"/>
        <v>33</v>
      </c>
      <c r="B33" s="507" t="s">
        <v>1067</v>
      </c>
      <c r="C33" s="505">
        <v>0.0</v>
      </c>
      <c r="D33" s="505">
        <v>0.0</v>
      </c>
      <c r="E33" s="1216">
        <f t="shared" si="14"/>
        <v>0</v>
      </c>
      <c r="F33" s="1222">
        <v>0.0</v>
      </c>
      <c r="G33" s="1217">
        <f t="shared" ref="G33:L33" si="20">+$D33</f>
        <v>0</v>
      </c>
      <c r="H33" s="1218">
        <f t="shared" si="20"/>
        <v>0</v>
      </c>
      <c r="I33" s="1218">
        <f t="shared" si="20"/>
        <v>0</v>
      </c>
      <c r="J33" s="1218">
        <f t="shared" si="20"/>
        <v>0</v>
      </c>
      <c r="K33" s="1218">
        <f t="shared" si="20"/>
        <v>0</v>
      </c>
      <c r="L33" s="1218">
        <f t="shared" si="20"/>
        <v>0</v>
      </c>
      <c r="M33" s="30"/>
      <c r="N33" s="119"/>
      <c r="O33" s="30"/>
      <c r="P33" s="30"/>
      <c r="Q33" s="30"/>
      <c r="R33" s="30"/>
      <c r="S33" s="30"/>
      <c r="T33" s="30"/>
      <c r="U33" s="30"/>
      <c r="V33" s="30"/>
      <c r="W33" s="30"/>
      <c r="X33" s="30"/>
      <c r="Y33" s="5" t="str">
        <f t="array" ref="Y33">CELL("protect",A33)</f>
        <v>#VALUE!</v>
      </c>
      <c r="Z33" s="5" t="str">
        <f t="array" ref="Z33">CELL("protect",B33)</f>
        <v>#VALUE!</v>
      </c>
      <c r="AA33" s="5" t="str">
        <f t="array" ref="AA33">CELL("protect",C33)</f>
        <v>#VALUE!</v>
      </c>
      <c r="AB33" s="5" t="str">
        <f t="array" ref="AB33">CELL("protect",D33)</f>
        <v>#VALUE!</v>
      </c>
      <c r="AC33" s="5" t="str">
        <f t="array" ref="AC33">CELL("protect",E33)</f>
        <v>#VALUE!</v>
      </c>
      <c r="AD33" s="5" t="str">
        <f t="array" ref="AD33">CELL("protect",F33)</f>
        <v>#VALUE!</v>
      </c>
      <c r="AE33" s="5" t="str">
        <f t="array" ref="AE33">CELL("protect",G33)</f>
        <v>#VALUE!</v>
      </c>
      <c r="AF33" s="5" t="str">
        <f t="array" ref="AF33">CELL("protect",H33)</f>
        <v>#VALUE!</v>
      </c>
      <c r="AG33" s="5" t="str">
        <f t="array" ref="AG33">CELL("protect",I33)</f>
        <v>#VALUE!</v>
      </c>
      <c r="AH33" s="5" t="str">
        <f t="array" ref="AH33">CELL("protect",J33)</f>
        <v>#VALUE!</v>
      </c>
      <c r="AI33" s="5" t="str">
        <f t="array" ref="AI33">CELL("protect",K33)</f>
        <v>#VALUE!</v>
      </c>
      <c r="AJ33" s="5" t="str">
        <f t="array" ref="AJ33">CELL("protect",L33)</f>
        <v>#VALUE!</v>
      </c>
      <c r="AK33" s="5"/>
      <c r="AL33" s="5"/>
      <c r="AM33" s="5"/>
    </row>
    <row r="34" ht="13.5" customHeight="1">
      <c r="A34" s="1196">
        <f t="shared" si="2"/>
        <v>34</v>
      </c>
      <c r="B34" s="507" t="s">
        <v>1068</v>
      </c>
      <c r="C34" s="505">
        <v>0.0</v>
      </c>
      <c r="D34" s="505">
        <v>0.0</v>
      </c>
      <c r="E34" s="1216">
        <f t="shared" si="14"/>
        <v>0</v>
      </c>
      <c r="F34" s="1222">
        <v>0.0</v>
      </c>
      <c r="G34" s="1217">
        <f t="shared" ref="G34:L34" si="21">+$D34</f>
        <v>0</v>
      </c>
      <c r="H34" s="1218">
        <f t="shared" si="21"/>
        <v>0</v>
      </c>
      <c r="I34" s="1218">
        <f t="shared" si="21"/>
        <v>0</v>
      </c>
      <c r="J34" s="1218">
        <f t="shared" si="21"/>
        <v>0</v>
      </c>
      <c r="K34" s="1218">
        <f t="shared" si="21"/>
        <v>0</v>
      </c>
      <c r="L34" s="1218">
        <f t="shared" si="21"/>
        <v>0</v>
      </c>
      <c r="M34" s="30"/>
      <c r="N34" s="119"/>
      <c r="O34" s="30"/>
      <c r="P34" s="30"/>
      <c r="Q34" s="30"/>
      <c r="R34" s="30"/>
      <c r="S34" s="30"/>
      <c r="T34" s="30"/>
      <c r="U34" s="30"/>
      <c r="V34" s="30"/>
      <c r="W34" s="30"/>
      <c r="X34" s="30"/>
      <c r="Y34" s="5" t="str">
        <f t="array" ref="Y34">CELL("protect",A34)</f>
        <v>#VALUE!</v>
      </c>
      <c r="Z34" s="5" t="str">
        <f t="array" ref="Z34">CELL("protect",B34)</f>
        <v>#VALUE!</v>
      </c>
      <c r="AA34" s="5" t="str">
        <f t="array" ref="AA34">CELL("protect",C34)</f>
        <v>#VALUE!</v>
      </c>
      <c r="AB34" s="5" t="str">
        <f t="array" ref="AB34">CELL("protect",D34)</f>
        <v>#VALUE!</v>
      </c>
      <c r="AC34" s="5" t="str">
        <f t="array" ref="AC34">CELL("protect",E34)</f>
        <v>#VALUE!</v>
      </c>
      <c r="AD34" s="5" t="str">
        <f t="array" ref="AD34">CELL("protect",F34)</f>
        <v>#VALUE!</v>
      </c>
      <c r="AE34" s="5" t="str">
        <f t="array" ref="AE34">CELL("protect",G34)</f>
        <v>#VALUE!</v>
      </c>
      <c r="AF34" s="5" t="str">
        <f t="array" ref="AF34">CELL("protect",H34)</f>
        <v>#VALUE!</v>
      </c>
      <c r="AG34" s="5" t="str">
        <f t="array" ref="AG34">CELL("protect",I34)</f>
        <v>#VALUE!</v>
      </c>
      <c r="AH34" s="5" t="str">
        <f t="array" ref="AH34">CELL("protect",J34)</f>
        <v>#VALUE!</v>
      </c>
      <c r="AI34" s="5" t="str">
        <f t="array" ref="AI34">CELL("protect",K34)</f>
        <v>#VALUE!</v>
      </c>
      <c r="AJ34" s="5" t="str">
        <f t="array" ref="AJ34">CELL("protect",L34)</f>
        <v>#VALUE!</v>
      </c>
      <c r="AK34" s="5"/>
      <c r="AL34" s="5"/>
      <c r="AM34" s="5"/>
    </row>
    <row r="35" ht="13.5" customHeight="1">
      <c r="A35" s="1196">
        <f t="shared" si="2"/>
        <v>35</v>
      </c>
      <c r="B35" s="507" t="s">
        <v>1069</v>
      </c>
      <c r="C35" s="505">
        <v>0.0</v>
      </c>
      <c r="D35" s="505">
        <v>0.0</v>
      </c>
      <c r="E35" s="1216">
        <f t="shared" si="14"/>
        <v>0</v>
      </c>
      <c r="F35" s="1222">
        <v>0.0</v>
      </c>
      <c r="G35" s="1217">
        <f t="shared" ref="G35:L35" si="22">+$D35</f>
        <v>0</v>
      </c>
      <c r="H35" s="1218">
        <f t="shared" si="22"/>
        <v>0</v>
      </c>
      <c r="I35" s="1218">
        <f t="shared" si="22"/>
        <v>0</v>
      </c>
      <c r="J35" s="1218">
        <f t="shared" si="22"/>
        <v>0</v>
      </c>
      <c r="K35" s="1218">
        <f t="shared" si="22"/>
        <v>0</v>
      </c>
      <c r="L35" s="1218">
        <f t="shared" si="22"/>
        <v>0</v>
      </c>
      <c r="M35" s="30"/>
      <c r="N35" s="119"/>
      <c r="O35" s="30"/>
      <c r="P35" s="30"/>
      <c r="Q35" s="30"/>
      <c r="R35" s="30"/>
      <c r="S35" s="30"/>
      <c r="T35" s="30"/>
      <c r="U35" s="30"/>
      <c r="V35" s="30"/>
      <c r="W35" s="30"/>
      <c r="X35" s="30"/>
      <c r="Y35" s="5" t="str">
        <f t="array" ref="Y35">CELL("protect",A35)</f>
        <v>#VALUE!</v>
      </c>
      <c r="Z35" s="5" t="str">
        <f t="array" ref="Z35">CELL("protect",B35)</f>
        <v>#VALUE!</v>
      </c>
      <c r="AA35" s="5" t="str">
        <f t="array" ref="AA35">CELL("protect",C35)</f>
        <v>#VALUE!</v>
      </c>
      <c r="AB35" s="5" t="str">
        <f t="array" ref="AB35">CELL("protect",D35)</f>
        <v>#VALUE!</v>
      </c>
      <c r="AC35" s="5" t="str">
        <f t="array" ref="AC35">CELL("protect",E35)</f>
        <v>#VALUE!</v>
      </c>
      <c r="AD35" s="5" t="str">
        <f t="array" ref="AD35">CELL("protect",F35)</f>
        <v>#VALUE!</v>
      </c>
      <c r="AE35" s="5" t="str">
        <f t="array" ref="AE35">CELL("protect",G35)</f>
        <v>#VALUE!</v>
      </c>
      <c r="AF35" s="5" t="str">
        <f t="array" ref="AF35">CELL("protect",H35)</f>
        <v>#VALUE!</v>
      </c>
      <c r="AG35" s="5" t="str">
        <f t="array" ref="AG35">CELL("protect",I35)</f>
        <v>#VALUE!</v>
      </c>
      <c r="AH35" s="5" t="str">
        <f t="array" ref="AH35">CELL("protect",J35)</f>
        <v>#VALUE!</v>
      </c>
      <c r="AI35" s="5" t="str">
        <f t="array" ref="AI35">CELL("protect",K35)</f>
        <v>#VALUE!</v>
      </c>
      <c r="AJ35" s="5" t="str">
        <f t="array" ref="AJ35">CELL("protect",L35)</f>
        <v>#VALUE!</v>
      </c>
      <c r="AK35" s="5"/>
      <c r="AL35" s="5"/>
      <c r="AM35" s="5"/>
    </row>
    <row r="36" ht="13.5" customHeight="1">
      <c r="A36" s="1196">
        <f t="shared" si="2"/>
        <v>36</v>
      </c>
      <c r="B36" s="507" t="s">
        <v>1070</v>
      </c>
      <c r="C36" s="505">
        <v>0.0</v>
      </c>
      <c r="D36" s="505">
        <v>0.0</v>
      </c>
      <c r="E36" s="1216">
        <f t="shared" si="14"/>
        <v>0</v>
      </c>
      <c r="F36" s="1222">
        <v>0.0</v>
      </c>
      <c r="G36" s="1217">
        <f t="shared" ref="G36:L36" si="23">+$D36</f>
        <v>0</v>
      </c>
      <c r="H36" s="1218">
        <f t="shared" si="23"/>
        <v>0</v>
      </c>
      <c r="I36" s="1218">
        <f t="shared" si="23"/>
        <v>0</v>
      </c>
      <c r="J36" s="1218">
        <f t="shared" si="23"/>
        <v>0</v>
      </c>
      <c r="K36" s="1218">
        <f t="shared" si="23"/>
        <v>0</v>
      </c>
      <c r="L36" s="1218">
        <f t="shared" si="23"/>
        <v>0</v>
      </c>
      <c r="M36" s="30"/>
      <c r="N36" s="119"/>
      <c r="O36" s="30"/>
      <c r="P36" s="30"/>
      <c r="Q36" s="30"/>
      <c r="R36" s="30"/>
      <c r="S36" s="30"/>
      <c r="T36" s="30"/>
      <c r="U36" s="30"/>
      <c r="V36" s="30"/>
      <c r="W36" s="30"/>
      <c r="X36" s="30"/>
      <c r="Y36" s="5" t="str">
        <f t="array" ref="Y36">CELL("protect",A36)</f>
        <v>#VALUE!</v>
      </c>
      <c r="Z36" s="5" t="str">
        <f t="array" ref="Z36">CELL("protect",B36)</f>
        <v>#VALUE!</v>
      </c>
      <c r="AA36" s="5" t="str">
        <f t="array" ref="AA36">CELL("protect",C36)</f>
        <v>#VALUE!</v>
      </c>
      <c r="AB36" s="5" t="str">
        <f t="array" ref="AB36">CELL("protect",D36)</f>
        <v>#VALUE!</v>
      </c>
      <c r="AC36" s="5" t="str">
        <f t="array" ref="AC36">CELL("protect",E36)</f>
        <v>#VALUE!</v>
      </c>
      <c r="AD36" s="5" t="str">
        <f t="array" ref="AD36">CELL("protect",F36)</f>
        <v>#VALUE!</v>
      </c>
      <c r="AE36" s="5" t="str">
        <f t="array" ref="AE36">CELL("protect",G36)</f>
        <v>#VALUE!</v>
      </c>
      <c r="AF36" s="5" t="str">
        <f t="array" ref="AF36">CELL("protect",H36)</f>
        <v>#VALUE!</v>
      </c>
      <c r="AG36" s="5" t="str">
        <f t="array" ref="AG36">CELL("protect",I36)</f>
        <v>#VALUE!</v>
      </c>
      <c r="AH36" s="5" t="str">
        <f t="array" ref="AH36">CELL("protect",J36)</f>
        <v>#VALUE!</v>
      </c>
      <c r="AI36" s="5" t="str">
        <f t="array" ref="AI36">CELL("protect",K36)</f>
        <v>#VALUE!</v>
      </c>
      <c r="AJ36" s="5" t="str">
        <f t="array" ref="AJ36">CELL("protect",L36)</f>
        <v>#VALUE!</v>
      </c>
      <c r="AK36" s="5"/>
      <c r="AL36" s="5"/>
      <c r="AM36" s="5"/>
    </row>
    <row r="37" ht="13.5" customHeight="1">
      <c r="A37" s="1196">
        <f t="shared" si="2"/>
        <v>37</v>
      </c>
      <c r="B37" s="1242" t="s">
        <v>1071</v>
      </c>
      <c r="C37" s="505">
        <v>0.0</v>
      </c>
      <c r="D37" s="505">
        <v>0.0</v>
      </c>
      <c r="E37" s="1216">
        <f t="shared" si="14"/>
        <v>0</v>
      </c>
      <c r="F37" s="1222">
        <v>0.0</v>
      </c>
      <c r="G37" s="1217">
        <f t="shared" ref="G37:L37" si="24">+$D37</f>
        <v>0</v>
      </c>
      <c r="H37" s="1218">
        <f t="shared" si="24"/>
        <v>0</v>
      </c>
      <c r="I37" s="1218">
        <f t="shared" si="24"/>
        <v>0</v>
      </c>
      <c r="J37" s="1218">
        <f t="shared" si="24"/>
        <v>0</v>
      </c>
      <c r="K37" s="1218">
        <f t="shared" si="24"/>
        <v>0</v>
      </c>
      <c r="L37" s="1218">
        <f t="shared" si="24"/>
        <v>0</v>
      </c>
      <c r="M37" s="30"/>
      <c r="N37" s="119"/>
      <c r="O37" s="30"/>
      <c r="P37" s="30"/>
      <c r="Q37" s="30"/>
      <c r="R37" s="30"/>
      <c r="S37" s="30"/>
      <c r="T37" s="30"/>
      <c r="U37" s="30"/>
      <c r="V37" s="30"/>
      <c r="W37" s="30"/>
      <c r="X37" s="30"/>
      <c r="Y37" s="5" t="str">
        <f t="array" ref="Y37">CELL("protect",A37)</f>
        <v>#VALUE!</v>
      </c>
      <c r="Z37" s="5" t="str">
        <f t="array" ref="Z37">CELL("protect",B37)</f>
        <v>#VALUE!</v>
      </c>
      <c r="AA37" s="5" t="str">
        <f t="array" ref="AA37">CELL("protect",C37)</f>
        <v>#VALUE!</v>
      </c>
      <c r="AB37" s="5" t="str">
        <f t="array" ref="AB37">CELL("protect",D37)</f>
        <v>#VALUE!</v>
      </c>
      <c r="AC37" s="5" t="str">
        <f t="array" ref="AC37">CELL("protect",E37)</f>
        <v>#VALUE!</v>
      </c>
      <c r="AD37" s="5" t="str">
        <f t="array" ref="AD37">CELL("protect",F37)</f>
        <v>#VALUE!</v>
      </c>
      <c r="AE37" s="5" t="str">
        <f t="array" ref="AE37">CELL("protect",G37)</f>
        <v>#VALUE!</v>
      </c>
      <c r="AF37" s="5" t="str">
        <f t="array" ref="AF37">CELL("protect",H37)</f>
        <v>#VALUE!</v>
      </c>
      <c r="AG37" s="5" t="str">
        <f t="array" ref="AG37">CELL("protect",I37)</f>
        <v>#VALUE!</v>
      </c>
      <c r="AH37" s="5" t="str">
        <f t="array" ref="AH37">CELL("protect",J37)</f>
        <v>#VALUE!</v>
      </c>
      <c r="AI37" s="5" t="str">
        <f t="array" ref="AI37">CELL("protect",K37)</f>
        <v>#VALUE!</v>
      </c>
      <c r="AJ37" s="5" t="str">
        <f t="array" ref="AJ37">CELL("protect",L37)</f>
        <v>#VALUE!</v>
      </c>
      <c r="AK37" s="5"/>
      <c r="AL37" s="5"/>
      <c r="AM37" s="5"/>
    </row>
    <row r="38" ht="13.5" customHeight="1">
      <c r="A38" s="1196">
        <f t="shared" si="2"/>
        <v>38</v>
      </c>
      <c r="B38" s="1242" t="s">
        <v>1072</v>
      </c>
      <c r="C38" s="505">
        <v>0.0</v>
      </c>
      <c r="D38" s="505">
        <v>0.0</v>
      </c>
      <c r="E38" s="1216">
        <f t="shared" si="14"/>
        <v>0</v>
      </c>
      <c r="F38" s="1222">
        <v>0.0</v>
      </c>
      <c r="G38" s="1217">
        <f t="shared" ref="G38:L38" si="25">+$D38</f>
        <v>0</v>
      </c>
      <c r="H38" s="1218">
        <f t="shared" si="25"/>
        <v>0</v>
      </c>
      <c r="I38" s="1218">
        <f t="shared" si="25"/>
        <v>0</v>
      </c>
      <c r="J38" s="1218">
        <f t="shared" si="25"/>
        <v>0</v>
      </c>
      <c r="K38" s="1218">
        <f t="shared" si="25"/>
        <v>0</v>
      </c>
      <c r="L38" s="1218">
        <f t="shared" si="25"/>
        <v>0</v>
      </c>
      <c r="M38" s="30"/>
      <c r="N38" s="119"/>
      <c r="O38" s="30"/>
      <c r="P38" s="30"/>
      <c r="Q38" s="30"/>
      <c r="R38" s="30"/>
      <c r="S38" s="30"/>
      <c r="T38" s="30"/>
      <c r="U38" s="30"/>
      <c r="V38" s="30"/>
      <c r="W38" s="30"/>
      <c r="X38" s="30"/>
      <c r="Y38" s="5" t="str">
        <f t="array" ref="Y38">CELL("protect",A38)</f>
        <v>#VALUE!</v>
      </c>
      <c r="Z38" s="5" t="str">
        <f t="array" ref="Z38">CELL("protect",B38)</f>
        <v>#VALUE!</v>
      </c>
      <c r="AA38" s="5" t="str">
        <f t="array" ref="AA38">CELL("protect",C38)</f>
        <v>#VALUE!</v>
      </c>
      <c r="AB38" s="5" t="str">
        <f t="array" ref="AB38">CELL("protect",D38)</f>
        <v>#VALUE!</v>
      </c>
      <c r="AC38" s="5" t="str">
        <f t="array" ref="AC38">CELL("protect",E38)</f>
        <v>#VALUE!</v>
      </c>
      <c r="AD38" s="5" t="str">
        <f t="array" ref="AD38">CELL("protect",F38)</f>
        <v>#VALUE!</v>
      </c>
      <c r="AE38" s="5" t="str">
        <f t="array" ref="AE38">CELL("protect",G38)</f>
        <v>#VALUE!</v>
      </c>
      <c r="AF38" s="5" t="str">
        <f t="array" ref="AF38">CELL("protect",H38)</f>
        <v>#VALUE!</v>
      </c>
      <c r="AG38" s="5" t="str">
        <f t="array" ref="AG38">CELL("protect",I38)</f>
        <v>#VALUE!</v>
      </c>
      <c r="AH38" s="5" t="str">
        <f t="array" ref="AH38">CELL("protect",J38)</f>
        <v>#VALUE!</v>
      </c>
      <c r="AI38" s="5" t="str">
        <f t="array" ref="AI38">CELL("protect",K38)</f>
        <v>#VALUE!</v>
      </c>
      <c r="AJ38" s="5" t="str">
        <f t="array" ref="AJ38">CELL("protect",L38)</f>
        <v>#VALUE!</v>
      </c>
      <c r="AK38" s="5"/>
      <c r="AL38" s="5"/>
      <c r="AM38" s="5"/>
    </row>
    <row r="39" ht="13.5" customHeight="1">
      <c r="A39" s="1196">
        <f t="shared" si="2"/>
        <v>39</v>
      </c>
      <c r="B39" s="507" t="s">
        <v>1073</v>
      </c>
      <c r="C39" s="505">
        <v>0.0</v>
      </c>
      <c r="D39" s="505">
        <v>0.0</v>
      </c>
      <c r="E39" s="1216">
        <f t="shared" si="14"/>
        <v>0</v>
      </c>
      <c r="F39" s="1222">
        <v>0.0</v>
      </c>
      <c r="G39" s="1217">
        <f t="shared" ref="G39:L39" si="26">+$D39</f>
        <v>0</v>
      </c>
      <c r="H39" s="1218">
        <f t="shared" si="26"/>
        <v>0</v>
      </c>
      <c r="I39" s="1218">
        <f t="shared" si="26"/>
        <v>0</v>
      </c>
      <c r="J39" s="1218">
        <f t="shared" si="26"/>
        <v>0</v>
      </c>
      <c r="K39" s="1218">
        <f t="shared" si="26"/>
        <v>0</v>
      </c>
      <c r="L39" s="1218">
        <f t="shared" si="26"/>
        <v>0</v>
      </c>
      <c r="M39" s="30"/>
      <c r="N39" s="119"/>
      <c r="O39" s="30"/>
      <c r="P39" s="30"/>
      <c r="Q39" s="30"/>
      <c r="R39" s="30"/>
      <c r="S39" s="30"/>
      <c r="T39" s="30"/>
      <c r="U39" s="30"/>
      <c r="V39" s="30"/>
      <c r="W39" s="30"/>
      <c r="X39" s="30"/>
      <c r="Y39" s="5" t="str">
        <f t="array" ref="Y39">CELL("protect",A39)</f>
        <v>#VALUE!</v>
      </c>
      <c r="Z39" s="5" t="str">
        <f t="array" ref="Z39">CELL("protect",B39)</f>
        <v>#VALUE!</v>
      </c>
      <c r="AA39" s="5" t="str">
        <f t="array" ref="AA39">CELL("protect",C39)</f>
        <v>#VALUE!</v>
      </c>
      <c r="AB39" s="5" t="str">
        <f t="array" ref="AB39">CELL("protect",D39)</f>
        <v>#VALUE!</v>
      </c>
      <c r="AC39" s="5" t="str">
        <f t="array" ref="AC39">CELL("protect",E39)</f>
        <v>#VALUE!</v>
      </c>
      <c r="AD39" s="5" t="str">
        <f t="array" ref="AD39">CELL("protect",F39)</f>
        <v>#VALUE!</v>
      </c>
      <c r="AE39" s="5" t="str">
        <f t="array" ref="AE39">CELL("protect",G39)</f>
        <v>#VALUE!</v>
      </c>
      <c r="AF39" s="5" t="str">
        <f t="array" ref="AF39">CELL("protect",H39)</f>
        <v>#VALUE!</v>
      </c>
      <c r="AG39" s="5" t="str">
        <f t="array" ref="AG39">CELL("protect",I39)</f>
        <v>#VALUE!</v>
      </c>
      <c r="AH39" s="5" t="str">
        <f t="array" ref="AH39">CELL("protect",J39)</f>
        <v>#VALUE!</v>
      </c>
      <c r="AI39" s="5" t="str">
        <f t="array" ref="AI39">CELL("protect",K39)</f>
        <v>#VALUE!</v>
      </c>
      <c r="AJ39" s="5" t="str">
        <f t="array" ref="AJ39">CELL("protect",L39)</f>
        <v>#VALUE!</v>
      </c>
      <c r="AK39" s="5"/>
      <c r="AL39" s="5"/>
      <c r="AM39" s="5"/>
    </row>
    <row r="40" ht="13.5" customHeight="1">
      <c r="A40" s="1196">
        <f t="shared" si="2"/>
        <v>40</v>
      </c>
      <c r="B40" s="507" t="s">
        <v>1074</v>
      </c>
      <c r="C40" s="1215">
        <v>25000.0</v>
      </c>
      <c r="D40" s="1215">
        <v>1913.01</v>
      </c>
      <c r="E40" s="1216">
        <f t="shared" si="14"/>
        <v>13391.07</v>
      </c>
      <c r="F40" s="1222">
        <f t="shared" ref="F40:L40" si="27">+$D40</f>
        <v>1913.01</v>
      </c>
      <c r="G40" s="1217">
        <f t="shared" si="27"/>
        <v>1913.01</v>
      </c>
      <c r="H40" s="1218">
        <f t="shared" si="27"/>
        <v>1913.01</v>
      </c>
      <c r="I40" s="1218">
        <f t="shared" si="27"/>
        <v>1913.01</v>
      </c>
      <c r="J40" s="1218">
        <f t="shared" si="27"/>
        <v>1913.01</v>
      </c>
      <c r="K40" s="1218">
        <f t="shared" si="27"/>
        <v>1913.01</v>
      </c>
      <c r="L40" s="1218">
        <f t="shared" si="27"/>
        <v>1913.01</v>
      </c>
      <c r="M40" s="30"/>
      <c r="N40" s="119"/>
      <c r="O40" s="30"/>
      <c r="P40" s="30"/>
      <c r="Q40" s="30"/>
      <c r="R40" s="30"/>
      <c r="S40" s="30"/>
      <c r="T40" s="30"/>
      <c r="U40" s="30"/>
      <c r="V40" s="30"/>
      <c r="W40" s="30"/>
      <c r="X40" s="30"/>
      <c r="Y40" s="5" t="str">
        <f t="array" ref="Y40">CELL("protect",A40)</f>
        <v>#VALUE!</v>
      </c>
      <c r="Z40" s="5" t="str">
        <f t="array" ref="Z40">CELL("protect",B40)</f>
        <v>#VALUE!</v>
      </c>
      <c r="AA40" s="5" t="str">
        <f t="array" ref="AA40">CELL("protect",C40)</f>
        <v>#VALUE!</v>
      </c>
      <c r="AB40" s="5" t="str">
        <f t="array" ref="AB40">CELL("protect",D40)</f>
        <v>#VALUE!</v>
      </c>
      <c r="AC40" s="5" t="str">
        <f t="array" ref="AC40">CELL("protect",E40)</f>
        <v>#VALUE!</v>
      </c>
      <c r="AD40" s="5" t="str">
        <f t="array" ref="AD40">CELL("protect",F40)</f>
        <v>#VALUE!</v>
      </c>
      <c r="AE40" s="5" t="str">
        <f t="array" ref="AE40">CELL("protect",G40)</f>
        <v>#VALUE!</v>
      </c>
      <c r="AF40" s="5" t="str">
        <f t="array" ref="AF40">CELL("protect",H40)</f>
        <v>#VALUE!</v>
      </c>
      <c r="AG40" s="5" t="str">
        <f t="array" ref="AG40">CELL("protect",I40)</f>
        <v>#VALUE!</v>
      </c>
      <c r="AH40" s="5" t="str">
        <f t="array" ref="AH40">CELL("protect",J40)</f>
        <v>#VALUE!</v>
      </c>
      <c r="AI40" s="5" t="str">
        <f t="array" ref="AI40">CELL("protect",K40)</f>
        <v>#VALUE!</v>
      </c>
      <c r="AJ40" s="5" t="str">
        <f t="array" ref="AJ40">CELL("protect",L40)</f>
        <v>#VALUE!</v>
      </c>
      <c r="AK40" s="5"/>
      <c r="AL40" s="5"/>
      <c r="AM40" s="5"/>
    </row>
    <row r="41" ht="13.5" customHeight="1">
      <c r="A41" s="1196">
        <f t="shared" si="2"/>
        <v>41</v>
      </c>
      <c r="B41" s="507" t="s">
        <v>1075</v>
      </c>
      <c r="C41" s="518"/>
      <c r="D41" s="518"/>
      <c r="E41" s="1216">
        <f t="shared" si="14"/>
        <v>0</v>
      </c>
      <c r="F41" s="1222">
        <v>0.0</v>
      </c>
      <c r="G41" s="1217" t="str">
        <f t="shared" ref="G41:L41" si="28">+$D41</f>
        <v/>
      </c>
      <c r="H41" s="1218" t="str">
        <f t="shared" si="28"/>
        <v/>
      </c>
      <c r="I41" s="1218" t="str">
        <f t="shared" si="28"/>
        <v/>
      </c>
      <c r="J41" s="1218" t="str">
        <f t="shared" si="28"/>
        <v/>
      </c>
      <c r="K41" s="1218" t="str">
        <f t="shared" si="28"/>
        <v/>
      </c>
      <c r="L41" s="1218" t="str">
        <f t="shared" si="28"/>
        <v/>
      </c>
      <c r="M41" s="30"/>
      <c r="N41" s="119"/>
      <c r="O41" s="30"/>
      <c r="P41" s="30"/>
      <c r="Q41" s="30"/>
      <c r="R41" s="30"/>
      <c r="S41" s="30"/>
      <c r="T41" s="30"/>
      <c r="U41" s="30"/>
      <c r="V41" s="30"/>
      <c r="W41" s="30"/>
      <c r="X41" s="30"/>
      <c r="Y41" s="5" t="str">
        <f t="array" ref="Y41">CELL("protect",A41)</f>
        <v>#VALUE!</v>
      </c>
      <c r="Z41" s="5" t="str">
        <f t="array" ref="Z41">CELL("protect",B41)</f>
        <v>#VALUE!</v>
      </c>
      <c r="AA41" s="5" t="str">
        <f t="array" ref="AA41">CELL("protect",C41)</f>
        <v>#VALUE!</v>
      </c>
      <c r="AB41" s="5" t="str">
        <f t="array" ref="AB41">CELL("protect",D41)</f>
        <v>#VALUE!</v>
      </c>
      <c r="AC41" s="5" t="str">
        <f t="array" ref="AC41">CELL("protect",E41)</f>
        <v>#VALUE!</v>
      </c>
      <c r="AD41" s="5" t="str">
        <f t="array" ref="AD41">CELL("protect",F41)</f>
        <v>#VALUE!</v>
      </c>
      <c r="AE41" s="5" t="str">
        <f t="array" ref="AE41">CELL("protect",G41)</f>
        <v>#VALUE!</v>
      </c>
      <c r="AF41" s="5" t="str">
        <f t="array" ref="AF41">CELL("protect",H41)</f>
        <v>#VALUE!</v>
      </c>
      <c r="AG41" s="5" t="str">
        <f t="array" ref="AG41">CELL("protect",I41)</f>
        <v>#VALUE!</v>
      </c>
      <c r="AH41" s="5" t="str">
        <f t="array" ref="AH41">CELL("protect",J41)</f>
        <v>#VALUE!</v>
      </c>
      <c r="AI41" s="5" t="str">
        <f t="array" ref="AI41">CELL("protect",K41)</f>
        <v>#VALUE!</v>
      </c>
      <c r="AJ41" s="5" t="str">
        <f t="array" ref="AJ41">CELL("protect",L41)</f>
        <v>#VALUE!</v>
      </c>
      <c r="AK41" s="5"/>
      <c r="AL41" s="5"/>
      <c r="AM41" s="5"/>
    </row>
    <row r="42" ht="13.5" customHeight="1">
      <c r="A42" s="1196">
        <f t="shared" si="2"/>
        <v>42</v>
      </c>
      <c r="B42" s="507"/>
      <c r="C42" s="518"/>
      <c r="D42" s="518"/>
      <c r="E42" s="1216">
        <f t="shared" si="14"/>
        <v>0</v>
      </c>
      <c r="F42" s="1222">
        <v>0.0</v>
      </c>
      <c r="G42" s="1217" t="str">
        <f t="shared" ref="G42:L42" si="29">+$D42</f>
        <v/>
      </c>
      <c r="H42" s="1218" t="str">
        <f t="shared" si="29"/>
        <v/>
      </c>
      <c r="I42" s="1218" t="str">
        <f t="shared" si="29"/>
        <v/>
      </c>
      <c r="J42" s="1218" t="str">
        <f t="shared" si="29"/>
        <v/>
      </c>
      <c r="K42" s="1218" t="str">
        <f t="shared" si="29"/>
        <v/>
      </c>
      <c r="L42" s="1218" t="str">
        <f t="shared" si="29"/>
        <v/>
      </c>
      <c r="M42" s="30"/>
      <c r="N42" s="119"/>
      <c r="O42" s="30"/>
      <c r="P42" s="30"/>
      <c r="Q42" s="30"/>
      <c r="R42" s="30"/>
      <c r="S42" s="30"/>
      <c r="T42" s="30"/>
      <c r="U42" s="30"/>
      <c r="V42" s="30"/>
      <c r="W42" s="30"/>
      <c r="X42" s="30"/>
      <c r="Y42" s="5" t="str">
        <f t="array" ref="Y42">CELL("protect",A42)</f>
        <v>#VALUE!</v>
      </c>
      <c r="Z42" s="5" t="str">
        <f t="array" ref="Z42">CELL("protect",B42)</f>
        <v>#VALUE!</v>
      </c>
      <c r="AA42" s="5" t="str">
        <f t="array" ref="AA42">CELL("protect",C42)</f>
        <v>#VALUE!</v>
      </c>
      <c r="AB42" s="5" t="str">
        <f t="array" ref="AB42">CELL("protect",D42)</f>
        <v>#VALUE!</v>
      </c>
      <c r="AC42" s="5" t="str">
        <f t="array" ref="AC42">CELL("protect",E42)</f>
        <v>#VALUE!</v>
      </c>
      <c r="AD42" s="5" t="str">
        <f t="array" ref="AD42">CELL("protect",F42)</f>
        <v>#VALUE!</v>
      </c>
      <c r="AE42" s="5" t="str">
        <f t="array" ref="AE42">CELL("protect",G42)</f>
        <v>#VALUE!</v>
      </c>
      <c r="AF42" s="5" t="str">
        <f t="array" ref="AF42">CELL("protect",H42)</f>
        <v>#VALUE!</v>
      </c>
      <c r="AG42" s="5" t="str">
        <f t="array" ref="AG42">CELL("protect",I42)</f>
        <v>#VALUE!</v>
      </c>
      <c r="AH42" s="5" t="str">
        <f t="array" ref="AH42">CELL("protect",J42)</f>
        <v>#VALUE!</v>
      </c>
      <c r="AI42" s="5" t="str">
        <f t="array" ref="AI42">CELL("protect",K42)</f>
        <v>#VALUE!</v>
      </c>
      <c r="AJ42" s="5" t="str">
        <f t="array" ref="AJ42">CELL("protect",L42)</f>
        <v>#VALUE!</v>
      </c>
      <c r="AK42" s="5"/>
      <c r="AL42" s="5"/>
      <c r="AM42" s="5"/>
    </row>
    <row r="43" ht="13.5" customHeight="1">
      <c r="A43" s="1196">
        <f t="shared" si="2"/>
        <v>43</v>
      </c>
      <c r="B43" s="507"/>
      <c r="C43" s="518"/>
      <c r="D43" s="518"/>
      <c r="E43" s="1216">
        <f t="shared" si="14"/>
        <v>0</v>
      </c>
      <c r="F43" s="1222">
        <v>0.0</v>
      </c>
      <c r="G43" s="1217" t="str">
        <f t="shared" ref="G43:L43" si="30">+$D43</f>
        <v/>
      </c>
      <c r="H43" s="1218" t="str">
        <f t="shared" si="30"/>
        <v/>
      </c>
      <c r="I43" s="1218" t="str">
        <f t="shared" si="30"/>
        <v/>
      </c>
      <c r="J43" s="1218" t="str">
        <f t="shared" si="30"/>
        <v/>
      </c>
      <c r="K43" s="1218" t="str">
        <f t="shared" si="30"/>
        <v/>
      </c>
      <c r="L43" s="1218" t="str">
        <f t="shared" si="30"/>
        <v/>
      </c>
      <c r="M43" s="30"/>
      <c r="N43" s="119"/>
      <c r="O43" s="30"/>
      <c r="P43" s="30"/>
      <c r="Q43" s="30"/>
      <c r="R43" s="30"/>
      <c r="S43" s="30"/>
      <c r="T43" s="30"/>
      <c r="U43" s="30"/>
      <c r="V43" s="30"/>
      <c r="W43" s="30"/>
      <c r="X43" s="30"/>
      <c r="Y43" s="5" t="str">
        <f t="array" ref="Y43">CELL("protect",A43)</f>
        <v>#VALUE!</v>
      </c>
      <c r="Z43" s="5" t="str">
        <f t="array" ref="Z43">CELL("protect",B43)</f>
        <v>#VALUE!</v>
      </c>
      <c r="AA43" s="5" t="str">
        <f t="array" ref="AA43">CELL("protect",C43)</f>
        <v>#VALUE!</v>
      </c>
      <c r="AB43" s="5" t="str">
        <f t="array" ref="AB43">CELL("protect",D43)</f>
        <v>#VALUE!</v>
      </c>
      <c r="AC43" s="5" t="str">
        <f t="array" ref="AC43">CELL("protect",E43)</f>
        <v>#VALUE!</v>
      </c>
      <c r="AD43" s="5" t="str">
        <f t="array" ref="AD43">CELL("protect",F43)</f>
        <v>#VALUE!</v>
      </c>
      <c r="AE43" s="5" t="str">
        <f t="array" ref="AE43">CELL("protect",G43)</f>
        <v>#VALUE!</v>
      </c>
      <c r="AF43" s="5" t="str">
        <f t="array" ref="AF43">CELL("protect",H43)</f>
        <v>#VALUE!</v>
      </c>
      <c r="AG43" s="5" t="str">
        <f t="array" ref="AG43">CELL("protect",I43)</f>
        <v>#VALUE!</v>
      </c>
      <c r="AH43" s="5" t="str">
        <f t="array" ref="AH43">CELL("protect",J43)</f>
        <v>#VALUE!</v>
      </c>
      <c r="AI43" s="5" t="str">
        <f t="array" ref="AI43">CELL("protect",K43)</f>
        <v>#VALUE!</v>
      </c>
      <c r="AJ43" s="5" t="str">
        <f t="array" ref="AJ43">CELL("protect",L43)</f>
        <v>#VALUE!</v>
      </c>
      <c r="AK43" s="5"/>
      <c r="AL43" s="5"/>
      <c r="AM43" s="5"/>
    </row>
    <row r="44" ht="13.5" customHeight="1">
      <c r="A44" s="1196">
        <f t="shared" si="2"/>
        <v>44</v>
      </c>
      <c r="B44" s="507"/>
      <c r="C44" s="518"/>
      <c r="D44" s="518"/>
      <c r="E44" s="1216">
        <f t="shared" si="14"/>
        <v>0</v>
      </c>
      <c r="F44" s="1222">
        <v>0.0</v>
      </c>
      <c r="G44" s="1217" t="str">
        <f t="shared" ref="G44:L44" si="31">+$D44</f>
        <v/>
      </c>
      <c r="H44" s="1218" t="str">
        <f t="shared" si="31"/>
        <v/>
      </c>
      <c r="I44" s="1218" t="str">
        <f t="shared" si="31"/>
        <v/>
      </c>
      <c r="J44" s="1218" t="str">
        <f t="shared" si="31"/>
        <v/>
      </c>
      <c r="K44" s="1218" t="str">
        <f t="shared" si="31"/>
        <v/>
      </c>
      <c r="L44" s="1218" t="str">
        <f t="shared" si="31"/>
        <v/>
      </c>
      <c r="M44" s="30"/>
      <c r="N44" s="119"/>
      <c r="O44" s="30"/>
      <c r="P44" s="30"/>
      <c r="Q44" s="30"/>
      <c r="R44" s="30"/>
      <c r="S44" s="30"/>
      <c r="T44" s="30"/>
      <c r="U44" s="30"/>
      <c r="V44" s="30"/>
      <c r="W44" s="30"/>
      <c r="X44" s="30"/>
      <c r="Y44" s="5" t="str">
        <f t="array" ref="Y44">CELL("protect",A44)</f>
        <v>#VALUE!</v>
      </c>
      <c r="Z44" s="5" t="str">
        <f t="array" ref="Z44">CELL("protect",B44)</f>
        <v>#VALUE!</v>
      </c>
      <c r="AA44" s="5" t="str">
        <f t="array" ref="AA44">CELL("protect",C44)</f>
        <v>#VALUE!</v>
      </c>
      <c r="AB44" s="5" t="str">
        <f t="array" ref="AB44">CELL("protect",D44)</f>
        <v>#VALUE!</v>
      </c>
      <c r="AC44" s="5" t="str">
        <f t="array" ref="AC44">CELL("protect",E44)</f>
        <v>#VALUE!</v>
      </c>
      <c r="AD44" s="5" t="str">
        <f t="array" ref="AD44">CELL("protect",F44)</f>
        <v>#VALUE!</v>
      </c>
      <c r="AE44" s="5" t="str">
        <f t="array" ref="AE44">CELL("protect",G44)</f>
        <v>#VALUE!</v>
      </c>
      <c r="AF44" s="5" t="str">
        <f t="array" ref="AF44">CELL("protect",H44)</f>
        <v>#VALUE!</v>
      </c>
      <c r="AG44" s="5" t="str">
        <f t="array" ref="AG44">CELL("protect",I44)</f>
        <v>#VALUE!</v>
      </c>
      <c r="AH44" s="5" t="str">
        <f t="array" ref="AH44">CELL("protect",J44)</f>
        <v>#VALUE!</v>
      </c>
      <c r="AI44" s="5" t="str">
        <f t="array" ref="AI44">CELL("protect",K44)</f>
        <v>#VALUE!</v>
      </c>
      <c r="AJ44" s="5" t="str">
        <f t="array" ref="AJ44">CELL("protect",L44)</f>
        <v>#VALUE!</v>
      </c>
      <c r="AK44" s="5"/>
      <c r="AL44" s="5"/>
      <c r="AM44" s="5"/>
    </row>
    <row r="45" ht="13.5" customHeight="1">
      <c r="A45" s="1196">
        <f t="shared" si="2"/>
        <v>45</v>
      </c>
      <c r="B45" s="507"/>
      <c r="C45" s="518"/>
      <c r="D45" s="518"/>
      <c r="E45" s="1216">
        <f t="shared" si="14"/>
        <v>0</v>
      </c>
      <c r="F45" s="1222">
        <v>0.0</v>
      </c>
      <c r="G45" s="1217" t="str">
        <f t="shared" ref="G45:L45" si="32">+$D45</f>
        <v/>
      </c>
      <c r="H45" s="1218" t="str">
        <f t="shared" si="32"/>
        <v/>
      </c>
      <c r="I45" s="1218" t="str">
        <f t="shared" si="32"/>
        <v/>
      </c>
      <c r="J45" s="1218" t="str">
        <f t="shared" si="32"/>
        <v/>
      </c>
      <c r="K45" s="1218" t="str">
        <f t="shared" si="32"/>
        <v/>
      </c>
      <c r="L45" s="1218" t="str">
        <f t="shared" si="32"/>
        <v/>
      </c>
      <c r="M45" s="30"/>
      <c r="N45" s="119"/>
      <c r="O45" s="30"/>
      <c r="P45" s="30"/>
      <c r="Q45" s="30"/>
      <c r="R45" s="30"/>
      <c r="S45" s="30"/>
      <c r="T45" s="30"/>
      <c r="U45" s="30"/>
      <c r="V45" s="30"/>
      <c r="W45" s="30"/>
      <c r="X45" s="30"/>
      <c r="Y45" s="5" t="str">
        <f t="array" ref="Y45">CELL("protect",A45)</f>
        <v>#VALUE!</v>
      </c>
      <c r="Z45" s="5" t="str">
        <f t="array" ref="Z45">CELL("protect",B45)</f>
        <v>#VALUE!</v>
      </c>
      <c r="AA45" s="5" t="str">
        <f t="array" ref="AA45">CELL("protect",C45)</f>
        <v>#VALUE!</v>
      </c>
      <c r="AB45" s="5" t="str">
        <f t="array" ref="AB45">CELL("protect",D45)</f>
        <v>#VALUE!</v>
      </c>
      <c r="AC45" s="5" t="str">
        <f t="array" ref="AC45">CELL("protect",E45)</f>
        <v>#VALUE!</v>
      </c>
      <c r="AD45" s="5" t="str">
        <f t="array" ref="AD45">CELL("protect",F45)</f>
        <v>#VALUE!</v>
      </c>
      <c r="AE45" s="5" t="str">
        <f t="array" ref="AE45">CELL("protect",G45)</f>
        <v>#VALUE!</v>
      </c>
      <c r="AF45" s="5" t="str">
        <f t="array" ref="AF45">CELL("protect",H45)</f>
        <v>#VALUE!</v>
      </c>
      <c r="AG45" s="5" t="str">
        <f t="array" ref="AG45">CELL("protect",I45)</f>
        <v>#VALUE!</v>
      </c>
      <c r="AH45" s="5" t="str">
        <f t="array" ref="AH45">CELL("protect",J45)</f>
        <v>#VALUE!</v>
      </c>
      <c r="AI45" s="5" t="str">
        <f t="array" ref="AI45">CELL("protect",K45)</f>
        <v>#VALUE!</v>
      </c>
      <c r="AJ45" s="5" t="str">
        <f t="array" ref="AJ45">CELL("protect",L45)</f>
        <v>#VALUE!</v>
      </c>
      <c r="AK45" s="5"/>
      <c r="AL45" s="5"/>
      <c r="AM45" s="5"/>
    </row>
    <row r="46" ht="13.5" customHeight="1">
      <c r="A46" s="1196">
        <f t="shared" si="2"/>
        <v>46</v>
      </c>
      <c r="B46" s="507"/>
      <c r="C46" s="518"/>
      <c r="D46" s="518"/>
      <c r="E46" s="1216">
        <f t="shared" si="14"/>
        <v>0</v>
      </c>
      <c r="F46" s="1243">
        <v>0.0</v>
      </c>
      <c r="G46" s="1243">
        <v>0.0</v>
      </c>
      <c r="H46" s="1243">
        <v>0.0</v>
      </c>
      <c r="I46" s="1243">
        <v>0.0</v>
      </c>
      <c r="J46" s="1243">
        <v>0.0</v>
      </c>
      <c r="K46" s="1243">
        <v>0.0</v>
      </c>
      <c r="L46" s="1243">
        <v>0.0</v>
      </c>
      <c r="M46" s="30"/>
      <c r="N46" s="119"/>
      <c r="O46" s="30"/>
      <c r="P46" s="30"/>
      <c r="Q46" s="30"/>
      <c r="R46" s="30"/>
      <c r="S46" s="30"/>
      <c r="T46" s="30"/>
      <c r="U46" s="30"/>
      <c r="V46" s="30"/>
      <c r="W46" s="30"/>
      <c r="X46" s="30"/>
      <c r="Y46" s="5" t="str">
        <f t="array" ref="Y46">CELL("protect",A46)</f>
        <v>#VALUE!</v>
      </c>
      <c r="Z46" s="5" t="str">
        <f t="array" ref="Z46">CELL("protect",B46)</f>
        <v>#VALUE!</v>
      </c>
      <c r="AA46" s="5" t="str">
        <f t="array" ref="AA46">CELL("protect",C46)</f>
        <v>#VALUE!</v>
      </c>
      <c r="AB46" s="5" t="str">
        <f t="array" ref="AB46">CELL("protect",D46)</f>
        <v>#VALUE!</v>
      </c>
      <c r="AC46" s="5" t="str">
        <f t="array" ref="AC46">CELL("protect",E46)</f>
        <v>#VALUE!</v>
      </c>
      <c r="AD46" s="5" t="str">
        <f t="array" ref="AD46">CELL("protect",F46)</f>
        <v>#VALUE!</v>
      </c>
      <c r="AE46" s="5" t="str">
        <f t="array" ref="AE46">CELL("protect",G46)</f>
        <v>#VALUE!</v>
      </c>
      <c r="AF46" s="5" t="str">
        <f t="array" ref="AF46">CELL("protect",H46)</f>
        <v>#VALUE!</v>
      </c>
      <c r="AG46" s="5" t="str">
        <f t="array" ref="AG46">CELL("protect",I46)</f>
        <v>#VALUE!</v>
      </c>
      <c r="AH46" s="5" t="str">
        <f t="array" ref="AH46">CELL("protect",J46)</f>
        <v>#VALUE!</v>
      </c>
      <c r="AI46" s="5" t="str">
        <f t="array" ref="AI46">CELL("protect",K46)</f>
        <v>#VALUE!</v>
      </c>
      <c r="AJ46" s="5" t="str">
        <f t="array" ref="AJ46">CELL("protect",L46)</f>
        <v>#VALUE!</v>
      </c>
      <c r="AK46" s="5"/>
      <c r="AL46" s="5"/>
      <c r="AM46" s="5"/>
    </row>
    <row r="47" ht="13.5" customHeight="1">
      <c r="A47" s="1196">
        <f t="shared" si="2"/>
        <v>47</v>
      </c>
      <c r="B47" s="1244" t="s">
        <v>1076</v>
      </c>
      <c r="C47" s="1245"/>
      <c r="D47" s="1245"/>
      <c r="E47" s="1216">
        <f t="shared" si="14"/>
        <v>0</v>
      </c>
      <c r="F47" s="1246" t="s">
        <v>35</v>
      </c>
      <c r="G47" s="1247" t="s">
        <v>35</v>
      </c>
      <c r="H47" s="1248" t="s">
        <v>35</v>
      </c>
      <c r="I47" s="1248" t="s">
        <v>35</v>
      </c>
      <c r="J47" s="1248" t="s">
        <v>35</v>
      </c>
      <c r="K47" s="1248" t="s">
        <v>35</v>
      </c>
      <c r="L47" s="1248" t="s">
        <v>35</v>
      </c>
      <c r="M47" s="30"/>
      <c r="N47" s="119"/>
      <c r="O47" s="30"/>
      <c r="P47" s="30"/>
      <c r="Q47" s="30"/>
      <c r="R47" s="30"/>
      <c r="S47" s="30"/>
      <c r="T47" s="30"/>
      <c r="U47" s="30"/>
      <c r="V47" s="30"/>
      <c r="W47" s="30"/>
      <c r="X47" s="30"/>
      <c r="Y47" s="5" t="str">
        <f t="array" ref="Y47">CELL("protect",A47)</f>
        <v>#VALUE!</v>
      </c>
      <c r="Z47" s="5" t="str">
        <f t="array" ref="Z47">CELL("protect",B47)</f>
        <v>#VALUE!</v>
      </c>
      <c r="AA47" s="5" t="str">
        <f t="array" ref="AA47">CELL("protect",C47)</f>
        <v>#VALUE!</v>
      </c>
      <c r="AB47" s="5" t="str">
        <f t="array" ref="AB47">CELL("protect",D47)</f>
        <v>#VALUE!</v>
      </c>
      <c r="AC47" s="5" t="str">
        <f t="array" ref="AC47">CELL("protect",E47)</f>
        <v>#VALUE!</v>
      </c>
      <c r="AD47" s="5" t="str">
        <f t="array" ref="AD47">CELL("protect",F47)</f>
        <v>#VALUE!</v>
      </c>
      <c r="AE47" s="5" t="str">
        <f t="array" ref="AE47">CELL("protect",G47)</f>
        <v>#VALUE!</v>
      </c>
      <c r="AF47" s="5" t="str">
        <f t="array" ref="AF47">CELL("protect",H47)</f>
        <v>#VALUE!</v>
      </c>
      <c r="AG47" s="5" t="str">
        <f t="array" ref="AG47">CELL("protect",I47)</f>
        <v>#VALUE!</v>
      </c>
      <c r="AH47" s="5" t="str">
        <f t="array" ref="AH47">CELL("protect",J47)</f>
        <v>#VALUE!</v>
      </c>
      <c r="AI47" s="5" t="str">
        <f t="array" ref="AI47">CELL("protect",K47)</f>
        <v>#VALUE!</v>
      </c>
      <c r="AJ47" s="5" t="str">
        <f t="array" ref="AJ47">CELL("protect",L47)</f>
        <v>#VALUE!</v>
      </c>
      <c r="AK47" s="5"/>
      <c r="AL47" s="5"/>
      <c r="AM47" s="5"/>
    </row>
    <row r="48" ht="13.5" customHeight="1">
      <c r="A48" s="1196">
        <f t="shared" si="2"/>
        <v>48</v>
      </c>
      <c r="B48" s="1249" t="s">
        <v>1077</v>
      </c>
      <c r="C48" s="1245"/>
      <c r="D48" s="1245"/>
      <c r="E48" s="220">
        <f t="shared" si="14"/>
        <v>0</v>
      </c>
      <c r="F48" s="1250" t="s">
        <v>35</v>
      </c>
      <c r="G48" s="1251" t="s">
        <v>35</v>
      </c>
      <c r="H48" s="1252" t="s">
        <v>35</v>
      </c>
      <c r="I48" s="1252" t="s">
        <v>35</v>
      </c>
      <c r="J48" s="1252" t="s">
        <v>35</v>
      </c>
      <c r="K48" s="1252" t="s">
        <v>35</v>
      </c>
      <c r="L48" s="1252" t="s">
        <v>35</v>
      </c>
      <c r="M48" s="30"/>
      <c r="N48" s="119"/>
      <c r="O48" s="30"/>
      <c r="P48" s="30"/>
      <c r="Q48" s="30"/>
      <c r="R48" s="30"/>
      <c r="S48" s="30"/>
      <c r="T48" s="30"/>
      <c r="U48" s="30"/>
      <c r="V48" s="30"/>
      <c r="W48" s="30"/>
      <c r="X48" s="30"/>
      <c r="Y48" s="5" t="str">
        <f t="array" ref="Y48">CELL("protect",A48)</f>
        <v>#VALUE!</v>
      </c>
      <c r="Z48" s="5" t="str">
        <f t="array" ref="Z48">CELL("protect",B48)</f>
        <v>#VALUE!</v>
      </c>
      <c r="AA48" s="5" t="str">
        <f t="array" ref="AA48">CELL("protect",C48)</f>
        <v>#VALUE!</v>
      </c>
      <c r="AB48" s="5" t="str">
        <f t="array" ref="AB48">CELL("protect",D48)</f>
        <v>#VALUE!</v>
      </c>
      <c r="AC48" s="5" t="str">
        <f t="array" ref="AC48">CELL("protect",E48)</f>
        <v>#VALUE!</v>
      </c>
      <c r="AD48" s="5" t="str">
        <f t="array" ref="AD48">CELL("protect",F48)</f>
        <v>#VALUE!</v>
      </c>
      <c r="AE48" s="5" t="str">
        <f t="array" ref="AE48">CELL("protect",G48)</f>
        <v>#VALUE!</v>
      </c>
      <c r="AF48" s="5" t="str">
        <f t="array" ref="AF48">CELL("protect",H48)</f>
        <v>#VALUE!</v>
      </c>
      <c r="AG48" s="5" t="str">
        <f t="array" ref="AG48">CELL("protect",I48)</f>
        <v>#VALUE!</v>
      </c>
      <c r="AH48" s="5" t="str">
        <f t="array" ref="AH48">CELL("protect",J48)</f>
        <v>#VALUE!</v>
      </c>
      <c r="AI48" s="5" t="str">
        <f t="array" ref="AI48">CELL("protect",K48)</f>
        <v>#VALUE!</v>
      </c>
      <c r="AJ48" s="5" t="str">
        <f t="array" ref="AJ48">CELL("protect",L48)</f>
        <v>#VALUE!</v>
      </c>
      <c r="AK48" s="5"/>
      <c r="AL48" s="5"/>
      <c r="AM48" s="5"/>
    </row>
    <row r="49" ht="13.5" customHeight="1">
      <c r="A49" s="1196">
        <f t="shared" si="2"/>
        <v>49</v>
      </c>
      <c r="B49" s="1253" t="s">
        <v>1078</v>
      </c>
      <c r="C49" s="1254"/>
      <c r="D49" s="1254"/>
      <c r="E49" s="690"/>
      <c r="F49" s="1255">
        <f t="shared" ref="F49:L49" si="33">SUM(F10:F48)</f>
        <v>59053.95</v>
      </c>
      <c r="G49" s="1255">
        <f t="shared" si="33"/>
        <v>59053.95</v>
      </c>
      <c r="H49" s="1256">
        <f t="shared" si="33"/>
        <v>59053.95</v>
      </c>
      <c r="I49" s="1256">
        <f t="shared" si="33"/>
        <v>59053.95</v>
      </c>
      <c r="J49" s="1256">
        <f t="shared" si="33"/>
        <v>59053.95</v>
      </c>
      <c r="K49" s="1256">
        <f t="shared" si="33"/>
        <v>59053.95</v>
      </c>
      <c r="L49" s="1256">
        <f t="shared" si="33"/>
        <v>59053.95</v>
      </c>
      <c r="M49" s="30"/>
      <c r="N49" s="119"/>
      <c r="O49" s="30"/>
      <c r="P49" s="30"/>
      <c r="Q49" s="30"/>
      <c r="R49" s="30"/>
      <c r="S49" s="30"/>
      <c r="T49" s="30"/>
      <c r="U49" s="30"/>
      <c r="V49" s="30"/>
      <c r="W49" s="30"/>
      <c r="X49" s="30"/>
      <c r="Y49" s="5" t="str">
        <f t="array" ref="Y49">CELL("protect",A49)</f>
        <v>#VALUE!</v>
      </c>
      <c r="Z49" s="5" t="str">
        <f t="array" ref="Z49">CELL("protect",B49)</f>
        <v>#VALUE!</v>
      </c>
      <c r="AA49" s="5" t="str">
        <f t="array" ref="AA49">CELL("protect",C49)</f>
        <v>#VALUE!</v>
      </c>
      <c r="AB49" s="5" t="str">
        <f t="array" ref="AB49">CELL("protect",D49)</f>
        <v>#VALUE!</v>
      </c>
      <c r="AC49" s="5" t="str">
        <f t="array" ref="AC49">CELL("protect",E49)</f>
        <v>#VALUE!</v>
      </c>
      <c r="AD49" s="5" t="str">
        <f t="array" ref="AD49">CELL("protect",F49)</f>
        <v>#VALUE!</v>
      </c>
      <c r="AE49" s="5" t="str">
        <f t="array" ref="AE49">CELL("protect",G49)</f>
        <v>#VALUE!</v>
      </c>
      <c r="AF49" s="5" t="str">
        <f t="array" ref="AF49">CELL("protect",H49)</f>
        <v>#VALUE!</v>
      </c>
      <c r="AG49" s="5" t="str">
        <f t="array" ref="AG49">CELL("protect",I49)</f>
        <v>#VALUE!</v>
      </c>
      <c r="AH49" s="5" t="str">
        <f t="array" ref="AH49">CELL("protect",J49)</f>
        <v>#VALUE!</v>
      </c>
      <c r="AI49" s="5" t="str">
        <f t="array" ref="AI49">CELL("protect",K49)</f>
        <v>#VALUE!</v>
      </c>
      <c r="AJ49" s="5" t="str">
        <f t="array" ref="AJ49">CELL("protect",L49)</f>
        <v>#VALUE!</v>
      </c>
      <c r="AK49" s="5"/>
      <c r="AL49" s="5"/>
      <c r="AM49" s="5"/>
    </row>
    <row r="50" ht="13.5" customHeight="1">
      <c r="A50" s="1196">
        <f t="shared" si="2"/>
        <v>50</v>
      </c>
      <c r="B50" s="1257" t="s">
        <v>1079</v>
      </c>
      <c r="C50" s="784"/>
      <c r="D50" s="1258">
        <v>0.02</v>
      </c>
      <c r="E50" s="1259"/>
      <c r="F50" s="783">
        <f t="shared" ref="F50:L50" si="34">+F49*((1+$D$50)^F7-1)</f>
        <v>0</v>
      </c>
      <c r="G50" s="783">
        <f t="shared" si="34"/>
        <v>1181.079</v>
      </c>
      <c r="H50" s="783">
        <f t="shared" si="34"/>
        <v>2385.77958</v>
      </c>
      <c r="I50" s="783">
        <f t="shared" si="34"/>
        <v>3614.574172</v>
      </c>
      <c r="J50" s="783">
        <f t="shared" si="34"/>
        <v>4867.944655</v>
      </c>
      <c r="K50" s="783">
        <f t="shared" si="34"/>
        <v>6146.382548</v>
      </c>
      <c r="L50" s="783">
        <f t="shared" si="34"/>
        <v>7450.389199</v>
      </c>
      <c r="M50" s="30"/>
      <c r="N50" s="119"/>
      <c r="O50" s="30"/>
      <c r="P50" s="30"/>
      <c r="Q50" s="30"/>
      <c r="R50" s="30"/>
      <c r="S50" s="30"/>
      <c r="T50" s="30"/>
      <c r="U50" s="30"/>
      <c r="V50" s="30"/>
      <c r="W50" s="30"/>
      <c r="X50" s="30"/>
      <c r="Y50" s="5" t="str">
        <f t="array" ref="Y50">CELL("protect",A50)</f>
        <v>#VALUE!</v>
      </c>
      <c r="Z50" s="5" t="str">
        <f t="array" ref="Z50">CELL("protect",B50)</f>
        <v>#VALUE!</v>
      </c>
      <c r="AA50" s="5" t="str">
        <f t="array" ref="AA50">CELL("protect",C50)</f>
        <v>#VALUE!</v>
      </c>
      <c r="AB50" s="5" t="str">
        <f t="array" ref="AB50">CELL("protect",D50)</f>
        <v>#VALUE!</v>
      </c>
      <c r="AC50" s="5" t="str">
        <f t="array" ref="AC50">CELL("protect",E50)</f>
        <v>#VALUE!</v>
      </c>
      <c r="AD50" s="5" t="str">
        <f t="array" ref="AD50">CELL("protect",F50)</f>
        <v>#VALUE!</v>
      </c>
      <c r="AE50" s="5" t="str">
        <f t="array" ref="AE50">CELL("protect",G50)</f>
        <v>#VALUE!</v>
      </c>
      <c r="AF50" s="5" t="str">
        <f t="array" ref="AF50">CELL("protect",H50)</f>
        <v>#VALUE!</v>
      </c>
      <c r="AG50" s="5" t="str">
        <f t="array" ref="AG50">CELL("protect",I50)</f>
        <v>#VALUE!</v>
      </c>
      <c r="AH50" s="5" t="str">
        <f t="array" ref="AH50">CELL("protect",J50)</f>
        <v>#VALUE!</v>
      </c>
      <c r="AI50" s="5" t="str">
        <f t="array" ref="AI50">CELL("protect",K50)</f>
        <v>#VALUE!</v>
      </c>
      <c r="AJ50" s="5" t="str">
        <f t="array" ref="AJ50">CELL("protect",L50)</f>
        <v>#VALUE!</v>
      </c>
      <c r="AK50" s="5"/>
      <c r="AL50" s="5"/>
      <c r="AM50" s="5"/>
    </row>
    <row r="51" ht="13.5" customHeight="1">
      <c r="A51" s="1196">
        <f t="shared" si="2"/>
        <v>51</v>
      </c>
      <c r="B51" s="30"/>
      <c r="C51" s="30"/>
      <c r="D51" s="698">
        <f t="shared" ref="D51:F51" si="35">SUM(D10:D48)</f>
        <v>59053.95</v>
      </c>
      <c r="E51" s="1260">
        <f t="shared" si="35"/>
        <v>413377.65</v>
      </c>
      <c r="F51" s="1260">
        <f t="shared" si="35"/>
        <v>59053.95</v>
      </c>
      <c r="G51" s="1260">
        <f t="shared" ref="G51:L51" si="36">SUM(G10:G48)+G50</f>
        <v>60235.029</v>
      </c>
      <c r="H51" s="1260">
        <f t="shared" si="36"/>
        <v>61439.72958</v>
      </c>
      <c r="I51" s="1260">
        <f t="shared" si="36"/>
        <v>62668.52417</v>
      </c>
      <c r="J51" s="1260">
        <f t="shared" si="36"/>
        <v>63921.89466</v>
      </c>
      <c r="K51" s="1260">
        <f t="shared" si="36"/>
        <v>65200.33255</v>
      </c>
      <c r="L51" s="1260">
        <f t="shared" si="36"/>
        <v>66504.3392</v>
      </c>
      <c r="M51" s="30"/>
      <c r="N51" s="119"/>
      <c r="O51" s="30"/>
      <c r="P51" s="30"/>
      <c r="Q51" s="30"/>
      <c r="R51" s="30"/>
      <c r="S51" s="30"/>
      <c r="T51" s="30"/>
      <c r="U51" s="30"/>
      <c r="V51" s="30"/>
      <c r="W51" s="30"/>
      <c r="X51" s="30"/>
      <c r="Y51" s="5" t="str">
        <f t="array" ref="Y51">CELL("protect",A51)</f>
        <v>#VALUE!</v>
      </c>
      <c r="Z51" s="5" t="str">
        <f t="array" ref="Z51">CELL("protect",B51)</f>
        <v>#VALUE!</v>
      </c>
      <c r="AA51" s="5" t="str">
        <f t="array" ref="AA51">CELL("protect",C51)</f>
        <v>#VALUE!</v>
      </c>
      <c r="AB51" s="5" t="str">
        <f t="array" ref="AB51">CELL("protect",D51)</f>
        <v>#VALUE!</v>
      </c>
      <c r="AC51" s="5" t="str">
        <f t="array" ref="AC51">CELL("protect",E51)</f>
        <v>#VALUE!</v>
      </c>
      <c r="AD51" s="5" t="str">
        <f t="array" ref="AD51">CELL("protect",F51)</f>
        <v>#VALUE!</v>
      </c>
      <c r="AE51" s="5" t="str">
        <f t="array" ref="AE51">CELL("protect",G51)</f>
        <v>#VALUE!</v>
      </c>
      <c r="AF51" s="5" t="str">
        <f t="array" ref="AF51">CELL("protect",H51)</f>
        <v>#VALUE!</v>
      </c>
      <c r="AG51" s="5" t="str">
        <f t="array" ref="AG51">CELL("protect",I51)</f>
        <v>#VALUE!</v>
      </c>
      <c r="AH51" s="5" t="str">
        <f t="array" ref="AH51">CELL("protect",J51)</f>
        <v>#VALUE!</v>
      </c>
      <c r="AI51" s="5" t="str">
        <f t="array" ref="AI51">CELL("protect",K51)</f>
        <v>#VALUE!</v>
      </c>
      <c r="AJ51" s="5" t="str">
        <f t="array" ref="AJ51">CELL("protect",L51)</f>
        <v>#VALUE!</v>
      </c>
      <c r="AK51" s="5"/>
      <c r="AL51" s="5"/>
      <c r="AM51" s="5"/>
    </row>
    <row r="52" ht="13.5" customHeight="1">
      <c r="A52" s="1196">
        <f t="shared" si="2"/>
        <v>52</v>
      </c>
      <c r="B52" s="164" t="s">
        <v>1080</v>
      </c>
      <c r="C52" s="30"/>
      <c r="D52" s="30"/>
      <c r="E52" s="30"/>
      <c r="F52" s="30"/>
      <c r="G52" s="30"/>
      <c r="H52" s="30"/>
      <c r="I52" s="30"/>
      <c r="J52" s="30"/>
      <c r="K52" s="30"/>
      <c r="L52" s="30"/>
      <c r="M52" s="30"/>
      <c r="N52" s="30"/>
      <c r="O52" s="30"/>
      <c r="P52" s="30"/>
      <c r="Q52" s="30"/>
      <c r="R52" s="30"/>
      <c r="S52" s="30"/>
      <c r="T52" s="30"/>
      <c r="U52" s="30"/>
      <c r="V52" s="30"/>
      <c r="W52" s="30"/>
      <c r="X52" s="30"/>
      <c r="Y52" s="5" t="str">
        <f t="array" ref="Y52">CELL("protect",A52)</f>
        <v>#VALUE!</v>
      </c>
      <c r="Z52" s="5" t="str">
        <f t="array" ref="Z52">CELL("protect",B52)</f>
        <v>#VALUE!</v>
      </c>
      <c r="AA52" s="5" t="str">
        <f t="array" ref="AA52">CELL("protect",C52)</f>
        <v>#VALUE!</v>
      </c>
      <c r="AB52" s="5" t="str">
        <f t="array" ref="AB52">CELL("protect",D52)</f>
        <v>#VALUE!</v>
      </c>
      <c r="AC52" s="5" t="str">
        <f t="array" ref="AC52">CELL("protect",E52)</f>
        <v>#VALUE!</v>
      </c>
      <c r="AD52" s="5" t="str">
        <f t="array" ref="AD52">CELL("protect",F52)</f>
        <v>#VALUE!</v>
      </c>
      <c r="AE52" s="5" t="str">
        <f t="array" ref="AE52">CELL("protect",G52)</f>
        <v>#VALUE!</v>
      </c>
      <c r="AF52" s="5" t="str">
        <f t="array" ref="AF52">CELL("protect",H52)</f>
        <v>#VALUE!</v>
      </c>
      <c r="AG52" s="5" t="str">
        <f t="array" ref="AG52">CELL("protect",I52)</f>
        <v>#VALUE!</v>
      </c>
      <c r="AH52" s="5" t="str">
        <f t="array" ref="AH52">CELL("protect",J52)</f>
        <v>#VALUE!</v>
      </c>
      <c r="AI52" s="5" t="str">
        <f t="array" ref="AI52">CELL("protect",K52)</f>
        <v>#VALUE!</v>
      </c>
      <c r="AJ52" s="5" t="str">
        <f t="array" ref="AJ52">CELL("protect",L52)</f>
        <v>#VALUE!</v>
      </c>
      <c r="AK52" s="5"/>
      <c r="AL52" s="5"/>
      <c r="AM52" s="5"/>
    </row>
    <row r="53" ht="13.5" customHeight="1">
      <c r="A53" s="1196">
        <f t="shared" si="2"/>
        <v>53</v>
      </c>
      <c r="B53" s="164" t="s">
        <v>1081</v>
      </c>
      <c r="C53" s="30"/>
      <c r="D53" s="30"/>
      <c r="E53" s="30"/>
      <c r="F53" s="30"/>
      <c r="G53" s="30"/>
      <c r="H53" s="30"/>
      <c r="I53" s="30"/>
      <c r="J53" s="30"/>
      <c r="K53" s="30"/>
      <c r="L53" s="30"/>
      <c r="M53" s="30"/>
      <c r="N53" s="30"/>
      <c r="O53" s="30"/>
      <c r="P53" s="30"/>
      <c r="Q53" s="30"/>
      <c r="R53" s="30"/>
      <c r="S53" s="30"/>
      <c r="T53" s="30"/>
      <c r="U53" s="30"/>
      <c r="V53" s="30"/>
      <c r="W53" s="30"/>
      <c r="X53" s="30"/>
      <c r="Y53" s="5" t="str">
        <f t="array" ref="Y53">CELL("protect",A53)</f>
        <v>#VALUE!</v>
      </c>
      <c r="Z53" s="5" t="str">
        <f t="array" ref="Z53">CELL("protect",B53)</f>
        <v>#VALUE!</v>
      </c>
      <c r="AA53" s="5" t="str">
        <f t="array" ref="AA53">CELL("protect",C53)</f>
        <v>#VALUE!</v>
      </c>
      <c r="AB53" s="5" t="str">
        <f t="array" ref="AB53">CELL("protect",D53)</f>
        <v>#VALUE!</v>
      </c>
      <c r="AC53" s="5" t="str">
        <f t="array" ref="AC53">CELL("protect",E53)</f>
        <v>#VALUE!</v>
      </c>
      <c r="AD53" s="5" t="str">
        <f t="array" ref="AD53">CELL("protect",F53)</f>
        <v>#VALUE!</v>
      </c>
      <c r="AE53" s="5" t="str">
        <f t="array" ref="AE53">CELL("protect",G53)</f>
        <v>#VALUE!</v>
      </c>
      <c r="AF53" s="5" t="str">
        <f t="array" ref="AF53">CELL("protect",H53)</f>
        <v>#VALUE!</v>
      </c>
      <c r="AG53" s="5" t="str">
        <f t="array" ref="AG53">CELL("protect",I53)</f>
        <v>#VALUE!</v>
      </c>
      <c r="AH53" s="5" t="str">
        <f t="array" ref="AH53">CELL("protect",J53)</f>
        <v>#VALUE!</v>
      </c>
      <c r="AI53" s="5" t="str">
        <f t="array" ref="AI53">CELL("protect",K53)</f>
        <v>#VALUE!</v>
      </c>
      <c r="AJ53" s="5" t="str">
        <f t="array" ref="AJ53">CELL("protect",L53)</f>
        <v>#VALUE!</v>
      </c>
      <c r="AK53" s="5"/>
      <c r="AL53" s="5"/>
      <c r="AM53" s="5"/>
    </row>
    <row r="54" ht="13.5" customHeight="1">
      <c r="A54" s="1196">
        <f t="shared" si="2"/>
        <v>54</v>
      </c>
      <c r="B54" s="164" t="s">
        <v>1082</v>
      </c>
      <c r="C54" s="30"/>
      <c r="D54" s="30"/>
      <c r="E54" s="30"/>
      <c r="F54" s="30"/>
      <c r="G54" s="140"/>
      <c r="H54" s="140"/>
      <c r="I54" s="140"/>
      <c r="J54" s="140"/>
      <c r="K54" s="140"/>
      <c r="L54" s="140"/>
      <c r="M54" s="30"/>
      <c r="N54" s="30"/>
      <c r="O54" s="30"/>
      <c r="P54" s="30"/>
      <c r="Q54" s="30"/>
      <c r="R54" s="30"/>
      <c r="S54" s="30"/>
      <c r="T54" s="30"/>
      <c r="U54" s="30"/>
      <c r="V54" s="30"/>
      <c r="W54" s="30"/>
      <c r="X54" s="30"/>
      <c r="Y54" s="5" t="str">
        <f t="array" ref="Y54">CELL("protect",A54)</f>
        <v>#VALUE!</v>
      </c>
      <c r="Z54" s="5" t="str">
        <f t="array" ref="Z54">CELL("protect",B54)</f>
        <v>#VALUE!</v>
      </c>
      <c r="AA54" s="5" t="str">
        <f t="array" ref="AA54">CELL("protect",C54)</f>
        <v>#VALUE!</v>
      </c>
      <c r="AB54" s="5" t="str">
        <f t="array" ref="AB54">CELL("protect",D54)</f>
        <v>#VALUE!</v>
      </c>
      <c r="AC54" s="5" t="str">
        <f t="array" ref="AC54">CELL("protect",E54)</f>
        <v>#VALUE!</v>
      </c>
      <c r="AD54" s="5" t="str">
        <f t="array" ref="AD54">CELL("protect",F54)</f>
        <v>#VALUE!</v>
      </c>
      <c r="AE54" s="5" t="str">
        <f t="array" ref="AE54">CELL("protect",G54)</f>
        <v>#VALUE!</v>
      </c>
      <c r="AF54" s="5" t="str">
        <f t="array" ref="AF54">CELL("protect",H54)</f>
        <v>#VALUE!</v>
      </c>
      <c r="AG54" s="5" t="str">
        <f t="array" ref="AG54">CELL("protect",I54)</f>
        <v>#VALUE!</v>
      </c>
      <c r="AH54" s="5" t="str">
        <f t="array" ref="AH54">CELL("protect",J54)</f>
        <v>#VALUE!</v>
      </c>
      <c r="AI54" s="5" t="str">
        <f t="array" ref="AI54">CELL("protect",K54)</f>
        <v>#VALUE!</v>
      </c>
      <c r="AJ54" s="5" t="str">
        <f t="array" ref="AJ54">CELL("protect",L54)</f>
        <v>#VALUE!</v>
      </c>
      <c r="AK54" s="5"/>
      <c r="AL54" s="5"/>
      <c r="AM54" s="5"/>
    </row>
    <row r="55" ht="13.5" customHeight="1">
      <c r="A55" s="1196">
        <f t="shared" si="2"/>
        <v>55</v>
      </c>
      <c r="B55" s="30"/>
      <c r="C55" s="30"/>
      <c r="D55" s="30"/>
      <c r="E55" s="30"/>
      <c r="F55" s="30"/>
      <c r="G55" s="30"/>
      <c r="H55" s="30"/>
      <c r="I55" s="30"/>
      <c r="J55" s="30"/>
      <c r="K55" s="30"/>
      <c r="L55" s="30"/>
      <c r="M55" s="30"/>
      <c r="N55" s="30"/>
      <c r="O55" s="30"/>
      <c r="P55" s="30"/>
      <c r="Q55" s="30"/>
      <c r="R55" s="30"/>
      <c r="S55" s="30"/>
      <c r="T55" s="30"/>
      <c r="U55" s="30"/>
      <c r="V55" s="30"/>
      <c r="W55" s="30"/>
      <c r="X55" s="30"/>
      <c r="Y55" s="5" t="str">
        <f t="array" ref="Y55">CELL("protect",A55)</f>
        <v>#VALUE!</v>
      </c>
      <c r="Z55" s="5" t="str">
        <f t="array" ref="Z55">CELL("protect",B55)</f>
        <v>#VALUE!</v>
      </c>
      <c r="AA55" s="5" t="str">
        <f t="array" ref="AA55">CELL("protect",C55)</f>
        <v>#VALUE!</v>
      </c>
      <c r="AB55" s="5" t="str">
        <f t="array" ref="AB55">CELL("protect",D55)</f>
        <v>#VALUE!</v>
      </c>
      <c r="AC55" s="5" t="str">
        <f t="array" ref="AC55">CELL("protect",E55)</f>
        <v>#VALUE!</v>
      </c>
      <c r="AD55" s="5" t="str">
        <f t="array" ref="AD55">CELL("protect",F55)</f>
        <v>#VALUE!</v>
      </c>
      <c r="AE55" s="5" t="str">
        <f t="array" ref="AE55">CELL("protect",G55)</f>
        <v>#VALUE!</v>
      </c>
      <c r="AF55" s="5" t="str">
        <f t="array" ref="AF55">CELL("protect",H55)</f>
        <v>#VALUE!</v>
      </c>
      <c r="AG55" s="5" t="str">
        <f t="array" ref="AG55">CELL("protect",I55)</f>
        <v>#VALUE!</v>
      </c>
      <c r="AH55" s="5" t="str">
        <f t="array" ref="AH55">CELL("protect",J55)</f>
        <v>#VALUE!</v>
      </c>
      <c r="AI55" s="5" t="str">
        <f t="array" ref="AI55">CELL("protect",K55)</f>
        <v>#VALUE!</v>
      </c>
      <c r="AJ55" s="5" t="str">
        <f t="array" ref="AJ55">CELL("protect",L55)</f>
        <v>#VALUE!</v>
      </c>
      <c r="AK55" s="5"/>
      <c r="AL55" s="5"/>
      <c r="AM55" s="5"/>
    </row>
    <row r="56" ht="13.5" customHeight="1">
      <c r="A56" s="1196">
        <f t="shared" si="2"/>
        <v>56</v>
      </c>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row>
    <row r="57" ht="13.5" customHeight="1">
      <c r="A57" s="1196">
        <f t="shared" si="2"/>
        <v>57</v>
      </c>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row>
    <row r="58" ht="13.5" customHeight="1">
      <c r="A58" s="1196">
        <f t="shared" si="2"/>
        <v>58</v>
      </c>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row>
    <row r="59" ht="13.5" customHeight="1">
      <c r="A59" s="1196">
        <f t="shared" si="2"/>
        <v>59</v>
      </c>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row>
    <row r="60" ht="13.5" customHeight="1">
      <c r="A60" s="1196">
        <f t="shared" si="2"/>
        <v>60</v>
      </c>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row>
    <row r="61" ht="13.5" customHeight="1">
      <c r="A61" s="1196">
        <f t="shared" si="2"/>
        <v>61</v>
      </c>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row>
    <row r="62" ht="13.5" customHeight="1">
      <c r="A62" s="1196">
        <f t="shared" si="2"/>
        <v>62</v>
      </c>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row>
    <row r="63" ht="13.5" customHeight="1">
      <c r="A63" s="1196">
        <f t="shared" si="2"/>
        <v>63</v>
      </c>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row>
    <row r="64" ht="13.5" customHeight="1">
      <c r="A64" s="1196">
        <f t="shared" si="2"/>
        <v>64</v>
      </c>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row>
    <row r="65" ht="13.5" customHeight="1">
      <c r="A65" s="1196">
        <f t="shared" si="2"/>
        <v>65</v>
      </c>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row>
    <row r="66" ht="13.5" customHeight="1">
      <c r="A66" s="1196">
        <f t="shared" si="2"/>
        <v>66</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row>
    <row r="67" ht="13.5" customHeight="1">
      <c r="A67" s="1196">
        <f t="shared" si="2"/>
        <v>67</v>
      </c>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row>
    <row r="68" ht="13.5" customHeight="1">
      <c r="A68" s="1196">
        <f t="shared" si="2"/>
        <v>68</v>
      </c>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row>
    <row r="69" ht="13.5" customHeight="1">
      <c r="A69" s="1196">
        <f t="shared" si="2"/>
        <v>69</v>
      </c>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row>
    <row r="70" ht="13.5" customHeight="1">
      <c r="A70" s="1196">
        <f t="shared" si="2"/>
        <v>70</v>
      </c>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row>
    <row r="71" ht="13.5" customHeight="1">
      <c r="A71" s="1196">
        <f t="shared" si="2"/>
        <v>71</v>
      </c>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row>
    <row r="72" ht="13.5" customHeight="1">
      <c r="A72" s="1196">
        <f t="shared" si="2"/>
        <v>72</v>
      </c>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row>
    <row r="73" ht="13.5" customHeight="1">
      <c r="A73" s="1196">
        <f t="shared" si="2"/>
        <v>73</v>
      </c>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row>
    <row r="74" ht="13.5" customHeight="1">
      <c r="A74" s="1196">
        <f t="shared" si="2"/>
        <v>74</v>
      </c>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row>
    <row r="75" ht="13.5" customHeight="1">
      <c r="A75" s="1196">
        <f t="shared" si="2"/>
        <v>75</v>
      </c>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row>
    <row r="76" ht="13.5" customHeight="1">
      <c r="A76" s="1196">
        <f t="shared" si="2"/>
        <v>76</v>
      </c>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row>
    <row r="77" ht="13.5" customHeight="1">
      <c r="A77" s="1196">
        <f t="shared" si="2"/>
        <v>77</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row>
    <row r="78" ht="13.5" customHeight="1">
      <c r="A78" s="1196">
        <f t="shared" si="2"/>
        <v>78</v>
      </c>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row>
    <row r="79" ht="13.5" customHeight="1">
      <c r="A79" s="1196">
        <f t="shared" si="2"/>
        <v>79</v>
      </c>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row>
    <row r="80" ht="13.5" customHeight="1">
      <c r="A80" s="1196">
        <f t="shared" si="2"/>
        <v>80</v>
      </c>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row>
    <row r="81" ht="13.5" customHeight="1">
      <c r="A81" s="1196">
        <f t="shared" si="2"/>
        <v>81</v>
      </c>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ht="13.5" customHeight="1">
      <c r="A82" s="1196">
        <f t="shared" si="2"/>
        <v>82</v>
      </c>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ht="13.5" customHeight="1">
      <c r="A83" s="1196">
        <f t="shared" si="2"/>
        <v>83</v>
      </c>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ht="13.5" customHeight="1">
      <c r="A84" s="1196">
        <f t="shared" si="2"/>
        <v>84</v>
      </c>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ht="13.5" customHeight="1">
      <c r="A85" s="1196">
        <f t="shared" si="2"/>
        <v>85</v>
      </c>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ht="13.5" customHeight="1">
      <c r="A86" s="1196">
        <f t="shared" si="2"/>
        <v>86</v>
      </c>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ht="13.5" customHeight="1">
      <c r="A87" s="1196">
        <f t="shared" si="2"/>
        <v>87</v>
      </c>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ht="13.5" customHeight="1">
      <c r="A88" s="1196">
        <f t="shared" si="2"/>
        <v>88</v>
      </c>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ht="13.5" customHeight="1">
      <c r="A89" s="1196">
        <f t="shared" si="2"/>
        <v>89</v>
      </c>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ht="13.5" customHeight="1">
      <c r="A90" s="1196">
        <f t="shared" si="2"/>
        <v>90</v>
      </c>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ht="13.5" customHeight="1">
      <c r="A91" s="1196">
        <f t="shared" si="2"/>
        <v>91</v>
      </c>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ht="13.5" customHeight="1">
      <c r="A92" s="1196">
        <f t="shared" si="2"/>
        <v>92</v>
      </c>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ht="13.5" customHeight="1">
      <c r="A93" s="1196">
        <f t="shared" si="2"/>
        <v>93</v>
      </c>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ht="13.5" customHeight="1">
      <c r="A94" s="1196">
        <f t="shared" si="2"/>
        <v>94</v>
      </c>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ht="13.5" customHeight="1">
      <c r="A95" s="1196">
        <f t="shared" si="2"/>
        <v>95</v>
      </c>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row>
    <row r="96" ht="13.5" customHeight="1">
      <c r="A96" s="1196">
        <f t="shared" si="2"/>
        <v>96</v>
      </c>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ht="13.5" customHeight="1">
      <c r="A97" s="1196">
        <f t="shared" si="2"/>
        <v>97</v>
      </c>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ht="13.5" customHeight="1">
      <c r="A98" s="1196">
        <f t="shared" si="2"/>
        <v>98</v>
      </c>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ht="13.5" customHeight="1">
      <c r="A99" s="1196">
        <f t="shared" si="2"/>
        <v>99</v>
      </c>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ht="13.5" customHeight="1">
      <c r="A100" s="1196">
        <f t="shared" si="2"/>
        <v>100</v>
      </c>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sheetData>
  <conditionalFormatting sqref="C1">
    <cfRule type="expression" dxfId="2" priority="1" stopIfTrue="1">
      <formula>MOD(ROW(),2)=0</formula>
    </cfRule>
  </conditionalFormatting>
  <conditionalFormatting sqref="Y1:AM55">
    <cfRule type="cellIs" dxfId="1" priority="2" stopIfTrue="1" operator="equal">
      <formula>0</formula>
    </cfRule>
  </conditionalFormatting>
  <printOptions/>
  <pageMargins bottom="0.45" footer="0.0" header="0.0" left="0.25" right="0.25" top="0.5"/>
  <pageSetup scale="67" orientation="landscape"/>
  <headerFooter>
    <oddHeader>&amp;L &amp;C &amp;R </oddHeader>
    <oddFooter>&amp;L&amp;D  at &amp;T Mike 702.486.8879&amp;C&amp;F  &amp;A&amp;RPage &amp;P of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6.71"/>
    <col customWidth="1" min="2" max="2" width="29.29"/>
    <col customWidth="1" min="3" max="3" width="12.43"/>
    <col customWidth="1" min="4" max="4" width="9.43"/>
    <col customWidth="1" min="5" max="5" width="7.29"/>
    <col customWidth="1" min="6" max="6" width="10.43"/>
    <col customWidth="1" min="7" max="7" width="11.0"/>
    <col customWidth="1" min="8" max="14" width="14.71"/>
    <col customWidth="1" min="15" max="15" width="3.43"/>
    <col customWidth="1" min="16" max="16" width="76.43"/>
    <col customWidth="1" min="17" max="26" width="8.71"/>
  </cols>
  <sheetData>
    <row r="1" ht="24.0" customHeight="1">
      <c r="A1" s="1261" t="s">
        <v>1083</v>
      </c>
      <c r="B1" s="1262"/>
      <c r="C1" s="1262"/>
      <c r="D1" s="1164"/>
      <c r="E1" s="543"/>
      <c r="F1" s="544"/>
      <c r="G1" s="219" t="s">
        <v>3</v>
      </c>
      <c r="H1" s="30"/>
      <c r="I1" s="30"/>
      <c r="J1" s="30"/>
      <c r="K1" s="30"/>
      <c r="L1" s="30"/>
      <c r="M1" s="30"/>
      <c r="N1" s="30"/>
      <c r="O1" s="30"/>
      <c r="P1" s="30"/>
      <c r="Q1" s="30"/>
      <c r="R1" s="30"/>
      <c r="S1" s="30"/>
      <c r="T1" s="30"/>
      <c r="U1" s="30"/>
      <c r="V1" s="30"/>
      <c r="W1" s="30"/>
      <c r="X1" s="30"/>
      <c r="Y1" s="30"/>
      <c r="Z1" s="30"/>
    </row>
    <row r="2" ht="13.5" customHeight="1">
      <c r="A2" s="96" t="str">
        <f>SchoolName</f>
        <v>Explore Knowledge Academy</v>
      </c>
      <c r="B2" s="1165"/>
      <c r="C2" s="96"/>
      <c r="D2" s="1165"/>
      <c r="E2" s="543"/>
      <c r="F2" s="99"/>
      <c r="G2" s="30"/>
      <c r="H2" s="30"/>
      <c r="I2" s="30"/>
      <c r="J2" s="30"/>
      <c r="K2" s="30"/>
      <c r="L2" s="30"/>
      <c r="M2" s="30"/>
      <c r="N2" s="30"/>
      <c r="O2" s="30"/>
      <c r="P2" s="30"/>
      <c r="Q2" s="30"/>
      <c r="R2" s="30"/>
      <c r="S2" s="30"/>
      <c r="T2" s="30"/>
      <c r="U2" s="30"/>
      <c r="V2" s="30"/>
      <c r="W2" s="30"/>
      <c r="X2" s="30"/>
      <c r="Y2" s="30"/>
      <c r="Z2" s="30"/>
    </row>
    <row r="3" ht="13.5" customHeight="1">
      <c r="A3" s="95" t="s">
        <v>134</v>
      </c>
      <c r="B3" s="30"/>
      <c r="C3" s="30"/>
      <c r="D3" s="30"/>
      <c r="E3" s="30"/>
      <c r="F3" s="30"/>
      <c r="G3" s="30"/>
      <c r="H3" s="30"/>
      <c r="I3" s="30"/>
      <c r="J3" s="30"/>
      <c r="K3" s="30"/>
      <c r="L3" s="30"/>
      <c r="M3" s="30"/>
      <c r="N3" s="30"/>
      <c r="O3" s="30"/>
      <c r="P3" s="30"/>
      <c r="Q3" s="30"/>
      <c r="R3" s="30"/>
      <c r="S3" s="30"/>
      <c r="T3" s="30"/>
      <c r="U3" s="30"/>
      <c r="V3" s="30"/>
      <c r="W3" s="30"/>
      <c r="X3" s="30"/>
      <c r="Y3" s="30"/>
      <c r="Z3" s="30"/>
    </row>
    <row r="4" ht="13.5" customHeight="1">
      <c r="A4" s="222" t="s">
        <v>135</v>
      </c>
      <c r="B4" s="30"/>
      <c r="C4" s="30"/>
      <c r="D4" s="30"/>
      <c r="E4" s="30"/>
      <c r="F4" s="30"/>
      <c r="G4" s="30"/>
      <c r="H4" s="30"/>
      <c r="I4" s="30"/>
      <c r="J4" s="30"/>
      <c r="K4" s="30"/>
      <c r="L4" s="30"/>
      <c r="M4" s="30"/>
      <c r="N4" s="30"/>
      <c r="O4" s="30"/>
      <c r="P4" s="30"/>
      <c r="Q4" s="30"/>
      <c r="R4" s="30"/>
      <c r="S4" s="30"/>
      <c r="T4" s="30"/>
      <c r="U4" s="30"/>
      <c r="V4" s="30"/>
      <c r="W4" s="30"/>
      <c r="X4" s="30"/>
      <c r="Y4" s="30"/>
      <c r="Z4" s="30"/>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30"/>
      <c r="Z5" s="30"/>
    </row>
    <row r="6" ht="13.5" customHeight="1">
      <c r="A6" s="30"/>
      <c r="B6" s="30"/>
      <c r="C6" s="30"/>
      <c r="D6" s="30"/>
      <c r="E6" s="30"/>
      <c r="F6" s="30"/>
      <c r="G6" s="30"/>
      <c r="H6" s="30"/>
      <c r="I6" s="30"/>
      <c r="J6" s="30"/>
      <c r="K6" s="30"/>
      <c r="L6" s="30"/>
      <c r="M6" s="30"/>
      <c r="N6" s="30"/>
      <c r="O6" s="30"/>
      <c r="P6" s="30"/>
      <c r="Q6" s="30"/>
      <c r="R6" s="30"/>
      <c r="S6" s="30"/>
      <c r="T6" s="30"/>
      <c r="U6" s="30"/>
      <c r="V6" s="30"/>
      <c r="W6" s="30"/>
      <c r="X6" s="30"/>
      <c r="Y6" s="30"/>
      <c r="Z6" s="30"/>
    </row>
    <row r="7" ht="13.5" customHeight="1">
      <c r="A7" s="65"/>
      <c r="B7" s="63"/>
      <c r="C7" s="30"/>
      <c r="D7" s="30"/>
      <c r="E7" s="30"/>
      <c r="F7" s="30"/>
      <c r="G7" s="30"/>
      <c r="H7" s="30"/>
      <c r="I7" s="30"/>
      <c r="J7" s="30"/>
      <c r="K7" s="30"/>
      <c r="L7" s="30"/>
      <c r="M7" s="30"/>
      <c r="N7" s="30"/>
      <c r="O7" s="30"/>
      <c r="P7" s="30"/>
      <c r="Q7" s="30"/>
      <c r="R7" s="30"/>
      <c r="S7" s="30"/>
      <c r="T7" s="30"/>
      <c r="U7" s="30"/>
      <c r="V7" s="30"/>
      <c r="W7" s="30"/>
      <c r="X7" s="30"/>
      <c r="Y7" s="30"/>
      <c r="Z7" s="30"/>
    </row>
    <row r="8" ht="13.5" customHeight="1">
      <c r="A8" s="65"/>
      <c r="B8" s="63"/>
      <c r="C8" s="30"/>
      <c r="D8" s="30"/>
      <c r="E8" s="30"/>
      <c r="F8" s="30"/>
      <c r="G8" s="30"/>
      <c r="H8" s="30"/>
      <c r="I8" s="30"/>
      <c r="J8" s="30"/>
      <c r="K8" s="30"/>
      <c r="L8" s="30"/>
      <c r="M8" s="30"/>
      <c r="N8" s="30"/>
      <c r="O8" s="30"/>
      <c r="P8" s="30"/>
      <c r="Q8" s="30"/>
      <c r="R8" s="30"/>
      <c r="S8" s="30"/>
      <c r="T8" s="30"/>
      <c r="U8" s="30"/>
      <c r="V8" s="30"/>
      <c r="W8" s="30"/>
      <c r="X8" s="30"/>
      <c r="Y8" s="30"/>
      <c r="Z8" s="30"/>
    </row>
    <row r="9" ht="13.5" customHeight="1">
      <c r="A9" s="65"/>
      <c r="B9" s="63"/>
      <c r="C9" s="30"/>
      <c r="D9" s="30"/>
      <c r="E9" s="30"/>
      <c r="F9" s="30"/>
      <c r="G9" s="30"/>
      <c r="H9" s="30"/>
      <c r="I9" s="30"/>
      <c r="J9" s="30"/>
      <c r="K9" s="30"/>
      <c r="L9" s="30"/>
      <c r="M9" s="30"/>
      <c r="N9" s="30"/>
      <c r="O9" s="30"/>
      <c r="P9" s="30"/>
      <c r="Q9" s="30"/>
      <c r="R9" s="30"/>
      <c r="S9" s="30"/>
      <c r="T9" s="30"/>
      <c r="U9" s="30"/>
      <c r="V9" s="30"/>
      <c r="W9" s="30"/>
      <c r="X9" s="30"/>
      <c r="Y9" s="30"/>
      <c r="Z9" s="30"/>
    </row>
    <row r="10" ht="13.5" customHeight="1">
      <c r="A10" s="65"/>
      <c r="B10" s="30"/>
      <c r="C10" s="30"/>
      <c r="D10" s="30"/>
      <c r="E10" s="30"/>
      <c r="F10" s="30"/>
      <c r="G10" s="30"/>
      <c r="H10" s="1263"/>
      <c r="I10" s="1263" t="s">
        <v>1084</v>
      </c>
      <c r="J10" s="1264"/>
      <c r="K10" s="1264"/>
      <c r="L10" s="1264"/>
      <c r="M10" s="1264"/>
      <c r="N10" s="1265"/>
      <c r="O10" s="30"/>
      <c r="P10" s="36" t="s">
        <v>85</v>
      </c>
      <c r="Q10" s="30"/>
      <c r="R10" s="30"/>
      <c r="S10" s="30"/>
      <c r="T10" s="30"/>
      <c r="U10" s="30"/>
      <c r="V10" s="30"/>
      <c r="W10" s="30"/>
      <c r="X10" s="30"/>
      <c r="Y10" s="30"/>
      <c r="Z10" s="30"/>
    </row>
    <row r="11" ht="13.5" customHeight="1">
      <c r="A11" s="65"/>
      <c r="B11" s="30"/>
      <c r="C11" s="30"/>
      <c r="D11" s="30"/>
      <c r="E11" s="30"/>
      <c r="F11" s="30"/>
      <c r="G11" s="30"/>
      <c r="H11" s="545">
        <v>0.0</v>
      </c>
      <c r="I11" s="1266" t="s">
        <v>637</v>
      </c>
      <c r="J11" s="1267" t="s">
        <v>638</v>
      </c>
      <c r="K11" s="1267" t="s">
        <v>639</v>
      </c>
      <c r="L11" s="1267" t="s">
        <v>640</v>
      </c>
      <c r="M11" s="1267" t="s">
        <v>641</v>
      </c>
      <c r="N11" s="1268" t="s">
        <v>642</v>
      </c>
      <c r="O11" s="30"/>
      <c r="P11" s="116"/>
      <c r="Q11" s="30"/>
      <c r="R11" s="30"/>
      <c r="S11" s="30"/>
      <c r="T11" s="30"/>
      <c r="U11" s="30"/>
      <c r="V11" s="30"/>
      <c r="W11" s="30"/>
      <c r="X11" s="30"/>
      <c r="Y11" s="30"/>
      <c r="Z11" s="30"/>
    </row>
    <row r="12" ht="13.5" customHeight="1">
      <c r="A12" s="814"/>
      <c r="B12" s="30"/>
      <c r="C12" s="30"/>
      <c r="D12" s="30"/>
      <c r="E12" s="30"/>
      <c r="F12" s="223"/>
      <c r="G12" s="223"/>
      <c r="H12" s="1269">
        <f t="shared" ref="H12:H13" si="2">+I12-1</f>
        <v>2024</v>
      </c>
      <c r="I12" s="1269">
        <f>Cover!E11</f>
        <v>2025</v>
      </c>
      <c r="J12" s="1270">
        <f t="shared" ref="J12:N12" si="1">+I13</f>
        <v>2026</v>
      </c>
      <c r="K12" s="1270">
        <f t="shared" si="1"/>
        <v>2027</v>
      </c>
      <c r="L12" s="1270">
        <f t="shared" si="1"/>
        <v>2028</v>
      </c>
      <c r="M12" s="1270">
        <f t="shared" si="1"/>
        <v>2029</v>
      </c>
      <c r="N12" s="1271">
        <f t="shared" si="1"/>
        <v>2030</v>
      </c>
      <c r="O12" s="30"/>
      <c r="P12" s="119"/>
      <c r="Q12" s="30"/>
      <c r="R12" s="30"/>
      <c r="S12" s="30"/>
      <c r="T12" s="30"/>
      <c r="U12" s="30"/>
      <c r="V12" s="30"/>
      <c r="W12" s="30"/>
      <c r="X12" s="30"/>
      <c r="Y12" s="30"/>
      <c r="Z12" s="30"/>
    </row>
    <row r="13" ht="13.5" customHeight="1">
      <c r="A13" s="814"/>
      <c r="B13" s="30"/>
      <c r="C13" s="30"/>
      <c r="D13" s="30"/>
      <c r="E13" s="30"/>
      <c r="F13" s="223"/>
      <c r="G13" s="223"/>
      <c r="H13" s="1272">
        <f t="shared" si="2"/>
        <v>2025</v>
      </c>
      <c r="I13" s="1272">
        <f t="shared" ref="I13:N13" si="3">+I12+1</f>
        <v>2026</v>
      </c>
      <c r="J13" s="1273">
        <f t="shared" si="3"/>
        <v>2027</v>
      </c>
      <c r="K13" s="1273">
        <f t="shared" si="3"/>
        <v>2028</v>
      </c>
      <c r="L13" s="1273">
        <f t="shared" si="3"/>
        <v>2029</v>
      </c>
      <c r="M13" s="1273">
        <f t="shared" si="3"/>
        <v>2030</v>
      </c>
      <c r="N13" s="1274">
        <f t="shared" si="3"/>
        <v>2031</v>
      </c>
      <c r="O13" s="30"/>
      <c r="P13" s="119"/>
      <c r="Q13" s="30"/>
      <c r="R13" s="30"/>
      <c r="S13" s="30"/>
      <c r="T13" s="30"/>
      <c r="U13" s="30"/>
      <c r="V13" s="30"/>
      <c r="W13" s="30"/>
      <c r="X13" s="30"/>
      <c r="Y13" s="30"/>
      <c r="Z13" s="30"/>
    </row>
    <row r="14" ht="13.5" customHeight="1">
      <c r="A14" s="814">
        <f t="shared" ref="A14:A44" si="4">ROW()</f>
        <v>14</v>
      </c>
      <c r="B14" s="225" t="s">
        <v>404</v>
      </c>
      <c r="C14" s="1275"/>
      <c r="D14" s="30"/>
      <c r="E14" s="30"/>
      <c r="F14" s="223"/>
      <c r="G14" s="223"/>
      <c r="H14" s="548"/>
      <c r="I14" s="449"/>
      <c r="J14" s="449"/>
      <c r="K14" s="449"/>
      <c r="L14" s="449"/>
      <c r="M14" s="449"/>
      <c r="N14" s="449"/>
      <c r="O14" s="30"/>
      <c r="P14" s="119"/>
      <c r="Q14" s="30"/>
      <c r="R14" s="30"/>
      <c r="S14" s="30"/>
      <c r="T14" s="30"/>
      <c r="U14" s="30"/>
      <c r="V14" s="30"/>
      <c r="W14" s="30"/>
      <c r="X14" s="30"/>
      <c r="Y14" s="30"/>
      <c r="Z14" s="30"/>
    </row>
    <row r="15" ht="13.5" customHeight="1">
      <c r="A15" s="814">
        <f t="shared" si="4"/>
        <v>15</v>
      </c>
      <c r="B15" s="30" t="s">
        <v>405</v>
      </c>
      <c r="C15" s="126"/>
      <c r="D15" s="30"/>
      <c r="E15" s="30"/>
      <c r="F15" s="30"/>
      <c r="G15" s="30"/>
      <c r="H15" s="1276">
        <v>13.0</v>
      </c>
      <c r="I15" s="1277">
        <f t="shared" ref="I15:N15" si="5">COUNTIF(I18:I30,"&gt;0")</f>
        <v>13</v>
      </c>
      <c r="J15" s="1277">
        <f t="shared" si="5"/>
        <v>13</v>
      </c>
      <c r="K15" s="1277">
        <f t="shared" si="5"/>
        <v>13</v>
      </c>
      <c r="L15" s="1277">
        <f t="shared" si="5"/>
        <v>13</v>
      </c>
      <c r="M15" s="1277">
        <f t="shared" si="5"/>
        <v>13</v>
      </c>
      <c r="N15" s="1277">
        <f t="shared" si="5"/>
        <v>13</v>
      </c>
      <c r="O15" s="30"/>
      <c r="P15" s="119"/>
      <c r="Q15" s="30"/>
      <c r="R15" s="30"/>
      <c r="S15" s="30"/>
      <c r="T15" s="30"/>
      <c r="U15" s="30"/>
      <c r="V15" s="30"/>
      <c r="W15" s="30"/>
      <c r="X15" s="30"/>
      <c r="Y15" s="30"/>
      <c r="Z15" s="30"/>
    </row>
    <row r="16" ht="13.5" customHeight="1">
      <c r="A16" s="814">
        <f t="shared" si="4"/>
        <v>16</v>
      </c>
      <c r="B16" s="34" t="s">
        <v>406</v>
      </c>
      <c r="C16" s="1278"/>
      <c r="D16" s="34"/>
      <c r="E16" s="34"/>
      <c r="F16" s="34"/>
      <c r="G16" s="34"/>
      <c r="H16" s="1279">
        <v>25.0</v>
      </c>
      <c r="I16" s="1277">
        <f>+' Enrol &amp; Rev'!G19</f>
        <v>24.30769231</v>
      </c>
      <c r="J16" s="1277">
        <f>+' Enrol &amp; Rev'!H19</f>
        <v>24.80769231</v>
      </c>
      <c r="K16" s="1277">
        <f>+' Enrol &amp; Rev'!I19</f>
        <v>25.65384615</v>
      </c>
      <c r="L16" s="1277">
        <f>+' Enrol &amp; Rev'!J19</f>
        <v>25.88461538</v>
      </c>
      <c r="M16" s="1277">
        <f>+' Enrol &amp; Rev'!K19</f>
        <v>26</v>
      </c>
      <c r="N16" s="1277">
        <f>+' Enrol &amp; Rev'!L19</f>
        <v>26.34615385</v>
      </c>
      <c r="O16" s="30"/>
      <c r="P16" s="119"/>
      <c r="Q16" s="30"/>
      <c r="R16" s="30"/>
      <c r="S16" s="30"/>
      <c r="T16" s="30"/>
      <c r="U16" s="30"/>
      <c r="V16" s="30"/>
      <c r="W16" s="30"/>
      <c r="X16" s="30"/>
      <c r="Y16" s="30"/>
      <c r="Z16" s="30"/>
    </row>
    <row r="17" ht="13.5" customHeight="1">
      <c r="A17" s="814">
        <f t="shared" si="4"/>
        <v>17</v>
      </c>
      <c r="B17" s="460"/>
      <c r="C17" s="1280"/>
      <c r="D17" s="1065"/>
      <c r="E17" s="1065"/>
      <c r="F17" s="1281"/>
      <c r="G17" s="1281"/>
      <c r="H17" s="1282"/>
      <c r="I17" s="1281"/>
      <c r="J17" s="1281"/>
      <c r="K17" s="1281"/>
      <c r="L17" s="1281"/>
      <c r="M17" s="1281"/>
      <c r="N17" s="1281"/>
      <c r="O17" s="30"/>
      <c r="P17" s="119"/>
      <c r="Q17" s="30"/>
      <c r="R17" s="30"/>
      <c r="S17" s="30"/>
      <c r="T17" s="30"/>
      <c r="U17" s="30"/>
      <c r="V17" s="30"/>
      <c r="W17" s="30"/>
      <c r="X17" s="30"/>
      <c r="Y17" s="30"/>
      <c r="Z17" s="30"/>
    </row>
    <row r="18" ht="13.5" customHeight="1">
      <c r="A18" s="814">
        <f t="shared" si="4"/>
        <v>18</v>
      </c>
      <c r="B18" s="522" t="s">
        <v>407</v>
      </c>
      <c r="C18" s="1283"/>
      <c r="D18" s="460"/>
      <c r="E18" s="460"/>
      <c r="F18" s="30"/>
      <c r="G18" s="30"/>
      <c r="H18" s="1284">
        <v>43.0</v>
      </c>
      <c r="I18" s="465">
        <f>+'Mkt Res'!E14</f>
        <v>50</v>
      </c>
      <c r="J18" s="465">
        <f>+'Mkt Res'!F14</f>
        <v>50</v>
      </c>
      <c r="K18" s="465">
        <f>+'Mkt Res'!G14</f>
        <v>50</v>
      </c>
      <c r="L18" s="465">
        <f>+'Mkt Res'!H14</f>
        <v>50</v>
      </c>
      <c r="M18" s="465">
        <f>+'Mkt Res'!I14</f>
        <v>50</v>
      </c>
      <c r="N18" s="465">
        <f>+'Mkt Res'!J14</f>
        <v>50</v>
      </c>
      <c r="O18" s="30"/>
      <c r="P18" s="119"/>
      <c r="Q18" s="30"/>
      <c r="R18" s="30"/>
      <c r="S18" s="30"/>
      <c r="T18" s="30"/>
      <c r="U18" s="30"/>
      <c r="V18" s="30"/>
      <c r="W18" s="30"/>
      <c r="X18" s="30"/>
      <c r="Y18" s="30"/>
      <c r="Z18" s="30"/>
    </row>
    <row r="19" ht="13.5" customHeight="1">
      <c r="A19" s="814">
        <f t="shared" si="4"/>
        <v>19</v>
      </c>
      <c r="B19" s="466" t="s">
        <v>408</v>
      </c>
      <c r="C19" s="1285"/>
      <c r="D19" s="466"/>
      <c r="E19" s="466"/>
      <c r="F19" s="50"/>
      <c r="G19" s="50"/>
      <c r="H19" s="1286">
        <v>45.0</v>
      </c>
      <c r="I19" s="468">
        <f>+'Mkt Res'!E15</f>
        <v>44</v>
      </c>
      <c r="J19" s="468">
        <f>+'Mkt Res'!F15</f>
        <v>44</v>
      </c>
      <c r="K19" s="468">
        <f>+'Mkt Res'!G15</f>
        <v>44</v>
      </c>
      <c r="L19" s="468">
        <f>+'Mkt Res'!H15</f>
        <v>44</v>
      </c>
      <c r="M19" s="468">
        <f>+'Mkt Res'!I15</f>
        <v>44</v>
      </c>
      <c r="N19" s="468">
        <f>+'Mkt Res'!J15</f>
        <v>44</v>
      </c>
      <c r="O19" s="30"/>
      <c r="P19" s="119"/>
      <c r="Q19" s="30"/>
      <c r="R19" s="30"/>
      <c r="S19" s="30"/>
      <c r="T19" s="30"/>
      <c r="U19" s="30"/>
      <c r="V19" s="30"/>
      <c r="W19" s="30"/>
      <c r="X19" s="30"/>
      <c r="Y19" s="30"/>
      <c r="Z19" s="30"/>
    </row>
    <row r="20" ht="13.5" customHeight="1">
      <c r="A20" s="814">
        <f t="shared" si="4"/>
        <v>20</v>
      </c>
      <c r="B20" s="466" t="s">
        <v>409</v>
      </c>
      <c r="C20" s="1285"/>
      <c r="D20" s="466"/>
      <c r="E20" s="466"/>
      <c r="F20" s="50"/>
      <c r="G20" s="50"/>
      <c r="H20" s="1286">
        <v>51.0</v>
      </c>
      <c r="I20" s="468">
        <f>+'Mkt Res'!E16</f>
        <v>45</v>
      </c>
      <c r="J20" s="468">
        <f>+'Mkt Res'!F16</f>
        <v>44</v>
      </c>
      <c r="K20" s="468">
        <f>+'Mkt Res'!G16</f>
        <v>44</v>
      </c>
      <c r="L20" s="468">
        <f>+'Mkt Res'!H16</f>
        <v>44</v>
      </c>
      <c r="M20" s="468">
        <f>+'Mkt Res'!I16</f>
        <v>44</v>
      </c>
      <c r="N20" s="468">
        <f>+'Mkt Res'!J16</f>
        <v>44</v>
      </c>
      <c r="O20" s="30"/>
      <c r="P20" s="119"/>
      <c r="Q20" s="30"/>
      <c r="R20" s="30"/>
      <c r="S20" s="30"/>
      <c r="T20" s="30"/>
      <c r="U20" s="30"/>
      <c r="V20" s="30"/>
      <c r="W20" s="30"/>
      <c r="X20" s="30"/>
      <c r="Y20" s="30"/>
      <c r="Z20" s="30"/>
    </row>
    <row r="21" ht="13.5" customHeight="1">
      <c r="A21" s="814">
        <f t="shared" si="4"/>
        <v>21</v>
      </c>
      <c r="B21" s="466" t="s">
        <v>410</v>
      </c>
      <c r="C21" s="1285"/>
      <c r="D21" s="466"/>
      <c r="E21" s="466"/>
      <c r="F21" s="50"/>
      <c r="G21" s="50"/>
      <c r="H21" s="1286">
        <v>63.0</v>
      </c>
      <c r="I21" s="468">
        <f>+'Mkt Res'!E17</f>
        <v>51</v>
      </c>
      <c r="J21" s="468">
        <f>+'Mkt Res'!F17</f>
        <v>45</v>
      </c>
      <c r="K21" s="468">
        <f>+'Mkt Res'!G17</f>
        <v>44</v>
      </c>
      <c r="L21" s="468">
        <f>+'Mkt Res'!H17</f>
        <v>44</v>
      </c>
      <c r="M21" s="468">
        <f>+'Mkt Res'!I17</f>
        <v>44</v>
      </c>
      <c r="N21" s="468">
        <f>+'Mkt Res'!J17</f>
        <v>50</v>
      </c>
      <c r="O21" s="30"/>
      <c r="P21" s="119"/>
      <c r="Q21" s="30"/>
      <c r="R21" s="30"/>
      <c r="S21" s="30"/>
      <c r="T21" s="30"/>
      <c r="U21" s="30"/>
      <c r="V21" s="30"/>
      <c r="W21" s="30"/>
      <c r="X21" s="30"/>
      <c r="Y21" s="30"/>
      <c r="Z21" s="30"/>
    </row>
    <row r="22" ht="13.5" customHeight="1">
      <c r="A22" s="814">
        <f t="shared" si="4"/>
        <v>22</v>
      </c>
      <c r="B22" s="466" t="s">
        <v>411</v>
      </c>
      <c r="C22" s="1285"/>
      <c r="D22" s="466"/>
      <c r="E22" s="466"/>
      <c r="F22" s="50"/>
      <c r="G22" s="50"/>
      <c r="H22" s="1286">
        <v>53.0</v>
      </c>
      <c r="I22" s="468">
        <f>+'Mkt Res'!E18</f>
        <v>63</v>
      </c>
      <c r="J22" s="468">
        <f>+'Mkt Res'!F18</f>
        <v>51</v>
      </c>
      <c r="K22" s="468">
        <f>+'Mkt Res'!G18</f>
        <v>45</v>
      </c>
      <c r="L22" s="468">
        <f>+'Mkt Res'!H18</f>
        <v>45</v>
      </c>
      <c r="M22" s="468">
        <f>+'Mkt Res'!I18</f>
        <v>60</v>
      </c>
      <c r="N22" s="468">
        <f>+'Mkt Res'!J18</f>
        <v>55</v>
      </c>
      <c r="O22" s="30"/>
      <c r="P22" s="119"/>
      <c r="Q22" s="30"/>
      <c r="R22" s="30"/>
      <c r="S22" s="30"/>
      <c r="T22" s="30"/>
      <c r="U22" s="30"/>
      <c r="V22" s="30"/>
      <c r="W22" s="30"/>
      <c r="X22" s="30"/>
      <c r="Y22" s="30"/>
      <c r="Z22" s="30"/>
    </row>
    <row r="23" ht="13.5" customHeight="1">
      <c r="A23" s="814">
        <f t="shared" si="4"/>
        <v>23</v>
      </c>
      <c r="B23" s="466" t="s">
        <v>412</v>
      </c>
      <c r="C23" s="1285"/>
      <c r="D23" s="466"/>
      <c r="E23" s="466"/>
      <c r="F23" s="50"/>
      <c r="G23" s="50"/>
      <c r="H23" s="1286">
        <v>77.0</v>
      </c>
      <c r="I23" s="468">
        <f>+'Mkt Res'!E19</f>
        <v>53</v>
      </c>
      <c r="J23" s="468">
        <f>+'Mkt Res'!F19</f>
        <v>63</v>
      </c>
      <c r="K23" s="468">
        <f>+'Mkt Res'!G19</f>
        <v>51</v>
      </c>
      <c r="L23" s="468">
        <f>+'Mkt Res'!H19</f>
        <v>51</v>
      </c>
      <c r="M23" s="468">
        <f>+'Mkt Res'!I19</f>
        <v>75</v>
      </c>
      <c r="N23" s="468">
        <f>+'Mkt Res'!J19</f>
        <v>75</v>
      </c>
      <c r="O23" s="30"/>
      <c r="P23" s="119"/>
      <c r="Q23" s="30"/>
      <c r="R23" s="30"/>
      <c r="S23" s="30"/>
      <c r="T23" s="30"/>
      <c r="U23" s="30"/>
      <c r="V23" s="30"/>
      <c r="W23" s="30"/>
      <c r="X23" s="30"/>
      <c r="Y23" s="30"/>
      <c r="Z23" s="30"/>
    </row>
    <row r="24" ht="13.5" customHeight="1">
      <c r="A24" s="814">
        <f t="shared" si="4"/>
        <v>24</v>
      </c>
      <c r="B24" s="466" t="s">
        <v>413</v>
      </c>
      <c r="C24" s="1285"/>
      <c r="D24" s="466"/>
      <c r="E24" s="466"/>
      <c r="F24" s="50"/>
      <c r="G24" s="50"/>
      <c r="H24" s="1286">
        <v>57.0</v>
      </c>
      <c r="I24" s="468">
        <f>+'Mkt Res'!E20</f>
        <v>77</v>
      </c>
      <c r="J24" s="468">
        <f>+'Mkt Res'!F20</f>
        <v>53</v>
      </c>
      <c r="K24" s="468">
        <f>+'Mkt Res'!G20</f>
        <v>63</v>
      </c>
      <c r="L24" s="468">
        <f>+'Mkt Res'!H20</f>
        <v>63</v>
      </c>
      <c r="M24" s="468">
        <f>+'Mkt Res'!I20</f>
        <v>75</v>
      </c>
      <c r="N24" s="468">
        <f>+'Mkt Res'!J20</f>
        <v>75</v>
      </c>
      <c r="O24" s="30"/>
      <c r="P24" s="119"/>
      <c r="Q24" s="30"/>
      <c r="R24" s="30"/>
      <c r="S24" s="30"/>
      <c r="T24" s="30"/>
      <c r="U24" s="30"/>
      <c r="V24" s="30"/>
      <c r="W24" s="30"/>
      <c r="X24" s="30"/>
      <c r="Y24" s="30"/>
      <c r="Z24" s="30"/>
    </row>
    <row r="25" ht="13.5" customHeight="1">
      <c r="A25" s="814">
        <f t="shared" si="4"/>
        <v>25</v>
      </c>
      <c r="B25" s="466" t="s">
        <v>414</v>
      </c>
      <c r="C25" s="1285"/>
      <c r="D25" s="466"/>
      <c r="E25" s="466"/>
      <c r="F25" s="50"/>
      <c r="G25" s="50"/>
      <c r="H25" s="1286">
        <v>64.0</v>
      </c>
      <c r="I25" s="468">
        <f>+'Mkt Res'!E21</f>
        <v>57</v>
      </c>
      <c r="J25" s="468">
        <f>+'Mkt Res'!F21</f>
        <v>77</v>
      </c>
      <c r="K25" s="468">
        <f>+'Mkt Res'!G21</f>
        <v>53</v>
      </c>
      <c r="L25" s="468">
        <f>+'Mkt Res'!H21</f>
        <v>55</v>
      </c>
      <c r="M25" s="468">
        <f>+'Mkt Res'!I21</f>
        <v>75</v>
      </c>
      <c r="N25" s="468">
        <f>+'Mkt Res'!J21</f>
        <v>75</v>
      </c>
      <c r="O25" s="30"/>
      <c r="P25" s="119"/>
      <c r="Q25" s="30"/>
      <c r="R25" s="30"/>
      <c r="S25" s="30"/>
      <c r="T25" s="30"/>
      <c r="U25" s="30"/>
      <c r="V25" s="30"/>
      <c r="W25" s="30"/>
      <c r="X25" s="30"/>
      <c r="Y25" s="30"/>
      <c r="Z25" s="30"/>
    </row>
    <row r="26" ht="13.5" customHeight="1">
      <c r="A26" s="814">
        <f t="shared" si="4"/>
        <v>26</v>
      </c>
      <c r="B26" s="466" t="s">
        <v>415</v>
      </c>
      <c r="C26" s="1285"/>
      <c r="D26" s="466"/>
      <c r="E26" s="466"/>
      <c r="F26" s="50"/>
      <c r="G26" s="50"/>
      <c r="H26" s="1286">
        <v>56.0</v>
      </c>
      <c r="I26" s="468">
        <f>+'Mkt Res'!E22</f>
        <v>63</v>
      </c>
      <c r="J26" s="468">
        <f>+'Mkt Res'!F22</f>
        <v>57</v>
      </c>
      <c r="K26" s="468">
        <f>+'Mkt Res'!G22</f>
        <v>77</v>
      </c>
      <c r="L26" s="468">
        <f>+'Mkt Res'!H22</f>
        <v>70</v>
      </c>
      <c r="M26" s="468">
        <f>+'Mkt Res'!I22</f>
        <v>70</v>
      </c>
      <c r="N26" s="468">
        <f>+'Mkt Res'!J22</f>
        <v>75</v>
      </c>
      <c r="O26" s="30"/>
      <c r="P26" s="119"/>
      <c r="Q26" s="30"/>
      <c r="R26" s="30"/>
      <c r="S26" s="30"/>
      <c r="T26" s="30"/>
      <c r="U26" s="30"/>
      <c r="V26" s="30"/>
      <c r="W26" s="30"/>
      <c r="X26" s="30"/>
      <c r="Y26" s="30"/>
      <c r="Z26" s="30"/>
    </row>
    <row r="27" ht="13.5" customHeight="1">
      <c r="A27" s="814">
        <f t="shared" si="4"/>
        <v>27</v>
      </c>
      <c r="B27" s="466" t="s">
        <v>416</v>
      </c>
      <c r="C27" s="1285"/>
      <c r="D27" s="466"/>
      <c r="E27" s="466"/>
      <c r="F27" s="50"/>
      <c r="G27" s="50"/>
      <c r="H27" s="1286">
        <v>33.0</v>
      </c>
      <c r="I27" s="468">
        <f>+'Mkt Res'!E23</f>
        <v>56</v>
      </c>
      <c r="J27" s="468">
        <f>+'Mkt Res'!F23</f>
        <v>50</v>
      </c>
      <c r="K27" s="468">
        <f>+'Mkt Res'!G23</f>
        <v>57</v>
      </c>
      <c r="L27" s="468">
        <f>+'Mkt Res'!H23</f>
        <v>77</v>
      </c>
      <c r="M27" s="468">
        <f>+'Mkt Res'!I23</f>
        <v>50</v>
      </c>
      <c r="N27" s="468">
        <f>+'Mkt Res'!J23</f>
        <v>45</v>
      </c>
      <c r="O27" s="30"/>
      <c r="P27" s="119"/>
      <c r="Q27" s="30"/>
      <c r="R27" s="30"/>
      <c r="S27" s="30"/>
      <c r="T27" s="30"/>
      <c r="U27" s="30"/>
      <c r="V27" s="30"/>
      <c r="W27" s="30"/>
      <c r="X27" s="30"/>
      <c r="Y27" s="30"/>
      <c r="Z27" s="30"/>
    </row>
    <row r="28" ht="13.5" customHeight="1">
      <c r="A28" s="814">
        <f t="shared" si="4"/>
        <v>28</v>
      </c>
      <c r="B28" s="466" t="s">
        <v>417</v>
      </c>
      <c r="C28" s="1285"/>
      <c r="D28" s="466"/>
      <c r="E28" s="466"/>
      <c r="F28" s="50"/>
      <c r="G28" s="50"/>
      <c r="H28" s="1286">
        <v>22.0</v>
      </c>
      <c r="I28" s="468">
        <f>+'Mkt Res'!E24</f>
        <v>33</v>
      </c>
      <c r="J28" s="468">
        <f>+'Mkt Res'!F24</f>
        <v>56</v>
      </c>
      <c r="K28" s="468">
        <f>+'Mkt Res'!G24</f>
        <v>50</v>
      </c>
      <c r="L28" s="468">
        <f>+'Mkt Res'!H24</f>
        <v>50</v>
      </c>
      <c r="M28" s="468">
        <f>+'Mkt Res'!I24</f>
        <v>40</v>
      </c>
      <c r="N28" s="468">
        <f>+'Mkt Res'!J24</f>
        <v>45</v>
      </c>
      <c r="O28" s="30"/>
      <c r="P28" s="119"/>
      <c r="Q28" s="30"/>
      <c r="R28" s="30"/>
      <c r="S28" s="30"/>
      <c r="T28" s="30"/>
      <c r="U28" s="30"/>
      <c r="V28" s="30"/>
      <c r="W28" s="30"/>
      <c r="X28" s="30"/>
      <c r="Y28" s="30"/>
      <c r="Z28" s="30"/>
    </row>
    <row r="29" ht="13.5" customHeight="1">
      <c r="A29" s="814">
        <f t="shared" si="4"/>
        <v>29</v>
      </c>
      <c r="B29" s="466" t="s">
        <v>418</v>
      </c>
      <c r="C29" s="1285"/>
      <c r="D29" s="466"/>
      <c r="E29" s="466"/>
      <c r="F29" s="50"/>
      <c r="G29" s="50"/>
      <c r="H29" s="1286">
        <v>18.0</v>
      </c>
      <c r="I29" s="468">
        <f>+'Mkt Res'!E25</f>
        <v>22</v>
      </c>
      <c r="J29" s="468">
        <f>+'Mkt Res'!F25</f>
        <v>33</v>
      </c>
      <c r="K29" s="468">
        <f>+'Mkt Res'!G25</f>
        <v>56</v>
      </c>
      <c r="L29" s="468">
        <f>+'Mkt Res'!H25</f>
        <v>56</v>
      </c>
      <c r="M29" s="468">
        <f>+'Mkt Res'!I25</f>
        <v>25</v>
      </c>
      <c r="N29" s="468">
        <f>+'Mkt Res'!J25</f>
        <v>28</v>
      </c>
      <c r="O29" s="30"/>
      <c r="P29" s="119"/>
      <c r="Q29" s="30"/>
      <c r="R29" s="30"/>
      <c r="S29" s="30"/>
      <c r="T29" s="30"/>
      <c r="U29" s="30"/>
      <c r="V29" s="30"/>
      <c r="W29" s="30"/>
      <c r="X29" s="30"/>
      <c r="Y29" s="30"/>
      <c r="Z29" s="30"/>
    </row>
    <row r="30" ht="13.5" customHeight="1">
      <c r="A30" s="814">
        <f t="shared" si="4"/>
        <v>30</v>
      </c>
      <c r="B30" s="466" t="s">
        <v>419</v>
      </c>
      <c r="C30" s="1285"/>
      <c r="D30" s="466"/>
      <c r="E30" s="466"/>
      <c r="F30" s="50"/>
      <c r="G30" s="34"/>
      <c r="H30" s="1287">
        <v>25.0</v>
      </c>
      <c r="I30" s="471">
        <f>+'Mkt Res'!E26</f>
        <v>18</v>
      </c>
      <c r="J30" s="471">
        <f>+'Mkt Res'!F26</f>
        <v>22</v>
      </c>
      <c r="K30" s="471">
        <f>+'Mkt Res'!G26</f>
        <v>33</v>
      </c>
      <c r="L30" s="471">
        <f>+'Mkt Res'!H26</f>
        <v>24</v>
      </c>
      <c r="M30" s="471">
        <f>+'Mkt Res'!I26</f>
        <v>24</v>
      </c>
      <c r="N30" s="471">
        <f>+'Mkt Res'!J26</f>
        <v>24</v>
      </c>
      <c r="O30" s="30"/>
      <c r="P30" s="119"/>
      <c r="Q30" s="30"/>
      <c r="R30" s="30"/>
      <c r="S30" s="30"/>
      <c r="T30" s="30"/>
      <c r="U30" s="30"/>
      <c r="V30" s="30"/>
      <c r="W30" s="30"/>
      <c r="X30" s="30"/>
      <c r="Y30" s="30"/>
      <c r="Z30" s="30"/>
    </row>
    <row r="31" ht="13.5" customHeight="1">
      <c r="A31" s="814">
        <f t="shared" si="4"/>
        <v>31</v>
      </c>
      <c r="B31" s="472" t="s">
        <v>420</v>
      </c>
      <c r="C31" s="1288"/>
      <c r="D31" s="1288"/>
      <c r="E31" s="1288"/>
      <c r="F31" s="1288"/>
      <c r="G31" s="479"/>
      <c r="H31" s="473">
        <f t="shared" ref="H31:N31" si="6">SUM(H18:H30)</f>
        <v>607</v>
      </c>
      <c r="I31" s="473">
        <f t="shared" si="6"/>
        <v>632</v>
      </c>
      <c r="J31" s="473">
        <f t="shared" si="6"/>
        <v>645</v>
      </c>
      <c r="K31" s="473">
        <f t="shared" si="6"/>
        <v>667</v>
      </c>
      <c r="L31" s="473">
        <f t="shared" si="6"/>
        <v>673</v>
      </c>
      <c r="M31" s="473">
        <f t="shared" si="6"/>
        <v>676</v>
      </c>
      <c r="N31" s="473">
        <f t="shared" si="6"/>
        <v>685</v>
      </c>
      <c r="O31" s="30"/>
      <c r="P31" s="119"/>
      <c r="Q31" s="30"/>
      <c r="R31" s="30"/>
      <c r="S31" s="30"/>
      <c r="T31" s="30"/>
      <c r="U31" s="30"/>
      <c r="V31" s="30"/>
      <c r="W31" s="30"/>
      <c r="X31" s="30"/>
      <c r="Y31" s="30"/>
      <c r="Z31" s="30"/>
    </row>
    <row r="32" ht="13.5" customHeight="1">
      <c r="A32" s="814">
        <f t="shared" si="4"/>
        <v>32</v>
      </c>
      <c r="B32" s="460" t="s">
        <v>421</v>
      </c>
      <c r="C32" s="460"/>
      <c r="D32" s="460"/>
      <c r="E32" s="460"/>
      <c r="F32" s="30"/>
      <c r="G32" s="30"/>
      <c r="H32" s="1289" t="s">
        <v>1085</v>
      </c>
      <c r="I32" s="474">
        <f t="shared" ref="I32:N32" si="7">IFERROR(I31/I16,0)</f>
        <v>26</v>
      </c>
      <c r="J32" s="474">
        <f t="shared" si="7"/>
        <v>26</v>
      </c>
      <c r="K32" s="474">
        <f t="shared" si="7"/>
        <v>26</v>
      </c>
      <c r="L32" s="474">
        <f t="shared" si="7"/>
        <v>26</v>
      </c>
      <c r="M32" s="474">
        <f t="shared" si="7"/>
        <v>26</v>
      </c>
      <c r="N32" s="474">
        <f t="shared" si="7"/>
        <v>26</v>
      </c>
      <c r="O32" s="30"/>
      <c r="P32" s="119"/>
      <c r="Q32" s="30"/>
      <c r="R32" s="30"/>
      <c r="S32" s="30"/>
      <c r="T32" s="30"/>
      <c r="U32" s="30"/>
      <c r="V32" s="30"/>
      <c r="W32" s="30"/>
      <c r="X32" s="30"/>
      <c r="Y32" s="30"/>
      <c r="Z32" s="30"/>
    </row>
    <row r="33" ht="13.5" customHeight="1">
      <c r="A33" s="814">
        <f t="shared" si="4"/>
        <v>33</v>
      </c>
      <c r="B33" s="30"/>
      <c r="C33" s="30"/>
      <c r="D33" s="30"/>
      <c r="E33" s="30"/>
      <c r="F33" s="30"/>
      <c r="G33" s="30"/>
      <c r="H33" s="30"/>
      <c r="I33" s="30"/>
      <c r="J33" s="30"/>
      <c r="K33" s="30"/>
      <c r="L33" s="30"/>
      <c r="M33" s="30"/>
      <c r="N33" s="30"/>
      <c r="O33" s="30"/>
      <c r="P33" s="119"/>
      <c r="Q33" s="30"/>
      <c r="R33" s="30"/>
      <c r="S33" s="30"/>
      <c r="T33" s="30"/>
      <c r="U33" s="30"/>
      <c r="V33" s="30"/>
      <c r="W33" s="30"/>
      <c r="X33" s="30"/>
      <c r="Y33" s="30"/>
      <c r="Z33" s="30"/>
    </row>
    <row r="34" ht="13.5" customHeight="1">
      <c r="A34" s="814">
        <f t="shared" si="4"/>
        <v>34</v>
      </c>
      <c r="B34" s="1290" t="s">
        <v>1086</v>
      </c>
      <c r="C34" s="1262"/>
      <c r="D34" s="1262"/>
      <c r="E34" s="1262"/>
      <c r="F34" s="1164"/>
      <c r="G34" s="1291"/>
      <c r="H34" s="1292">
        <f t="shared" ref="H34:N34" si="8">+H11</f>
        <v>0</v>
      </c>
      <c r="I34" s="1192" t="str">
        <f t="shared" si="8"/>
        <v>SY 1</v>
      </c>
      <c r="J34" s="1192" t="str">
        <f t="shared" si="8"/>
        <v>SY 2</v>
      </c>
      <c r="K34" s="1192" t="str">
        <f t="shared" si="8"/>
        <v>SY 3</v>
      </c>
      <c r="L34" s="1192" t="str">
        <f t="shared" si="8"/>
        <v>SY 4</v>
      </c>
      <c r="M34" s="1192" t="str">
        <f t="shared" si="8"/>
        <v>SY 5</v>
      </c>
      <c r="N34" s="1192" t="str">
        <f t="shared" si="8"/>
        <v>SY 6</v>
      </c>
      <c r="O34" s="30"/>
      <c r="P34" s="119"/>
      <c r="Q34" s="30"/>
      <c r="R34" s="30"/>
      <c r="S34" s="30"/>
      <c r="T34" s="30"/>
      <c r="U34" s="30"/>
      <c r="V34" s="30"/>
      <c r="W34" s="30"/>
      <c r="X34" s="30"/>
      <c r="Y34" s="30"/>
      <c r="Z34" s="30"/>
    </row>
    <row r="35" ht="13.5" customHeight="1">
      <c r="A35" s="814">
        <f t="shared" si="4"/>
        <v>35</v>
      </c>
      <c r="B35" s="1174" t="s">
        <v>1087</v>
      </c>
      <c r="C35" s="1174" t="s">
        <v>1088</v>
      </c>
      <c r="D35" s="1174"/>
      <c r="E35" s="1174"/>
      <c r="F35" s="1174"/>
      <c r="G35" s="1293" t="s">
        <v>450</v>
      </c>
      <c r="H35" s="1294">
        <f t="shared" ref="H35:N35" si="9">H13</f>
        <v>2025</v>
      </c>
      <c r="I35" s="1294">
        <f t="shared" si="9"/>
        <v>2026</v>
      </c>
      <c r="J35" s="1294">
        <f t="shared" si="9"/>
        <v>2027</v>
      </c>
      <c r="K35" s="1294">
        <f t="shared" si="9"/>
        <v>2028</v>
      </c>
      <c r="L35" s="1294">
        <f t="shared" si="9"/>
        <v>2029</v>
      </c>
      <c r="M35" s="1294">
        <f t="shared" si="9"/>
        <v>2030</v>
      </c>
      <c r="N35" s="1294">
        <f t="shared" si="9"/>
        <v>2031</v>
      </c>
      <c r="O35" s="30"/>
      <c r="P35" s="119"/>
      <c r="Q35" s="30"/>
      <c r="R35" s="30"/>
      <c r="S35" s="30"/>
      <c r="T35" s="30"/>
      <c r="U35" s="30"/>
      <c r="V35" s="30"/>
      <c r="W35" s="30"/>
      <c r="X35" s="30"/>
      <c r="Y35" s="30"/>
      <c r="Z35" s="30"/>
    </row>
    <row r="36" ht="13.5" customHeight="1">
      <c r="A36" s="814">
        <f t="shared" si="4"/>
        <v>36</v>
      </c>
      <c r="B36" s="1295" t="s">
        <v>399</v>
      </c>
      <c r="C36" s="1295"/>
      <c r="D36" s="1295"/>
      <c r="E36" s="1295"/>
      <c r="F36" s="1295"/>
      <c r="G36" s="1296">
        <f t="shared" ref="G36:G44" si="10">SUM(H36:N36)</f>
        <v>0</v>
      </c>
      <c r="H36" s="1297">
        <v>0.0</v>
      </c>
      <c r="I36" s="1297">
        <v>0.0</v>
      </c>
      <c r="J36" s="1297">
        <v>0.0</v>
      </c>
      <c r="K36" s="1297">
        <v>0.0</v>
      </c>
      <c r="L36" s="1297">
        <v>0.0</v>
      </c>
      <c r="M36" s="1297">
        <v>0.0</v>
      </c>
      <c r="N36" s="1297">
        <v>0.0</v>
      </c>
      <c r="O36" s="30"/>
      <c r="P36" s="119"/>
      <c r="Q36" s="30"/>
      <c r="R36" s="30"/>
      <c r="S36" s="30"/>
      <c r="T36" s="30"/>
      <c r="U36" s="30"/>
      <c r="V36" s="30"/>
      <c r="W36" s="30"/>
      <c r="X36" s="30"/>
      <c r="Y36" s="30"/>
      <c r="Z36" s="30"/>
    </row>
    <row r="37" ht="13.5" customHeight="1">
      <c r="A37" s="814">
        <f t="shared" si="4"/>
        <v>37</v>
      </c>
      <c r="B37" s="507" t="s">
        <v>1089</v>
      </c>
      <c r="C37" s="507" t="s">
        <v>1090</v>
      </c>
      <c r="D37" s="507"/>
      <c r="E37" s="507"/>
      <c r="F37" s="507"/>
      <c r="G37" s="1220">
        <f t="shared" si="10"/>
        <v>0</v>
      </c>
      <c r="H37" s="505">
        <v>0.0</v>
      </c>
      <c r="I37" s="505">
        <v>0.0</v>
      </c>
      <c r="J37" s="505">
        <v>0.0</v>
      </c>
      <c r="K37" s="505">
        <v>0.0</v>
      </c>
      <c r="L37" s="505">
        <v>0.0</v>
      </c>
      <c r="M37" s="505">
        <v>0.0</v>
      </c>
      <c r="N37" s="505">
        <v>0.0</v>
      </c>
      <c r="O37" s="30"/>
      <c r="P37" s="119"/>
      <c r="Q37" s="30"/>
      <c r="R37" s="30"/>
      <c r="S37" s="30"/>
      <c r="T37" s="30"/>
      <c r="U37" s="30"/>
      <c r="V37" s="30"/>
      <c r="W37" s="30"/>
      <c r="X37" s="30"/>
      <c r="Y37" s="30"/>
      <c r="Z37" s="30"/>
    </row>
    <row r="38" ht="13.5" customHeight="1">
      <c r="A38" s="814">
        <f t="shared" si="4"/>
        <v>38</v>
      </c>
      <c r="B38" s="507" t="s">
        <v>1091</v>
      </c>
      <c r="C38" s="507"/>
      <c r="D38" s="507"/>
      <c r="E38" s="507"/>
      <c r="F38" s="507"/>
      <c r="G38" s="1220">
        <f t="shared" si="10"/>
        <v>0</v>
      </c>
      <c r="H38" s="505">
        <v>0.0</v>
      </c>
      <c r="I38" s="505">
        <v>0.0</v>
      </c>
      <c r="J38" s="505">
        <v>0.0</v>
      </c>
      <c r="K38" s="505">
        <v>0.0</v>
      </c>
      <c r="L38" s="505">
        <v>0.0</v>
      </c>
      <c r="M38" s="505">
        <v>0.0</v>
      </c>
      <c r="N38" s="505">
        <v>0.0</v>
      </c>
      <c r="O38" s="30"/>
      <c r="P38" s="119"/>
      <c r="Q38" s="30"/>
      <c r="R38" s="30"/>
      <c r="S38" s="30"/>
      <c r="T38" s="30"/>
      <c r="U38" s="30"/>
      <c r="V38" s="30"/>
      <c r="W38" s="30"/>
      <c r="X38" s="30"/>
      <c r="Y38" s="30"/>
      <c r="Z38" s="30"/>
    </row>
    <row r="39" ht="13.5" customHeight="1">
      <c r="A39" s="814">
        <f t="shared" si="4"/>
        <v>39</v>
      </c>
      <c r="B39" s="1298" t="s">
        <v>1092</v>
      </c>
      <c r="C39" s="507"/>
      <c r="D39" s="507"/>
      <c r="E39" s="507"/>
      <c r="F39" s="507"/>
      <c r="G39" s="1220">
        <f t="shared" si="10"/>
        <v>70000</v>
      </c>
      <c r="H39" s="1215">
        <v>12000.0</v>
      </c>
      <c r="I39" s="1215">
        <v>8000.0</v>
      </c>
      <c r="J39" s="1215">
        <v>10000.0</v>
      </c>
      <c r="K39" s="1215">
        <v>10000.0</v>
      </c>
      <c r="L39" s="1215">
        <v>10000.0</v>
      </c>
      <c r="M39" s="1215">
        <v>10000.0</v>
      </c>
      <c r="N39" s="1215">
        <v>10000.0</v>
      </c>
      <c r="O39" s="30"/>
      <c r="P39" s="119"/>
      <c r="Q39" s="30"/>
      <c r="R39" s="30"/>
      <c r="S39" s="30"/>
      <c r="T39" s="30"/>
      <c r="U39" s="30"/>
      <c r="V39" s="30"/>
      <c r="W39" s="30"/>
      <c r="X39" s="30"/>
      <c r="Y39" s="30"/>
      <c r="Z39" s="30"/>
    </row>
    <row r="40" ht="13.5" customHeight="1">
      <c r="A40" s="814">
        <f t="shared" si="4"/>
        <v>40</v>
      </c>
      <c r="B40" s="507"/>
      <c r="C40" s="507"/>
      <c r="D40" s="507"/>
      <c r="E40" s="507"/>
      <c r="F40" s="507"/>
      <c r="G40" s="1220">
        <f t="shared" si="10"/>
        <v>0</v>
      </c>
      <c r="H40" s="505">
        <v>0.0</v>
      </c>
      <c r="I40" s="505">
        <v>0.0</v>
      </c>
      <c r="J40" s="505">
        <v>0.0</v>
      </c>
      <c r="K40" s="505">
        <v>0.0</v>
      </c>
      <c r="L40" s="505">
        <v>0.0</v>
      </c>
      <c r="M40" s="505">
        <v>0.0</v>
      </c>
      <c r="N40" s="505">
        <v>0.0</v>
      </c>
      <c r="O40" s="30"/>
      <c r="P40" s="119"/>
      <c r="Q40" s="30"/>
      <c r="R40" s="30"/>
      <c r="S40" s="30"/>
      <c r="T40" s="30"/>
      <c r="U40" s="30"/>
      <c r="V40" s="30"/>
      <c r="W40" s="30"/>
      <c r="X40" s="30"/>
      <c r="Y40" s="30"/>
      <c r="Z40" s="30"/>
    </row>
    <row r="41" ht="13.5" customHeight="1">
      <c r="A41" s="814">
        <f t="shared" si="4"/>
        <v>41</v>
      </c>
      <c r="B41" s="507"/>
      <c r="C41" s="507"/>
      <c r="D41" s="507"/>
      <c r="E41" s="507"/>
      <c r="F41" s="507"/>
      <c r="G41" s="1220">
        <f t="shared" si="10"/>
        <v>0</v>
      </c>
      <c r="H41" s="505">
        <v>0.0</v>
      </c>
      <c r="I41" s="505">
        <v>0.0</v>
      </c>
      <c r="J41" s="505">
        <v>0.0</v>
      </c>
      <c r="K41" s="505">
        <v>0.0</v>
      </c>
      <c r="L41" s="505">
        <v>0.0</v>
      </c>
      <c r="M41" s="505">
        <v>0.0</v>
      </c>
      <c r="N41" s="505">
        <v>0.0</v>
      </c>
      <c r="O41" s="30"/>
      <c r="P41" s="119"/>
      <c r="Q41" s="30"/>
      <c r="R41" s="30"/>
      <c r="S41" s="30"/>
      <c r="T41" s="30"/>
      <c r="U41" s="30"/>
      <c r="V41" s="30"/>
      <c r="W41" s="30"/>
      <c r="X41" s="30"/>
      <c r="Y41" s="30"/>
      <c r="Z41" s="30"/>
    </row>
    <row r="42" ht="13.5" customHeight="1">
      <c r="A42" s="814">
        <f t="shared" si="4"/>
        <v>42</v>
      </c>
      <c r="B42" s="507"/>
      <c r="C42" s="507"/>
      <c r="D42" s="507"/>
      <c r="E42" s="507"/>
      <c r="F42" s="507"/>
      <c r="G42" s="1220">
        <f t="shared" si="10"/>
        <v>0</v>
      </c>
      <c r="H42" s="505">
        <v>0.0</v>
      </c>
      <c r="I42" s="505">
        <v>0.0</v>
      </c>
      <c r="J42" s="505">
        <v>0.0</v>
      </c>
      <c r="K42" s="505">
        <v>0.0</v>
      </c>
      <c r="L42" s="505">
        <v>0.0</v>
      </c>
      <c r="M42" s="505">
        <v>0.0</v>
      </c>
      <c r="N42" s="505">
        <v>0.0</v>
      </c>
      <c r="O42" s="30"/>
      <c r="P42" s="119"/>
      <c r="Q42" s="30"/>
      <c r="R42" s="30"/>
      <c r="S42" s="30"/>
      <c r="T42" s="30"/>
      <c r="U42" s="30"/>
      <c r="V42" s="30"/>
      <c r="W42" s="30"/>
      <c r="X42" s="30"/>
      <c r="Y42" s="30"/>
      <c r="Z42" s="30"/>
    </row>
    <row r="43" ht="13.5" customHeight="1">
      <c r="A43" s="814">
        <f t="shared" si="4"/>
        <v>43</v>
      </c>
      <c r="B43" s="1299"/>
      <c r="C43" s="1299"/>
      <c r="D43" s="1299"/>
      <c r="E43" s="1299"/>
      <c r="F43" s="1299"/>
      <c r="G43" s="1300">
        <f t="shared" si="10"/>
        <v>0</v>
      </c>
      <c r="H43" s="1301">
        <v>0.0</v>
      </c>
      <c r="I43" s="1301">
        <v>0.0</v>
      </c>
      <c r="J43" s="1301">
        <v>0.0</v>
      </c>
      <c r="K43" s="1301">
        <v>0.0</v>
      </c>
      <c r="L43" s="1301">
        <v>0.0</v>
      </c>
      <c r="M43" s="1301">
        <v>0.0</v>
      </c>
      <c r="N43" s="1301">
        <v>0.0</v>
      </c>
      <c r="O43" s="30"/>
      <c r="P43" s="119"/>
      <c r="Q43" s="30"/>
      <c r="R43" s="30"/>
      <c r="S43" s="30"/>
      <c r="T43" s="30"/>
      <c r="U43" s="30"/>
      <c r="V43" s="30"/>
      <c r="W43" s="30"/>
      <c r="X43" s="30"/>
      <c r="Y43" s="30"/>
      <c r="Z43" s="30"/>
    </row>
    <row r="44" ht="13.5" customHeight="1">
      <c r="A44" s="814">
        <f t="shared" si="4"/>
        <v>44</v>
      </c>
      <c r="B44" s="30" t="s">
        <v>1093</v>
      </c>
      <c r="C44" s="1302"/>
      <c r="D44" s="1302"/>
      <c r="E44" s="30"/>
      <c r="F44" s="30"/>
      <c r="G44" s="666">
        <f t="shared" si="10"/>
        <v>70000</v>
      </c>
      <c r="H44" s="666">
        <f t="shared" ref="H44:N44" si="11">SUM(H36:H43)</f>
        <v>12000</v>
      </c>
      <c r="I44" s="666">
        <f t="shared" si="11"/>
        <v>8000</v>
      </c>
      <c r="J44" s="666">
        <f t="shared" si="11"/>
        <v>10000</v>
      </c>
      <c r="K44" s="666">
        <f t="shared" si="11"/>
        <v>10000</v>
      </c>
      <c r="L44" s="666">
        <f t="shared" si="11"/>
        <v>10000</v>
      </c>
      <c r="M44" s="666">
        <f t="shared" si="11"/>
        <v>10000</v>
      </c>
      <c r="N44" s="666">
        <f t="shared" si="11"/>
        <v>10000</v>
      </c>
      <c r="O44" s="30"/>
      <c r="P44" s="119"/>
      <c r="Q44" s="30"/>
      <c r="R44" s="30"/>
      <c r="S44" s="30"/>
      <c r="T44" s="30"/>
      <c r="U44" s="30"/>
      <c r="V44" s="30"/>
      <c r="W44" s="30"/>
      <c r="X44" s="30"/>
      <c r="Y44" s="30"/>
      <c r="Z44" s="30"/>
    </row>
    <row r="45" ht="13.5" customHeight="1">
      <c r="A45" s="30"/>
      <c r="B45" s="30"/>
      <c r="C45" s="30"/>
      <c r="D45" s="30"/>
      <c r="E45" s="30"/>
      <c r="F45" s="30"/>
      <c r="G45" s="355">
        <f t="shared" ref="G45:N45" si="12">IFERROR(G44/$G$44,0)</f>
        <v>1</v>
      </c>
      <c r="H45" s="355">
        <f t="shared" si="12"/>
        <v>0.1714285714</v>
      </c>
      <c r="I45" s="355">
        <f t="shared" si="12"/>
        <v>0.1142857143</v>
      </c>
      <c r="J45" s="355">
        <f t="shared" si="12"/>
        <v>0.1428571429</v>
      </c>
      <c r="K45" s="355">
        <f t="shared" si="12"/>
        <v>0.1428571429</v>
      </c>
      <c r="L45" s="355">
        <f t="shared" si="12"/>
        <v>0.1428571429</v>
      </c>
      <c r="M45" s="355">
        <f t="shared" si="12"/>
        <v>0.1428571429</v>
      </c>
      <c r="N45" s="355">
        <f t="shared" si="12"/>
        <v>0.1428571429</v>
      </c>
      <c r="O45" s="30"/>
      <c r="P45" s="119"/>
      <c r="Q45" s="30"/>
      <c r="R45" s="30"/>
      <c r="S45" s="30"/>
      <c r="T45" s="30"/>
      <c r="U45" s="30"/>
      <c r="V45" s="30"/>
      <c r="W45" s="30"/>
      <c r="X45" s="30"/>
      <c r="Y45" s="30"/>
      <c r="Z45" s="30"/>
    </row>
    <row r="46" ht="13.5" customHeight="1">
      <c r="A46" s="30"/>
      <c r="B46" s="30"/>
      <c r="C46" s="30"/>
      <c r="D46" s="30"/>
      <c r="E46" s="30"/>
      <c r="F46" s="30"/>
      <c r="G46" s="30"/>
      <c r="H46" s="30"/>
      <c r="I46" s="30"/>
      <c r="J46" s="30"/>
      <c r="K46" s="30"/>
      <c r="L46" s="30"/>
      <c r="M46" s="30"/>
      <c r="N46" s="30"/>
      <c r="O46" s="30"/>
      <c r="P46" s="119"/>
      <c r="Q46" s="30"/>
      <c r="R46" s="30"/>
      <c r="S46" s="30"/>
      <c r="T46" s="30"/>
      <c r="U46" s="30"/>
      <c r="V46" s="30"/>
      <c r="W46" s="30"/>
      <c r="X46" s="30"/>
      <c r="Y46" s="30"/>
      <c r="Z46" s="30"/>
    </row>
    <row r="47" ht="13.5" customHeight="1">
      <c r="A47" s="30"/>
      <c r="B47" s="30"/>
      <c r="C47" s="30"/>
      <c r="D47" s="30"/>
      <c r="E47" s="30"/>
      <c r="F47" s="30"/>
      <c r="G47" s="30"/>
      <c r="H47" s="30"/>
      <c r="I47" s="30"/>
      <c r="J47" s="30"/>
      <c r="K47" s="30"/>
      <c r="L47" s="30"/>
      <c r="M47" s="30"/>
      <c r="N47" s="30"/>
      <c r="O47" s="30"/>
      <c r="P47" s="119"/>
      <c r="Q47" s="30"/>
      <c r="R47" s="30"/>
      <c r="S47" s="30"/>
      <c r="T47" s="30"/>
      <c r="U47" s="30"/>
      <c r="V47" s="30"/>
      <c r="W47" s="30"/>
      <c r="X47" s="30"/>
      <c r="Y47" s="30"/>
      <c r="Z47" s="30"/>
    </row>
    <row r="48" ht="13.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ht="13.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ht="13.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ht="13.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ht="13.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ht="13.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ht="13.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ht="13.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ht="13.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ht="13.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ht="13.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ht="13.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ht="13.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ht="13.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ht="13.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ht="13.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ht="13.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ht="13.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ht="13.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ht="13.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ht="13.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ht="13.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ht="13.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ht="13.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ht="13.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ht="13.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ht="13.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ht="13.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ht="13.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ht="13.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ht="13.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ht="13.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ht="13.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ht="13.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ht="13.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ht="13.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ht="13.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ht="13.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ht="13.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ht="13.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ht="13.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ht="13.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ht="13.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1:D1"/>
    <mergeCell ref="B34:F34"/>
  </mergeCells>
  <conditionalFormatting sqref="B18:G30">
    <cfRule type="expression" dxfId="2" priority="1" stopIfTrue="1">
      <formula>MOD(ROW(),2)=0</formula>
    </cfRule>
  </conditionalFormatting>
  <conditionalFormatting sqref="G1">
    <cfRule type="expression" dxfId="2" priority="2" stopIfTrue="1">
      <formula>MOD(ROW(),2)=0</formula>
    </cfRule>
  </conditionalFormatting>
  <conditionalFormatting sqref="H15:N16">
    <cfRule type="cellIs" dxfId="3" priority="3" stopIfTrue="1" operator="equal">
      <formula>0</formula>
    </cfRule>
  </conditionalFormatting>
  <conditionalFormatting sqref="H18:N30">
    <cfRule type="cellIs" dxfId="3" priority="4" stopIfTrue="1" operator="equal">
      <formula>0</formula>
    </cfRule>
  </conditionalFormatting>
  <printOptions/>
  <pageMargins bottom="0.45" footer="0.0" header="0.0" left="0.25" right="0.25" top="0.5"/>
  <pageSetup scale="70" orientation="landscape"/>
  <headerFooter>
    <oddHeader>&amp;L &amp;C &amp;R </oddHeader>
    <oddFooter>&amp;L&amp;D  at &amp;T Mike 702.854.0691&amp;C&amp;F  &amp;A&amp;RPage &amp;P of </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6.71"/>
    <col customWidth="1" min="2" max="2" width="47.71"/>
    <col customWidth="1" min="3" max="3" width="10.29"/>
    <col customWidth="1" min="4" max="4" width="14.43"/>
    <col customWidth="1" min="5" max="5" width="20.71"/>
    <col customWidth="1" min="6" max="6" width="13.43"/>
    <col customWidth="1" min="7" max="7" width="12.43"/>
    <col customWidth="1" min="8" max="8" width="12.71"/>
    <col customWidth="1" min="9" max="9" width="12.29"/>
    <col customWidth="1" min="10" max="10" width="14.0"/>
    <col customWidth="1" min="11" max="11" width="14.71"/>
    <col customWidth="1" min="12" max="12" width="3.29"/>
    <col customWidth="1" min="13" max="13" width="61.71"/>
    <col customWidth="1" min="14" max="26" width="8.71"/>
  </cols>
  <sheetData>
    <row r="1" ht="13.5" customHeight="1">
      <c r="A1" s="438" t="s">
        <v>1094</v>
      </c>
      <c r="B1" s="218"/>
      <c r="C1" s="219" t="s">
        <v>3</v>
      </c>
      <c r="D1" s="67" t="s">
        <v>1095</v>
      </c>
      <c r="E1" s="30"/>
      <c r="F1" s="30"/>
      <c r="G1" s="30"/>
      <c r="H1" s="30"/>
      <c r="I1" s="63"/>
      <c r="J1" s="63"/>
      <c r="K1" s="63"/>
      <c r="L1" s="30"/>
      <c r="M1" s="30"/>
      <c r="N1" s="30"/>
      <c r="O1" s="30"/>
      <c r="P1" s="30"/>
      <c r="Q1" s="30"/>
      <c r="R1" s="30"/>
      <c r="S1" s="30"/>
      <c r="T1" s="30"/>
      <c r="U1" s="30"/>
      <c r="V1" s="30"/>
      <c r="W1" s="30"/>
      <c r="X1" s="30"/>
      <c r="Y1" s="30"/>
      <c r="Z1" s="30"/>
    </row>
    <row r="2" ht="13.5" customHeight="1">
      <c r="A2" s="96" t="str">
        <f>SchoolName</f>
        <v>Explore Knowledge Academy</v>
      </c>
      <c r="B2" s="97"/>
      <c r="C2" s="30"/>
      <c r="D2" s="67" t="s">
        <v>1096</v>
      </c>
      <c r="E2" s="30"/>
      <c r="F2" s="30"/>
      <c r="G2" s="30"/>
      <c r="H2" s="30"/>
      <c r="I2" s="208"/>
      <c r="J2" s="208"/>
      <c r="K2" s="1303"/>
      <c r="L2" s="748"/>
      <c r="M2" s="748"/>
      <c r="N2" s="30"/>
      <c r="O2" s="30"/>
      <c r="P2" s="30"/>
      <c r="Q2" s="30"/>
      <c r="R2" s="30"/>
      <c r="S2" s="30"/>
      <c r="T2" s="30"/>
      <c r="U2" s="30"/>
      <c r="V2" s="30"/>
      <c r="W2" s="30"/>
      <c r="X2" s="30"/>
      <c r="Y2" s="30"/>
      <c r="Z2" s="30"/>
    </row>
    <row r="3" ht="13.5" customHeight="1">
      <c r="A3" s="95" t="s">
        <v>134</v>
      </c>
      <c r="B3" s="30"/>
      <c r="C3" s="30"/>
      <c r="D3" s="67" t="s">
        <v>1097</v>
      </c>
      <c r="E3" s="30"/>
      <c r="F3" s="30"/>
      <c r="G3" s="30"/>
      <c r="H3" s="30"/>
      <c r="I3" s="65"/>
      <c r="J3" s="65"/>
      <c r="K3" s="1303"/>
      <c r="L3" s="748"/>
      <c r="M3" s="748"/>
      <c r="N3" s="30"/>
      <c r="O3" s="30"/>
      <c r="P3" s="30"/>
      <c r="Q3" s="30"/>
      <c r="R3" s="30"/>
      <c r="S3" s="30"/>
      <c r="T3" s="30"/>
      <c r="U3" s="30"/>
      <c r="V3" s="30"/>
      <c r="W3" s="30"/>
      <c r="X3" s="30"/>
      <c r="Y3" s="30"/>
      <c r="Z3" s="30"/>
    </row>
    <row r="4" ht="13.5" customHeight="1">
      <c r="A4" s="222" t="s">
        <v>135</v>
      </c>
      <c r="B4" s="30"/>
      <c r="C4" s="30"/>
      <c r="D4" s="67" t="s">
        <v>1098</v>
      </c>
      <c r="E4" s="30"/>
      <c r="F4" s="30"/>
      <c r="G4" s="30"/>
      <c r="H4" s="30"/>
      <c r="I4" s="63"/>
      <c r="J4" s="63"/>
      <c r="K4" s="63"/>
      <c r="L4" s="30"/>
      <c r="M4" s="30"/>
      <c r="N4" s="30"/>
      <c r="O4" s="30"/>
      <c r="P4" s="30"/>
      <c r="Q4" s="30"/>
      <c r="R4" s="30"/>
      <c r="S4" s="30"/>
      <c r="T4" s="30"/>
      <c r="U4" s="30"/>
      <c r="V4" s="30"/>
      <c r="W4" s="30"/>
      <c r="X4" s="30"/>
      <c r="Y4" s="30"/>
      <c r="Z4" s="30"/>
    </row>
    <row r="5" ht="13.5" customHeight="1">
      <c r="A5" s="98" t="str">
        <f>CELL("filename")</f>
        <v>#N/A</v>
      </c>
      <c r="B5" s="30"/>
      <c r="C5" s="30"/>
      <c r="D5" s="30"/>
      <c r="E5" s="30"/>
      <c r="F5" s="30"/>
      <c r="G5" s="30"/>
      <c r="H5" s="30"/>
      <c r="I5" s="208"/>
      <c r="J5" s="208"/>
      <c r="K5" s="1303"/>
      <c r="L5" s="748"/>
      <c r="M5" s="748"/>
      <c r="N5" s="30"/>
      <c r="O5" s="30"/>
      <c r="P5" s="30"/>
      <c r="Q5" s="30"/>
      <c r="R5" s="30"/>
      <c r="S5" s="30"/>
      <c r="T5" s="30"/>
      <c r="U5" s="30"/>
      <c r="V5" s="30"/>
      <c r="W5" s="30"/>
      <c r="X5" s="30"/>
      <c r="Y5" s="30"/>
      <c r="Z5" s="30"/>
    </row>
    <row r="6" ht="13.5" customHeight="1">
      <c r="A6" s="65"/>
      <c r="B6" s="63" t="s">
        <v>1099</v>
      </c>
      <c r="C6" s="63"/>
      <c r="D6" s="30"/>
      <c r="E6" s="30"/>
      <c r="F6" s="30"/>
      <c r="G6" s="30"/>
      <c r="H6" s="30"/>
      <c r="I6" s="30"/>
      <c r="J6" s="30"/>
      <c r="K6" s="30"/>
      <c r="L6" s="30"/>
      <c r="M6" s="30"/>
      <c r="N6" s="30"/>
      <c r="O6" s="30"/>
      <c r="P6" s="30"/>
      <c r="Q6" s="30"/>
      <c r="R6" s="30"/>
      <c r="S6" s="30"/>
      <c r="T6" s="30"/>
      <c r="U6" s="30"/>
      <c r="V6" s="30"/>
      <c r="W6" s="30"/>
      <c r="X6" s="30"/>
      <c r="Y6" s="30"/>
      <c r="Z6" s="30"/>
    </row>
    <row r="7" ht="13.5" customHeight="1">
      <c r="A7" s="65"/>
      <c r="B7" s="63" t="s">
        <v>1100</v>
      </c>
      <c r="C7" s="543"/>
      <c r="D7" s="30"/>
      <c r="E7" s="543" t="s">
        <v>1101</v>
      </c>
      <c r="F7" s="1304"/>
      <c r="G7" s="30"/>
      <c r="H7" s="30"/>
      <c r="I7" s="30"/>
      <c r="J7" s="30"/>
      <c r="K7" s="30"/>
      <c r="L7" s="30"/>
      <c r="M7" s="30"/>
      <c r="N7" s="30"/>
      <c r="O7" s="30"/>
      <c r="P7" s="30"/>
      <c r="Q7" s="30"/>
      <c r="R7" s="30"/>
      <c r="S7" s="30"/>
      <c r="T7" s="30"/>
      <c r="U7" s="30"/>
      <c r="V7" s="30"/>
      <c r="W7" s="30"/>
      <c r="X7" s="30"/>
      <c r="Y7" s="30"/>
      <c r="Z7" s="30"/>
    </row>
    <row r="8" ht="13.5" customHeight="1">
      <c r="A8" s="65"/>
      <c r="B8" s="63" t="s">
        <v>1102</v>
      </c>
      <c r="C8" s="99"/>
      <c r="D8" s="30"/>
      <c r="E8" s="99" t="s">
        <v>449</v>
      </c>
      <c r="F8" s="99"/>
      <c r="G8" s="30"/>
      <c r="H8" s="30"/>
      <c r="I8" s="30"/>
      <c r="J8" s="30"/>
      <c r="K8" s="30"/>
      <c r="L8" s="30"/>
      <c r="M8" s="30"/>
      <c r="N8" s="30"/>
      <c r="O8" s="30"/>
      <c r="P8" s="30"/>
      <c r="Q8" s="30"/>
      <c r="R8" s="30"/>
      <c r="S8" s="30"/>
      <c r="T8" s="30"/>
      <c r="U8" s="30"/>
      <c r="V8" s="30"/>
      <c r="W8" s="30"/>
      <c r="X8" s="30"/>
      <c r="Y8" s="30"/>
      <c r="Z8" s="30"/>
    </row>
    <row r="9" ht="13.5" customHeight="1">
      <c r="A9" s="111"/>
      <c r="B9" s="63"/>
      <c r="C9" s="30"/>
      <c r="D9" s="99"/>
      <c r="E9" s="545">
        <v>0.0</v>
      </c>
      <c r="F9" s="1305" t="s">
        <v>637</v>
      </c>
      <c r="G9" s="1305" t="s">
        <v>638</v>
      </c>
      <c r="H9" s="1305" t="s">
        <v>639</v>
      </c>
      <c r="I9" s="1305" t="s">
        <v>640</v>
      </c>
      <c r="J9" s="1305" t="s">
        <v>641</v>
      </c>
      <c r="K9" s="1306" t="s">
        <v>642</v>
      </c>
      <c r="L9" s="30"/>
      <c r="M9" s="30"/>
      <c r="N9" s="30"/>
      <c r="O9" s="30"/>
      <c r="P9" s="30"/>
      <c r="Q9" s="30"/>
      <c r="R9" s="30"/>
      <c r="S9" s="30"/>
      <c r="T9" s="30"/>
      <c r="U9" s="30"/>
      <c r="V9" s="30"/>
      <c r="W9" s="30"/>
      <c r="X9" s="30"/>
      <c r="Y9" s="30"/>
      <c r="Z9" s="30"/>
    </row>
    <row r="10" ht="13.5" customHeight="1">
      <c r="A10" s="111"/>
      <c r="B10" s="63"/>
      <c r="C10" s="30"/>
      <c r="D10" s="555"/>
      <c r="E10" s="1307">
        <f t="shared" ref="E10:E11" si="2">+F10-1</f>
        <v>2024</v>
      </c>
      <c r="F10" s="1308">
        <f>' Enrol &amp; Rev'!G10</f>
        <v>2025</v>
      </c>
      <c r="G10" s="1308">
        <f t="shared" ref="G10:K10" si="1">+F11</f>
        <v>2026</v>
      </c>
      <c r="H10" s="1308">
        <f t="shared" si="1"/>
        <v>2027</v>
      </c>
      <c r="I10" s="1308">
        <f t="shared" si="1"/>
        <v>2028</v>
      </c>
      <c r="J10" s="1308">
        <f t="shared" si="1"/>
        <v>2029</v>
      </c>
      <c r="K10" s="1309">
        <f t="shared" si="1"/>
        <v>2030</v>
      </c>
      <c r="L10" s="30"/>
      <c r="M10" s="30"/>
      <c r="N10" s="30"/>
      <c r="O10" s="30"/>
      <c r="P10" s="30"/>
      <c r="Q10" s="30"/>
      <c r="R10" s="30"/>
      <c r="S10" s="30"/>
      <c r="T10" s="30"/>
      <c r="U10" s="30"/>
      <c r="V10" s="30"/>
      <c r="W10" s="30"/>
      <c r="X10" s="30"/>
      <c r="Y10" s="30"/>
      <c r="Z10" s="30"/>
    </row>
    <row r="11" ht="13.5" customHeight="1">
      <c r="A11" s="111"/>
      <c r="B11" s="63"/>
      <c r="C11" s="30"/>
      <c r="D11" s="447" t="s">
        <v>160</v>
      </c>
      <c r="E11" s="1310">
        <f t="shared" si="2"/>
        <v>2025</v>
      </c>
      <c r="F11" s="1311">
        <f t="shared" ref="F11:K11" si="3">+F10+1</f>
        <v>2026</v>
      </c>
      <c r="G11" s="1311">
        <f t="shared" si="3"/>
        <v>2027</v>
      </c>
      <c r="H11" s="1311">
        <f t="shared" si="3"/>
        <v>2028</v>
      </c>
      <c r="I11" s="1311">
        <f t="shared" si="3"/>
        <v>2029</v>
      </c>
      <c r="J11" s="1311">
        <f t="shared" si="3"/>
        <v>2030</v>
      </c>
      <c r="K11" s="1312">
        <f t="shared" si="3"/>
        <v>2031</v>
      </c>
      <c r="L11" s="30"/>
      <c r="M11" s="36" t="s">
        <v>85</v>
      </c>
      <c r="N11" s="30"/>
      <c r="O11" s="30"/>
      <c r="P11" s="30"/>
      <c r="Q11" s="30"/>
      <c r="R11" s="30"/>
      <c r="S11" s="30"/>
      <c r="T11" s="30"/>
      <c r="U11" s="30"/>
      <c r="V11" s="30"/>
      <c r="W11" s="30"/>
      <c r="X11" s="30"/>
      <c r="Y11" s="30"/>
      <c r="Z11" s="30"/>
    </row>
    <row r="12" ht="13.5" customHeight="1">
      <c r="A12" s="111">
        <f t="shared" ref="A12:A86" si="4">ROW()</f>
        <v>12</v>
      </c>
      <c r="B12" s="1313" t="s">
        <v>565</v>
      </c>
      <c r="C12" s="1314"/>
      <c r="D12" s="1315"/>
      <c r="E12" s="1059"/>
      <c r="F12" s="1316">
        <f>'Mkt Res'!E27</f>
        <v>632</v>
      </c>
      <c r="G12" s="1316">
        <f>'Mkt Res'!F27</f>
        <v>645</v>
      </c>
      <c r="H12" s="1316">
        <f>'Mkt Res'!G27</f>
        <v>667</v>
      </c>
      <c r="I12" s="1316">
        <f>'Mkt Res'!H27</f>
        <v>673</v>
      </c>
      <c r="J12" s="1316">
        <f>'Mkt Res'!I27</f>
        <v>676</v>
      </c>
      <c r="K12" s="1316">
        <f>'Mkt Res'!J27</f>
        <v>685</v>
      </c>
      <c r="L12" s="30"/>
      <c r="M12" s="116"/>
      <c r="N12" s="30"/>
      <c r="O12" s="30"/>
      <c r="P12" s="30"/>
      <c r="Q12" s="30"/>
      <c r="R12" s="30"/>
      <c r="S12" s="30"/>
      <c r="T12" s="30"/>
      <c r="U12" s="30"/>
      <c r="V12" s="30"/>
      <c r="W12" s="30"/>
      <c r="X12" s="30"/>
      <c r="Y12" s="30"/>
      <c r="Z12" s="30"/>
    </row>
    <row r="13" ht="13.5" customHeight="1">
      <c r="A13" s="701">
        <f t="shared" si="4"/>
        <v>13</v>
      </c>
      <c r="B13" s="563" t="s">
        <v>664</v>
      </c>
      <c r="C13" s="1317"/>
      <c r="D13" s="1318">
        <f t="shared" ref="D13:D14" si="5">SUM(E13:K13)</f>
        <v>42604785.75</v>
      </c>
      <c r="E13" s="1319"/>
      <c r="F13" s="1320">
        <f>+' Enrol &amp; Rev'!G145</f>
        <v>6792118.003</v>
      </c>
      <c r="G13" s="1320">
        <f>+' Enrol &amp; Rev'!H145</f>
        <v>6917370.748</v>
      </c>
      <c r="H13" s="1320">
        <f>+' Enrol &amp; Rev'!I145</f>
        <v>7139336.931</v>
      </c>
      <c r="I13" s="1320">
        <f>+' Enrol &amp; Rev'!J145</f>
        <v>7197145.89</v>
      </c>
      <c r="J13" s="1320">
        <f>+' Enrol &amp; Rev'!K145</f>
        <v>7236050.369</v>
      </c>
      <c r="K13" s="1320">
        <f>+' Enrol &amp; Rev'!L145</f>
        <v>7322763.808</v>
      </c>
      <c r="L13" s="30"/>
      <c r="M13" s="119"/>
      <c r="N13" s="30"/>
      <c r="O13" s="30"/>
      <c r="P13" s="30"/>
      <c r="Q13" s="30"/>
      <c r="R13" s="30"/>
      <c r="S13" s="30"/>
      <c r="T13" s="30"/>
      <c r="U13" s="30"/>
      <c r="V13" s="30"/>
      <c r="W13" s="30"/>
      <c r="X13" s="30"/>
      <c r="Y13" s="30"/>
      <c r="Z13" s="30"/>
    </row>
    <row r="14" ht="13.5" customHeight="1">
      <c r="A14" s="701">
        <f t="shared" si="4"/>
        <v>14</v>
      </c>
      <c r="B14" s="50" t="s">
        <v>1103</v>
      </c>
      <c r="C14" s="1321"/>
      <c r="D14" s="1322">
        <f t="shared" si="5"/>
        <v>47167164.47</v>
      </c>
      <c r="E14" s="1323">
        <f>SUM(Summary!F48:F51,Summary!F44:F46)</f>
        <v>6405632.869</v>
      </c>
      <c r="F14" s="1324">
        <f>SUM(Summary!G48:G51,Summary!G44:G46)</f>
        <v>6553089.072</v>
      </c>
      <c r="G14" s="1324">
        <f>SUM(Summary!H48:H51,Summary!H44:H46)</f>
        <v>6674241.346</v>
      </c>
      <c r="H14" s="1324">
        <f>SUM(Summary!I48:I51,Summary!I44:I46)</f>
        <v>6707725.247</v>
      </c>
      <c r="I14" s="1324">
        <f>SUM(Summary!J48:J51,Summary!J44:J46)</f>
        <v>6818265.67</v>
      </c>
      <c r="J14" s="1324">
        <f>SUM(Summary!K48:K51,Summary!K44:K46)</f>
        <v>6940692.121</v>
      </c>
      <c r="K14" s="1324">
        <f>SUM(Summary!L48:L51,Summary!L44:L46)</f>
        <v>7067518.146</v>
      </c>
      <c r="L14" s="30"/>
      <c r="M14" s="119"/>
      <c r="N14" s="30"/>
      <c r="O14" s="30"/>
      <c r="P14" s="30"/>
      <c r="Q14" s="30"/>
      <c r="R14" s="30"/>
      <c r="S14" s="30"/>
      <c r="T14" s="30"/>
      <c r="U14" s="30"/>
      <c r="V14" s="30"/>
      <c r="W14" s="30"/>
      <c r="X14" s="30"/>
      <c r="Y14" s="30"/>
      <c r="Z14" s="30"/>
    </row>
    <row r="15" ht="13.5" customHeight="1">
      <c r="A15" s="701">
        <f t="shared" si="4"/>
        <v>15</v>
      </c>
      <c r="B15" s="1325" t="s">
        <v>1104</v>
      </c>
      <c r="C15" s="1321"/>
      <c r="D15" s="1326" t="s">
        <v>1105</v>
      </c>
      <c r="E15" s="1323"/>
      <c r="F15" s="1324"/>
      <c r="G15" s="1324"/>
      <c r="H15" s="1324"/>
      <c r="I15" s="1324"/>
      <c r="J15" s="1324"/>
      <c r="K15" s="1324"/>
      <c r="L15" s="30"/>
      <c r="M15" s="119"/>
      <c r="N15" s="30"/>
      <c r="O15" s="30"/>
      <c r="P15" s="30"/>
      <c r="Q15" s="30"/>
      <c r="R15" s="30"/>
      <c r="S15" s="30"/>
      <c r="T15" s="30"/>
      <c r="U15" s="30"/>
      <c r="V15" s="30"/>
      <c r="W15" s="30"/>
      <c r="X15" s="30"/>
      <c r="Y15" s="30"/>
      <c r="Z15" s="30"/>
    </row>
    <row r="16" ht="13.5" customHeight="1">
      <c r="A16" s="701">
        <f t="shared" si="4"/>
        <v>16</v>
      </c>
      <c r="B16" s="1325" t="s">
        <v>1106</v>
      </c>
      <c r="C16" s="50"/>
      <c r="D16" s="1327"/>
      <c r="E16" s="1327"/>
      <c r="F16" s="1095"/>
      <c r="G16" s="1328"/>
      <c r="H16" s="1328"/>
      <c r="I16" s="1328"/>
      <c r="J16" s="1328"/>
      <c r="K16" s="1328"/>
      <c r="L16" s="30"/>
      <c r="M16" s="119"/>
      <c r="N16" s="30"/>
      <c r="O16" s="30"/>
      <c r="P16" s="30"/>
      <c r="Q16" s="30"/>
      <c r="R16" s="30"/>
      <c r="S16" s="30"/>
      <c r="T16" s="30"/>
      <c r="U16" s="30"/>
      <c r="V16" s="30"/>
      <c r="W16" s="30"/>
      <c r="X16" s="30"/>
      <c r="Y16" s="30"/>
      <c r="Z16" s="30"/>
    </row>
    <row r="17" ht="13.5" customHeight="1">
      <c r="A17" s="701">
        <f t="shared" si="4"/>
        <v>17</v>
      </c>
      <c r="B17" s="1329" t="s">
        <v>1107</v>
      </c>
      <c r="C17" s="30"/>
      <c r="D17" s="1330">
        <v>0.0</v>
      </c>
      <c r="E17" s="1331"/>
      <c r="F17" s="133"/>
      <c r="G17" s="1332"/>
      <c r="H17" s="1332"/>
      <c r="I17" s="1332"/>
      <c r="J17" s="1332"/>
      <c r="K17" s="1332"/>
      <c r="L17" s="30"/>
      <c r="M17" s="119"/>
      <c r="N17" s="30"/>
      <c r="O17" s="30"/>
      <c r="P17" s="30"/>
      <c r="Q17" s="30"/>
      <c r="R17" s="30"/>
      <c r="S17" s="30"/>
      <c r="T17" s="30"/>
      <c r="U17" s="30"/>
      <c r="V17" s="30"/>
      <c r="W17" s="30"/>
      <c r="X17" s="30"/>
      <c r="Y17" s="30"/>
      <c r="Z17" s="30"/>
    </row>
    <row r="18" ht="13.5" customHeight="1">
      <c r="A18" s="701">
        <f t="shared" si="4"/>
        <v>18</v>
      </c>
      <c r="B18" s="1329" t="s">
        <v>1108</v>
      </c>
      <c r="C18" s="30"/>
      <c r="D18" s="1330">
        <v>0.0</v>
      </c>
      <c r="E18" s="1331"/>
      <c r="F18" s="133"/>
      <c r="G18" s="1332"/>
      <c r="H18" s="1332"/>
      <c r="I18" s="1332"/>
      <c r="J18" s="1332"/>
      <c r="K18" s="1332"/>
      <c r="L18" s="30"/>
      <c r="M18" s="119"/>
      <c r="N18" s="30"/>
      <c r="O18" s="30"/>
      <c r="P18" s="30"/>
      <c r="Q18" s="30"/>
      <c r="R18" s="30"/>
      <c r="S18" s="30"/>
      <c r="T18" s="30"/>
      <c r="U18" s="30"/>
      <c r="V18" s="30"/>
      <c r="W18" s="30"/>
      <c r="X18" s="30"/>
      <c r="Y18" s="30"/>
      <c r="Z18" s="30"/>
    </row>
    <row r="19" ht="13.5" customHeight="1">
      <c r="A19" s="701">
        <f t="shared" si="4"/>
        <v>19</v>
      </c>
      <c r="B19" s="1329" t="s">
        <v>1109</v>
      </c>
      <c r="C19" s="30"/>
      <c r="D19" s="1330">
        <v>0.0</v>
      </c>
      <c r="E19" s="1333" t="s">
        <v>1110</v>
      </c>
      <c r="F19" s="133"/>
      <c r="G19" s="1332"/>
      <c r="H19" s="1332"/>
      <c r="I19" s="1332"/>
      <c r="J19" s="1332"/>
      <c r="K19" s="1332"/>
      <c r="L19" s="30"/>
      <c r="M19" s="119"/>
      <c r="N19" s="30"/>
      <c r="O19" s="30"/>
      <c r="P19" s="30"/>
      <c r="Q19" s="30"/>
      <c r="R19" s="30"/>
      <c r="S19" s="30"/>
      <c r="T19" s="30"/>
      <c r="U19" s="30"/>
      <c r="V19" s="30"/>
      <c r="W19" s="30"/>
      <c r="X19" s="30"/>
      <c r="Y19" s="30"/>
      <c r="Z19" s="30"/>
    </row>
    <row r="20" ht="13.5" customHeight="1">
      <c r="A20" s="701">
        <f t="shared" si="4"/>
        <v>20</v>
      </c>
      <c r="B20" s="1329" t="s">
        <v>1111</v>
      </c>
      <c r="C20" s="30"/>
      <c r="D20" s="1330">
        <v>0.0</v>
      </c>
      <c r="E20" s="1331"/>
      <c r="F20" s="133"/>
      <c r="G20" s="1332"/>
      <c r="H20" s="1332"/>
      <c r="I20" s="1332"/>
      <c r="J20" s="1332"/>
      <c r="K20" s="1332"/>
      <c r="L20" s="30"/>
      <c r="M20" s="119"/>
      <c r="N20" s="30"/>
      <c r="O20" s="30"/>
      <c r="P20" s="30"/>
      <c r="Q20" s="30"/>
      <c r="R20" s="30"/>
      <c r="S20" s="30"/>
      <c r="T20" s="30"/>
      <c r="U20" s="30"/>
      <c r="V20" s="30"/>
      <c r="W20" s="30"/>
      <c r="X20" s="30"/>
      <c r="Y20" s="30"/>
      <c r="Z20" s="30"/>
    </row>
    <row r="21" ht="13.5" customHeight="1">
      <c r="A21" s="701">
        <f t="shared" si="4"/>
        <v>21</v>
      </c>
      <c r="B21" s="1329" t="s">
        <v>1112</v>
      </c>
      <c r="C21" s="30"/>
      <c r="D21" s="1330">
        <v>0.0</v>
      </c>
      <c r="E21" s="1331"/>
      <c r="F21" s="133"/>
      <c r="G21" s="1332"/>
      <c r="H21" s="1332"/>
      <c r="I21" s="1332"/>
      <c r="J21" s="1332"/>
      <c r="K21" s="1332"/>
      <c r="L21" s="30"/>
      <c r="M21" s="119"/>
      <c r="N21" s="30"/>
      <c r="O21" s="30"/>
      <c r="P21" s="30"/>
      <c r="Q21" s="30"/>
      <c r="R21" s="30"/>
      <c r="S21" s="30"/>
      <c r="T21" s="30"/>
      <c r="U21" s="30"/>
      <c r="V21" s="30"/>
      <c r="W21" s="30"/>
      <c r="X21" s="30"/>
      <c r="Y21" s="30"/>
      <c r="Z21" s="30"/>
    </row>
    <row r="22" ht="13.5" customHeight="1">
      <c r="A22" s="701">
        <f t="shared" si="4"/>
        <v>22</v>
      </c>
      <c r="B22" s="1329" t="s">
        <v>1112</v>
      </c>
      <c r="C22" s="30"/>
      <c r="D22" s="1330">
        <v>0.0</v>
      </c>
      <c r="E22" s="1331"/>
      <c r="F22" s="133"/>
      <c r="G22" s="1332"/>
      <c r="H22" s="1332"/>
      <c r="I22" s="1332"/>
      <c r="J22" s="1332"/>
      <c r="K22" s="1332"/>
      <c r="L22" s="30"/>
      <c r="M22" s="119"/>
      <c r="N22" s="30"/>
      <c r="O22" s="30"/>
      <c r="P22" s="30"/>
      <c r="Q22" s="30"/>
      <c r="R22" s="30"/>
      <c r="S22" s="30"/>
      <c r="T22" s="30"/>
      <c r="U22" s="30"/>
      <c r="V22" s="30"/>
      <c r="W22" s="30"/>
      <c r="X22" s="30"/>
      <c r="Y22" s="30"/>
      <c r="Z22" s="30"/>
    </row>
    <row r="23" ht="13.5" customHeight="1">
      <c r="A23" s="701">
        <f t="shared" si="4"/>
        <v>23</v>
      </c>
      <c r="B23" s="1329"/>
      <c r="C23" s="30"/>
      <c r="D23" s="462"/>
      <c r="E23" s="1331"/>
      <c r="F23" s="133"/>
      <c r="G23" s="1332"/>
      <c r="H23" s="1332"/>
      <c r="I23" s="1332"/>
      <c r="J23" s="1332"/>
      <c r="K23" s="1332"/>
      <c r="L23" s="30"/>
      <c r="M23" s="119"/>
      <c r="N23" s="30"/>
      <c r="O23" s="30"/>
      <c r="P23" s="30"/>
      <c r="Q23" s="30"/>
      <c r="R23" s="30"/>
      <c r="S23" s="30"/>
      <c r="T23" s="30"/>
      <c r="U23" s="30"/>
      <c r="V23" s="30"/>
      <c r="W23" s="30"/>
      <c r="X23" s="30"/>
      <c r="Y23" s="30"/>
      <c r="Z23" s="30"/>
    </row>
    <row r="24" ht="13.5" customHeight="1">
      <c r="A24" s="701">
        <f t="shared" si="4"/>
        <v>24</v>
      </c>
      <c r="B24" s="531" t="s">
        <v>1113</v>
      </c>
      <c r="C24" s="1334"/>
      <c r="D24" s="1335"/>
      <c r="E24" s="1336"/>
      <c r="F24" s="1336"/>
      <c r="G24" s="1336"/>
      <c r="H24" s="1336"/>
      <c r="I24" s="1336"/>
      <c r="J24" s="1336"/>
      <c r="K24" s="1336"/>
      <c r="L24" s="30"/>
      <c r="M24" s="119"/>
      <c r="N24" s="30"/>
      <c r="O24" s="30"/>
      <c r="P24" s="30"/>
      <c r="Q24" s="30"/>
      <c r="R24" s="30"/>
      <c r="S24" s="30"/>
      <c r="T24" s="30"/>
      <c r="U24" s="30"/>
      <c r="V24" s="30"/>
      <c r="W24" s="30"/>
      <c r="X24" s="30"/>
      <c r="Y24" s="30"/>
      <c r="Z24" s="30"/>
    </row>
    <row r="25" ht="13.5" customHeight="1">
      <c r="A25" s="701">
        <f t="shared" si="4"/>
        <v>25</v>
      </c>
      <c r="B25" s="1337"/>
      <c r="C25" s="1211">
        <v>0.0</v>
      </c>
      <c r="D25" s="1338">
        <f t="shared" ref="D25:D26" si="6">SUM(E25:K25)</f>
        <v>0</v>
      </c>
      <c r="E25" s="1339">
        <v>0.0</v>
      </c>
      <c r="F25" s="1339">
        <v>0.0</v>
      </c>
      <c r="G25" s="1339">
        <v>0.0</v>
      </c>
      <c r="H25" s="1339">
        <v>0.0</v>
      </c>
      <c r="I25" s="1339">
        <v>0.0</v>
      </c>
      <c r="J25" s="1339">
        <v>0.0</v>
      </c>
      <c r="K25" s="1339">
        <v>0.0</v>
      </c>
      <c r="L25" s="30"/>
      <c r="M25" s="119"/>
      <c r="N25" s="30"/>
      <c r="O25" s="30"/>
      <c r="P25" s="30"/>
      <c r="Q25" s="30"/>
      <c r="R25" s="30"/>
      <c r="S25" s="30"/>
      <c r="T25" s="30"/>
      <c r="U25" s="30"/>
      <c r="V25" s="30"/>
      <c r="W25" s="30"/>
      <c r="X25" s="30"/>
      <c r="Y25" s="30"/>
      <c r="Z25" s="30"/>
    </row>
    <row r="26" ht="13.5" customHeight="1">
      <c r="A26" s="701">
        <f t="shared" si="4"/>
        <v>26</v>
      </c>
      <c r="B26" s="900"/>
      <c r="C26" s="1340">
        <v>0.0</v>
      </c>
      <c r="D26" s="1341">
        <f t="shared" si="6"/>
        <v>0</v>
      </c>
      <c r="E26" s="706">
        <v>0.0</v>
      </c>
      <c r="F26" s="706">
        <v>0.0</v>
      </c>
      <c r="G26" s="706">
        <v>0.0</v>
      </c>
      <c r="H26" s="706">
        <v>0.0</v>
      </c>
      <c r="I26" s="706">
        <v>0.0</v>
      </c>
      <c r="J26" s="706">
        <v>0.0</v>
      </c>
      <c r="K26" s="706">
        <v>0.0</v>
      </c>
      <c r="L26" s="30"/>
      <c r="M26" s="119"/>
      <c r="N26" s="30"/>
      <c r="O26" s="30"/>
      <c r="P26" s="30"/>
      <c r="Q26" s="30"/>
      <c r="R26" s="30"/>
      <c r="S26" s="30"/>
      <c r="T26" s="30"/>
      <c r="U26" s="30"/>
      <c r="V26" s="30"/>
      <c r="W26" s="30"/>
      <c r="X26" s="30"/>
      <c r="Y26" s="30"/>
      <c r="Z26" s="30"/>
    </row>
    <row r="27" ht="13.5" customHeight="1">
      <c r="A27" s="701">
        <f t="shared" si="4"/>
        <v>27</v>
      </c>
      <c r="B27" s="78"/>
      <c r="C27" s="1340"/>
      <c r="D27" s="1341"/>
      <c r="E27" s="706">
        <v>0.0</v>
      </c>
      <c r="F27" s="706">
        <v>0.0</v>
      </c>
      <c r="G27" s="706">
        <v>0.0</v>
      </c>
      <c r="H27" s="706">
        <v>0.0</v>
      </c>
      <c r="I27" s="706">
        <v>0.0</v>
      </c>
      <c r="J27" s="706">
        <v>0.0</v>
      </c>
      <c r="K27" s="706">
        <v>0.0</v>
      </c>
      <c r="L27" s="30"/>
      <c r="M27" s="119"/>
      <c r="N27" s="30"/>
      <c r="O27" s="30"/>
      <c r="P27" s="30"/>
      <c r="Q27" s="30"/>
      <c r="R27" s="30"/>
      <c r="S27" s="30"/>
      <c r="T27" s="30"/>
      <c r="U27" s="30"/>
      <c r="V27" s="30"/>
      <c r="W27" s="30"/>
      <c r="X27" s="30"/>
      <c r="Y27" s="30"/>
      <c r="Z27" s="30"/>
    </row>
    <row r="28" ht="13.5" customHeight="1">
      <c r="A28" s="701">
        <f t="shared" si="4"/>
        <v>28</v>
      </c>
      <c r="B28" s="900"/>
      <c r="C28" s="1342">
        <v>0.0</v>
      </c>
      <c r="D28" s="1341">
        <f t="shared" ref="D28:D29" si="7">SUM(E28:K28)</f>
        <v>0</v>
      </c>
      <c r="E28" s="706">
        <v>0.0</v>
      </c>
      <c r="F28" s="706">
        <v>0.0</v>
      </c>
      <c r="G28" s="706">
        <v>0.0</v>
      </c>
      <c r="H28" s="706">
        <v>0.0</v>
      </c>
      <c r="I28" s="706">
        <v>0.0</v>
      </c>
      <c r="J28" s="706">
        <v>0.0</v>
      </c>
      <c r="K28" s="706">
        <v>0.0</v>
      </c>
      <c r="L28" s="30"/>
      <c r="M28" s="119"/>
      <c r="N28" s="30"/>
      <c r="O28" s="30"/>
      <c r="P28" s="30"/>
      <c r="Q28" s="30"/>
      <c r="R28" s="30"/>
      <c r="S28" s="30"/>
      <c r="T28" s="30"/>
      <c r="U28" s="30"/>
      <c r="V28" s="30"/>
      <c r="W28" s="30"/>
      <c r="X28" s="30"/>
      <c r="Y28" s="30"/>
      <c r="Z28" s="30"/>
    </row>
    <row r="29" ht="13.5" customHeight="1">
      <c r="A29" s="701">
        <f t="shared" si="4"/>
        <v>29</v>
      </c>
      <c r="B29" s="900"/>
      <c r="C29" s="1342">
        <v>0.0</v>
      </c>
      <c r="D29" s="1341">
        <f t="shared" si="7"/>
        <v>0</v>
      </c>
      <c r="E29" s="706">
        <v>0.0</v>
      </c>
      <c r="F29" s="706">
        <v>0.0</v>
      </c>
      <c r="G29" s="706">
        <v>0.0</v>
      </c>
      <c r="H29" s="706">
        <v>0.0</v>
      </c>
      <c r="I29" s="706">
        <v>0.0</v>
      </c>
      <c r="J29" s="706">
        <v>0.0</v>
      </c>
      <c r="K29" s="706">
        <v>0.0</v>
      </c>
      <c r="L29" s="30"/>
      <c r="M29" s="119"/>
      <c r="N29" s="30"/>
      <c r="O29" s="30"/>
      <c r="P29" s="30"/>
      <c r="Q29" s="30"/>
      <c r="R29" s="30"/>
      <c r="S29" s="30"/>
      <c r="T29" s="30"/>
      <c r="U29" s="30"/>
      <c r="V29" s="30"/>
      <c r="W29" s="30"/>
      <c r="X29" s="30"/>
      <c r="Y29" s="30"/>
      <c r="Z29" s="30"/>
    </row>
    <row r="30" ht="13.5" customHeight="1">
      <c r="A30" s="701">
        <f t="shared" si="4"/>
        <v>30</v>
      </c>
      <c r="B30" s="78" t="s">
        <v>1114</v>
      </c>
      <c r="C30" s="1340"/>
      <c r="D30" s="1341"/>
      <c r="E30" s="706">
        <v>0.0</v>
      </c>
      <c r="F30" s="706">
        <v>0.0</v>
      </c>
      <c r="G30" s="706">
        <v>0.0</v>
      </c>
      <c r="H30" s="706">
        <v>0.0</v>
      </c>
      <c r="I30" s="706">
        <v>0.0</v>
      </c>
      <c r="J30" s="706">
        <v>0.0</v>
      </c>
      <c r="K30" s="706">
        <v>0.0</v>
      </c>
      <c r="L30" s="30"/>
      <c r="M30" s="119"/>
      <c r="N30" s="30"/>
      <c r="O30" s="30"/>
      <c r="P30" s="30"/>
      <c r="Q30" s="30"/>
      <c r="R30" s="30"/>
      <c r="S30" s="30"/>
      <c r="T30" s="30"/>
      <c r="U30" s="30"/>
      <c r="V30" s="30"/>
      <c r="W30" s="30"/>
      <c r="X30" s="30"/>
      <c r="Y30" s="30"/>
      <c r="Z30" s="30"/>
    </row>
    <row r="31" ht="13.5" customHeight="1">
      <c r="A31" s="701">
        <f t="shared" si="4"/>
        <v>31</v>
      </c>
      <c r="B31" s="900" t="s">
        <v>1115</v>
      </c>
      <c r="C31" s="1342">
        <v>0.0</v>
      </c>
      <c r="D31" s="1341">
        <f t="shared" ref="D31:D32" si="8">SUM(E31:K31)</f>
        <v>0</v>
      </c>
      <c r="E31" s="706">
        <v>0.0</v>
      </c>
      <c r="F31" s="706">
        <v>0.0</v>
      </c>
      <c r="G31" s="706">
        <v>0.0</v>
      </c>
      <c r="H31" s="706">
        <v>0.0</v>
      </c>
      <c r="I31" s="706">
        <v>0.0</v>
      </c>
      <c r="J31" s="706">
        <v>0.0</v>
      </c>
      <c r="K31" s="706">
        <v>0.0</v>
      </c>
      <c r="L31" s="30"/>
      <c r="M31" s="119"/>
      <c r="N31" s="30"/>
      <c r="O31" s="30"/>
      <c r="P31" s="30"/>
      <c r="Q31" s="30"/>
      <c r="R31" s="30"/>
      <c r="S31" s="30"/>
      <c r="T31" s="30"/>
      <c r="U31" s="30"/>
      <c r="V31" s="30"/>
      <c r="W31" s="30"/>
      <c r="X31" s="30"/>
      <c r="Y31" s="30"/>
      <c r="Z31" s="30"/>
    </row>
    <row r="32" ht="13.5" customHeight="1">
      <c r="A32" s="701">
        <f t="shared" si="4"/>
        <v>32</v>
      </c>
      <c r="B32" s="900" t="s">
        <v>1116</v>
      </c>
      <c r="C32" s="1342">
        <v>0.0</v>
      </c>
      <c r="D32" s="1341">
        <f t="shared" si="8"/>
        <v>0</v>
      </c>
      <c r="E32" s="706">
        <v>0.0</v>
      </c>
      <c r="F32" s="706">
        <v>0.0</v>
      </c>
      <c r="G32" s="706">
        <v>0.0</v>
      </c>
      <c r="H32" s="706">
        <v>0.0</v>
      </c>
      <c r="I32" s="706">
        <v>0.0</v>
      </c>
      <c r="J32" s="706">
        <v>0.0</v>
      </c>
      <c r="K32" s="706">
        <v>0.0</v>
      </c>
      <c r="L32" s="30"/>
      <c r="M32" s="119"/>
      <c r="N32" s="30"/>
      <c r="O32" s="30"/>
      <c r="P32" s="30"/>
      <c r="Q32" s="30"/>
      <c r="R32" s="30"/>
      <c r="S32" s="30"/>
      <c r="T32" s="30"/>
      <c r="U32" s="30"/>
      <c r="V32" s="30"/>
      <c r="W32" s="30"/>
      <c r="X32" s="30"/>
      <c r="Y32" s="30"/>
      <c r="Z32" s="30"/>
    </row>
    <row r="33" ht="13.5" customHeight="1">
      <c r="A33" s="701">
        <f t="shared" si="4"/>
        <v>33</v>
      </c>
      <c r="B33" s="78" t="s">
        <v>1114</v>
      </c>
      <c r="C33" s="1342"/>
      <c r="D33" s="1341"/>
      <c r="E33" s="706">
        <v>0.0</v>
      </c>
      <c r="F33" s="706">
        <v>0.0</v>
      </c>
      <c r="G33" s="706">
        <v>0.0</v>
      </c>
      <c r="H33" s="706">
        <v>0.0</v>
      </c>
      <c r="I33" s="706">
        <v>0.0</v>
      </c>
      <c r="J33" s="706">
        <v>0.0</v>
      </c>
      <c r="K33" s="706">
        <v>0.0</v>
      </c>
      <c r="L33" s="30"/>
      <c r="M33" s="119"/>
      <c r="N33" s="30"/>
      <c r="O33" s="30"/>
      <c r="P33" s="30"/>
      <c r="Q33" s="30"/>
      <c r="R33" s="30"/>
      <c r="S33" s="30"/>
      <c r="T33" s="30"/>
      <c r="U33" s="30"/>
      <c r="V33" s="30"/>
      <c r="W33" s="30"/>
      <c r="X33" s="30"/>
      <c r="Y33" s="30"/>
      <c r="Z33" s="30"/>
    </row>
    <row r="34" ht="13.5" customHeight="1">
      <c r="A34" s="701">
        <f t="shared" si="4"/>
        <v>34</v>
      </c>
      <c r="B34" s="900" t="s">
        <v>1117</v>
      </c>
      <c r="C34" s="1342">
        <v>0.0</v>
      </c>
      <c r="D34" s="1341">
        <f t="shared" ref="D34:D35" si="9">SUM(E34:K34)</f>
        <v>0</v>
      </c>
      <c r="E34" s="706">
        <v>0.0</v>
      </c>
      <c r="F34" s="706">
        <v>0.0</v>
      </c>
      <c r="G34" s="706">
        <v>0.0</v>
      </c>
      <c r="H34" s="706">
        <v>0.0</v>
      </c>
      <c r="I34" s="706">
        <v>0.0</v>
      </c>
      <c r="J34" s="706">
        <v>0.0</v>
      </c>
      <c r="K34" s="706">
        <v>0.0</v>
      </c>
      <c r="L34" s="30"/>
      <c r="M34" s="119"/>
      <c r="N34" s="30"/>
      <c r="O34" s="30"/>
      <c r="P34" s="30"/>
      <c r="Q34" s="30"/>
      <c r="R34" s="30"/>
      <c r="S34" s="30"/>
      <c r="T34" s="30"/>
      <c r="U34" s="30"/>
      <c r="V34" s="30"/>
      <c r="W34" s="30"/>
      <c r="X34" s="30"/>
      <c r="Y34" s="30"/>
      <c r="Z34" s="30"/>
    </row>
    <row r="35" ht="13.5" customHeight="1">
      <c r="A35" s="701">
        <f t="shared" si="4"/>
        <v>35</v>
      </c>
      <c r="B35" s="900" t="s">
        <v>1118</v>
      </c>
      <c r="C35" s="1342">
        <v>0.0</v>
      </c>
      <c r="D35" s="1341">
        <f t="shared" si="9"/>
        <v>0</v>
      </c>
      <c r="E35" s="706">
        <v>0.0</v>
      </c>
      <c r="F35" s="706">
        <v>0.0</v>
      </c>
      <c r="G35" s="706">
        <v>0.0</v>
      </c>
      <c r="H35" s="706">
        <v>0.0</v>
      </c>
      <c r="I35" s="706">
        <v>0.0</v>
      </c>
      <c r="J35" s="706">
        <v>0.0</v>
      </c>
      <c r="K35" s="706">
        <v>0.0</v>
      </c>
      <c r="L35" s="30"/>
      <c r="M35" s="119"/>
      <c r="N35" s="30"/>
      <c r="O35" s="30"/>
      <c r="P35" s="30"/>
      <c r="Q35" s="30"/>
      <c r="R35" s="30"/>
      <c r="S35" s="30"/>
      <c r="T35" s="30"/>
      <c r="U35" s="30"/>
      <c r="V35" s="30"/>
      <c r="W35" s="30"/>
      <c r="X35" s="30"/>
      <c r="Y35" s="30"/>
      <c r="Z35" s="30"/>
    </row>
    <row r="36" ht="13.5" customHeight="1">
      <c r="A36" s="701">
        <f t="shared" si="4"/>
        <v>36</v>
      </c>
      <c r="B36" s="78" t="s">
        <v>1114</v>
      </c>
      <c r="C36" s="1342"/>
      <c r="D36" s="1341"/>
      <c r="E36" s="706">
        <v>0.0</v>
      </c>
      <c r="F36" s="706">
        <v>0.0</v>
      </c>
      <c r="G36" s="706">
        <v>0.0</v>
      </c>
      <c r="H36" s="706">
        <v>0.0</v>
      </c>
      <c r="I36" s="706">
        <v>0.0</v>
      </c>
      <c r="J36" s="706">
        <v>0.0</v>
      </c>
      <c r="K36" s="706">
        <v>0.0</v>
      </c>
      <c r="L36" s="30"/>
      <c r="M36" s="119"/>
      <c r="N36" s="30"/>
      <c r="O36" s="30"/>
      <c r="P36" s="30"/>
      <c r="Q36" s="30"/>
      <c r="R36" s="30"/>
      <c r="S36" s="30"/>
      <c r="T36" s="30"/>
      <c r="U36" s="30"/>
      <c r="V36" s="30"/>
      <c r="W36" s="30"/>
      <c r="X36" s="30"/>
      <c r="Y36" s="30"/>
      <c r="Z36" s="30"/>
    </row>
    <row r="37" ht="13.5" customHeight="1">
      <c r="A37" s="701">
        <f t="shared" si="4"/>
        <v>37</v>
      </c>
      <c r="B37" s="900" t="s">
        <v>1119</v>
      </c>
      <c r="C37" s="1342"/>
      <c r="D37" s="1341"/>
      <c r="E37" s="706">
        <v>0.0</v>
      </c>
      <c r="F37" s="706">
        <v>0.0</v>
      </c>
      <c r="G37" s="706">
        <v>0.0</v>
      </c>
      <c r="H37" s="706">
        <v>0.0</v>
      </c>
      <c r="I37" s="706">
        <v>0.0</v>
      </c>
      <c r="J37" s="706">
        <v>0.0</v>
      </c>
      <c r="K37" s="706">
        <v>0.0</v>
      </c>
      <c r="L37" s="30"/>
      <c r="M37" s="119"/>
      <c r="N37" s="30"/>
      <c r="O37" s="30"/>
      <c r="P37" s="30"/>
      <c r="Q37" s="30"/>
      <c r="R37" s="30"/>
      <c r="S37" s="30"/>
      <c r="T37" s="30"/>
      <c r="U37" s="30"/>
      <c r="V37" s="30"/>
      <c r="W37" s="30"/>
      <c r="X37" s="30"/>
      <c r="Y37" s="30"/>
      <c r="Z37" s="30"/>
    </row>
    <row r="38" ht="13.5" customHeight="1">
      <c r="A38" s="701">
        <f t="shared" si="4"/>
        <v>38</v>
      </c>
      <c r="B38" s="1343" t="s">
        <v>1119</v>
      </c>
      <c r="C38" s="1344"/>
      <c r="D38" s="1345">
        <f t="shared" ref="D38:D39" si="10">SUM(E38:K38)</f>
        <v>0</v>
      </c>
      <c r="E38" s="1346">
        <v>0.0</v>
      </c>
      <c r="F38" s="1346">
        <v>0.0</v>
      </c>
      <c r="G38" s="1346">
        <v>0.0</v>
      </c>
      <c r="H38" s="1346">
        <v>0.0</v>
      </c>
      <c r="I38" s="1346">
        <v>0.0</v>
      </c>
      <c r="J38" s="1346">
        <v>0.0</v>
      </c>
      <c r="K38" s="1346">
        <v>0.0</v>
      </c>
      <c r="L38" s="30"/>
      <c r="M38" s="119"/>
      <c r="N38" s="30"/>
      <c r="O38" s="30"/>
      <c r="P38" s="30"/>
      <c r="Q38" s="30"/>
      <c r="R38" s="30"/>
      <c r="S38" s="30"/>
      <c r="T38" s="30"/>
      <c r="U38" s="30"/>
      <c r="V38" s="30"/>
      <c r="W38" s="30"/>
      <c r="X38" s="30"/>
      <c r="Y38" s="30"/>
      <c r="Z38" s="30"/>
    </row>
    <row r="39" ht="13.5" customHeight="1">
      <c r="A39" s="701">
        <f t="shared" si="4"/>
        <v>39</v>
      </c>
      <c r="B39" s="949"/>
      <c r="C39" s="1347"/>
      <c r="D39" s="1348">
        <f t="shared" si="10"/>
        <v>0</v>
      </c>
      <c r="E39" s="1348">
        <f t="shared" ref="E39:K39" si="11">SUM(E25:E38)</f>
        <v>0</v>
      </c>
      <c r="F39" s="1348">
        <f t="shared" si="11"/>
        <v>0</v>
      </c>
      <c r="G39" s="1348">
        <f t="shared" si="11"/>
        <v>0</v>
      </c>
      <c r="H39" s="1348">
        <f t="shared" si="11"/>
        <v>0</v>
      </c>
      <c r="I39" s="1348">
        <f t="shared" si="11"/>
        <v>0</v>
      </c>
      <c r="J39" s="1348">
        <f t="shared" si="11"/>
        <v>0</v>
      </c>
      <c r="K39" s="1348">
        <f t="shared" si="11"/>
        <v>0</v>
      </c>
      <c r="L39" s="30"/>
      <c r="M39" s="119"/>
      <c r="N39" s="30"/>
      <c r="O39" s="30"/>
      <c r="P39" s="30"/>
      <c r="Q39" s="30"/>
      <c r="R39" s="30"/>
      <c r="S39" s="30"/>
      <c r="T39" s="30"/>
      <c r="U39" s="30"/>
      <c r="V39" s="30"/>
      <c r="W39" s="30"/>
      <c r="X39" s="30"/>
      <c r="Y39" s="30"/>
      <c r="Z39" s="30"/>
    </row>
    <row r="40" ht="13.5" customHeight="1">
      <c r="A40" s="701">
        <f t="shared" si="4"/>
        <v>40</v>
      </c>
      <c r="B40" s="1349" t="s">
        <v>1120</v>
      </c>
      <c r="C40" s="30"/>
      <c r="D40" s="30"/>
      <c r="E40" s="30"/>
      <c r="F40" s="1347"/>
      <c r="G40" s="127"/>
      <c r="H40" s="462"/>
      <c r="I40" s="131"/>
      <c r="J40" s="131"/>
      <c r="K40" s="131"/>
      <c r="L40" s="131"/>
      <c r="M40" s="119"/>
      <c r="N40" s="30"/>
      <c r="O40" s="30"/>
      <c r="P40" s="30"/>
      <c r="Q40" s="30"/>
      <c r="R40" s="30"/>
      <c r="S40" s="30"/>
      <c r="T40" s="30"/>
      <c r="U40" s="30"/>
      <c r="V40" s="30"/>
      <c r="W40" s="30"/>
      <c r="X40" s="30"/>
      <c r="Y40" s="30"/>
      <c r="Z40" s="30"/>
    </row>
    <row r="41" ht="13.5" customHeight="1">
      <c r="A41" s="701">
        <f t="shared" si="4"/>
        <v>41</v>
      </c>
      <c r="B41" s="1349" t="s">
        <v>1121</v>
      </c>
      <c r="C41" s="30"/>
      <c r="D41" s="30"/>
      <c r="E41" s="30"/>
      <c r="F41" s="1347"/>
      <c r="G41" s="127"/>
      <c r="H41" s="462"/>
      <c r="I41" s="131"/>
      <c r="J41" s="131"/>
      <c r="K41" s="131"/>
      <c r="L41" s="131"/>
      <c r="M41" s="119"/>
      <c r="N41" s="30"/>
      <c r="O41" s="30"/>
      <c r="P41" s="30"/>
      <c r="Q41" s="30"/>
      <c r="R41" s="30"/>
      <c r="S41" s="30"/>
      <c r="T41" s="30"/>
      <c r="U41" s="30"/>
      <c r="V41" s="30"/>
      <c r="W41" s="30"/>
      <c r="X41" s="30"/>
      <c r="Y41" s="30"/>
      <c r="Z41" s="30"/>
    </row>
    <row r="42" ht="13.5" customHeight="1">
      <c r="A42" s="701">
        <f t="shared" si="4"/>
        <v>42</v>
      </c>
      <c r="B42" s="1257"/>
      <c r="C42" s="30"/>
      <c r="D42" s="30"/>
      <c r="E42" s="30"/>
      <c r="F42" s="1347"/>
      <c r="G42" s="127"/>
      <c r="H42" s="462"/>
      <c r="I42" s="131"/>
      <c r="J42" s="131"/>
      <c r="K42" s="131"/>
      <c r="L42" s="131"/>
      <c r="M42" s="119"/>
      <c r="N42" s="30"/>
      <c r="O42" s="30"/>
      <c r="P42" s="30"/>
      <c r="Q42" s="30"/>
      <c r="R42" s="30"/>
      <c r="S42" s="30"/>
      <c r="T42" s="30"/>
      <c r="U42" s="30"/>
      <c r="V42" s="30"/>
      <c r="W42" s="30"/>
      <c r="X42" s="30"/>
      <c r="Y42" s="30"/>
      <c r="Z42" s="30"/>
    </row>
    <row r="43" ht="13.5" customHeight="1">
      <c r="A43" s="701">
        <f t="shared" si="4"/>
        <v>43</v>
      </c>
      <c r="B43" s="1257"/>
      <c r="C43" s="30"/>
      <c r="D43" s="30"/>
      <c r="E43" s="30"/>
      <c r="F43" s="1347"/>
      <c r="G43" s="127"/>
      <c r="H43" s="462"/>
      <c r="I43" s="131"/>
      <c r="J43" s="131"/>
      <c r="K43" s="131"/>
      <c r="L43" s="131"/>
      <c r="M43" s="119"/>
      <c r="N43" s="30"/>
      <c r="O43" s="30"/>
      <c r="P43" s="30"/>
      <c r="Q43" s="30"/>
      <c r="R43" s="30"/>
      <c r="S43" s="30"/>
      <c r="T43" s="30"/>
      <c r="U43" s="30"/>
      <c r="V43" s="30"/>
      <c r="W43" s="30"/>
      <c r="X43" s="30"/>
      <c r="Y43" s="30"/>
      <c r="Z43" s="30"/>
    </row>
    <row r="44" ht="13.5" customHeight="1">
      <c r="A44" s="701">
        <f t="shared" si="4"/>
        <v>44</v>
      </c>
      <c r="B44" s="1257"/>
      <c r="C44" s="30"/>
      <c r="D44" s="732" t="s">
        <v>1122</v>
      </c>
      <c r="E44" s="724"/>
      <c r="F44" s="1034"/>
      <c r="G44" s="127"/>
      <c r="H44" s="732" t="s">
        <v>1123</v>
      </c>
      <c r="I44" s="724"/>
      <c r="J44" s="1034"/>
      <c r="K44" s="131"/>
      <c r="L44" s="131"/>
      <c r="M44" s="119"/>
      <c r="N44" s="30"/>
      <c r="O44" s="30"/>
      <c r="P44" s="30"/>
      <c r="Q44" s="30"/>
      <c r="R44" s="30"/>
      <c r="S44" s="30"/>
      <c r="T44" s="30"/>
      <c r="U44" s="30"/>
      <c r="V44" s="30"/>
      <c r="W44" s="30"/>
      <c r="X44" s="30"/>
      <c r="Y44" s="30"/>
      <c r="Z44" s="30"/>
    </row>
    <row r="45" ht="13.5" customHeight="1">
      <c r="A45" s="701">
        <f t="shared" si="4"/>
        <v>45</v>
      </c>
      <c r="B45" s="949"/>
      <c r="C45" s="30"/>
      <c r="D45" s="99" t="s">
        <v>1124</v>
      </c>
      <c r="E45" s="1350" t="s">
        <v>1125</v>
      </c>
      <c r="F45" s="99" t="s">
        <v>1126</v>
      </c>
      <c r="G45" s="127"/>
      <c r="H45" s="99" t="s">
        <v>1124</v>
      </c>
      <c r="I45" s="1350" t="s">
        <v>1127</v>
      </c>
      <c r="J45" s="99" t="s">
        <v>1042</v>
      </c>
      <c r="K45" s="131"/>
      <c r="L45" s="131"/>
      <c r="M45" s="119"/>
      <c r="N45" s="30"/>
      <c r="O45" s="30"/>
      <c r="P45" s="30"/>
      <c r="Q45" s="30"/>
      <c r="R45" s="30"/>
      <c r="S45" s="30"/>
      <c r="T45" s="30"/>
      <c r="U45" s="30"/>
      <c r="V45" s="30"/>
      <c r="W45" s="30"/>
      <c r="X45" s="30"/>
      <c r="Y45" s="30"/>
      <c r="Z45" s="30"/>
    </row>
    <row r="46" ht="13.5" customHeight="1">
      <c r="A46" s="701">
        <f t="shared" si="4"/>
        <v>46</v>
      </c>
      <c r="B46" s="949"/>
      <c r="C46" s="30"/>
      <c r="D46" s="99" t="s">
        <v>1128</v>
      </c>
      <c r="E46" s="99" t="s">
        <v>1129</v>
      </c>
      <c r="F46" s="99" t="s">
        <v>1130</v>
      </c>
      <c r="G46" s="127"/>
      <c r="H46" s="99" t="s">
        <v>1128</v>
      </c>
      <c r="I46" s="99" t="s">
        <v>1131</v>
      </c>
      <c r="J46" s="99" t="s">
        <v>1130</v>
      </c>
      <c r="K46" s="131"/>
      <c r="L46" s="131"/>
      <c r="M46" s="119"/>
      <c r="N46" s="30"/>
      <c r="O46" s="30"/>
      <c r="P46" s="30"/>
      <c r="Q46" s="30"/>
      <c r="R46" s="30"/>
      <c r="S46" s="30"/>
      <c r="T46" s="30"/>
      <c r="U46" s="30"/>
      <c r="V46" s="30"/>
      <c r="W46" s="30"/>
      <c r="X46" s="30"/>
      <c r="Y46" s="30"/>
      <c r="Z46" s="30"/>
    </row>
    <row r="47" ht="13.5" customHeight="1">
      <c r="A47" s="701">
        <f t="shared" si="4"/>
        <v>47</v>
      </c>
      <c r="B47" s="1351" t="s">
        <v>1132</v>
      </c>
      <c r="C47" s="34"/>
      <c r="D47" s="81" t="s">
        <v>1133</v>
      </c>
      <c r="E47" s="81" t="s">
        <v>1133</v>
      </c>
      <c r="F47" s="81" t="s">
        <v>1133</v>
      </c>
      <c r="G47" s="127"/>
      <c r="H47" s="81" t="s">
        <v>1133</v>
      </c>
      <c r="I47" s="81" t="s">
        <v>1133</v>
      </c>
      <c r="J47" s="81" t="s">
        <v>1133</v>
      </c>
      <c r="K47" s="131"/>
      <c r="L47" s="131"/>
      <c r="M47" s="119"/>
      <c r="N47" s="30"/>
      <c r="O47" s="30"/>
      <c r="P47" s="30"/>
      <c r="Q47" s="30"/>
      <c r="R47" s="30"/>
      <c r="S47" s="30"/>
      <c r="T47" s="30"/>
      <c r="U47" s="30"/>
      <c r="V47" s="30"/>
      <c r="W47" s="30"/>
      <c r="X47" s="30"/>
      <c r="Y47" s="30"/>
      <c r="Z47" s="30"/>
    </row>
    <row r="48" ht="13.5" customHeight="1">
      <c r="A48" s="701">
        <f t="shared" si="4"/>
        <v>48</v>
      </c>
      <c r="B48" s="1352" t="s">
        <v>1134</v>
      </c>
      <c r="C48" s="460"/>
      <c r="D48" s="1353"/>
      <c r="E48" s="1353"/>
      <c r="F48" s="1354"/>
      <c r="G48" s="127"/>
      <c r="H48" s="1355"/>
      <c r="I48" s="1356"/>
      <c r="J48" s="1354"/>
      <c r="K48" s="131"/>
      <c r="L48" s="131"/>
      <c r="M48" s="119" t="s">
        <v>1135</v>
      </c>
      <c r="N48" s="30"/>
      <c r="O48" s="30"/>
      <c r="P48" s="30"/>
      <c r="Q48" s="30"/>
      <c r="R48" s="30"/>
      <c r="S48" s="30"/>
      <c r="T48" s="30"/>
      <c r="U48" s="30"/>
      <c r="V48" s="30"/>
      <c r="W48" s="30"/>
      <c r="X48" s="30"/>
      <c r="Y48" s="30"/>
      <c r="Z48" s="30"/>
    </row>
    <row r="49" ht="13.5" customHeight="1">
      <c r="A49" s="701">
        <f t="shared" si="4"/>
        <v>49</v>
      </c>
      <c r="B49" s="1352" t="s">
        <v>1136</v>
      </c>
      <c r="C49" s="460"/>
      <c r="D49" s="1353"/>
      <c r="E49" s="1353"/>
      <c r="F49" s="1357"/>
      <c r="G49" s="127"/>
      <c r="H49" s="1358"/>
      <c r="I49" s="1353"/>
      <c r="J49" s="1357"/>
      <c r="K49" s="131"/>
      <c r="L49" s="131"/>
      <c r="M49" s="119"/>
      <c r="N49" s="30"/>
      <c r="O49" s="30"/>
      <c r="P49" s="30"/>
      <c r="Q49" s="30"/>
      <c r="R49" s="30"/>
      <c r="S49" s="30"/>
      <c r="T49" s="30"/>
      <c r="U49" s="30"/>
      <c r="V49" s="30"/>
      <c r="W49" s="30"/>
      <c r="X49" s="30"/>
      <c r="Y49" s="30"/>
      <c r="Z49" s="30"/>
    </row>
    <row r="50" ht="13.5" customHeight="1">
      <c r="A50" s="701">
        <f t="shared" si="4"/>
        <v>50</v>
      </c>
      <c r="B50" s="466" t="s">
        <v>1137</v>
      </c>
      <c r="C50" s="466"/>
      <c r="D50" s="1359"/>
      <c r="E50" s="1359"/>
      <c r="F50" s="1357"/>
      <c r="G50" s="127"/>
      <c r="H50" s="1360"/>
      <c r="I50" s="1359"/>
      <c r="J50" s="1357"/>
      <c r="K50" s="131"/>
      <c r="L50" s="131"/>
      <c r="M50" s="119"/>
      <c r="N50" s="30"/>
      <c r="O50" s="30"/>
      <c r="P50" s="30"/>
      <c r="Q50" s="30"/>
      <c r="R50" s="30"/>
      <c r="S50" s="30"/>
      <c r="T50" s="30"/>
      <c r="U50" s="30"/>
      <c r="V50" s="30"/>
      <c r="W50" s="30"/>
      <c r="X50" s="30"/>
      <c r="Y50" s="30"/>
      <c r="Z50" s="30"/>
    </row>
    <row r="51" ht="13.5" customHeight="1">
      <c r="A51" s="701">
        <f t="shared" si="4"/>
        <v>51</v>
      </c>
      <c r="B51" s="466" t="s">
        <v>1138</v>
      </c>
      <c r="C51" s="466"/>
      <c r="D51" s="1359"/>
      <c r="E51" s="1359"/>
      <c r="F51" s="1357"/>
      <c r="G51" s="127"/>
      <c r="H51" s="1360"/>
      <c r="I51" s="1359"/>
      <c r="J51" s="1357"/>
      <c r="K51" s="131"/>
      <c r="L51" s="131"/>
      <c r="M51" s="119"/>
      <c r="N51" s="30"/>
      <c r="O51" s="30"/>
      <c r="P51" s="30"/>
      <c r="Q51" s="30"/>
      <c r="R51" s="30"/>
      <c r="S51" s="30"/>
      <c r="T51" s="30"/>
      <c r="U51" s="30"/>
      <c r="V51" s="30"/>
      <c r="W51" s="30"/>
      <c r="X51" s="30"/>
      <c r="Y51" s="30"/>
      <c r="Z51" s="30"/>
    </row>
    <row r="52" ht="13.5" customHeight="1">
      <c r="A52" s="701">
        <f t="shared" si="4"/>
        <v>52</v>
      </c>
      <c r="B52" s="466" t="s">
        <v>1139</v>
      </c>
      <c r="C52" s="466"/>
      <c r="D52" s="1359"/>
      <c r="E52" s="1359"/>
      <c r="F52" s="1357"/>
      <c r="G52" s="127"/>
      <c r="H52" s="1360"/>
      <c r="I52" s="1359"/>
      <c r="J52" s="1357"/>
      <c r="K52" s="131"/>
      <c r="L52" s="131"/>
      <c r="M52" s="119"/>
      <c r="N52" s="30"/>
      <c r="O52" s="30"/>
      <c r="P52" s="30"/>
      <c r="Q52" s="30"/>
      <c r="R52" s="30"/>
      <c r="S52" s="30"/>
      <c r="T52" s="30"/>
      <c r="U52" s="30"/>
      <c r="V52" s="30"/>
      <c r="W52" s="30"/>
      <c r="X52" s="30"/>
      <c r="Y52" s="30"/>
      <c r="Z52" s="30"/>
    </row>
    <row r="53" ht="13.5" customHeight="1">
      <c r="A53" s="701">
        <f t="shared" si="4"/>
        <v>53</v>
      </c>
      <c r="B53" s="466" t="s">
        <v>1140</v>
      </c>
      <c r="C53" s="466"/>
      <c r="D53" s="1359"/>
      <c r="E53" s="1359"/>
      <c r="F53" s="1357"/>
      <c r="G53" s="127"/>
      <c r="H53" s="1360"/>
      <c r="I53" s="1359"/>
      <c r="J53" s="1357"/>
      <c r="K53" s="131"/>
      <c r="L53" s="131"/>
      <c r="M53" s="119"/>
      <c r="N53" s="30"/>
      <c r="O53" s="30"/>
      <c r="P53" s="30"/>
      <c r="Q53" s="30"/>
      <c r="R53" s="30"/>
      <c r="S53" s="30"/>
      <c r="T53" s="30"/>
      <c r="U53" s="30"/>
      <c r="V53" s="30"/>
      <c r="W53" s="30"/>
      <c r="X53" s="30"/>
      <c r="Y53" s="30"/>
      <c r="Z53" s="30"/>
    </row>
    <row r="54" ht="13.5" customHeight="1">
      <c r="A54" s="701">
        <f t="shared" si="4"/>
        <v>54</v>
      </c>
      <c r="B54" s="466" t="s">
        <v>1141</v>
      </c>
      <c r="C54" s="466"/>
      <c r="D54" s="1359"/>
      <c r="E54" s="1359"/>
      <c r="F54" s="1357"/>
      <c r="G54" s="127"/>
      <c r="H54" s="1360"/>
      <c r="I54" s="1359"/>
      <c r="J54" s="1357"/>
      <c r="K54" s="131"/>
      <c r="L54" s="131"/>
      <c r="M54" s="119"/>
      <c r="N54" s="30"/>
      <c r="O54" s="30"/>
      <c r="P54" s="30"/>
      <c r="Q54" s="30"/>
      <c r="R54" s="30"/>
      <c r="S54" s="30"/>
      <c r="T54" s="30"/>
      <c r="U54" s="30"/>
      <c r="V54" s="30"/>
      <c r="W54" s="30"/>
      <c r="X54" s="30"/>
      <c r="Y54" s="30"/>
      <c r="Z54" s="30"/>
    </row>
    <row r="55" ht="13.5" customHeight="1">
      <c r="A55" s="701">
        <f t="shared" si="4"/>
        <v>55</v>
      </c>
      <c r="B55" s="466" t="s">
        <v>1142</v>
      </c>
      <c r="C55" s="466"/>
      <c r="D55" s="1359"/>
      <c r="E55" s="1359"/>
      <c r="F55" s="1357"/>
      <c r="G55" s="127"/>
      <c r="H55" s="1360"/>
      <c r="I55" s="1359"/>
      <c r="J55" s="1357"/>
      <c r="K55" s="131"/>
      <c r="L55" s="131"/>
      <c r="M55" s="119"/>
      <c r="N55" s="30"/>
      <c r="O55" s="30"/>
      <c r="P55" s="30"/>
      <c r="Q55" s="30"/>
      <c r="R55" s="30"/>
      <c r="S55" s="30"/>
      <c r="T55" s="30"/>
      <c r="U55" s="30"/>
      <c r="V55" s="30"/>
      <c r="W55" s="30"/>
      <c r="X55" s="30"/>
      <c r="Y55" s="30"/>
      <c r="Z55" s="30"/>
    </row>
    <row r="56" ht="13.5" customHeight="1">
      <c r="A56" s="701">
        <f t="shared" si="4"/>
        <v>56</v>
      </c>
      <c r="B56" s="466" t="s">
        <v>1143</v>
      </c>
      <c r="C56" s="466"/>
      <c r="D56" s="1359"/>
      <c r="E56" s="1359"/>
      <c r="F56" s="1357"/>
      <c r="G56" s="127"/>
      <c r="H56" s="1360"/>
      <c r="I56" s="1359"/>
      <c r="J56" s="1357"/>
      <c r="K56" s="131"/>
      <c r="L56" s="131"/>
      <c r="M56" s="119"/>
      <c r="N56" s="30"/>
      <c r="O56" s="30"/>
      <c r="P56" s="30"/>
      <c r="Q56" s="30"/>
      <c r="R56" s="30"/>
      <c r="S56" s="30"/>
      <c r="T56" s="30"/>
      <c r="U56" s="30"/>
      <c r="V56" s="30"/>
      <c r="W56" s="30"/>
      <c r="X56" s="30"/>
      <c r="Y56" s="30"/>
      <c r="Z56" s="30"/>
    </row>
    <row r="57" ht="13.5" customHeight="1">
      <c r="A57" s="701">
        <f t="shared" si="4"/>
        <v>57</v>
      </c>
      <c r="B57" s="466" t="s">
        <v>1144</v>
      </c>
      <c r="C57" s="466"/>
      <c r="D57" s="1359"/>
      <c r="E57" s="1359"/>
      <c r="F57" s="1357"/>
      <c r="G57" s="127"/>
      <c r="H57" s="1360"/>
      <c r="I57" s="1359"/>
      <c r="J57" s="1357"/>
      <c r="K57" s="131"/>
      <c r="L57" s="131"/>
      <c r="M57" s="119"/>
      <c r="N57" s="30"/>
      <c r="O57" s="30"/>
      <c r="P57" s="30"/>
      <c r="Q57" s="30"/>
      <c r="R57" s="30"/>
      <c r="S57" s="30"/>
      <c r="T57" s="30"/>
      <c r="U57" s="30"/>
      <c r="V57" s="30"/>
      <c r="W57" s="30"/>
      <c r="X57" s="30"/>
      <c r="Y57" s="30"/>
      <c r="Z57" s="30"/>
    </row>
    <row r="58" ht="13.5" customHeight="1">
      <c r="A58" s="701">
        <f t="shared" si="4"/>
        <v>58</v>
      </c>
      <c r="B58" s="466" t="s">
        <v>1145</v>
      </c>
      <c r="C58" s="466"/>
      <c r="D58" s="1359"/>
      <c r="E58" s="1359"/>
      <c r="F58" s="1357"/>
      <c r="G58" s="127"/>
      <c r="H58" s="1360"/>
      <c r="I58" s="1359"/>
      <c r="J58" s="1357"/>
      <c r="K58" s="131"/>
      <c r="L58" s="131"/>
      <c r="M58" s="119"/>
      <c r="N58" s="30"/>
      <c r="O58" s="30"/>
      <c r="P58" s="30"/>
      <c r="Q58" s="30"/>
      <c r="R58" s="30"/>
      <c r="S58" s="30"/>
      <c r="T58" s="30"/>
      <c r="U58" s="30"/>
      <c r="V58" s="30"/>
      <c r="W58" s="30"/>
      <c r="X58" s="30"/>
      <c r="Y58" s="30"/>
      <c r="Z58" s="30"/>
    </row>
    <row r="59" ht="13.5" customHeight="1">
      <c r="A59" s="701">
        <f t="shared" si="4"/>
        <v>59</v>
      </c>
      <c r="B59" s="466" t="s">
        <v>1146</v>
      </c>
      <c r="C59" s="466"/>
      <c r="D59" s="1359"/>
      <c r="E59" s="1359"/>
      <c r="F59" s="1357"/>
      <c r="G59" s="127"/>
      <c r="H59" s="1360"/>
      <c r="I59" s="1359"/>
      <c r="J59" s="1357"/>
      <c r="K59" s="131"/>
      <c r="L59" s="131"/>
      <c r="M59" s="119"/>
      <c r="N59" s="30"/>
      <c r="O59" s="30"/>
      <c r="P59" s="30"/>
      <c r="Q59" s="30"/>
      <c r="R59" s="30"/>
      <c r="S59" s="30"/>
      <c r="T59" s="30"/>
      <c r="U59" s="30"/>
      <c r="V59" s="30"/>
      <c r="W59" s="30"/>
      <c r="X59" s="30"/>
      <c r="Y59" s="30"/>
      <c r="Z59" s="30"/>
    </row>
    <row r="60" ht="13.5" customHeight="1">
      <c r="A60" s="701">
        <f t="shared" si="4"/>
        <v>60</v>
      </c>
      <c r="B60" s="466" t="s">
        <v>1147</v>
      </c>
      <c r="C60" s="466"/>
      <c r="D60" s="1359"/>
      <c r="E60" s="1359"/>
      <c r="F60" s="1357"/>
      <c r="G60" s="127"/>
      <c r="H60" s="1360"/>
      <c r="I60" s="1359"/>
      <c r="J60" s="1357"/>
      <c r="K60" s="131"/>
      <c r="L60" s="131"/>
      <c r="M60" s="119"/>
      <c r="N60" s="30"/>
      <c r="O60" s="30"/>
      <c r="P60" s="30"/>
      <c r="Q60" s="30"/>
      <c r="R60" s="30"/>
      <c r="S60" s="30"/>
      <c r="T60" s="30"/>
      <c r="U60" s="30"/>
      <c r="V60" s="30"/>
      <c r="W60" s="30"/>
      <c r="X60" s="30"/>
      <c r="Y60" s="30"/>
      <c r="Z60" s="30"/>
    </row>
    <row r="61" ht="13.5" customHeight="1">
      <c r="A61" s="701">
        <f t="shared" si="4"/>
        <v>61</v>
      </c>
      <c r="B61" s="466" t="s">
        <v>1148</v>
      </c>
      <c r="C61" s="466"/>
      <c r="D61" s="1359"/>
      <c r="E61" s="1359"/>
      <c r="F61" s="1357"/>
      <c r="G61" s="127"/>
      <c r="H61" s="1360"/>
      <c r="I61" s="1359"/>
      <c r="J61" s="1357"/>
      <c r="K61" s="131"/>
      <c r="L61" s="131"/>
      <c r="M61" s="119"/>
      <c r="N61" s="30"/>
      <c r="O61" s="30"/>
      <c r="P61" s="30"/>
      <c r="Q61" s="30"/>
      <c r="R61" s="30"/>
      <c r="S61" s="30"/>
      <c r="T61" s="30"/>
      <c r="U61" s="30"/>
      <c r="V61" s="30"/>
      <c r="W61" s="30"/>
      <c r="X61" s="30"/>
      <c r="Y61" s="30"/>
      <c r="Z61" s="30"/>
    </row>
    <row r="62" ht="13.5" customHeight="1">
      <c r="A62" s="701">
        <f t="shared" si="4"/>
        <v>62</v>
      </c>
      <c r="B62" s="466" t="s">
        <v>1149</v>
      </c>
      <c r="C62" s="466"/>
      <c r="D62" s="1359"/>
      <c r="E62" s="1359"/>
      <c r="F62" s="1357"/>
      <c r="G62" s="127"/>
      <c r="H62" s="1360"/>
      <c r="I62" s="1359"/>
      <c r="J62" s="1357"/>
      <c r="K62" s="131"/>
      <c r="L62" s="131"/>
      <c r="M62" s="119"/>
      <c r="N62" s="30"/>
      <c r="O62" s="30"/>
      <c r="P62" s="30"/>
      <c r="Q62" s="30"/>
      <c r="R62" s="30"/>
      <c r="S62" s="30"/>
      <c r="T62" s="30"/>
      <c r="U62" s="30"/>
      <c r="V62" s="30"/>
      <c r="W62" s="30"/>
      <c r="X62" s="30"/>
      <c r="Y62" s="30"/>
      <c r="Z62" s="30"/>
    </row>
    <row r="63" ht="13.5" customHeight="1">
      <c r="A63" s="701">
        <f t="shared" si="4"/>
        <v>63</v>
      </c>
      <c r="B63" s="466" t="s">
        <v>1150</v>
      </c>
      <c r="C63" s="466"/>
      <c r="D63" s="1359"/>
      <c r="E63" s="1359"/>
      <c r="F63" s="1357"/>
      <c r="G63" s="127"/>
      <c r="H63" s="1360"/>
      <c r="I63" s="1359"/>
      <c r="J63" s="1357"/>
      <c r="K63" s="131"/>
      <c r="L63" s="131"/>
      <c r="M63" s="119"/>
      <c r="N63" s="30"/>
      <c r="O63" s="30"/>
      <c r="P63" s="30"/>
      <c r="Q63" s="30"/>
      <c r="R63" s="30"/>
      <c r="S63" s="30"/>
      <c r="T63" s="30"/>
      <c r="U63" s="30"/>
      <c r="V63" s="30"/>
      <c r="W63" s="30"/>
      <c r="X63" s="30"/>
      <c r="Y63" s="30"/>
      <c r="Z63" s="30"/>
    </row>
    <row r="64" ht="13.5" customHeight="1">
      <c r="A64" s="701">
        <f t="shared" si="4"/>
        <v>64</v>
      </c>
      <c r="B64" s="466" t="s">
        <v>1151</v>
      </c>
      <c r="C64" s="466"/>
      <c r="D64" s="1359"/>
      <c r="E64" s="1359"/>
      <c r="F64" s="1357"/>
      <c r="G64" s="127"/>
      <c r="H64" s="1360"/>
      <c r="I64" s="1359"/>
      <c r="J64" s="1357"/>
      <c r="K64" s="131"/>
      <c r="L64" s="131"/>
      <c r="M64" s="119"/>
      <c r="N64" s="30"/>
      <c r="O64" s="30"/>
      <c r="P64" s="30"/>
      <c r="Q64" s="30"/>
      <c r="R64" s="30"/>
      <c r="S64" s="30"/>
      <c r="T64" s="30"/>
      <c r="U64" s="30"/>
      <c r="V64" s="30"/>
      <c r="W64" s="30"/>
      <c r="X64" s="30"/>
      <c r="Y64" s="30"/>
      <c r="Z64" s="30"/>
    </row>
    <row r="65" ht="13.5" customHeight="1">
      <c r="A65" s="701">
        <f t="shared" si="4"/>
        <v>65</v>
      </c>
      <c r="B65" s="466" t="s">
        <v>1152</v>
      </c>
      <c r="C65" s="466"/>
      <c r="D65" s="1359"/>
      <c r="E65" s="1359"/>
      <c r="F65" s="1357"/>
      <c r="G65" s="127"/>
      <c r="H65" s="1360"/>
      <c r="I65" s="1359"/>
      <c r="J65" s="1357"/>
      <c r="K65" s="131"/>
      <c r="L65" s="131"/>
      <c r="M65" s="119"/>
      <c r="N65" s="30"/>
      <c r="O65" s="30"/>
      <c r="P65" s="30"/>
      <c r="Q65" s="30"/>
      <c r="R65" s="30"/>
      <c r="S65" s="30"/>
      <c r="T65" s="30"/>
      <c r="U65" s="30"/>
      <c r="V65" s="30"/>
      <c r="W65" s="30"/>
      <c r="X65" s="30"/>
      <c r="Y65" s="30"/>
      <c r="Z65" s="30"/>
    </row>
    <row r="66" ht="13.5" customHeight="1">
      <c r="A66" s="701">
        <f t="shared" si="4"/>
        <v>66</v>
      </c>
      <c r="B66" s="466" t="s">
        <v>1153</v>
      </c>
      <c r="C66" s="466"/>
      <c r="D66" s="1359"/>
      <c r="E66" s="1359"/>
      <c r="F66" s="1357"/>
      <c r="G66" s="127"/>
      <c r="H66" s="1360"/>
      <c r="I66" s="1359"/>
      <c r="J66" s="1357"/>
      <c r="K66" s="131"/>
      <c r="L66" s="131"/>
      <c r="M66" s="119"/>
      <c r="N66" s="30"/>
      <c r="O66" s="30"/>
      <c r="P66" s="30"/>
      <c r="Q66" s="30"/>
      <c r="R66" s="30"/>
      <c r="S66" s="30"/>
      <c r="T66" s="30"/>
      <c r="U66" s="30"/>
      <c r="V66" s="30"/>
      <c r="W66" s="30"/>
      <c r="X66" s="30"/>
      <c r="Y66" s="30"/>
      <c r="Z66" s="30"/>
    </row>
    <row r="67" ht="13.5" customHeight="1">
      <c r="A67" s="701">
        <f t="shared" si="4"/>
        <v>67</v>
      </c>
      <c r="B67" s="466" t="s">
        <v>1154</v>
      </c>
      <c r="C67" s="466"/>
      <c r="D67" s="1359"/>
      <c r="E67" s="1359"/>
      <c r="F67" s="1357"/>
      <c r="G67" s="127"/>
      <c r="H67" s="1360"/>
      <c r="I67" s="1359"/>
      <c r="J67" s="1357"/>
      <c r="K67" s="131"/>
      <c r="L67" s="131"/>
      <c r="M67" s="119"/>
      <c r="N67" s="30"/>
      <c r="O67" s="30"/>
      <c r="P67" s="30"/>
      <c r="Q67" s="30"/>
      <c r="R67" s="30"/>
      <c r="S67" s="30"/>
      <c r="T67" s="30"/>
      <c r="U67" s="30"/>
      <c r="V67" s="30"/>
      <c r="W67" s="30"/>
      <c r="X67" s="30"/>
      <c r="Y67" s="30"/>
      <c r="Z67" s="30"/>
    </row>
    <row r="68" ht="13.5" customHeight="1">
      <c r="A68" s="701">
        <f t="shared" si="4"/>
        <v>68</v>
      </c>
      <c r="B68" s="466" t="s">
        <v>1155</v>
      </c>
      <c r="C68" s="466"/>
      <c r="D68" s="1359"/>
      <c r="E68" s="1359"/>
      <c r="F68" s="1357"/>
      <c r="G68" s="127"/>
      <c r="H68" s="1360"/>
      <c r="I68" s="1359"/>
      <c r="J68" s="1357"/>
      <c r="K68" s="131"/>
      <c r="L68" s="131"/>
      <c r="M68" s="119"/>
      <c r="N68" s="30"/>
      <c r="O68" s="30"/>
      <c r="P68" s="30"/>
      <c r="Q68" s="30"/>
      <c r="R68" s="30"/>
      <c r="S68" s="30"/>
      <c r="T68" s="30"/>
      <c r="U68" s="30"/>
      <c r="V68" s="30"/>
      <c r="W68" s="30"/>
      <c r="X68" s="30"/>
      <c r="Y68" s="30"/>
      <c r="Z68" s="30"/>
    </row>
    <row r="69" ht="13.5" customHeight="1">
      <c r="A69" s="701">
        <f t="shared" si="4"/>
        <v>69</v>
      </c>
      <c r="B69" s="466" t="s">
        <v>1156</v>
      </c>
      <c r="C69" s="466"/>
      <c r="D69" s="1359"/>
      <c r="E69" s="1359"/>
      <c r="F69" s="1357"/>
      <c r="G69" s="127"/>
      <c r="H69" s="1360"/>
      <c r="I69" s="1359"/>
      <c r="J69" s="1357"/>
      <c r="K69" s="131"/>
      <c r="L69" s="131"/>
      <c r="M69" s="119"/>
      <c r="N69" s="30"/>
      <c r="O69" s="30"/>
      <c r="P69" s="30"/>
      <c r="Q69" s="30"/>
      <c r="R69" s="30"/>
      <c r="S69" s="30"/>
      <c r="T69" s="30"/>
      <c r="U69" s="30"/>
      <c r="V69" s="30"/>
      <c r="W69" s="30"/>
      <c r="X69" s="30"/>
      <c r="Y69" s="30"/>
      <c r="Z69" s="30"/>
    </row>
    <row r="70" ht="13.5" customHeight="1">
      <c r="A70" s="701">
        <f t="shared" si="4"/>
        <v>70</v>
      </c>
      <c r="B70" s="466" t="s">
        <v>1157</v>
      </c>
      <c r="C70" s="466"/>
      <c r="D70" s="1359"/>
      <c r="E70" s="1359"/>
      <c r="F70" s="1357"/>
      <c r="G70" s="127"/>
      <c r="H70" s="1360"/>
      <c r="I70" s="1359"/>
      <c r="J70" s="1357"/>
      <c r="K70" s="131"/>
      <c r="L70" s="131"/>
      <c r="M70" s="119"/>
      <c r="N70" s="30"/>
      <c r="O70" s="30"/>
      <c r="P70" s="30"/>
      <c r="Q70" s="30"/>
      <c r="R70" s="30"/>
      <c r="S70" s="30"/>
      <c r="T70" s="30"/>
      <c r="U70" s="30"/>
      <c r="V70" s="30"/>
      <c r="W70" s="30"/>
      <c r="X70" s="30"/>
      <c r="Y70" s="30"/>
      <c r="Z70" s="30"/>
    </row>
    <row r="71" ht="13.5" customHeight="1">
      <c r="A71" s="701">
        <f t="shared" si="4"/>
        <v>71</v>
      </c>
      <c r="B71" s="466" t="s">
        <v>1158</v>
      </c>
      <c r="C71" s="466"/>
      <c r="D71" s="1359"/>
      <c r="E71" s="1359"/>
      <c r="F71" s="1357"/>
      <c r="G71" s="127"/>
      <c r="H71" s="1360"/>
      <c r="I71" s="1359"/>
      <c r="J71" s="1357"/>
      <c r="K71" s="131"/>
      <c r="L71" s="131"/>
      <c r="M71" s="119"/>
      <c r="N71" s="30"/>
      <c r="O71" s="30"/>
      <c r="P71" s="30"/>
      <c r="Q71" s="30"/>
      <c r="R71" s="30"/>
      <c r="S71" s="30"/>
      <c r="T71" s="30"/>
      <c r="U71" s="30"/>
      <c r="V71" s="30"/>
      <c r="W71" s="30"/>
      <c r="X71" s="30"/>
      <c r="Y71" s="30"/>
      <c r="Z71" s="30"/>
    </row>
    <row r="72" ht="13.5" customHeight="1">
      <c r="A72" s="701">
        <f t="shared" si="4"/>
        <v>72</v>
      </c>
      <c r="B72" s="466" t="s">
        <v>1159</v>
      </c>
      <c r="C72" s="466"/>
      <c r="D72" s="1359"/>
      <c r="E72" s="1359"/>
      <c r="F72" s="1357"/>
      <c r="G72" s="127"/>
      <c r="H72" s="1360"/>
      <c r="I72" s="1359"/>
      <c r="J72" s="1357"/>
      <c r="K72" s="131"/>
      <c r="L72" s="131"/>
      <c r="M72" s="119"/>
      <c r="N72" s="30"/>
      <c r="O72" s="30"/>
      <c r="P72" s="30"/>
      <c r="Q72" s="30"/>
      <c r="R72" s="30"/>
      <c r="S72" s="30"/>
      <c r="T72" s="30"/>
      <c r="U72" s="30"/>
      <c r="V72" s="30"/>
      <c r="W72" s="30"/>
      <c r="X72" s="30"/>
      <c r="Y72" s="30"/>
      <c r="Z72" s="30"/>
    </row>
    <row r="73" ht="13.5" customHeight="1">
      <c r="A73" s="701">
        <f t="shared" si="4"/>
        <v>73</v>
      </c>
      <c r="B73" s="466" t="s">
        <v>1160</v>
      </c>
      <c r="C73" s="466"/>
      <c r="D73" s="1359"/>
      <c r="E73" s="1359"/>
      <c r="F73" s="1357"/>
      <c r="G73" s="127"/>
      <c r="H73" s="1360"/>
      <c r="I73" s="1359"/>
      <c r="J73" s="1357"/>
      <c r="K73" s="131"/>
      <c r="L73" s="131"/>
      <c r="M73" s="119"/>
      <c r="N73" s="30"/>
      <c r="O73" s="30"/>
      <c r="P73" s="30"/>
      <c r="Q73" s="30"/>
      <c r="R73" s="30"/>
      <c r="S73" s="30"/>
      <c r="T73" s="30"/>
      <c r="U73" s="30"/>
      <c r="V73" s="30"/>
      <c r="W73" s="30"/>
      <c r="X73" s="30"/>
      <c r="Y73" s="30"/>
      <c r="Z73" s="30"/>
    </row>
    <row r="74" ht="13.5" customHeight="1">
      <c r="A74" s="701">
        <f t="shared" si="4"/>
        <v>74</v>
      </c>
      <c r="B74" s="466" t="s">
        <v>1161</v>
      </c>
      <c r="C74" s="466"/>
      <c r="D74" s="1359"/>
      <c r="E74" s="1359"/>
      <c r="F74" s="1357"/>
      <c r="G74" s="127"/>
      <c r="H74" s="1360"/>
      <c r="I74" s="1359"/>
      <c r="J74" s="1357"/>
      <c r="K74" s="131"/>
      <c r="L74" s="131"/>
      <c r="M74" s="119"/>
      <c r="N74" s="30"/>
      <c r="O74" s="30"/>
      <c r="P74" s="30"/>
      <c r="Q74" s="30"/>
      <c r="R74" s="30"/>
      <c r="S74" s="30"/>
      <c r="T74" s="30"/>
      <c r="U74" s="30"/>
      <c r="V74" s="30"/>
      <c r="W74" s="30"/>
      <c r="X74" s="30"/>
      <c r="Y74" s="30"/>
      <c r="Z74" s="30"/>
    </row>
    <row r="75" ht="13.5" customHeight="1">
      <c r="A75" s="701">
        <f t="shared" si="4"/>
        <v>75</v>
      </c>
      <c r="B75" s="466" t="s">
        <v>1162</v>
      </c>
      <c r="C75" s="466"/>
      <c r="D75" s="1359"/>
      <c r="E75" s="1359"/>
      <c r="F75" s="1357"/>
      <c r="G75" s="127"/>
      <c r="H75" s="1360"/>
      <c r="I75" s="1359"/>
      <c r="J75" s="1357"/>
      <c r="K75" s="131"/>
      <c r="L75" s="131"/>
      <c r="M75" s="119"/>
      <c r="N75" s="30"/>
      <c r="O75" s="30"/>
      <c r="P75" s="30"/>
      <c r="Q75" s="30"/>
      <c r="R75" s="30"/>
      <c r="S75" s="30"/>
      <c r="T75" s="30"/>
      <c r="U75" s="30"/>
      <c r="V75" s="30"/>
      <c r="W75" s="30"/>
      <c r="X75" s="30"/>
      <c r="Y75" s="30"/>
      <c r="Z75" s="30"/>
    </row>
    <row r="76" ht="13.5" customHeight="1">
      <c r="A76" s="701">
        <f t="shared" si="4"/>
        <v>76</v>
      </c>
      <c r="B76" s="466" t="s">
        <v>1163</v>
      </c>
      <c r="C76" s="466"/>
      <c r="D76" s="1359"/>
      <c r="E76" s="1359"/>
      <c r="F76" s="1357"/>
      <c r="G76" s="127"/>
      <c r="H76" s="1360"/>
      <c r="I76" s="1359"/>
      <c r="J76" s="1357"/>
      <c r="K76" s="131"/>
      <c r="L76" s="131"/>
      <c r="M76" s="119"/>
      <c r="N76" s="30"/>
      <c r="O76" s="30"/>
      <c r="P76" s="30"/>
      <c r="Q76" s="30"/>
      <c r="R76" s="30"/>
      <c r="S76" s="30"/>
      <c r="T76" s="30"/>
      <c r="U76" s="30"/>
      <c r="V76" s="30"/>
      <c r="W76" s="30"/>
      <c r="X76" s="30"/>
      <c r="Y76" s="30"/>
      <c r="Z76" s="30"/>
    </row>
    <row r="77" ht="13.5" customHeight="1">
      <c r="A77" s="701">
        <f t="shared" si="4"/>
        <v>77</v>
      </c>
      <c r="B77" s="466" t="s">
        <v>1164</v>
      </c>
      <c r="C77" s="466"/>
      <c r="D77" s="1359"/>
      <c r="E77" s="1359"/>
      <c r="F77" s="1357"/>
      <c r="G77" s="127"/>
      <c r="H77" s="1360"/>
      <c r="I77" s="1359"/>
      <c r="J77" s="1357"/>
      <c r="K77" s="131"/>
      <c r="L77" s="131"/>
      <c r="M77" s="119"/>
      <c r="N77" s="30"/>
      <c r="O77" s="30"/>
      <c r="P77" s="30"/>
      <c r="Q77" s="30"/>
      <c r="R77" s="30"/>
      <c r="S77" s="30"/>
      <c r="T77" s="30"/>
      <c r="U77" s="30"/>
      <c r="V77" s="30"/>
      <c r="W77" s="30"/>
      <c r="X77" s="30"/>
      <c r="Y77" s="30"/>
      <c r="Z77" s="30"/>
    </row>
    <row r="78" ht="13.5" customHeight="1">
      <c r="A78" s="701">
        <f t="shared" si="4"/>
        <v>78</v>
      </c>
      <c r="B78" s="466" t="s">
        <v>1165</v>
      </c>
      <c r="C78" s="466"/>
      <c r="D78" s="1359"/>
      <c r="E78" s="1359"/>
      <c r="F78" s="1357"/>
      <c r="G78" s="127"/>
      <c r="H78" s="1360"/>
      <c r="I78" s="1359"/>
      <c r="J78" s="1357"/>
      <c r="K78" s="131"/>
      <c r="L78" s="131"/>
      <c r="M78" s="119"/>
      <c r="N78" s="30"/>
      <c r="O78" s="30"/>
      <c r="P78" s="30"/>
      <c r="Q78" s="30"/>
      <c r="R78" s="30"/>
      <c r="S78" s="30"/>
      <c r="T78" s="30"/>
      <c r="U78" s="30"/>
      <c r="V78" s="30"/>
      <c r="W78" s="30"/>
      <c r="X78" s="30"/>
      <c r="Y78" s="30"/>
      <c r="Z78" s="30"/>
    </row>
    <row r="79" ht="13.5" customHeight="1">
      <c r="A79" s="701">
        <f t="shared" si="4"/>
        <v>79</v>
      </c>
      <c r="B79" s="466" t="s">
        <v>178</v>
      </c>
      <c r="C79" s="466"/>
      <c r="D79" s="1359"/>
      <c r="E79" s="1359"/>
      <c r="F79" s="1361"/>
      <c r="G79" s="127"/>
      <c r="H79" s="1360"/>
      <c r="I79" s="1359"/>
      <c r="J79" s="1361"/>
      <c r="K79" s="131"/>
      <c r="L79" s="131"/>
      <c r="M79" s="119"/>
      <c r="N79" s="30"/>
      <c r="O79" s="30"/>
      <c r="P79" s="30"/>
      <c r="Q79" s="30"/>
      <c r="R79" s="30"/>
      <c r="S79" s="30"/>
      <c r="T79" s="30"/>
      <c r="U79" s="30"/>
      <c r="V79" s="30"/>
      <c r="W79" s="30"/>
      <c r="X79" s="30"/>
      <c r="Y79" s="30"/>
      <c r="Z79" s="30"/>
    </row>
    <row r="80" ht="13.5" customHeight="1">
      <c r="A80" s="701">
        <f t="shared" si="4"/>
        <v>80</v>
      </c>
      <c r="B80" s="507" t="s">
        <v>1166</v>
      </c>
      <c r="C80" s="507"/>
      <c r="D80" s="1359"/>
      <c r="E80" s="1359"/>
      <c r="F80" s="1361"/>
      <c r="G80" s="127"/>
      <c r="H80" s="1360"/>
      <c r="I80" s="1359"/>
      <c r="J80" s="1361"/>
      <c r="K80" s="131"/>
      <c r="L80" s="131"/>
      <c r="M80" s="119"/>
      <c r="N80" s="30"/>
      <c r="O80" s="30"/>
      <c r="P80" s="30"/>
      <c r="Q80" s="30"/>
      <c r="R80" s="30"/>
      <c r="S80" s="30"/>
      <c r="T80" s="30"/>
      <c r="U80" s="30"/>
      <c r="V80" s="30"/>
      <c r="W80" s="30"/>
      <c r="X80" s="30"/>
      <c r="Y80" s="30"/>
      <c r="Z80" s="30"/>
    </row>
    <row r="81" ht="13.5" customHeight="1">
      <c r="A81" s="701">
        <f t="shared" si="4"/>
        <v>81</v>
      </c>
      <c r="B81" s="507" t="s">
        <v>1166</v>
      </c>
      <c r="C81" s="507"/>
      <c r="D81" s="1359"/>
      <c r="E81" s="1359"/>
      <c r="F81" s="1361"/>
      <c r="G81" s="127"/>
      <c r="H81" s="1360"/>
      <c r="I81" s="1359"/>
      <c r="J81" s="1361"/>
      <c r="K81" s="131"/>
      <c r="L81" s="131"/>
      <c r="M81" s="119"/>
      <c r="N81" s="30"/>
      <c r="O81" s="30"/>
      <c r="P81" s="30"/>
      <c r="Q81" s="30"/>
      <c r="R81" s="30"/>
      <c r="S81" s="30"/>
      <c r="T81" s="30"/>
      <c r="U81" s="30"/>
      <c r="V81" s="30"/>
      <c r="W81" s="30"/>
      <c r="X81" s="30"/>
      <c r="Y81" s="30"/>
      <c r="Z81" s="30"/>
    </row>
    <row r="82" ht="13.5" customHeight="1">
      <c r="A82" s="701">
        <f t="shared" si="4"/>
        <v>82</v>
      </c>
      <c r="B82" s="507" t="s">
        <v>1166</v>
      </c>
      <c r="C82" s="507"/>
      <c r="D82" s="1359"/>
      <c r="E82" s="1359"/>
      <c r="F82" s="1362"/>
      <c r="G82" s="127"/>
      <c r="H82" s="1363"/>
      <c r="I82" s="1364"/>
      <c r="J82" s="1362"/>
      <c r="K82" s="131"/>
      <c r="L82" s="131"/>
      <c r="M82" s="119"/>
      <c r="N82" s="30"/>
      <c r="O82" s="30"/>
      <c r="P82" s="30"/>
      <c r="Q82" s="30"/>
      <c r="R82" s="30"/>
      <c r="S82" s="30"/>
      <c r="T82" s="30"/>
      <c r="U82" s="30"/>
      <c r="V82" s="30"/>
      <c r="W82" s="30"/>
      <c r="X82" s="30"/>
      <c r="Y82" s="30"/>
      <c r="Z82" s="30"/>
    </row>
    <row r="83" ht="13.5" customHeight="1">
      <c r="A83" s="701">
        <f t="shared" si="4"/>
        <v>83</v>
      </c>
      <c r="B83" s="472" t="s">
        <v>1167</v>
      </c>
      <c r="C83" s="522"/>
      <c r="D83" s="1288"/>
      <c r="E83" s="1288"/>
      <c r="F83" s="1288"/>
      <c r="G83" s="30"/>
      <c r="H83" s="30"/>
      <c r="I83" s="30"/>
      <c r="J83" s="30"/>
      <c r="K83" s="30"/>
      <c r="L83" s="30"/>
      <c r="M83" s="119"/>
      <c r="N83" s="30"/>
      <c r="O83" s="30"/>
      <c r="P83" s="30"/>
      <c r="Q83" s="30"/>
      <c r="R83" s="30"/>
      <c r="S83" s="30"/>
      <c r="T83" s="30"/>
      <c r="U83" s="30"/>
      <c r="V83" s="30"/>
      <c r="W83" s="30"/>
      <c r="X83" s="30"/>
      <c r="Y83" s="30"/>
      <c r="Z83" s="30"/>
    </row>
    <row r="84" ht="13.5" customHeight="1">
      <c r="A84" s="701">
        <f t="shared" si="4"/>
        <v>84</v>
      </c>
      <c r="B84" s="476" t="s">
        <v>1168</v>
      </c>
      <c r="C84" s="460"/>
      <c r="D84" s="479"/>
      <c r="E84" s="99"/>
      <c r="F84" s="99"/>
      <c r="G84" s="99"/>
      <c r="H84" s="479"/>
      <c r="I84" s="479"/>
      <c r="J84" s="479"/>
      <c r="K84" s="479"/>
      <c r="L84" s="479"/>
      <c r="M84" s="119"/>
      <c r="N84" s="30"/>
      <c r="O84" s="30"/>
      <c r="P84" s="30"/>
      <c r="Q84" s="30"/>
      <c r="R84" s="30"/>
      <c r="S84" s="30"/>
      <c r="T84" s="30"/>
      <c r="U84" s="30"/>
      <c r="V84" s="30"/>
      <c r="W84" s="30"/>
      <c r="X84" s="30"/>
      <c r="Y84" s="30"/>
      <c r="Z84" s="30"/>
    </row>
    <row r="85" ht="13.5" customHeight="1">
      <c r="A85" s="701">
        <f t="shared" si="4"/>
        <v>85</v>
      </c>
      <c r="B85" s="476" t="s">
        <v>1169</v>
      </c>
      <c r="C85" s="460"/>
      <c r="D85" s="460"/>
      <c r="E85" s="685"/>
      <c r="F85" s="685"/>
      <c r="G85" s="685"/>
      <c r="H85" s="685"/>
      <c r="I85" s="685"/>
      <c r="J85" s="685"/>
      <c r="K85" s="685"/>
      <c r="L85" s="685"/>
      <c r="M85" s="119"/>
      <c r="N85" s="30"/>
      <c r="O85" s="30"/>
      <c r="P85" s="30"/>
      <c r="Q85" s="30"/>
      <c r="R85" s="30"/>
      <c r="S85" s="30"/>
      <c r="T85" s="30"/>
      <c r="U85" s="30"/>
      <c r="V85" s="30"/>
      <c r="W85" s="30"/>
      <c r="X85" s="30"/>
      <c r="Y85" s="30"/>
      <c r="Z85" s="30"/>
    </row>
    <row r="86" ht="13.5" customHeight="1">
      <c r="A86" s="701">
        <f t="shared" si="4"/>
        <v>86</v>
      </c>
      <c r="B86" s="476" t="s">
        <v>1170</v>
      </c>
      <c r="C86" s="30"/>
      <c r="D86" s="30"/>
      <c r="E86" s="30"/>
      <c r="F86" s="30"/>
      <c r="G86" s="30"/>
      <c r="H86" s="30"/>
      <c r="I86" s="30"/>
      <c r="J86" s="30"/>
      <c r="K86" s="30"/>
      <c r="L86" s="30"/>
      <c r="M86" s="119"/>
      <c r="N86" s="30"/>
      <c r="O86" s="30"/>
      <c r="P86" s="30"/>
      <c r="Q86" s="30"/>
      <c r="R86" s="30"/>
      <c r="S86" s="30"/>
      <c r="T86" s="30"/>
      <c r="U86" s="30"/>
      <c r="V86" s="30"/>
      <c r="W86" s="30"/>
      <c r="X86" s="30"/>
      <c r="Y86" s="30"/>
      <c r="Z86" s="30"/>
    </row>
    <row r="87" ht="13.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ht="13.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ht="13.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ht="13.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D44:F44"/>
    <mergeCell ref="H44:J44"/>
  </mergeCells>
  <conditionalFormatting sqref="B48:C79">
    <cfRule type="expression" dxfId="2" priority="1" stopIfTrue="1">
      <formula>MOD(ROW(),2)=0</formula>
    </cfRule>
  </conditionalFormatting>
  <conditionalFormatting sqref="C1">
    <cfRule type="expression" dxfId="2" priority="2" stopIfTrue="1">
      <formula>MOD(ROW(),2)=0</formula>
    </cfRule>
  </conditionalFormatting>
  <conditionalFormatting sqref="D17:D22">
    <cfRule type="cellIs" dxfId="1" priority="3" stopIfTrue="1" operator="equal">
      <formula>0</formula>
    </cfRule>
  </conditionalFormatting>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42"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26" width="8.86"/>
  </cols>
  <sheetData>
    <row r="3">
      <c r="B3" s="1365" t="s">
        <v>1171</v>
      </c>
      <c r="C3" s="1366"/>
      <c r="D3" s="1366"/>
      <c r="E3" s="1366"/>
      <c r="F3" s="1366"/>
      <c r="G3" s="1366"/>
      <c r="H3" s="1366"/>
      <c r="I3" s="1366"/>
      <c r="J3" s="1366"/>
      <c r="K3" s="1366"/>
      <c r="L3" s="1366"/>
      <c r="M3" s="1366"/>
      <c r="N3" s="1366"/>
      <c r="O3" s="1366"/>
      <c r="P3" s="1366"/>
      <c r="Q3" s="1366"/>
      <c r="R3" s="1366"/>
    </row>
    <row r="4">
      <c r="B4" s="1367" t="s">
        <v>1172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4.71"/>
    <col customWidth="1" min="2" max="2" width="8.71"/>
    <col customWidth="1" min="3" max="3" width="11.71"/>
    <col customWidth="1" min="4" max="4" width="10.71"/>
    <col customWidth="1" min="5" max="8" width="8.71"/>
    <col customWidth="1" min="9" max="9" width="14.29"/>
    <col customWidth="1" min="10" max="10" width="8.71"/>
    <col customWidth="1" min="11" max="11" width="13.43"/>
    <col customWidth="1" min="12" max="12" width="8.71"/>
    <col customWidth="1" min="13" max="13" width="8.29"/>
    <col customWidth="1" min="14" max="26" width="8.71"/>
  </cols>
  <sheetData>
    <row r="1" ht="12.75" customHeight="1">
      <c r="A1" s="2" t="s">
        <v>1173</v>
      </c>
      <c r="B1" s="2"/>
      <c r="C1" s="2"/>
      <c r="D1" s="2"/>
      <c r="E1" s="2"/>
      <c r="F1" s="357"/>
      <c r="G1" s="357"/>
      <c r="H1" s="357"/>
      <c r="I1" s="357"/>
      <c r="J1" s="357"/>
      <c r="K1" s="357"/>
      <c r="L1" s="357"/>
      <c r="M1" s="357"/>
      <c r="N1" s="357"/>
      <c r="O1" s="357"/>
      <c r="P1" s="357"/>
      <c r="Q1" s="357"/>
      <c r="R1" s="357"/>
      <c r="S1" s="357"/>
      <c r="T1" s="357"/>
      <c r="U1" s="357"/>
      <c r="V1" s="357"/>
      <c r="W1" s="357"/>
      <c r="X1" s="357"/>
      <c r="Y1" s="357"/>
      <c r="Z1" s="357"/>
    </row>
    <row r="2" ht="12.75" customHeight="1">
      <c r="A2" s="1368" t="str">
        <f>SchoolName</f>
        <v>Explore Knowledge Academy</v>
      </c>
      <c r="B2" s="1262"/>
      <c r="C2" s="1262"/>
      <c r="D2" s="1262"/>
      <c r="E2" s="1164"/>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5"/>
      <c r="C6" s="5"/>
      <c r="D6" s="5"/>
      <c r="E6" s="5"/>
      <c r="F6" s="5"/>
      <c r="G6" s="5"/>
      <c r="H6" s="5"/>
      <c r="I6" s="5"/>
      <c r="J6" s="5"/>
      <c r="K6" s="5"/>
      <c r="L6" s="5"/>
      <c r="M6" s="5"/>
      <c r="N6" s="5"/>
      <c r="O6" s="5"/>
      <c r="P6" s="357"/>
      <c r="Q6" s="357"/>
      <c r="R6" s="357"/>
      <c r="S6" s="357"/>
      <c r="T6" s="357"/>
      <c r="U6" s="357"/>
      <c r="V6" s="357"/>
      <c r="W6" s="357"/>
      <c r="X6" s="357"/>
      <c r="Y6" s="357"/>
      <c r="Z6" s="357"/>
    </row>
    <row r="7" ht="12.75" customHeight="1">
      <c r="A7" s="5"/>
      <c r="B7" s="5"/>
      <c r="C7" s="5"/>
      <c r="D7" s="5"/>
      <c r="E7" s="5"/>
      <c r="F7" s="5"/>
      <c r="G7" s="5"/>
      <c r="H7" s="5"/>
      <c r="I7" s="5"/>
      <c r="J7" s="5"/>
      <c r="K7" s="5"/>
      <c r="L7" s="5"/>
      <c r="M7" s="5"/>
      <c r="N7" s="5"/>
      <c r="O7" s="5"/>
      <c r="P7" s="357"/>
      <c r="Q7" s="357"/>
      <c r="R7" s="357"/>
      <c r="S7" s="357"/>
      <c r="T7" s="357"/>
      <c r="U7" s="357"/>
      <c r="V7" s="357"/>
      <c r="W7" s="357"/>
      <c r="X7" s="357"/>
      <c r="Y7" s="357"/>
      <c r="Z7" s="357"/>
    </row>
    <row r="8" ht="12.75" customHeight="1">
      <c r="A8" s="5"/>
      <c r="B8" s="5"/>
      <c r="C8" s="5"/>
      <c r="D8" s="5"/>
      <c r="E8" s="5"/>
      <c r="F8" s="5"/>
      <c r="G8" s="5"/>
      <c r="H8" s="5"/>
      <c r="I8" s="5"/>
      <c r="J8" s="5"/>
      <c r="K8" s="5"/>
      <c r="L8" s="5"/>
      <c r="M8" s="5"/>
      <c r="N8" s="5"/>
      <c r="O8" s="5"/>
      <c r="P8" s="357"/>
      <c r="Q8" s="357"/>
      <c r="R8" s="357"/>
      <c r="S8" s="357"/>
      <c r="T8" s="357"/>
      <c r="U8" s="357"/>
      <c r="V8" s="357"/>
      <c r="W8" s="357"/>
      <c r="X8" s="357"/>
      <c r="Y8" s="357"/>
      <c r="Z8" s="357"/>
    </row>
    <row r="9" ht="12.75" customHeight="1">
      <c r="A9" s="5"/>
      <c r="B9" s="5"/>
      <c r="C9" s="5"/>
      <c r="D9" s="5"/>
      <c r="E9" s="5"/>
      <c r="F9" s="5"/>
      <c r="G9" s="5"/>
      <c r="H9" s="5"/>
      <c r="I9" s="5"/>
      <c r="J9" s="5"/>
      <c r="K9" s="5"/>
      <c r="L9" s="5"/>
      <c r="M9" s="5"/>
      <c r="N9" s="5"/>
      <c r="O9" s="5"/>
      <c r="P9" s="357"/>
      <c r="Q9" s="357"/>
      <c r="R9" s="357"/>
      <c r="S9" s="357"/>
      <c r="T9" s="357"/>
      <c r="U9" s="357"/>
      <c r="V9" s="357"/>
      <c r="W9" s="357"/>
      <c r="X9" s="357"/>
      <c r="Y9" s="357"/>
      <c r="Z9" s="357"/>
    </row>
    <row r="10" ht="12.75" customHeight="1">
      <c r="A10" s="5"/>
      <c r="B10" s="1369" t="s">
        <v>1174</v>
      </c>
      <c r="C10" s="5"/>
      <c r="D10" s="5"/>
      <c r="E10" s="5"/>
      <c r="F10" s="5"/>
      <c r="G10" s="5"/>
      <c r="H10" s="5"/>
      <c r="I10" s="5"/>
      <c r="J10" s="5"/>
      <c r="K10" s="5"/>
      <c r="L10" s="5"/>
      <c r="M10" s="5"/>
      <c r="N10" s="5"/>
      <c r="O10" s="5"/>
      <c r="P10" s="357"/>
      <c r="Q10" s="357"/>
      <c r="R10" s="357"/>
      <c r="S10" s="357"/>
      <c r="T10" s="357"/>
      <c r="U10" s="357"/>
      <c r="V10" s="357"/>
      <c r="W10" s="357"/>
      <c r="X10" s="357"/>
      <c r="Y10" s="357"/>
      <c r="Z10" s="357"/>
    </row>
    <row r="11" ht="12.75" customHeight="1">
      <c r="A11" s="5"/>
      <c r="B11" s="1370" t="s">
        <v>1175</v>
      </c>
      <c r="C11" s="5"/>
      <c r="D11" s="5"/>
      <c r="E11" s="5"/>
      <c r="F11" s="5"/>
      <c r="G11" s="5"/>
      <c r="H11" s="5"/>
      <c r="I11" s="5"/>
      <c r="J11" s="5"/>
      <c r="K11" s="5"/>
      <c r="L11" s="5"/>
      <c r="M11" s="5"/>
      <c r="N11" s="5"/>
      <c r="O11" s="5"/>
      <c r="P11" s="357"/>
      <c r="Q11" s="357"/>
      <c r="R11" s="357"/>
      <c r="S11" s="357"/>
      <c r="T11" s="357"/>
      <c r="U11" s="357"/>
      <c r="V11" s="357"/>
      <c r="W11" s="357"/>
      <c r="X11" s="357"/>
      <c r="Y11" s="357"/>
      <c r="Z11" s="357"/>
    </row>
    <row r="12" ht="12.75" customHeight="1">
      <c r="A12" s="5"/>
      <c r="B12" s="1370" t="s">
        <v>1176</v>
      </c>
      <c r="C12" s="5"/>
      <c r="D12" s="5"/>
      <c r="E12" s="5"/>
      <c r="F12" s="5"/>
      <c r="G12" s="5"/>
      <c r="H12" s="5"/>
      <c r="I12" s="5"/>
      <c r="J12" s="5"/>
      <c r="K12" s="5"/>
      <c r="L12" s="5"/>
      <c r="M12" s="5"/>
      <c r="N12" s="5"/>
      <c r="O12" s="5"/>
      <c r="P12" s="357"/>
      <c r="Q12" s="357"/>
      <c r="R12" s="357"/>
      <c r="S12" s="357"/>
      <c r="T12" s="357"/>
      <c r="U12" s="357"/>
      <c r="V12" s="357"/>
      <c r="W12" s="357"/>
      <c r="X12" s="357"/>
      <c r="Y12" s="357"/>
      <c r="Z12" s="357"/>
    </row>
    <row r="13" ht="12.75" customHeight="1">
      <c r="A13" s="5"/>
      <c r="B13" s="5"/>
      <c r="C13" s="5"/>
      <c r="D13" s="5"/>
      <c r="E13" s="5"/>
      <c r="F13" s="5"/>
      <c r="G13" s="5"/>
      <c r="H13" s="5"/>
      <c r="I13" s="5"/>
      <c r="J13" s="5"/>
      <c r="K13" s="5"/>
      <c r="L13" s="5"/>
      <c r="M13" s="5"/>
      <c r="N13" s="5"/>
      <c r="O13" s="5"/>
      <c r="P13" s="357"/>
      <c r="Q13" s="357"/>
      <c r="R13" s="357"/>
      <c r="S13" s="357"/>
      <c r="T13" s="357"/>
      <c r="U13" s="357"/>
      <c r="V13" s="357"/>
      <c r="W13" s="357"/>
      <c r="X13" s="357"/>
      <c r="Y13" s="357"/>
      <c r="Z13" s="357"/>
    </row>
    <row r="14" ht="12.75" customHeight="1">
      <c r="A14" s="5"/>
      <c r="B14" s="5"/>
      <c r="C14" s="5"/>
      <c r="D14" s="5"/>
      <c r="E14" s="5"/>
      <c r="F14" s="5"/>
      <c r="G14" s="5"/>
      <c r="H14" s="5"/>
      <c r="I14" s="5"/>
      <c r="J14" s="5"/>
      <c r="K14" s="5"/>
      <c r="L14" s="5"/>
      <c r="M14" s="5"/>
      <c r="N14" s="5"/>
      <c r="O14" s="5"/>
      <c r="P14" s="357"/>
      <c r="Q14" s="357"/>
      <c r="R14" s="357"/>
      <c r="S14" s="357"/>
      <c r="T14" s="357"/>
      <c r="U14" s="357"/>
      <c r="V14" s="357"/>
      <c r="W14" s="357"/>
      <c r="X14" s="357"/>
      <c r="Y14" s="357"/>
      <c r="Z14" s="357"/>
    </row>
    <row r="15" ht="12.75" customHeight="1">
      <c r="A15" s="5"/>
      <c r="B15" s="5"/>
      <c r="C15" s="5"/>
      <c r="D15" s="5"/>
      <c r="E15" s="5"/>
      <c r="F15" s="5"/>
      <c r="G15" s="5"/>
      <c r="H15" s="5"/>
      <c r="I15" s="5"/>
      <c r="J15" s="5"/>
      <c r="K15" s="5"/>
      <c r="L15" s="5"/>
      <c r="M15" s="5"/>
      <c r="N15" s="5"/>
      <c r="O15" s="5"/>
      <c r="P15" s="357"/>
      <c r="Q15" s="357"/>
      <c r="R15" s="357"/>
      <c r="S15" s="357"/>
      <c r="T15" s="357"/>
      <c r="U15" s="357"/>
      <c r="V15" s="357"/>
      <c r="W15" s="357"/>
      <c r="X15" s="357"/>
      <c r="Y15" s="357"/>
      <c r="Z15" s="357"/>
    </row>
    <row r="16" ht="12.75" customHeight="1">
      <c r="A16" s="5"/>
      <c r="B16" s="5"/>
      <c r="C16" s="5"/>
      <c r="D16" s="5"/>
      <c r="E16" s="5"/>
      <c r="F16" s="5"/>
      <c r="G16" s="5"/>
      <c r="H16" s="5"/>
      <c r="I16" s="5"/>
      <c r="J16" s="5"/>
      <c r="K16" s="5"/>
      <c r="L16" s="5"/>
      <c r="M16" s="5"/>
      <c r="N16" s="5"/>
      <c r="O16" s="5"/>
      <c r="P16" s="357"/>
      <c r="Q16" s="357"/>
      <c r="R16" s="357"/>
      <c r="S16" s="357"/>
      <c r="T16" s="357"/>
      <c r="U16" s="357"/>
      <c r="V16" s="357"/>
      <c r="W16" s="357"/>
      <c r="X16" s="357"/>
      <c r="Y16" s="357"/>
      <c r="Z16" s="357"/>
    </row>
    <row r="17" ht="12.75" customHeight="1">
      <c r="A17" s="5"/>
      <c r="B17" s="5"/>
      <c r="C17" s="5"/>
      <c r="D17" s="5"/>
      <c r="E17" s="5"/>
      <c r="F17" s="5"/>
      <c r="G17" s="5"/>
      <c r="H17" s="5"/>
      <c r="I17" s="5"/>
      <c r="J17" s="5"/>
      <c r="K17" s="5"/>
      <c r="L17" s="5"/>
      <c r="M17" s="5"/>
      <c r="N17" s="5"/>
      <c r="O17" s="5"/>
      <c r="P17" s="357"/>
      <c r="Q17" s="357"/>
      <c r="R17" s="357"/>
      <c r="S17" s="357"/>
      <c r="T17" s="357"/>
      <c r="U17" s="357"/>
      <c r="V17" s="357"/>
      <c r="W17" s="357"/>
      <c r="X17" s="357"/>
      <c r="Y17" s="357"/>
      <c r="Z17" s="357"/>
    </row>
    <row r="18" ht="12.75" customHeight="1">
      <c r="A18" s="5"/>
      <c r="B18" s="5"/>
      <c r="C18" s="5"/>
      <c r="D18" s="5"/>
      <c r="E18" s="5"/>
      <c r="F18" s="5"/>
      <c r="G18" s="5"/>
      <c r="H18" s="5"/>
      <c r="I18" s="5"/>
      <c r="J18" s="5"/>
      <c r="K18" s="5"/>
      <c r="L18" s="5"/>
      <c r="M18" s="5"/>
      <c r="N18" s="5"/>
      <c r="O18" s="5"/>
      <c r="P18" s="357"/>
      <c r="Q18" s="357"/>
      <c r="R18" s="357"/>
      <c r="S18" s="357"/>
      <c r="T18" s="357"/>
      <c r="U18" s="357"/>
      <c r="V18" s="357"/>
      <c r="W18" s="357"/>
      <c r="X18" s="357"/>
      <c r="Y18" s="357"/>
      <c r="Z18" s="357"/>
    </row>
    <row r="19" ht="12.75" customHeight="1">
      <c r="A19" s="5"/>
      <c r="B19" s="5"/>
      <c r="C19" s="5"/>
      <c r="D19" s="5"/>
      <c r="E19" s="5"/>
      <c r="F19" s="5"/>
      <c r="G19" s="5"/>
      <c r="H19" s="5"/>
      <c r="I19" s="5"/>
      <c r="J19" s="5"/>
      <c r="K19" s="5"/>
      <c r="L19" s="5"/>
      <c r="M19" s="5"/>
      <c r="N19" s="5"/>
      <c r="O19" s="5"/>
      <c r="P19" s="357"/>
      <c r="Q19" s="357"/>
      <c r="R19" s="357"/>
      <c r="S19" s="357"/>
      <c r="T19" s="357"/>
      <c r="U19" s="357"/>
      <c r="V19" s="357"/>
      <c r="W19" s="357"/>
      <c r="X19" s="357"/>
      <c r="Y19" s="357"/>
      <c r="Z19" s="357"/>
    </row>
    <row r="20" ht="12.75" customHeight="1">
      <c r="A20" s="5"/>
      <c r="B20" s="5"/>
      <c r="C20" s="5"/>
      <c r="D20" s="5"/>
      <c r="E20" s="5"/>
      <c r="F20" s="5"/>
      <c r="G20" s="5"/>
      <c r="H20" s="5"/>
      <c r="I20" s="5"/>
      <c r="J20" s="5"/>
      <c r="K20" s="5"/>
      <c r="L20" s="5"/>
      <c r="M20" s="5"/>
      <c r="N20" s="5"/>
      <c r="O20" s="5"/>
      <c r="P20" s="357"/>
      <c r="Q20" s="357"/>
      <c r="R20" s="357"/>
      <c r="S20" s="357"/>
      <c r="T20" s="357"/>
      <c r="U20" s="357"/>
      <c r="V20" s="357"/>
      <c r="W20" s="357"/>
      <c r="X20" s="357"/>
      <c r="Y20" s="357"/>
      <c r="Z20" s="357"/>
    </row>
    <row r="21" ht="12.75" customHeight="1">
      <c r="A21" s="5"/>
      <c r="B21" s="5"/>
      <c r="C21" s="5"/>
      <c r="D21" s="5"/>
      <c r="E21" s="5"/>
      <c r="F21" s="5"/>
      <c r="G21" s="5"/>
      <c r="H21" s="5"/>
      <c r="I21" s="5"/>
      <c r="J21" s="5"/>
      <c r="K21" s="5"/>
      <c r="L21" s="5"/>
      <c r="M21" s="5"/>
      <c r="N21" s="5"/>
      <c r="O21" s="5"/>
      <c r="P21" s="357"/>
      <c r="Q21" s="357"/>
      <c r="R21" s="357"/>
      <c r="S21" s="357"/>
      <c r="T21" s="357"/>
      <c r="U21" s="357"/>
      <c r="V21" s="357"/>
      <c r="W21" s="357"/>
      <c r="X21" s="357"/>
      <c r="Y21" s="357"/>
      <c r="Z21" s="357"/>
    </row>
    <row r="22" ht="12.75" customHeight="1">
      <c r="A22" s="5"/>
      <c r="B22" s="5"/>
      <c r="C22" s="5"/>
      <c r="D22" s="5"/>
      <c r="E22" s="5"/>
      <c r="F22" s="5"/>
      <c r="G22" s="5"/>
      <c r="H22" s="5"/>
      <c r="I22" s="5"/>
      <c r="J22" s="5"/>
      <c r="K22" s="5"/>
      <c r="L22" s="5"/>
      <c r="M22" s="5"/>
      <c r="N22" s="5"/>
      <c r="O22" s="5"/>
      <c r="P22" s="357"/>
      <c r="Q22" s="357"/>
      <c r="R22" s="357"/>
      <c r="S22" s="357"/>
      <c r="T22" s="357"/>
      <c r="U22" s="357"/>
      <c r="V22" s="357"/>
      <c r="W22" s="357"/>
      <c r="X22" s="357"/>
      <c r="Y22" s="357"/>
      <c r="Z22" s="357"/>
    </row>
    <row r="23" ht="12.75" customHeight="1">
      <c r="A23" s="5"/>
      <c r="B23" s="5"/>
      <c r="C23" s="5"/>
      <c r="D23" s="5"/>
      <c r="E23" s="5"/>
      <c r="F23" s="5"/>
      <c r="G23" s="5"/>
      <c r="H23" s="5"/>
      <c r="I23" s="5"/>
      <c r="J23" s="5"/>
      <c r="K23" s="5"/>
      <c r="L23" s="5"/>
      <c r="M23" s="5"/>
      <c r="N23" s="5"/>
      <c r="O23" s="5"/>
      <c r="P23" s="357"/>
      <c r="Q23" s="357"/>
      <c r="R23" s="357"/>
      <c r="S23" s="357"/>
      <c r="T23" s="357"/>
      <c r="U23" s="357"/>
      <c r="V23" s="357"/>
      <c r="W23" s="357"/>
      <c r="X23" s="357"/>
      <c r="Y23" s="357"/>
      <c r="Z23" s="357"/>
    </row>
    <row r="24" ht="12.75" customHeight="1">
      <c r="A24" s="5"/>
      <c r="B24" s="5"/>
      <c r="C24" s="5"/>
      <c r="D24" s="5"/>
      <c r="E24" s="5"/>
      <c r="F24" s="5"/>
      <c r="G24" s="5"/>
      <c r="H24" s="5"/>
      <c r="I24" s="5"/>
      <c r="J24" s="5"/>
      <c r="K24" s="5"/>
      <c r="L24" s="5"/>
      <c r="M24" s="5"/>
      <c r="N24" s="5"/>
      <c r="O24" s="5"/>
      <c r="P24" s="357"/>
      <c r="Q24" s="357"/>
      <c r="R24" s="357"/>
      <c r="S24" s="357"/>
      <c r="T24" s="357"/>
      <c r="U24" s="357"/>
      <c r="V24" s="357"/>
      <c r="W24" s="357"/>
      <c r="X24" s="357"/>
      <c r="Y24" s="357"/>
      <c r="Z24" s="357"/>
    </row>
    <row r="25" ht="12.75" customHeight="1">
      <c r="A25" s="5"/>
      <c r="B25" s="5"/>
      <c r="C25" s="5"/>
      <c r="D25" s="5"/>
      <c r="E25" s="5"/>
      <c r="F25" s="5"/>
      <c r="G25" s="5"/>
      <c r="H25" s="5"/>
      <c r="I25" s="5"/>
      <c r="J25" s="5"/>
      <c r="K25" s="5"/>
      <c r="L25" s="5"/>
      <c r="M25" s="5"/>
      <c r="N25" s="5"/>
      <c r="O25" s="5"/>
      <c r="P25" s="357"/>
      <c r="Q25" s="357"/>
      <c r="R25" s="357"/>
      <c r="S25" s="357"/>
      <c r="T25" s="357"/>
      <c r="U25" s="357"/>
      <c r="V25" s="357"/>
      <c r="W25" s="357"/>
      <c r="X25" s="357"/>
      <c r="Y25" s="357"/>
      <c r="Z25" s="357"/>
    </row>
    <row r="26" ht="12.75" customHeight="1">
      <c r="A26" s="5"/>
      <c r="B26" s="5"/>
      <c r="C26" s="5"/>
      <c r="D26" s="5"/>
      <c r="E26" s="5"/>
      <c r="F26" s="5"/>
      <c r="G26" s="5"/>
      <c r="H26" s="5"/>
      <c r="I26" s="5"/>
      <c r="J26" s="5"/>
      <c r="K26" s="5"/>
      <c r="L26" s="5"/>
      <c r="M26" s="5"/>
      <c r="N26" s="5"/>
      <c r="O26" s="5"/>
      <c r="P26" s="357"/>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5"/>
      <c r="P27" s="357"/>
      <c r="Q27" s="357"/>
      <c r="R27" s="357"/>
      <c r="S27" s="357"/>
      <c r="T27" s="357"/>
      <c r="U27" s="357"/>
      <c r="V27" s="357"/>
      <c r="W27" s="357"/>
      <c r="X27" s="357"/>
      <c r="Y27" s="357"/>
      <c r="Z27" s="357"/>
    </row>
    <row r="28" ht="12.75" customHeight="1">
      <c r="A28" s="5"/>
      <c r="B28" s="5"/>
      <c r="C28" s="5"/>
      <c r="D28" s="5"/>
      <c r="E28" s="5"/>
      <c r="F28" s="5"/>
      <c r="G28" s="5"/>
      <c r="H28" s="5"/>
      <c r="I28" s="5"/>
      <c r="J28" s="5"/>
      <c r="K28" s="5"/>
      <c r="L28" s="5"/>
      <c r="M28" s="5"/>
      <c r="N28" s="5"/>
      <c r="O28" s="5"/>
      <c r="P28" s="357"/>
      <c r="Q28" s="357"/>
      <c r="R28" s="357"/>
      <c r="S28" s="357"/>
      <c r="T28" s="357"/>
      <c r="U28" s="357"/>
      <c r="V28" s="357"/>
      <c r="W28" s="357"/>
      <c r="X28" s="357"/>
      <c r="Y28" s="357"/>
      <c r="Z28" s="357"/>
    </row>
    <row r="29" ht="12.75" customHeight="1">
      <c r="A29" s="5"/>
      <c r="B29" s="5"/>
      <c r="C29" s="5"/>
      <c r="D29" s="5"/>
      <c r="E29" s="5"/>
      <c r="F29" s="5"/>
      <c r="G29" s="5"/>
      <c r="H29" s="5"/>
      <c r="I29" s="5"/>
      <c r="J29" s="5"/>
      <c r="K29" s="5"/>
      <c r="L29" s="5"/>
      <c r="M29" s="5"/>
      <c r="N29" s="5"/>
      <c r="O29" s="5"/>
      <c r="P29" s="357"/>
      <c r="Q29" s="357"/>
      <c r="R29" s="357"/>
      <c r="S29" s="357"/>
      <c r="T29" s="357"/>
      <c r="U29" s="357"/>
      <c r="V29" s="357"/>
      <c r="W29" s="357"/>
      <c r="X29" s="357"/>
      <c r="Y29" s="357"/>
      <c r="Z29" s="357"/>
    </row>
    <row r="30" ht="12.75" customHeight="1">
      <c r="A30" s="5"/>
      <c r="B30" s="5"/>
      <c r="C30" s="5"/>
      <c r="D30" s="5"/>
      <c r="E30" s="5"/>
      <c r="F30" s="5"/>
      <c r="G30" s="5"/>
      <c r="H30" s="5"/>
      <c r="I30" s="5"/>
      <c r="J30" s="5"/>
      <c r="K30" s="5"/>
      <c r="L30" s="5"/>
      <c r="M30" s="5"/>
      <c r="N30" s="5"/>
      <c r="O30" s="5"/>
      <c r="P30" s="357"/>
      <c r="Q30" s="357"/>
      <c r="R30" s="357"/>
      <c r="S30" s="357"/>
      <c r="T30" s="357"/>
      <c r="U30" s="357"/>
      <c r="V30" s="357"/>
      <c r="W30" s="357"/>
      <c r="X30" s="357"/>
      <c r="Y30" s="357"/>
      <c r="Z30" s="357"/>
    </row>
    <row r="31" ht="12.75" customHeight="1">
      <c r="A31" s="5"/>
      <c r="B31" s="5"/>
      <c r="C31" s="5"/>
      <c r="D31" s="5"/>
      <c r="E31" s="5"/>
      <c r="F31" s="5"/>
      <c r="G31" s="5"/>
      <c r="H31" s="5"/>
      <c r="I31" s="5"/>
      <c r="J31" s="5"/>
      <c r="K31" s="5"/>
      <c r="L31" s="5"/>
      <c r="M31" s="5"/>
      <c r="N31" s="5"/>
      <c r="O31" s="5"/>
      <c r="P31" s="357"/>
      <c r="Q31" s="357"/>
      <c r="R31" s="357"/>
      <c r="S31" s="357"/>
      <c r="T31" s="357"/>
      <c r="U31" s="357"/>
      <c r="V31" s="357"/>
      <c r="W31" s="357"/>
      <c r="X31" s="357"/>
      <c r="Y31" s="357"/>
      <c r="Z31" s="357"/>
    </row>
    <row r="32" ht="12.75" customHeight="1">
      <c r="A32" s="5"/>
      <c r="B32" s="5"/>
      <c r="C32" s="5"/>
      <c r="D32" s="5"/>
      <c r="E32" s="5"/>
      <c r="F32" s="5"/>
      <c r="G32" s="5"/>
      <c r="H32" s="5"/>
      <c r="I32" s="5"/>
      <c r="J32" s="5"/>
      <c r="K32" s="5"/>
      <c r="L32" s="5"/>
      <c r="M32" s="5"/>
      <c r="N32" s="5"/>
      <c r="O32" s="5"/>
      <c r="P32" s="357"/>
      <c r="Q32" s="357"/>
      <c r="R32" s="357"/>
      <c r="S32" s="357"/>
      <c r="T32" s="357"/>
      <c r="U32" s="357"/>
      <c r="V32" s="357"/>
      <c r="W32" s="357"/>
      <c r="X32" s="357"/>
      <c r="Y32" s="357"/>
      <c r="Z32" s="357"/>
    </row>
    <row r="33" ht="12.75" customHeight="1">
      <c r="A33" s="5"/>
      <c r="B33" s="5"/>
      <c r="C33" s="5"/>
      <c r="D33" s="5"/>
      <c r="E33" s="5"/>
      <c r="F33" s="5"/>
      <c r="G33" s="5"/>
      <c r="H33" s="5"/>
      <c r="I33" s="5"/>
      <c r="J33" s="5"/>
      <c r="K33" s="5"/>
      <c r="L33" s="5"/>
      <c r="M33" s="5"/>
      <c r="N33" s="5"/>
      <c r="O33" s="5"/>
      <c r="P33" s="357"/>
      <c r="Q33" s="357"/>
      <c r="R33" s="357"/>
      <c r="S33" s="357"/>
      <c r="T33" s="357"/>
      <c r="U33" s="357"/>
      <c r="V33" s="357"/>
      <c r="W33" s="357"/>
      <c r="X33" s="357"/>
      <c r="Y33" s="357"/>
      <c r="Z33" s="357"/>
    </row>
    <row r="34" ht="12.75" customHeight="1">
      <c r="A34" s="5"/>
      <c r="B34" s="5"/>
      <c r="C34" s="5"/>
      <c r="D34" s="5"/>
      <c r="E34" s="5"/>
      <c r="F34" s="5"/>
      <c r="G34" s="5"/>
      <c r="H34" s="5"/>
      <c r="I34" s="5"/>
      <c r="J34" s="5"/>
      <c r="K34" s="5"/>
      <c r="L34" s="5"/>
      <c r="M34" s="5"/>
      <c r="N34" s="5"/>
      <c r="O34" s="5"/>
      <c r="P34" s="357"/>
      <c r="Q34" s="357"/>
      <c r="R34" s="357"/>
      <c r="S34" s="357"/>
      <c r="T34" s="357"/>
      <c r="U34" s="357"/>
      <c r="V34" s="357"/>
      <c r="W34" s="357"/>
      <c r="X34" s="357"/>
      <c r="Y34" s="357"/>
      <c r="Z34" s="357"/>
    </row>
    <row r="35" ht="12.75" customHeight="1">
      <c r="A35" s="5"/>
      <c r="B35" s="5"/>
      <c r="C35" s="5"/>
      <c r="D35" s="5"/>
      <c r="E35" s="5"/>
      <c r="F35" s="5"/>
      <c r="G35" s="5"/>
      <c r="H35" s="5"/>
      <c r="I35" s="5"/>
      <c r="J35" s="5"/>
      <c r="K35" s="5"/>
      <c r="L35" s="5"/>
      <c r="M35" s="5"/>
      <c r="N35" s="5"/>
      <c r="O35" s="5"/>
      <c r="P35" s="357"/>
      <c r="Q35" s="357"/>
      <c r="R35" s="357"/>
      <c r="S35" s="357"/>
      <c r="T35" s="357"/>
      <c r="U35" s="357"/>
      <c r="V35" s="357"/>
      <c r="W35" s="357"/>
      <c r="X35" s="357"/>
      <c r="Y35" s="357"/>
      <c r="Z35" s="357"/>
    </row>
    <row r="36" ht="12.75" customHeight="1">
      <c r="A36" s="5"/>
      <c r="B36" s="5"/>
      <c r="C36" s="5"/>
      <c r="D36" s="5"/>
      <c r="E36" s="5"/>
      <c r="F36" s="5"/>
      <c r="G36" s="5"/>
      <c r="H36" s="5"/>
      <c r="I36" s="5"/>
      <c r="J36" s="5"/>
      <c r="K36" s="5"/>
      <c r="L36" s="5"/>
      <c r="M36" s="5"/>
      <c r="N36" s="5"/>
      <c r="O36" s="5"/>
      <c r="P36" s="357"/>
      <c r="Q36" s="357"/>
      <c r="R36" s="357"/>
      <c r="S36" s="357"/>
      <c r="T36" s="357"/>
      <c r="U36" s="357"/>
      <c r="V36" s="357"/>
      <c r="W36" s="357"/>
      <c r="X36" s="357"/>
      <c r="Y36" s="357"/>
      <c r="Z36" s="357"/>
    </row>
    <row r="37" ht="12.75" customHeight="1">
      <c r="A37" s="5"/>
      <c r="B37" s="5"/>
      <c r="C37" s="5"/>
      <c r="D37" s="5"/>
      <c r="E37" s="5"/>
      <c r="F37" s="5"/>
      <c r="G37" s="5"/>
      <c r="H37" s="5"/>
      <c r="I37" s="5"/>
      <c r="J37" s="5"/>
      <c r="K37" s="5"/>
      <c r="L37" s="5"/>
      <c r="M37" s="5"/>
      <c r="N37" s="5"/>
      <c r="O37" s="5"/>
      <c r="P37" s="357"/>
      <c r="Q37" s="357"/>
      <c r="R37" s="357"/>
      <c r="S37" s="357"/>
      <c r="T37" s="357"/>
      <c r="U37" s="357"/>
      <c r="V37" s="357"/>
      <c r="W37" s="357"/>
      <c r="X37" s="357"/>
      <c r="Y37" s="357"/>
      <c r="Z37" s="357"/>
    </row>
    <row r="38" ht="12.7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row>
    <row r="39" ht="12.7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row>
    <row r="40" ht="12.7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row>
    <row r="41" ht="12.7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row>
    <row r="42" ht="12.7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row>
    <row r="43" ht="12.7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row>
    <row r="44" ht="12.7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row>
    <row r="45" ht="12.7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row>
    <row r="46" ht="12.7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row>
    <row r="47" ht="12.7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row>
    <row r="48" ht="12.7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row>
    <row r="49" ht="12.7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row>
    <row r="50" ht="12.7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row>
    <row r="51" ht="12.7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row>
    <row r="52" ht="12.7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row>
    <row r="53" ht="12.7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row>
    <row r="54" ht="12.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row>
    <row r="55" ht="12.7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row>
    <row r="56" ht="12.7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row>
    <row r="57" ht="12.7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row>
    <row r="58" ht="12.7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row>
    <row r="59" ht="12.7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row>
    <row r="60" ht="12.7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row>
    <row r="61" ht="12.7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row>
    <row r="62" ht="12.7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row>
    <row r="63" ht="12.7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row>
    <row r="64" ht="12.7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row>
    <row r="65" ht="12.7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row>
    <row r="66" ht="12.7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row>
    <row r="67" ht="12.7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ht="12.7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ht="12.7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row>
    <row r="70" ht="12.7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row>
    <row r="71" ht="12.7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row>
    <row r="72" ht="12.7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row>
    <row r="73" ht="12.7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row>
    <row r="74" ht="12.7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row>
    <row r="75" ht="12.7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row>
    <row r="76" ht="12.7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row>
    <row r="77" ht="12.7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row>
    <row r="78" ht="12.7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row>
    <row r="79" ht="12.7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row>
    <row r="80" ht="12.7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1">
    <mergeCell ref="A2:E2"/>
  </mergeCells>
  <hyperlinks>
    <hyperlink r:id="rId1" ref="B11"/>
    <hyperlink r:id="rId2" ref="B12"/>
  </hyperlinks>
  <printOptions/>
  <pageMargins bottom="0.44999999999999996" footer="0.0" header="0.0" left="0.25" right="0.25" top="0.5"/>
  <pageSetup scale="83" orientation="landscape"/>
  <headerFooter>
    <oddHeader>&amp;L &amp;C &amp;R </oddHeader>
    <oddFooter>&amp;L&amp;D  at &amp;T Mike 702.486.8879&amp;C&amp;F  &amp;A&amp;RPage &amp;P of </oddFooter>
  </headerFooter>
  <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outlineLevelCol="1" outlineLevelRow="3"/>
  <cols>
    <col customWidth="1" min="1" max="1" width="5.43"/>
    <col customWidth="1" min="2" max="2" width="12.71" outlineLevel="1"/>
    <col customWidth="1" min="3" max="3" width="23.0" outlineLevel="1"/>
    <col customWidth="1" min="4" max="4" width="12.71" outlineLevel="1"/>
    <col customWidth="1" min="5" max="5" width="14.43" outlineLevel="1"/>
    <col customWidth="1" min="6" max="6" width="14.29" outlineLevel="1"/>
    <col customWidth="1" min="7" max="8" width="13.29" outlineLevel="1"/>
    <col customWidth="1" min="9" max="9" width="10.0" outlineLevel="1"/>
    <col customWidth="1" min="10" max="10" width="13.43" outlineLevel="1"/>
    <col customWidth="1" min="11" max="12" width="8.71" outlineLevel="1"/>
    <col customWidth="1" min="13" max="13" width="11.29"/>
    <col customWidth="1" min="14" max="14" width="8.71"/>
    <col customWidth="1" min="15" max="15" width="13.71"/>
    <col customWidth="1" min="16" max="16" width="10.43"/>
    <col customWidth="1" min="17" max="17" width="13.29"/>
    <col customWidth="1" min="18" max="18" width="13.0"/>
    <col customWidth="1" min="19" max="19" width="10.29"/>
    <col customWidth="1" min="20" max="20" width="12.29"/>
    <col customWidth="1" min="21" max="21" width="11.0"/>
    <col customWidth="1" min="22" max="22" width="11.71"/>
    <col customWidth="1" min="23" max="32" width="8.71"/>
  </cols>
  <sheetData>
    <row r="1">
      <c r="A1" s="2" t="s">
        <v>1177</v>
      </c>
      <c r="B1" s="2"/>
      <c r="J1" s="219" t="s">
        <v>3</v>
      </c>
      <c r="Q1" s="1371"/>
      <c r="V1" s="1372"/>
    </row>
    <row r="2">
      <c r="A2" s="3" t="str">
        <f>SchoolName</f>
        <v>Explore Knowledge Academy</v>
      </c>
      <c r="B2" s="3"/>
    </row>
    <row r="3">
      <c r="A3" s="70" t="s">
        <v>134</v>
      </c>
      <c r="O3" s="1373"/>
    </row>
    <row r="4">
      <c r="A4" s="71" t="s">
        <v>135</v>
      </c>
      <c r="O4" s="1373"/>
    </row>
    <row r="5">
      <c r="A5" s="1374" t="str">
        <f>CELL("filename")</f>
        <v>#N/A</v>
      </c>
      <c r="O5" s="1373"/>
    </row>
    <row r="6">
      <c r="O6" s="1375"/>
      <c r="P6" s="30"/>
      <c r="Q6" s="30"/>
      <c r="R6" s="30"/>
      <c r="S6" s="30"/>
      <c r="T6" s="30"/>
      <c r="U6" s="30"/>
      <c r="V6" s="30"/>
    </row>
    <row r="7">
      <c r="B7" s="1376" t="s">
        <v>1178</v>
      </c>
      <c r="C7" s="1376"/>
      <c r="D7" s="1377"/>
      <c r="E7" s="1377"/>
      <c r="F7" s="1378"/>
      <c r="O7" s="1375"/>
      <c r="P7" s="30"/>
      <c r="Q7" s="30"/>
      <c r="R7" s="30"/>
      <c r="S7" s="30"/>
      <c r="T7" s="30"/>
      <c r="U7" s="30"/>
      <c r="V7" s="30"/>
    </row>
    <row r="8">
      <c r="B8" s="1378" t="s">
        <v>1179</v>
      </c>
      <c r="C8" s="1379"/>
      <c r="D8" s="1378"/>
      <c r="E8" s="1378"/>
      <c r="F8" s="1378"/>
      <c r="O8" s="1375"/>
      <c r="P8" s="30"/>
      <c r="Q8" s="30"/>
      <c r="R8" s="30"/>
      <c r="S8" s="30"/>
      <c r="T8" s="30"/>
      <c r="U8" s="30"/>
      <c r="V8" s="30"/>
    </row>
    <row r="9">
      <c r="B9" s="1379" t="s">
        <v>1180</v>
      </c>
      <c r="C9" s="1379"/>
      <c r="O9" s="1375"/>
      <c r="P9" s="30"/>
      <c r="Q9" s="30"/>
      <c r="R9" s="30"/>
      <c r="S9" s="30"/>
      <c r="T9" s="30"/>
      <c r="U9" s="30"/>
      <c r="V9" s="30"/>
    </row>
    <row r="10">
      <c r="B10" s="1380" t="s">
        <v>1181</v>
      </c>
      <c r="C10" s="1381"/>
      <c r="D10" s="1382"/>
      <c r="E10" s="1382"/>
      <c r="O10" s="1375"/>
      <c r="P10" s="30"/>
      <c r="Q10" s="30"/>
      <c r="R10" s="30"/>
      <c r="S10" s="30"/>
      <c r="T10" s="30"/>
      <c r="U10" s="30"/>
      <c r="V10" s="30"/>
    </row>
    <row r="11">
      <c r="B11" s="1383" t="s">
        <v>1182</v>
      </c>
      <c r="C11" s="1383"/>
      <c r="D11" s="1384" t="s">
        <v>1183</v>
      </c>
      <c r="E11" s="1384" t="s">
        <v>1184</v>
      </c>
      <c r="O11" s="1375"/>
      <c r="P11" s="30"/>
      <c r="Q11" s="30"/>
      <c r="R11" s="30"/>
      <c r="S11" s="30"/>
      <c r="T11" s="30"/>
      <c r="U11" s="30"/>
      <c r="V11" s="30"/>
    </row>
    <row r="12">
      <c r="A12" s="1378">
        <v>1.0</v>
      </c>
      <c r="B12" s="1378" t="s">
        <v>1185</v>
      </c>
      <c r="C12" s="1378"/>
      <c r="D12" s="1385">
        <v>9632.0</v>
      </c>
      <c r="E12" s="1386">
        <v>10114.0</v>
      </c>
      <c r="F12" s="25"/>
      <c r="G12" s="18" t="s">
        <v>1186</v>
      </c>
      <c r="O12" s="1375"/>
      <c r="P12" s="30"/>
      <c r="Q12" s="30"/>
      <c r="R12" s="30"/>
      <c r="S12" s="30"/>
      <c r="T12" s="30"/>
      <c r="U12" s="30"/>
      <c r="V12" s="30"/>
    </row>
    <row r="13">
      <c r="A13" s="1378">
        <f t="shared" ref="A13:A20" si="1">1+A12</f>
        <v>2</v>
      </c>
      <c r="B13" s="1387" t="s">
        <v>1187</v>
      </c>
      <c r="C13" s="1387"/>
      <c r="D13" s="1388">
        <v>10157.0</v>
      </c>
      <c r="E13" s="1389">
        <v>10662.0</v>
      </c>
      <c r="O13" s="1375"/>
      <c r="P13" s="30"/>
      <c r="Q13" s="30"/>
      <c r="R13" s="30"/>
      <c r="S13" s="30"/>
      <c r="T13" s="30"/>
      <c r="U13" s="30"/>
      <c r="V13" s="30"/>
    </row>
    <row r="14">
      <c r="A14" s="1378">
        <f t="shared" si="1"/>
        <v>3</v>
      </c>
      <c r="B14" s="1387" t="s">
        <v>493</v>
      </c>
      <c r="C14" s="1387"/>
      <c r="D14" s="1388">
        <v>8966.0</v>
      </c>
      <c r="E14" s="1389">
        <v>9414.0</v>
      </c>
      <c r="O14" s="1375"/>
      <c r="P14" s="30"/>
      <c r="Q14" s="30"/>
      <c r="R14" s="30"/>
      <c r="S14" s="30"/>
      <c r="T14" s="30"/>
      <c r="U14" s="30"/>
      <c r="V14" s="30"/>
    </row>
    <row r="15">
      <c r="A15" s="1378">
        <f t="shared" si="1"/>
        <v>4</v>
      </c>
      <c r="B15" s="1387" t="s">
        <v>1188</v>
      </c>
      <c r="C15" s="1387"/>
      <c r="D15" s="1388">
        <v>9670.0</v>
      </c>
      <c r="E15" s="1389">
        <v>10153.0</v>
      </c>
      <c r="O15" s="1375"/>
      <c r="P15" s="30"/>
      <c r="Q15" s="30"/>
      <c r="R15" s="30"/>
      <c r="S15" s="30"/>
      <c r="T15" s="30"/>
      <c r="U15" s="30"/>
      <c r="V15" s="30"/>
    </row>
    <row r="16">
      <c r="A16" s="1378">
        <f t="shared" si="1"/>
        <v>5</v>
      </c>
      <c r="B16" s="1387" t="s">
        <v>1189</v>
      </c>
      <c r="C16" s="1387"/>
      <c r="D16" s="1388">
        <v>8966.0</v>
      </c>
      <c r="E16" s="1389">
        <v>9414.0</v>
      </c>
      <c r="O16" s="1375"/>
      <c r="P16" s="30"/>
      <c r="Q16" s="30"/>
      <c r="R16" s="30"/>
      <c r="S16" s="30"/>
      <c r="T16" s="30"/>
      <c r="U16" s="30"/>
      <c r="V16" s="30"/>
    </row>
    <row r="17">
      <c r="A17" s="1378">
        <f t="shared" si="1"/>
        <v>6</v>
      </c>
      <c r="B17" s="1387" t="s">
        <v>1190</v>
      </c>
      <c r="C17" s="1387"/>
      <c r="D17" s="1388">
        <v>8966.0</v>
      </c>
      <c r="E17" s="1389">
        <v>9414.0</v>
      </c>
      <c r="O17" s="1375"/>
      <c r="P17" s="30"/>
      <c r="Q17" s="30"/>
      <c r="R17" s="30"/>
      <c r="S17" s="30"/>
      <c r="T17" s="30"/>
      <c r="U17" s="30"/>
      <c r="V17" s="30"/>
    </row>
    <row r="18">
      <c r="A18" s="1378">
        <f t="shared" si="1"/>
        <v>7</v>
      </c>
      <c r="B18" s="1387" t="s">
        <v>1191</v>
      </c>
      <c r="C18" s="1387"/>
      <c r="D18" s="1388">
        <v>9674.0</v>
      </c>
      <c r="E18" s="1389">
        <v>10158.0</v>
      </c>
      <c r="O18" s="1375"/>
      <c r="P18" s="30"/>
      <c r="Q18" s="30"/>
      <c r="R18" s="30"/>
      <c r="S18" s="30"/>
      <c r="T18" s="30"/>
      <c r="U18" s="30"/>
      <c r="V18" s="30"/>
    </row>
    <row r="19">
      <c r="A19" s="1378">
        <f t="shared" si="1"/>
        <v>8</v>
      </c>
      <c r="B19" s="1387" t="s">
        <v>1192</v>
      </c>
      <c r="C19" s="1387"/>
      <c r="D19" s="1388">
        <v>12982.0</v>
      </c>
      <c r="E19" s="1389">
        <v>13629.0</v>
      </c>
      <c r="O19" s="1375"/>
      <c r="P19" s="30"/>
      <c r="Q19" s="30"/>
      <c r="R19" s="30"/>
      <c r="S19" s="30"/>
      <c r="T19" s="30"/>
      <c r="U19" s="30"/>
      <c r="V19" s="30"/>
    </row>
    <row r="20">
      <c r="A20" s="1378">
        <f t="shared" si="1"/>
        <v>9</v>
      </c>
      <c r="B20" s="1387" t="s">
        <v>1193</v>
      </c>
      <c r="C20" s="51"/>
      <c r="D20" s="1390">
        <v>8966.0</v>
      </c>
      <c r="E20" s="1391">
        <v>9414.0</v>
      </c>
      <c r="F20" s="18" t="s">
        <v>1194</v>
      </c>
      <c r="O20" s="1375"/>
      <c r="P20" s="30"/>
      <c r="Q20" s="30"/>
      <c r="R20" s="30"/>
      <c r="S20" s="30"/>
      <c r="T20" s="30"/>
      <c r="U20" s="30"/>
      <c r="V20" s="30"/>
    </row>
    <row r="21" ht="15.75" customHeight="1">
      <c r="F21" s="18" t="s">
        <v>1195</v>
      </c>
      <c r="O21" s="1375"/>
      <c r="P21" s="30"/>
      <c r="Q21" s="30"/>
      <c r="R21" s="30"/>
      <c r="S21" s="30"/>
      <c r="T21" s="30"/>
      <c r="U21" s="30"/>
      <c r="V21" s="30"/>
    </row>
    <row r="22" ht="15.75" customHeight="1">
      <c r="F22" s="18" t="s">
        <v>1196</v>
      </c>
      <c r="O22" s="1375"/>
      <c r="P22" s="30"/>
      <c r="Q22" s="30"/>
      <c r="R22" s="30"/>
      <c r="S22" s="30"/>
      <c r="T22" s="30"/>
      <c r="U22" s="30"/>
      <c r="V22" s="30"/>
    </row>
    <row r="23" ht="15.75" customHeight="1">
      <c r="O23" s="1375"/>
      <c r="P23" s="30"/>
      <c r="Q23" s="30"/>
      <c r="R23" s="30"/>
      <c r="S23" s="30"/>
      <c r="T23" s="30"/>
      <c r="U23" s="30"/>
      <c r="V23" s="30"/>
    </row>
    <row r="24" ht="15.75" customHeight="1">
      <c r="B24" s="1392" t="s">
        <v>1197</v>
      </c>
      <c r="C24" s="1392"/>
      <c r="D24" s="1393"/>
      <c r="E24" s="1393"/>
      <c r="O24" s="1375"/>
      <c r="P24" s="30"/>
      <c r="Q24" s="30"/>
      <c r="R24" s="30"/>
      <c r="S24" s="30"/>
      <c r="T24" s="30"/>
      <c r="U24" s="30"/>
      <c r="V24" s="30"/>
    </row>
    <row r="25" ht="15.75" customHeight="1">
      <c r="B25" s="1394" t="s">
        <v>1198</v>
      </c>
      <c r="C25" s="1395"/>
      <c r="D25" s="1396"/>
      <c r="E25" s="1366"/>
      <c r="O25" s="1375"/>
      <c r="P25" s="30"/>
      <c r="Q25" s="30"/>
      <c r="R25" s="30"/>
      <c r="S25" s="30"/>
      <c r="T25" s="30"/>
      <c r="U25" s="30"/>
      <c r="V25" s="30"/>
    </row>
    <row r="26" ht="15.75" customHeight="1">
      <c r="B26" s="1397" t="s">
        <v>1199</v>
      </c>
      <c r="C26" s="1397"/>
      <c r="D26" s="1398">
        <v>3845.0</v>
      </c>
      <c r="E26" s="1398">
        <v>3845.0</v>
      </c>
      <c r="F26" s="18" t="s">
        <v>1200</v>
      </c>
      <c r="O26" s="1375"/>
      <c r="P26" s="30"/>
      <c r="Q26" s="30"/>
      <c r="R26" s="30"/>
      <c r="S26" s="30"/>
      <c r="T26" s="30"/>
      <c r="U26" s="30"/>
      <c r="V26" s="30"/>
    </row>
    <row r="27" ht="15.75" customHeight="1">
      <c r="B27" s="1399" t="s">
        <v>1201</v>
      </c>
      <c r="C27" s="1399"/>
      <c r="D27" s="1400">
        <v>0.45</v>
      </c>
      <c r="E27" s="1400">
        <v>0.45</v>
      </c>
      <c r="O27" s="1375"/>
      <c r="P27" s="30"/>
      <c r="Q27" s="30"/>
      <c r="R27" s="30"/>
      <c r="S27" s="30"/>
      <c r="T27" s="30"/>
      <c r="U27" s="30"/>
      <c r="V27" s="30"/>
    </row>
    <row r="28" ht="15.75" customHeight="1">
      <c r="B28" s="1399" t="s">
        <v>1202</v>
      </c>
      <c r="C28" s="1399"/>
      <c r="D28" s="1400">
        <v>0.35</v>
      </c>
      <c r="E28" s="1400">
        <v>0.35</v>
      </c>
      <c r="F28" s="1401" t="s">
        <v>1203</v>
      </c>
      <c r="O28" s="1375"/>
      <c r="P28" s="30"/>
      <c r="Q28" s="30"/>
      <c r="R28" s="30"/>
      <c r="S28" s="30"/>
      <c r="T28" s="30"/>
      <c r="U28" s="30"/>
      <c r="V28" s="30"/>
    </row>
    <row r="29" ht="15.75" customHeight="1">
      <c r="B29" s="1399" t="s">
        <v>1204</v>
      </c>
      <c r="C29" s="1399"/>
      <c r="D29" s="1400">
        <v>0.12</v>
      </c>
      <c r="E29" s="1400">
        <v>0.12</v>
      </c>
      <c r="O29" s="1375"/>
      <c r="P29" s="30"/>
      <c r="Q29" s="30"/>
      <c r="R29" s="30"/>
      <c r="S29" s="30"/>
      <c r="T29" s="30"/>
      <c r="U29" s="30"/>
      <c r="V29" s="30"/>
    </row>
    <row r="30" ht="15.75" customHeight="1">
      <c r="O30" s="1375"/>
      <c r="P30" s="30"/>
      <c r="Q30" s="30"/>
      <c r="R30" s="30"/>
      <c r="S30" s="30"/>
      <c r="T30" s="30"/>
      <c r="U30" s="30"/>
      <c r="V30" s="30"/>
    </row>
    <row r="31" ht="15.75" customHeight="1">
      <c r="B31" s="1378"/>
      <c r="O31" s="1375"/>
      <c r="P31" s="30"/>
      <c r="Q31" s="30"/>
      <c r="R31" s="30"/>
      <c r="S31" s="30"/>
      <c r="T31" s="30"/>
      <c r="U31" s="30"/>
      <c r="V31" s="30"/>
    </row>
    <row r="32" ht="15.75" customHeight="1">
      <c r="O32" s="1375"/>
      <c r="P32" s="30"/>
      <c r="Q32" s="30"/>
      <c r="R32" s="30"/>
      <c r="S32" s="30"/>
      <c r="T32" s="30"/>
      <c r="U32" s="30"/>
      <c r="V32" s="30"/>
    </row>
    <row r="33" ht="15.75" hidden="1" customHeight="1" outlineLevel="1">
      <c r="O33" s="1375"/>
      <c r="P33" s="30"/>
      <c r="Q33" s="30"/>
      <c r="R33" s="30"/>
      <c r="S33" s="30"/>
      <c r="T33" s="30"/>
      <c r="U33" s="30"/>
      <c r="V33" s="30"/>
    </row>
    <row r="34" ht="15.75" hidden="1" customHeight="1" outlineLevel="1">
      <c r="O34" s="1375"/>
      <c r="P34" s="30"/>
      <c r="Q34" s="30"/>
      <c r="R34" s="30"/>
      <c r="S34" s="30"/>
      <c r="T34" s="30"/>
      <c r="U34" s="30"/>
      <c r="V34" s="30"/>
    </row>
    <row r="35" ht="15.75" hidden="1" customHeight="1" outlineLevel="1">
      <c r="O35" s="1375"/>
      <c r="P35" s="30"/>
      <c r="Q35" s="30"/>
      <c r="R35" s="30"/>
      <c r="S35" s="30"/>
      <c r="T35" s="30"/>
      <c r="U35" s="30"/>
      <c r="V35" s="30"/>
    </row>
    <row r="36" ht="15.75" hidden="1" customHeight="1" outlineLevel="1">
      <c r="O36" s="1375"/>
      <c r="P36" s="30"/>
      <c r="Q36" s="30"/>
      <c r="R36" s="30"/>
      <c r="S36" s="30"/>
      <c r="T36" s="30"/>
      <c r="U36" s="30"/>
      <c r="V36" s="30"/>
    </row>
    <row r="37" ht="15.75" hidden="1" customHeight="1" outlineLevel="1">
      <c r="O37" s="1375"/>
      <c r="P37" s="30"/>
      <c r="Q37" s="30"/>
      <c r="R37" s="30"/>
      <c r="S37" s="30"/>
      <c r="T37" s="30"/>
      <c r="U37" s="30"/>
      <c r="V37" s="30"/>
    </row>
    <row r="38" ht="15.75" hidden="1" customHeight="1" outlineLevel="1">
      <c r="O38" s="1375"/>
      <c r="P38" s="30"/>
      <c r="Q38" s="30"/>
      <c r="R38" s="30"/>
      <c r="S38" s="30"/>
      <c r="T38" s="30"/>
      <c r="U38" s="30"/>
      <c r="V38" s="30"/>
    </row>
    <row r="39" ht="15.75" hidden="1" customHeight="1" outlineLevel="1">
      <c r="O39" s="1375"/>
      <c r="P39" s="30"/>
      <c r="Q39" s="30"/>
      <c r="R39" s="30"/>
      <c r="S39" s="30"/>
      <c r="T39" s="30"/>
      <c r="U39" s="30"/>
      <c r="V39" s="30"/>
    </row>
    <row r="40" ht="15.75" hidden="1" customHeight="1" outlineLevel="1">
      <c r="O40" s="1375"/>
      <c r="P40" s="30"/>
      <c r="Q40" s="30"/>
      <c r="R40" s="30"/>
      <c r="S40" s="30"/>
      <c r="T40" s="30"/>
      <c r="U40" s="30"/>
      <c r="V40" s="30"/>
    </row>
    <row r="41" ht="15.75" hidden="1" customHeight="1" outlineLevel="1">
      <c r="B41" s="1402" t="s">
        <v>1205</v>
      </c>
      <c r="O41" s="30"/>
      <c r="P41" s="1403"/>
      <c r="Q41" s="1403"/>
      <c r="R41" s="1403"/>
      <c r="S41" s="1403"/>
      <c r="T41" s="1403"/>
      <c r="U41" s="1403"/>
      <c r="V41" s="1403"/>
    </row>
    <row r="42" ht="15.75" hidden="1" customHeight="1" outlineLevel="1">
      <c r="B42" s="1404" t="s">
        <v>1206</v>
      </c>
      <c r="C42" s="1404"/>
      <c r="D42" s="1405"/>
      <c r="E42" s="1405"/>
      <c r="F42" s="1405"/>
      <c r="G42" s="1405"/>
      <c r="H42" s="1405"/>
      <c r="I42" s="1405"/>
      <c r="J42" s="1406"/>
      <c r="O42" s="30"/>
      <c r="P42" s="1407"/>
      <c r="Q42" s="1407"/>
      <c r="R42" s="1407"/>
      <c r="S42" s="1407"/>
      <c r="T42" s="1407"/>
      <c r="U42" s="1407"/>
      <c r="V42" s="1407"/>
    </row>
    <row r="43" ht="15.75" hidden="1" customHeight="1" outlineLevel="1">
      <c r="A43" s="1378"/>
      <c r="B43" s="1378"/>
      <c r="C43" s="1378"/>
      <c r="D43" s="1378"/>
      <c r="E43" s="1378"/>
      <c r="F43" s="1378"/>
      <c r="G43" s="1378"/>
      <c r="H43" s="1378"/>
      <c r="I43" s="1378"/>
      <c r="O43" s="1378"/>
      <c r="P43" s="1408"/>
      <c r="Q43" s="1409"/>
      <c r="R43" s="1408"/>
      <c r="S43" s="1408"/>
      <c r="T43" s="1408"/>
      <c r="U43" s="1408"/>
      <c r="V43" s="1408"/>
    </row>
    <row r="44" ht="15.75" hidden="1" customHeight="1" outlineLevel="1">
      <c r="A44" s="1378"/>
      <c r="B44" s="1410" t="s">
        <v>1178</v>
      </c>
      <c r="C44" s="1410"/>
      <c r="D44" s="1411"/>
      <c r="E44" s="1411"/>
      <c r="F44" s="1411"/>
      <c r="G44" s="1411"/>
      <c r="H44" s="1411"/>
      <c r="I44" s="1411"/>
      <c r="J44" s="1412"/>
      <c r="O44" s="1378"/>
      <c r="P44" s="1413"/>
      <c r="Q44" s="1408"/>
      <c r="R44" s="1408"/>
      <c r="S44" s="1408"/>
      <c r="T44" s="1408"/>
      <c r="U44" s="1408"/>
      <c r="V44" s="1408"/>
    </row>
    <row r="45" ht="15.75" hidden="1" customHeight="1" outlineLevel="1">
      <c r="A45" s="1378"/>
      <c r="O45" s="1378"/>
      <c r="P45" s="1413"/>
      <c r="Q45" s="1413"/>
      <c r="R45" s="1413"/>
      <c r="S45" s="1414"/>
      <c r="U45" s="1378"/>
      <c r="V45" s="1378"/>
    </row>
    <row r="46" ht="15.75" hidden="1" customHeight="1" outlineLevel="1">
      <c r="A46" s="1378"/>
      <c r="B46" s="18" t="s">
        <v>1207</v>
      </c>
      <c r="D46" s="1415">
        <v>1.0</v>
      </c>
      <c r="E46" s="18" t="s">
        <v>1208</v>
      </c>
      <c r="O46" s="1378"/>
      <c r="P46" s="1413"/>
      <c r="Q46" s="1413"/>
      <c r="R46" s="1413"/>
      <c r="S46" s="1414"/>
      <c r="T46" s="1414"/>
      <c r="U46" s="1378"/>
      <c r="V46" s="1378"/>
    </row>
    <row r="47" ht="15.75" hidden="1" customHeight="1" outlineLevel="1">
      <c r="A47" s="1378"/>
      <c r="B47" s="18" t="s">
        <v>1207</v>
      </c>
      <c r="D47" s="1416">
        <v>0.9931</v>
      </c>
      <c r="E47" s="18" t="s">
        <v>1209</v>
      </c>
      <c r="O47" s="1378"/>
      <c r="P47" s="1413"/>
      <c r="Q47" s="1413"/>
      <c r="R47" s="1413"/>
      <c r="S47" s="1414"/>
      <c r="T47" s="1414"/>
      <c r="U47" s="1378"/>
      <c r="V47" s="1378"/>
    </row>
    <row r="48" ht="15.75" hidden="1" customHeight="1" outlineLevel="1">
      <c r="A48" s="1378"/>
      <c r="D48" s="1384" t="s">
        <v>1183</v>
      </c>
      <c r="E48" s="1384" t="s">
        <v>1184</v>
      </c>
      <c r="O48" s="1378"/>
      <c r="P48" s="1413"/>
      <c r="Q48" s="1413"/>
      <c r="R48" s="1413"/>
      <c r="S48" s="1414"/>
      <c r="T48" s="1414"/>
      <c r="U48" s="1378"/>
      <c r="V48" s="1378"/>
    </row>
    <row r="49" ht="15.75" hidden="1" customHeight="1" outlineLevel="1">
      <c r="A49" s="1417"/>
      <c r="B49" s="1418" t="s">
        <v>1195</v>
      </c>
      <c r="C49" s="1418"/>
      <c r="D49" s="1419">
        <v>8966.0</v>
      </c>
      <c r="E49" s="1419">
        <v>9414.0</v>
      </c>
      <c r="O49" s="1378"/>
      <c r="P49" s="1413"/>
      <c r="Q49" s="1413"/>
      <c r="R49" s="1413"/>
      <c r="S49" s="1414"/>
      <c r="T49" s="1414"/>
      <c r="U49" s="1378"/>
      <c r="V49" s="1378"/>
    </row>
    <row r="50" ht="15.75" hidden="1" customHeight="1" outlineLevel="1">
      <c r="A50" s="1417"/>
      <c r="B50" s="1418" t="s">
        <v>1196</v>
      </c>
      <c r="C50" s="1379"/>
      <c r="D50" s="1420">
        <f t="shared" ref="D50:E50" si="2">+D49*$D$46</f>
        <v>8966</v>
      </c>
      <c r="E50" s="1420">
        <f t="shared" si="2"/>
        <v>9414</v>
      </c>
      <c r="O50" s="1378"/>
      <c r="P50" s="1413"/>
      <c r="Q50" s="1413"/>
      <c r="R50" s="1413"/>
      <c r="S50" s="1414"/>
      <c r="T50" s="1414"/>
      <c r="U50" s="1378"/>
      <c r="V50" s="1378"/>
    </row>
    <row r="51" ht="15.75" hidden="1" customHeight="1" outlineLevel="1">
      <c r="A51" s="1417"/>
      <c r="E51" s="1421"/>
      <c r="O51" s="1378"/>
      <c r="P51" s="1413"/>
      <c r="Q51" s="1413"/>
      <c r="R51" s="1413"/>
      <c r="S51" s="1414"/>
      <c r="T51" s="1414"/>
      <c r="U51" s="1378"/>
      <c r="V51" s="1378"/>
    </row>
    <row r="52" ht="15.75" hidden="1" customHeight="1" outlineLevel="1">
      <c r="A52" s="1417"/>
      <c r="B52" s="1379" t="s">
        <v>1180</v>
      </c>
      <c r="C52" s="1379"/>
      <c r="O52" s="1378"/>
      <c r="P52" s="1413"/>
      <c r="Q52" s="1413"/>
      <c r="R52" s="1413"/>
      <c r="S52" s="1414"/>
      <c r="T52" s="1414"/>
      <c r="U52" s="1378"/>
      <c r="V52" s="1378"/>
    </row>
    <row r="53" ht="15.75" hidden="1" customHeight="1" outlineLevel="1">
      <c r="A53" s="1417"/>
      <c r="B53" s="1381" t="s">
        <v>1210</v>
      </c>
      <c r="C53" s="1381"/>
      <c r="D53" s="1382"/>
      <c r="E53" s="1382"/>
      <c r="O53" s="1378"/>
      <c r="P53" s="1413"/>
      <c r="Q53" s="1413"/>
      <c r="R53" s="1413"/>
      <c r="S53" s="1414"/>
      <c r="T53" s="1414"/>
      <c r="U53" s="1378"/>
      <c r="V53" s="1378"/>
    </row>
    <row r="54" ht="15.75" hidden="1" customHeight="1" outlineLevel="1">
      <c r="A54" s="1417"/>
      <c r="B54" s="1383" t="s">
        <v>1182</v>
      </c>
      <c r="C54" s="1383"/>
      <c r="D54" s="1384" t="s">
        <v>1183</v>
      </c>
      <c r="E54" s="1384" t="s">
        <v>1184</v>
      </c>
      <c r="F54" s="1422" t="s">
        <v>1211</v>
      </c>
      <c r="O54" s="1378"/>
      <c r="P54" s="1413"/>
      <c r="Q54" s="1413"/>
      <c r="R54" s="1413"/>
      <c r="S54" s="1414"/>
      <c r="T54" s="1414"/>
      <c r="U54" s="1378"/>
      <c r="V54" s="1378"/>
    </row>
    <row r="55" ht="15.75" hidden="1" customHeight="1" outlineLevel="1">
      <c r="A55" s="1417"/>
      <c r="B55" s="1423" t="s">
        <v>1212</v>
      </c>
      <c r="C55" s="1423"/>
      <c r="D55" s="1385">
        <v>7494.0</v>
      </c>
      <c r="E55" s="1386">
        <v>7594.0</v>
      </c>
      <c r="F55" s="1424">
        <f t="shared" ref="F55:F61" si="3">E55/D55-1</f>
        <v>0.01334400854</v>
      </c>
      <c r="O55" s="1378"/>
      <c r="P55" s="1413"/>
      <c r="Q55" s="1413"/>
      <c r="R55" s="1413"/>
      <c r="S55" s="1414"/>
      <c r="T55" s="1414"/>
      <c r="U55" s="1378"/>
      <c r="V55" s="1378"/>
    </row>
    <row r="56" ht="15.75" hidden="1" customHeight="1" outlineLevel="1">
      <c r="A56" s="1417"/>
      <c r="B56" s="1425" t="s">
        <v>1213</v>
      </c>
      <c r="C56" s="1425"/>
      <c r="D56" s="1388">
        <v>8093.0</v>
      </c>
      <c r="E56" s="1389">
        <v>8197.0</v>
      </c>
      <c r="F56" s="1424">
        <f t="shared" si="3"/>
        <v>0.01285061164</v>
      </c>
      <c r="O56" s="1378"/>
      <c r="P56" s="1413"/>
      <c r="Q56" s="1413"/>
      <c r="R56" s="1413"/>
      <c r="S56" s="1414"/>
      <c r="T56" s="1414"/>
      <c r="U56" s="1378"/>
      <c r="V56" s="1378"/>
    </row>
    <row r="57" ht="15.75" hidden="1" customHeight="1" outlineLevel="1">
      <c r="A57" s="1417"/>
      <c r="B57" s="1425" t="s">
        <v>1214</v>
      </c>
      <c r="C57" s="1425"/>
      <c r="D57" s="1388">
        <v>7197.0</v>
      </c>
      <c r="E57" s="1389">
        <v>7293.0</v>
      </c>
      <c r="F57" s="1424">
        <f t="shared" si="3"/>
        <v>0.0133388912</v>
      </c>
      <c r="O57" s="1378"/>
      <c r="P57" s="1413"/>
      <c r="Q57" s="1413"/>
      <c r="R57" s="1413"/>
      <c r="S57" s="1414"/>
      <c r="T57" s="1414"/>
      <c r="U57" s="1378"/>
      <c r="V57" s="1378"/>
    </row>
    <row r="58" ht="15.75" hidden="1" customHeight="1" outlineLevel="1">
      <c r="A58" s="1417"/>
      <c r="B58" s="1425" t="s">
        <v>1215</v>
      </c>
      <c r="C58" s="1425"/>
      <c r="D58" s="1388">
        <v>7715.0</v>
      </c>
      <c r="E58" s="1389">
        <v>7818.0</v>
      </c>
      <c r="F58" s="1424">
        <f t="shared" si="3"/>
        <v>0.01335061568</v>
      </c>
      <c r="O58" s="1378"/>
      <c r="P58" s="1413"/>
      <c r="Q58" s="1413"/>
      <c r="R58" s="1413"/>
      <c r="S58" s="1414"/>
      <c r="T58" s="1414"/>
      <c r="U58" s="1378"/>
      <c r="V58" s="1378"/>
    </row>
    <row r="59" ht="15.75" hidden="1" customHeight="1" outlineLevel="1">
      <c r="A59" s="1417"/>
      <c r="B59" s="1425" t="s">
        <v>1189</v>
      </c>
      <c r="C59" s="1425"/>
      <c r="D59" s="1388">
        <v>8764.0</v>
      </c>
      <c r="E59" s="1389">
        <v>8881.0</v>
      </c>
      <c r="F59" s="1424">
        <f t="shared" si="3"/>
        <v>0.01335006846</v>
      </c>
      <c r="O59" s="1378"/>
      <c r="P59" s="1413"/>
      <c r="Q59" s="1413"/>
      <c r="R59" s="1413"/>
      <c r="S59" s="1414"/>
      <c r="T59" s="1414"/>
      <c r="U59" s="1378"/>
      <c r="V59" s="1378"/>
    </row>
    <row r="60" ht="15.75" hidden="1" customHeight="1" outlineLevel="1">
      <c r="A60" s="1417"/>
      <c r="B60" s="1425" t="s">
        <v>1216</v>
      </c>
      <c r="C60" s="1425"/>
      <c r="D60" s="1388">
        <v>6980.0</v>
      </c>
      <c r="E60" s="1389">
        <v>7074.0</v>
      </c>
      <c r="F60" s="1424">
        <f t="shared" si="3"/>
        <v>0.01346704871</v>
      </c>
      <c r="O60" s="1378"/>
      <c r="P60" s="1413"/>
      <c r="Q60" s="1413"/>
      <c r="R60" s="1413"/>
      <c r="S60" s="1414"/>
      <c r="T60" s="1414"/>
      <c r="U60" s="1378"/>
      <c r="V60" s="1378"/>
    </row>
    <row r="61" ht="15.75" hidden="1" customHeight="1" outlineLevel="1">
      <c r="A61" s="1417"/>
      <c r="B61" s="1425" t="s">
        <v>1217</v>
      </c>
      <c r="C61" s="1425"/>
      <c r="D61" s="1388">
        <v>10367.0</v>
      </c>
      <c r="E61" s="1389">
        <v>10501.0</v>
      </c>
      <c r="F61" s="1424">
        <f t="shared" si="3"/>
        <v>0.0129256294</v>
      </c>
      <c r="O61" s="1378"/>
      <c r="P61" s="1413"/>
      <c r="Q61" s="1413"/>
      <c r="R61" s="1413"/>
      <c r="S61" s="1414"/>
      <c r="T61" s="1414"/>
      <c r="U61" s="1378"/>
      <c r="V61" s="1378"/>
    </row>
    <row r="62" ht="15.75" hidden="1" customHeight="1" outlineLevel="1">
      <c r="A62" s="1417"/>
      <c r="O62" s="1378"/>
      <c r="P62" s="1413"/>
      <c r="Q62" s="1413"/>
      <c r="R62" s="1413"/>
      <c r="S62" s="1414"/>
      <c r="T62" s="1414"/>
      <c r="U62" s="1378"/>
      <c r="V62" s="1378"/>
    </row>
    <row r="63" ht="15.75" hidden="1" customHeight="1" outlineLevel="1">
      <c r="A63" s="1417"/>
      <c r="B63" s="1379" t="s">
        <v>1180</v>
      </c>
      <c r="C63" s="1379"/>
      <c r="O63" s="1378"/>
      <c r="P63" s="1413"/>
      <c r="Q63" s="1413"/>
      <c r="R63" s="1413"/>
      <c r="S63" s="1414"/>
      <c r="T63" s="1414"/>
      <c r="U63" s="1378"/>
      <c r="V63" s="1378"/>
    </row>
    <row r="64" ht="15.75" hidden="1" customHeight="1" outlineLevel="1">
      <c r="A64" s="1417"/>
      <c r="B64" s="1381" t="s">
        <v>1218</v>
      </c>
      <c r="C64" s="1381"/>
      <c r="D64" s="1382"/>
      <c r="E64" s="1382"/>
      <c r="O64" s="1378"/>
      <c r="P64" s="1413"/>
      <c r="Q64" s="1413"/>
      <c r="R64" s="1413"/>
      <c r="S64" s="1414"/>
      <c r="T64" s="1414"/>
      <c r="U64" s="1378"/>
      <c r="V64" s="1378"/>
    </row>
    <row r="65" ht="15.75" hidden="1" customHeight="1" outlineLevel="1">
      <c r="A65" s="1417"/>
      <c r="B65" s="1379"/>
      <c r="C65" s="1379"/>
      <c r="E65" s="1382"/>
      <c r="O65" s="1378"/>
      <c r="P65" s="1413"/>
      <c r="Q65" s="1413"/>
      <c r="R65" s="1413"/>
      <c r="S65" s="1414"/>
      <c r="T65" s="1414"/>
      <c r="U65" s="1378"/>
      <c r="V65" s="1378"/>
    </row>
    <row r="66" ht="25.5" hidden="1" customHeight="1" outlineLevel="1">
      <c r="A66" s="1417"/>
      <c r="B66" s="1383" t="s">
        <v>1182</v>
      </c>
      <c r="C66" s="1383"/>
      <c r="D66" s="1426" t="s">
        <v>1219</v>
      </c>
      <c r="E66" s="1384" t="s">
        <v>1220</v>
      </c>
      <c r="F66" s="1422" t="s">
        <v>1211</v>
      </c>
      <c r="O66" s="1378"/>
      <c r="P66" s="1413"/>
      <c r="Q66" s="1413"/>
      <c r="R66" s="1413"/>
      <c r="S66" s="1414"/>
      <c r="T66" s="1414"/>
      <c r="U66" s="1378"/>
      <c r="V66" s="1378"/>
    </row>
    <row r="67" ht="15.75" hidden="1" customHeight="1" outlineLevel="1">
      <c r="A67" s="1417"/>
      <c r="B67" s="1378" t="s">
        <v>1212</v>
      </c>
      <c r="C67" s="1378"/>
      <c r="D67" s="1427">
        <f t="shared" ref="D67:E67" si="4">+D55*$D$46</f>
        <v>7494</v>
      </c>
      <c r="E67" s="1386">
        <f t="shared" si="4"/>
        <v>7594</v>
      </c>
      <c r="F67" s="1424">
        <f t="shared" ref="F67:F73" si="6">E67/D67-1</f>
        <v>0.01334400854</v>
      </c>
      <c r="O67" s="1378"/>
      <c r="P67" s="1413"/>
      <c r="Q67" s="1413"/>
      <c r="R67" s="1413"/>
      <c r="S67" s="1414"/>
      <c r="T67" s="1414"/>
      <c r="U67" s="1378"/>
      <c r="V67" s="1378"/>
    </row>
    <row r="68" ht="15.75" hidden="1" customHeight="1" outlineLevel="1">
      <c r="A68" s="1417"/>
      <c r="B68" s="1387" t="s">
        <v>1187</v>
      </c>
      <c r="C68" s="1387"/>
      <c r="D68" s="1428">
        <f t="shared" ref="D68:E68" si="5">+D56*$D$46</f>
        <v>8093</v>
      </c>
      <c r="E68" s="1389">
        <f t="shared" si="5"/>
        <v>8197</v>
      </c>
      <c r="F68" s="1424">
        <f t="shared" si="6"/>
        <v>0.01285061164</v>
      </c>
      <c r="O68" s="1378"/>
      <c r="P68" s="1413"/>
      <c r="Q68" s="1413"/>
      <c r="R68" s="1413"/>
      <c r="S68" s="1414"/>
      <c r="T68" s="1414"/>
      <c r="U68" s="1378"/>
      <c r="V68" s="1378"/>
    </row>
    <row r="69" ht="15.75" hidden="1" customHeight="1" outlineLevel="1">
      <c r="A69" s="1417"/>
      <c r="B69" s="1387" t="s">
        <v>493</v>
      </c>
      <c r="C69" s="1387"/>
      <c r="D69" s="1428">
        <f t="shared" ref="D69:E69" si="7">+D57*$D$46</f>
        <v>7197</v>
      </c>
      <c r="E69" s="1389">
        <f t="shared" si="7"/>
        <v>7293</v>
      </c>
      <c r="F69" s="1424">
        <f t="shared" si="6"/>
        <v>0.0133388912</v>
      </c>
      <c r="O69" s="1378"/>
      <c r="P69" s="1413"/>
      <c r="Q69" s="1413"/>
      <c r="R69" s="1413"/>
      <c r="S69" s="1414"/>
      <c r="T69" s="1414"/>
      <c r="U69" s="1378"/>
      <c r="V69" s="1378"/>
    </row>
    <row r="70" ht="15.75" hidden="1" customHeight="1" outlineLevel="1">
      <c r="A70" s="1417"/>
      <c r="B70" s="1387" t="s">
        <v>1188</v>
      </c>
      <c r="C70" s="1387"/>
      <c r="D70" s="1428">
        <f t="shared" ref="D70:E70" si="8">+D58*$D$46</f>
        <v>7715</v>
      </c>
      <c r="E70" s="1389">
        <f t="shared" si="8"/>
        <v>7818</v>
      </c>
      <c r="F70" s="1424">
        <f t="shared" si="6"/>
        <v>0.01335061568</v>
      </c>
      <c r="O70" s="1378"/>
      <c r="P70" s="1413"/>
      <c r="Q70" s="1413"/>
      <c r="R70" s="1413"/>
      <c r="S70" s="1414"/>
      <c r="T70" s="1414"/>
      <c r="U70" s="1378"/>
      <c r="V70" s="1378"/>
    </row>
    <row r="71" ht="15.75" hidden="1" customHeight="1" outlineLevel="1">
      <c r="A71" s="1417"/>
      <c r="B71" s="1387" t="s">
        <v>1189</v>
      </c>
      <c r="C71" s="1387"/>
      <c r="D71" s="1428">
        <v>8764.0</v>
      </c>
      <c r="E71" s="1389">
        <v>8881.0</v>
      </c>
      <c r="F71" s="1424">
        <f t="shared" si="6"/>
        <v>0.01335006846</v>
      </c>
      <c r="O71" s="1378"/>
      <c r="P71" s="1413"/>
      <c r="Q71" s="1413"/>
      <c r="R71" s="1413"/>
      <c r="S71" s="1414"/>
      <c r="T71" s="1414"/>
      <c r="U71" s="1378"/>
      <c r="V71" s="1378"/>
    </row>
    <row r="72" ht="15.75" hidden="1" customHeight="1" outlineLevel="1">
      <c r="A72" s="1417"/>
      <c r="B72" s="1387" t="s">
        <v>1221</v>
      </c>
      <c r="C72" s="1387"/>
      <c r="D72" s="1428">
        <f t="shared" ref="D72:E72" si="9">+D60*$D$46</f>
        <v>6980</v>
      </c>
      <c r="E72" s="1389">
        <f t="shared" si="9"/>
        <v>7074</v>
      </c>
      <c r="F72" s="1424">
        <f t="shared" si="6"/>
        <v>0.01346704871</v>
      </c>
      <c r="O72" s="1378"/>
      <c r="P72" s="1413"/>
      <c r="Q72" s="1413"/>
      <c r="R72" s="1413"/>
      <c r="S72" s="1414"/>
      <c r="T72" s="1414"/>
      <c r="U72" s="1378"/>
      <c r="V72" s="1378"/>
    </row>
    <row r="73" ht="15.75" hidden="1" customHeight="1" outlineLevel="1">
      <c r="A73" s="1417"/>
      <c r="B73" s="1429" t="s">
        <v>1192</v>
      </c>
      <c r="C73" s="1429"/>
      <c r="D73" s="1430">
        <f t="shared" ref="D73:E73" si="10">+D61*$D$46</f>
        <v>10367</v>
      </c>
      <c r="E73" s="1431">
        <f t="shared" si="10"/>
        <v>10501</v>
      </c>
      <c r="F73" s="1432">
        <f t="shared" si="6"/>
        <v>0.0129256294</v>
      </c>
      <c r="O73" s="1378"/>
      <c r="P73" s="1413"/>
      <c r="Q73" s="1413"/>
      <c r="R73" s="1413"/>
      <c r="S73" s="1414"/>
      <c r="T73" s="1414"/>
      <c r="U73" s="1378"/>
      <c r="V73" s="1378"/>
    </row>
    <row r="74" ht="15.75" hidden="1" customHeight="1" outlineLevel="1">
      <c r="A74" s="1417"/>
      <c r="O74" s="1378"/>
      <c r="P74" s="1413"/>
      <c r="Q74" s="1413"/>
      <c r="R74" s="1413"/>
      <c r="S74" s="1414"/>
      <c r="T74" s="1414"/>
      <c r="U74" s="1378"/>
      <c r="V74" s="1378"/>
    </row>
    <row r="75" ht="15.75" hidden="1" customHeight="1" outlineLevel="1">
      <c r="A75" s="1417"/>
      <c r="B75" s="1392" t="s">
        <v>1197</v>
      </c>
      <c r="C75" s="1392"/>
      <c r="D75" s="1393"/>
      <c r="E75" s="1393"/>
      <c r="G75" s="1384" t="s">
        <v>1222</v>
      </c>
      <c r="O75" s="1378"/>
      <c r="P75" s="1413"/>
      <c r="Q75" s="1413"/>
      <c r="R75" s="1413"/>
      <c r="S75" s="1414"/>
      <c r="T75" s="1414"/>
      <c r="U75" s="1378"/>
      <c r="V75" s="1378"/>
    </row>
    <row r="76" ht="15.75" hidden="1" customHeight="1" outlineLevel="1">
      <c r="A76" s="1417"/>
      <c r="B76" s="1395" t="s">
        <v>1223</v>
      </c>
      <c r="C76" s="1395"/>
      <c r="D76" s="1396"/>
      <c r="E76" s="1366"/>
      <c r="H76" s="18">
        <v>7197.0</v>
      </c>
      <c r="O76" s="1378"/>
      <c r="P76" s="1413"/>
      <c r="Q76" s="1413"/>
      <c r="R76" s="1413"/>
      <c r="S76" s="1414"/>
      <c r="T76" s="1414"/>
      <c r="U76" s="1378"/>
      <c r="V76" s="1378"/>
    </row>
    <row r="77" ht="15.75" hidden="1" customHeight="1" outlineLevel="1">
      <c r="A77" s="1417"/>
      <c r="B77" s="1397" t="s">
        <v>1199</v>
      </c>
      <c r="C77" s="1397"/>
      <c r="D77" s="1433">
        <v>0.38284007225232736</v>
      </c>
      <c r="E77" s="1434">
        <v>0.33</v>
      </c>
      <c r="F77" s="18" t="s">
        <v>1224</v>
      </c>
      <c r="G77" s="1435">
        <f t="shared" ref="G77:G80" si="11">+$D$69*D77</f>
        <v>2755.3</v>
      </c>
      <c r="H77" s="1436">
        <f t="shared" ref="H77:H80" si="12">+$H$76+G77</f>
        <v>9952.3</v>
      </c>
      <c r="O77" s="1378"/>
      <c r="P77" s="1413"/>
      <c r="Q77" s="1413"/>
      <c r="R77" s="1413"/>
      <c r="S77" s="1414"/>
      <c r="T77" s="1414"/>
      <c r="U77" s="1378"/>
      <c r="V77" s="1378"/>
    </row>
    <row r="78" ht="15.75" hidden="1" customHeight="1" outlineLevel="1">
      <c r="A78" s="1417"/>
      <c r="B78" s="1399" t="s">
        <v>1201</v>
      </c>
      <c r="C78" s="1399"/>
      <c r="D78" s="1400">
        <v>0.24</v>
      </c>
      <c r="E78" s="1400">
        <v>0.23</v>
      </c>
      <c r="G78" s="1427">
        <f t="shared" si="11"/>
        <v>1727.28</v>
      </c>
      <c r="H78" s="1436">
        <f t="shared" si="12"/>
        <v>8924.28</v>
      </c>
      <c r="O78" s="1378"/>
      <c r="P78" s="1413"/>
      <c r="Q78" s="1413"/>
      <c r="R78" s="1413"/>
      <c r="S78" s="1414"/>
      <c r="T78" s="1414"/>
      <c r="U78" s="1378"/>
      <c r="V78" s="1378"/>
    </row>
    <row r="79" ht="15.75" hidden="1" customHeight="1" outlineLevel="1">
      <c r="A79" s="1417"/>
      <c r="B79" s="1399" t="s">
        <v>1202</v>
      </c>
      <c r="C79" s="1399"/>
      <c r="D79" s="1400">
        <v>0.03</v>
      </c>
      <c r="E79" s="1400">
        <v>0.03</v>
      </c>
      <c r="G79" s="1427">
        <f t="shared" si="11"/>
        <v>215.91</v>
      </c>
      <c r="H79" s="1436">
        <f t="shared" si="12"/>
        <v>7412.91</v>
      </c>
      <c r="I79" s="1437" t="s">
        <v>1225</v>
      </c>
      <c r="O79" s="1378"/>
      <c r="P79" s="1413"/>
      <c r="Q79" s="1413"/>
      <c r="R79" s="1413"/>
      <c r="S79" s="1414"/>
      <c r="T79" s="1414"/>
      <c r="U79" s="1378"/>
      <c r="V79" s="1378"/>
    </row>
    <row r="80" ht="15.75" hidden="1" customHeight="1" outlineLevel="1">
      <c r="A80" s="1438"/>
      <c r="B80" s="1399" t="s">
        <v>1204</v>
      </c>
      <c r="C80" s="1399"/>
      <c r="D80" s="1400">
        <v>0.12</v>
      </c>
      <c r="E80" s="1400">
        <v>0.12</v>
      </c>
      <c r="G80" s="1427">
        <f t="shared" si="11"/>
        <v>863.64</v>
      </c>
      <c r="H80" s="1436">
        <f t="shared" si="12"/>
        <v>8060.64</v>
      </c>
      <c r="O80" s="1439"/>
      <c r="P80" s="1440"/>
      <c r="Q80" s="1441"/>
      <c r="R80" s="1442"/>
      <c r="S80" s="1443"/>
      <c r="T80" s="1442"/>
      <c r="U80" s="1378"/>
      <c r="V80" s="1378"/>
    </row>
    <row r="81" ht="15.75" hidden="1" customHeight="1" outlineLevel="1">
      <c r="A81" s="1378"/>
      <c r="H81" s="1444"/>
      <c r="I81" s="1445"/>
      <c r="J81" s="1444"/>
      <c r="K81" s="1446"/>
      <c r="L81" s="1444"/>
      <c r="M81" s="1445"/>
      <c r="O81" s="1447"/>
      <c r="P81" s="1448"/>
      <c r="Q81" s="1449"/>
      <c r="R81" s="1449"/>
      <c r="S81" s="1449"/>
      <c r="T81" s="1449"/>
      <c r="U81" s="1378"/>
      <c r="V81" s="1378"/>
    </row>
    <row r="82" ht="15.75" hidden="1" customHeight="1" outlineLevel="2">
      <c r="A82" s="1378"/>
      <c r="B82" s="1383" t="s">
        <v>1226</v>
      </c>
      <c r="C82" s="1383"/>
      <c r="D82" s="35"/>
      <c r="O82" s="1447"/>
      <c r="P82" s="1448"/>
      <c r="Q82" s="1449"/>
      <c r="R82" s="1449"/>
      <c r="S82" s="1449"/>
      <c r="T82" s="1449"/>
      <c r="U82" s="1378"/>
      <c r="V82" s="1378"/>
    </row>
    <row r="83" ht="15.75" hidden="1" customHeight="1" outlineLevel="2">
      <c r="A83" s="1378"/>
      <c r="B83" s="1450" t="s">
        <v>1227</v>
      </c>
      <c r="C83" s="1450"/>
      <c r="D83" s="1451">
        <f>+J170</f>
        <v>150</v>
      </c>
      <c r="E83" s="19"/>
      <c r="F83" s="1452"/>
      <c r="P83" s="1373"/>
      <c r="S83" s="1449"/>
      <c r="T83" s="1449"/>
      <c r="U83" s="1378"/>
      <c r="V83" s="1378"/>
    </row>
    <row r="84" ht="15.75" hidden="1" customHeight="1" outlineLevel="2">
      <c r="A84" s="1378"/>
      <c r="B84" s="1453" t="s">
        <v>1228</v>
      </c>
      <c r="C84" s="1453"/>
      <c r="D84" s="1454">
        <f>+J205</f>
        <v>327</v>
      </c>
      <c r="I84" s="1448"/>
      <c r="P84" s="1373"/>
      <c r="S84" s="1449"/>
      <c r="T84" s="1449"/>
      <c r="U84" s="1378"/>
      <c r="V84" s="1378"/>
    </row>
    <row r="85" ht="15.75" hidden="1" customHeight="1" outlineLevel="2">
      <c r="A85" s="1378"/>
      <c r="B85" s="1455"/>
      <c r="C85" s="1455"/>
      <c r="D85" s="1456">
        <f>SUM(D83:D84)</f>
        <v>477</v>
      </c>
      <c r="F85" s="19"/>
      <c r="I85" s="1448"/>
      <c r="P85" s="1373"/>
      <c r="S85" s="1449"/>
      <c r="T85" s="1449"/>
      <c r="U85" s="1378"/>
      <c r="V85" s="1378"/>
    </row>
    <row r="86" ht="15.75" hidden="1" customHeight="1" outlineLevel="2">
      <c r="A86" s="1378"/>
      <c r="D86" s="17"/>
      <c r="F86" s="19"/>
      <c r="I86" s="1448"/>
      <c r="P86" s="1373"/>
      <c r="S86" s="1449"/>
      <c r="T86" s="1449"/>
      <c r="U86" s="1378"/>
      <c r="V86" s="1378"/>
    </row>
    <row r="87" ht="15.75" hidden="1" customHeight="1" outlineLevel="2">
      <c r="A87" s="1378"/>
      <c r="B87" s="1457" t="s">
        <v>1229</v>
      </c>
      <c r="C87" s="1457"/>
      <c r="D87" s="1457"/>
      <c r="F87" s="19"/>
      <c r="I87" s="1448"/>
      <c r="P87" s="1373"/>
      <c r="S87" s="1449"/>
      <c r="T87" s="1449"/>
      <c r="U87" s="1378"/>
      <c r="V87" s="1378"/>
    </row>
    <row r="88" ht="15.75" hidden="1" customHeight="1" outlineLevel="2">
      <c r="A88" s="1378"/>
      <c r="B88" s="1458" t="s">
        <v>1230</v>
      </c>
      <c r="C88" s="1459"/>
      <c r="D88" s="1459"/>
      <c r="F88" s="19"/>
      <c r="I88" s="1448"/>
      <c r="P88" s="1373"/>
      <c r="S88" s="1449"/>
      <c r="T88" s="1449"/>
      <c r="U88" s="1378"/>
      <c r="V88" s="1378"/>
    </row>
    <row r="89" ht="15.75" hidden="1" customHeight="1" outlineLevel="2">
      <c r="A89" s="1378"/>
      <c r="B89" s="1445"/>
      <c r="C89" s="1444"/>
      <c r="D89" s="1445"/>
      <c r="F89" s="19"/>
      <c r="P89" s="1373"/>
      <c r="S89" s="1449"/>
      <c r="T89" s="1449"/>
      <c r="U89" s="1378"/>
      <c r="V89" s="1378"/>
    </row>
    <row r="90" ht="15.75" hidden="1" customHeight="1" outlineLevel="2">
      <c r="A90" s="1378"/>
      <c r="B90" s="1460" t="s">
        <v>1231</v>
      </c>
      <c r="C90" s="1444"/>
      <c r="D90" s="1461">
        <v>500.0</v>
      </c>
      <c r="F90" s="19"/>
      <c r="P90" s="1373"/>
      <c r="S90" s="1449"/>
      <c r="T90" s="1449"/>
      <c r="U90" s="1378"/>
      <c r="V90" s="1378"/>
    </row>
    <row r="91" ht="15.75" hidden="1" customHeight="1" outlineLevel="2">
      <c r="A91" s="1378"/>
      <c r="B91" s="1460" t="s">
        <v>1232</v>
      </c>
      <c r="C91" s="1444"/>
      <c r="D91" s="1461">
        <v>250.0</v>
      </c>
      <c r="F91" s="19"/>
      <c r="P91" s="1373"/>
      <c r="S91" s="1449"/>
      <c r="T91" s="1449"/>
      <c r="U91" s="1378"/>
      <c r="V91" s="1378"/>
    </row>
    <row r="92" ht="15.75" hidden="1" customHeight="1" outlineLevel="2">
      <c r="A92" s="1378"/>
      <c r="B92" s="1460" t="s">
        <v>1233</v>
      </c>
      <c r="C92" s="1444"/>
      <c r="D92" s="1462">
        <f>SUM(B97,B99,B101,B103)</f>
        <v>318</v>
      </c>
      <c r="E92" s="1463"/>
      <c r="F92" s="19"/>
      <c r="P92" s="1373"/>
      <c r="S92" s="1449"/>
      <c r="T92" s="1449"/>
      <c r="U92" s="1378"/>
      <c r="V92" s="1378"/>
    </row>
    <row r="93" ht="15.75" hidden="1" customHeight="1" outlineLevel="2">
      <c r="A93" s="1378"/>
      <c r="B93" s="1445"/>
      <c r="C93" s="1444"/>
      <c r="D93" s="1445"/>
      <c r="F93" s="19"/>
      <c r="P93" s="1373"/>
      <c r="S93" s="1449"/>
      <c r="T93" s="1449"/>
      <c r="U93" s="1378"/>
      <c r="V93" s="1378"/>
    </row>
    <row r="94" ht="15.75" hidden="1" customHeight="1" outlineLevel="2">
      <c r="A94" s="1378"/>
      <c r="B94" s="1464" t="s">
        <v>1234</v>
      </c>
      <c r="C94" s="1465"/>
      <c r="D94" s="1466"/>
      <c r="E94" s="35"/>
      <c r="F94" s="19"/>
      <c r="G94" s="18" t="s">
        <v>751</v>
      </c>
      <c r="K94" s="18">
        <v>500.0</v>
      </c>
      <c r="N94" s="18" t="s">
        <v>1235</v>
      </c>
      <c r="P94" s="1373"/>
      <c r="S94" s="1449"/>
      <c r="T94" s="1449"/>
      <c r="U94" s="1378"/>
      <c r="V94" s="1378"/>
    </row>
    <row r="95" ht="15.75" hidden="1" customHeight="1" outlineLevel="2">
      <c r="A95" s="1378"/>
      <c r="B95" s="1457" t="s">
        <v>1236</v>
      </c>
      <c r="C95" s="1465"/>
      <c r="D95" s="1457" t="s">
        <v>1237</v>
      </c>
      <c r="E95" s="1466"/>
      <c r="G95" s="1445"/>
      <c r="I95" s="18" t="s">
        <v>1238</v>
      </c>
      <c r="J95" s="18" t="s">
        <v>1105</v>
      </c>
      <c r="K95" s="18" t="s">
        <v>1239</v>
      </c>
      <c r="N95" s="18" t="s">
        <v>1240</v>
      </c>
      <c r="P95" s="1373"/>
      <c r="S95" s="1449"/>
      <c r="T95" s="1449"/>
      <c r="U95" s="1378"/>
      <c r="V95" s="1378"/>
    </row>
    <row r="96" ht="15.75" hidden="1" customHeight="1" outlineLevel="2">
      <c r="A96" s="1378"/>
      <c r="B96" s="1459" t="s">
        <v>1241</v>
      </c>
      <c r="C96" s="1407" t="s">
        <v>1242</v>
      </c>
      <c r="D96" s="1407" t="s">
        <v>1243</v>
      </c>
      <c r="E96" s="1407" t="s">
        <v>1244</v>
      </c>
      <c r="G96" s="1445"/>
      <c r="I96" s="1407" t="s">
        <v>1245</v>
      </c>
      <c r="J96" s="1407" t="s">
        <v>1246</v>
      </c>
      <c r="K96" s="1407" t="s">
        <v>1247</v>
      </c>
      <c r="N96" s="1407" t="s">
        <v>1248</v>
      </c>
      <c r="P96" s="1373"/>
      <c r="S96" s="1449"/>
      <c r="T96" s="1449"/>
      <c r="U96" s="1378"/>
      <c r="V96" s="1378"/>
    </row>
    <row r="97" ht="15.75" hidden="1" customHeight="1" outlineLevel="2">
      <c r="A97" s="1378"/>
      <c r="B97" s="1467">
        <v>45.0</v>
      </c>
      <c r="C97" s="1467">
        <v>0.0</v>
      </c>
      <c r="D97" s="1468">
        <v>10.0</v>
      </c>
      <c r="E97" s="1467">
        <v>15.0</v>
      </c>
      <c r="G97" s="1458" t="s">
        <v>1241</v>
      </c>
      <c r="H97" s="1469">
        <v>0.5</v>
      </c>
      <c r="I97" s="1470">
        <v>0.15</v>
      </c>
      <c r="J97" s="1470">
        <v>0.15</v>
      </c>
      <c r="K97" s="17">
        <f t="shared" ref="K97:K100" si="13">+J97*$K$94</f>
        <v>75</v>
      </c>
      <c r="M97" s="18">
        <v>15.0</v>
      </c>
      <c r="P97" s="1373"/>
      <c r="S97" s="1449"/>
      <c r="T97" s="1449"/>
      <c r="U97" s="1378"/>
      <c r="V97" s="1378"/>
    </row>
    <row r="98" ht="15.75" hidden="1" customHeight="1" outlineLevel="2">
      <c r="A98" s="1378"/>
      <c r="B98" s="1459" t="s">
        <v>1249</v>
      </c>
      <c r="C98" s="1407" t="s">
        <v>1250</v>
      </c>
      <c r="D98" s="1407" t="s">
        <v>1251</v>
      </c>
      <c r="E98" s="1445"/>
      <c r="G98" s="1471" t="s">
        <v>1252</v>
      </c>
      <c r="H98" s="1469">
        <v>0.24</v>
      </c>
      <c r="I98" s="1470">
        <v>0.2</v>
      </c>
      <c r="J98" s="1470">
        <v>0.17</v>
      </c>
      <c r="K98" s="17">
        <f t="shared" si="13"/>
        <v>85</v>
      </c>
      <c r="M98" s="18">
        <v>17.0</v>
      </c>
      <c r="P98" s="1373"/>
      <c r="S98" s="1449"/>
      <c r="T98" s="1449"/>
      <c r="U98" s="1378"/>
      <c r="V98" s="1378"/>
    </row>
    <row r="99" ht="15.75" hidden="1" customHeight="1" outlineLevel="2">
      <c r="A99" s="1378"/>
      <c r="B99" s="1467">
        <v>53.0</v>
      </c>
      <c r="C99" s="1467">
        <v>0.0</v>
      </c>
      <c r="D99" s="1467">
        <v>0.0</v>
      </c>
      <c r="F99" s="1445"/>
      <c r="G99" s="1471" t="s">
        <v>1249</v>
      </c>
      <c r="H99" s="1469">
        <v>0.12</v>
      </c>
      <c r="I99" s="1470">
        <v>0.01</v>
      </c>
      <c r="J99" s="1470">
        <v>0.01</v>
      </c>
      <c r="K99" s="17">
        <f t="shared" si="13"/>
        <v>5</v>
      </c>
      <c r="M99" s="18">
        <v>4.0</v>
      </c>
      <c r="P99" s="1373"/>
      <c r="S99" s="1449"/>
      <c r="T99" s="1449"/>
      <c r="U99" s="1378"/>
      <c r="V99" s="1378"/>
    </row>
    <row r="100" ht="15.75" hidden="1" customHeight="1" outlineLevel="2">
      <c r="A100" s="1378"/>
      <c r="B100" s="1459" t="s">
        <v>1252</v>
      </c>
      <c r="C100" s="1407" t="s">
        <v>1253</v>
      </c>
      <c r="D100" s="1445"/>
      <c r="F100" s="1445"/>
      <c r="G100" s="1458" t="s">
        <v>1254</v>
      </c>
      <c r="H100" s="1469">
        <v>0.5</v>
      </c>
      <c r="I100" s="1470">
        <v>0.5</v>
      </c>
      <c r="J100" s="1470">
        <v>0.5</v>
      </c>
      <c r="K100" s="17">
        <f t="shared" si="13"/>
        <v>250</v>
      </c>
      <c r="N100" s="1469">
        <v>0.8</v>
      </c>
      <c r="P100" s="1373"/>
      <c r="S100" s="1449"/>
      <c r="T100" s="1449"/>
      <c r="U100" s="1378"/>
      <c r="V100" s="1378"/>
      <c r="AB100" s="18">
        <v>0.64</v>
      </c>
    </row>
    <row r="101" ht="15.75" hidden="1" customHeight="1" outlineLevel="2">
      <c r="A101" s="1378"/>
      <c r="B101" s="1467">
        <v>30.0</v>
      </c>
      <c r="C101" s="1467">
        <v>20.0</v>
      </c>
      <c r="D101" s="1445"/>
      <c r="F101" s="1445"/>
      <c r="K101" s="17">
        <f>SUM(K97:K100)</f>
        <v>415</v>
      </c>
      <c r="P101" s="1373"/>
      <c r="S101" s="1449"/>
      <c r="T101" s="1449"/>
      <c r="U101" s="1378"/>
      <c r="V101" s="1378"/>
    </row>
    <row r="102" ht="15.75" hidden="1" customHeight="1" outlineLevel="2">
      <c r="A102" s="1378"/>
      <c r="B102" s="1459" t="s">
        <v>1254</v>
      </c>
      <c r="C102" s="1472"/>
      <c r="D102" s="1472"/>
      <c r="F102" s="1472"/>
      <c r="I102" s="1469">
        <v>0.06</v>
      </c>
      <c r="P102" s="1373"/>
      <c r="S102" s="1449"/>
      <c r="T102" s="1449"/>
      <c r="U102" s="1378"/>
      <c r="V102" s="1378"/>
    </row>
    <row r="103" ht="15.75" hidden="1" customHeight="1" outlineLevel="2">
      <c r="A103" s="1378"/>
      <c r="B103" s="1467">
        <v>190.0</v>
      </c>
      <c r="C103" s="1445"/>
      <c r="D103" s="1446"/>
      <c r="F103" s="1445"/>
      <c r="G103" s="18" t="s">
        <v>1255</v>
      </c>
      <c r="P103" s="1373"/>
      <c r="S103" s="1449"/>
      <c r="T103" s="1449"/>
      <c r="U103" s="1378"/>
      <c r="V103" s="1378"/>
    </row>
    <row r="104" ht="15.75" hidden="1" customHeight="1" outlineLevel="2">
      <c r="A104" s="1378"/>
      <c r="B104" s="1466"/>
      <c r="C104" s="1466"/>
      <c r="D104" s="1473"/>
      <c r="E104" s="1466"/>
      <c r="P104" s="1373"/>
      <c r="S104" s="1449"/>
      <c r="T104" s="1449"/>
      <c r="U104" s="1378"/>
      <c r="V104" s="1378"/>
    </row>
    <row r="105" ht="15.75" hidden="1" customHeight="1" outlineLevel="2">
      <c r="A105" s="1378"/>
      <c r="B105" s="1474" t="s">
        <v>1256</v>
      </c>
      <c r="C105" s="1474"/>
      <c r="D105" s="1474"/>
      <c r="E105" s="1474"/>
      <c r="P105" s="1373"/>
      <c r="S105" s="1449"/>
      <c r="T105" s="1449"/>
      <c r="U105" s="1378"/>
      <c r="V105" s="1378"/>
    </row>
    <row r="106" ht="15.75" hidden="1" customHeight="1" outlineLevel="2">
      <c r="A106" s="1378"/>
      <c r="B106" s="1407" t="s">
        <v>1257</v>
      </c>
      <c r="C106" s="1407" t="s">
        <v>1258</v>
      </c>
      <c r="D106" s="1407" t="s">
        <v>1259</v>
      </c>
      <c r="E106" s="1407" t="s">
        <v>1260</v>
      </c>
      <c r="P106" s="1373"/>
      <c r="S106" s="1449"/>
      <c r="T106" s="1449"/>
      <c r="U106" s="1378"/>
      <c r="V106" s="1378"/>
    </row>
    <row r="107" ht="15.75" hidden="1" customHeight="1" outlineLevel="2">
      <c r="A107" s="1378"/>
      <c r="B107" s="1467">
        <v>0.0</v>
      </c>
      <c r="C107" s="1467">
        <v>1.0</v>
      </c>
      <c r="D107" s="1468">
        <v>1.0</v>
      </c>
      <c r="E107" s="1467">
        <v>10.0</v>
      </c>
      <c r="P107" s="1373"/>
      <c r="S107" s="1449"/>
      <c r="T107" s="1449"/>
      <c r="U107" s="1378"/>
      <c r="V107" s="1378"/>
    </row>
    <row r="108" ht="15.75" hidden="1" customHeight="1" outlineLevel="2">
      <c r="A108" s="1378"/>
      <c r="B108" s="1407" t="s">
        <v>1261</v>
      </c>
      <c r="C108" s="1445"/>
      <c r="D108" s="1445"/>
      <c r="P108" s="1373"/>
      <c r="S108" s="1449"/>
      <c r="T108" s="1449"/>
      <c r="U108" s="1378"/>
      <c r="V108" s="1378"/>
    </row>
    <row r="109" ht="15.75" hidden="1" customHeight="1" outlineLevel="2">
      <c r="A109" s="1378"/>
      <c r="B109" s="1467">
        <v>0.0</v>
      </c>
      <c r="C109" s="1444"/>
      <c r="D109" s="1445"/>
      <c r="E109" s="1445"/>
      <c r="F109" s="1445"/>
      <c r="G109" s="1445"/>
      <c r="P109" s="1373"/>
      <c r="S109" s="1449"/>
      <c r="T109" s="1449"/>
      <c r="U109" s="1378"/>
      <c r="V109" s="1378"/>
    </row>
    <row r="110" ht="15.75" hidden="1" customHeight="1" outlineLevel="2">
      <c r="A110" s="1378"/>
      <c r="B110" s="1466"/>
      <c r="C110" s="1466"/>
      <c r="D110" s="1466"/>
      <c r="E110" s="1466"/>
      <c r="F110" s="1466"/>
      <c r="G110" s="1466"/>
      <c r="P110" s="1373"/>
      <c r="S110" s="1449"/>
      <c r="T110" s="1449"/>
      <c r="U110" s="1378"/>
      <c r="V110" s="1378"/>
    </row>
    <row r="111" ht="15.75" hidden="1" customHeight="1" outlineLevel="2">
      <c r="A111" s="1378"/>
      <c r="B111" s="1458" t="s">
        <v>1262</v>
      </c>
      <c r="C111" s="1445"/>
      <c r="D111" s="1445"/>
      <c r="E111" s="1445"/>
      <c r="F111" s="1445"/>
      <c r="G111" s="1445"/>
      <c r="P111" s="1373"/>
      <c r="S111" s="1449"/>
      <c r="T111" s="1449"/>
      <c r="U111" s="1378"/>
      <c r="V111" s="1378"/>
    </row>
    <row r="112" ht="15.75" hidden="1" customHeight="1" outlineLevel="2">
      <c r="A112" s="1378"/>
      <c r="B112" s="1458" t="s">
        <v>1263</v>
      </c>
      <c r="C112" s="1445"/>
      <c r="D112" s="1445"/>
      <c r="E112" s="1445"/>
      <c r="F112" s="1444"/>
      <c r="G112" s="1445"/>
      <c r="P112" s="1373"/>
      <c r="S112" s="1449"/>
      <c r="T112" s="1449"/>
      <c r="U112" s="1378"/>
      <c r="V112" s="1378"/>
    </row>
    <row r="113" ht="15.75" hidden="1" customHeight="1" outlineLevel="2">
      <c r="A113" s="1378"/>
      <c r="B113" s="1458"/>
      <c r="C113" s="1445"/>
      <c r="D113" s="1445"/>
      <c r="E113" s="1445"/>
      <c r="F113" s="1444"/>
      <c r="G113" s="1445"/>
      <c r="P113" s="1373"/>
      <c r="S113" s="1449"/>
      <c r="T113" s="1449"/>
      <c r="U113" s="1378"/>
      <c r="V113" s="1378"/>
    </row>
    <row r="114" ht="15.75" hidden="1" customHeight="1" outlineLevel="2">
      <c r="A114" s="1378"/>
      <c r="E114" s="1475" t="s">
        <v>751</v>
      </c>
      <c r="F114" s="1475" t="s">
        <v>1264</v>
      </c>
      <c r="G114" s="1475" t="s">
        <v>1265</v>
      </c>
      <c r="H114" s="1475" t="s">
        <v>1254</v>
      </c>
      <c r="I114" s="1475" t="s">
        <v>1266</v>
      </c>
      <c r="J114" s="1475" t="s">
        <v>160</v>
      </c>
      <c r="K114" s="1475" t="s">
        <v>1267</v>
      </c>
      <c r="P114" s="1373"/>
      <c r="S114" s="1449"/>
      <c r="T114" s="1449"/>
      <c r="U114" s="1378"/>
      <c r="V114" s="1378"/>
    </row>
    <row r="115" ht="15.75" hidden="1" customHeight="1" outlineLevel="2">
      <c r="A115" s="1378"/>
      <c r="C115" s="1476" t="str">
        <f>+D48</f>
        <v>SYE 24</v>
      </c>
      <c r="E115" s="1477">
        <f>+D91</f>
        <v>250</v>
      </c>
      <c r="F115" s="1477">
        <f>B97</f>
        <v>45</v>
      </c>
      <c r="G115" s="1477">
        <f>B101-D97-C99-B109-E107</f>
        <v>10</v>
      </c>
      <c r="H115" s="1477">
        <f>B103-C101-D99-E97-D107-E107-B109</f>
        <v>144</v>
      </c>
      <c r="I115" s="1477">
        <f>B99-C97-C107-D107</f>
        <v>51</v>
      </c>
      <c r="J115" s="1478">
        <f>SUM(E115:I115)</f>
        <v>500</v>
      </c>
      <c r="K115" s="17">
        <f>+J115-D90</f>
        <v>0</v>
      </c>
      <c r="P115" s="1373"/>
      <c r="S115" s="1449"/>
      <c r="T115" s="1449"/>
      <c r="U115" s="1378"/>
      <c r="V115" s="1378"/>
    </row>
    <row r="116" ht="15.75" hidden="1" customHeight="1" outlineLevel="2">
      <c r="A116" s="1378"/>
      <c r="D116" s="1444" t="s">
        <v>1268</v>
      </c>
      <c r="E116" s="1479">
        <f t="shared" ref="E116:J116" si="14">+E115/$J$115</f>
        <v>0.5</v>
      </c>
      <c r="F116" s="1479">
        <f t="shared" si="14"/>
        <v>0.09</v>
      </c>
      <c r="G116" s="1479">
        <f t="shared" si="14"/>
        <v>0.02</v>
      </c>
      <c r="H116" s="1480">
        <f t="shared" si="14"/>
        <v>0.288</v>
      </c>
      <c r="I116" s="1479">
        <f t="shared" si="14"/>
        <v>0.102</v>
      </c>
      <c r="J116" s="1479">
        <f t="shared" si="14"/>
        <v>1</v>
      </c>
      <c r="P116" s="1373"/>
      <c r="S116" s="1449"/>
      <c r="T116" s="1449"/>
      <c r="U116" s="1378"/>
      <c r="V116" s="1378"/>
    </row>
    <row r="117" ht="15.75" hidden="1" customHeight="1" outlineLevel="2">
      <c r="A117" s="1378"/>
      <c r="D117" s="1444" t="s">
        <v>1269</v>
      </c>
      <c r="E117" s="1481">
        <v>0.0</v>
      </c>
      <c r="F117" s="1481">
        <f>+D77</f>
        <v>0.3828400723</v>
      </c>
      <c r="G117" s="1481">
        <f>+D78</f>
        <v>0.24</v>
      </c>
      <c r="H117" s="1481">
        <f>+D79</f>
        <v>0.03</v>
      </c>
      <c r="I117" s="1481">
        <f>+D80</f>
        <v>0.12</v>
      </c>
      <c r="J117" s="1472"/>
      <c r="P117" s="1373"/>
      <c r="S117" s="1449"/>
      <c r="T117" s="1449"/>
      <c r="U117" s="1378"/>
      <c r="V117" s="1378"/>
    </row>
    <row r="118" ht="15.75" hidden="1" customHeight="1" outlineLevel="2">
      <c r="A118" s="1378"/>
      <c r="E118" s="1479"/>
      <c r="F118" s="1479"/>
      <c r="G118" s="1479"/>
      <c r="H118" s="1479"/>
      <c r="I118" s="1479"/>
      <c r="J118" s="1472"/>
      <c r="P118" s="1373"/>
      <c r="S118" s="1449"/>
      <c r="T118" s="1449"/>
      <c r="U118" s="1378"/>
      <c r="V118" s="1378"/>
    </row>
    <row r="119" ht="15.75" hidden="1" customHeight="1" outlineLevel="2">
      <c r="A119" s="1378"/>
      <c r="B119" s="19" t="s">
        <v>1270</v>
      </c>
      <c r="E119" s="1482" t="s">
        <v>1271</v>
      </c>
      <c r="F119" s="1479"/>
      <c r="G119" s="1479"/>
      <c r="H119" s="1479"/>
      <c r="I119" s="1479"/>
      <c r="J119" s="1472"/>
      <c r="P119" s="1373"/>
      <c r="S119" s="1449"/>
      <c r="T119" s="1449"/>
      <c r="U119" s="1378"/>
      <c r="V119" s="1378"/>
    </row>
    <row r="120" ht="15.75" hidden="1" customHeight="1" outlineLevel="2">
      <c r="A120" s="1378"/>
      <c r="C120" s="1483" t="s">
        <v>1272</v>
      </c>
      <c r="D120" s="19"/>
      <c r="E120" s="1482" t="s">
        <v>1273</v>
      </c>
      <c r="F120" s="1482"/>
      <c r="G120" s="1482"/>
      <c r="H120" s="1482"/>
      <c r="I120" s="1482"/>
      <c r="J120" s="1459" t="s">
        <v>160</v>
      </c>
      <c r="P120" s="1373"/>
      <c r="S120" s="1449"/>
      <c r="T120" s="1449"/>
      <c r="U120" s="1378"/>
      <c r="V120" s="1378"/>
    </row>
    <row r="121" ht="15.75" hidden="1" customHeight="1" outlineLevel="2">
      <c r="A121" s="1378"/>
      <c r="B121" s="19" t="s">
        <v>1274</v>
      </c>
      <c r="C121" s="1483" t="s">
        <v>1275</v>
      </c>
      <c r="D121" s="1483" t="s">
        <v>1276</v>
      </c>
      <c r="E121" s="1484">
        <f>+J115</f>
        <v>500</v>
      </c>
      <c r="F121" s="1485" t="s">
        <v>1277</v>
      </c>
      <c r="G121" s="1482"/>
      <c r="H121" s="1482"/>
      <c r="I121" s="1482"/>
      <c r="J121" s="1459" t="s">
        <v>1273</v>
      </c>
      <c r="P121" s="1373"/>
      <c r="S121" s="1449"/>
      <c r="T121" s="1449"/>
      <c r="U121" s="1378"/>
      <c r="V121" s="1378"/>
    </row>
    <row r="122" ht="15.75" hidden="1" customHeight="1" outlineLevel="2">
      <c r="A122" s="1378">
        <v>1.0</v>
      </c>
      <c r="B122" s="18" t="str">
        <f t="shared" ref="B122:B125" si="16">$B67</f>
        <v>Carson City </v>
      </c>
      <c r="C122" s="1486"/>
      <c r="D122" s="1427">
        <f t="shared" ref="D122:D125" si="17">+D67</f>
        <v>7494</v>
      </c>
      <c r="E122" s="1487">
        <f t="shared" ref="E122:E128" si="18">IF($C122="y",$J$115*$D122,0)</f>
        <v>0</v>
      </c>
      <c r="F122" s="1487">
        <f t="shared" ref="F122:I122" si="15">IF($C122="y",F$115*F$117*$D122,0)</f>
        <v>0</v>
      </c>
      <c r="G122" s="1487">
        <f t="shared" si="15"/>
        <v>0</v>
      </c>
      <c r="H122" s="1487">
        <f t="shared" si="15"/>
        <v>0</v>
      </c>
      <c r="I122" s="1488">
        <f t="shared" si="15"/>
        <v>0</v>
      </c>
      <c r="J122" s="1489">
        <f t="shared" ref="J122:J129" si="20">SUM(E122:I122)</f>
        <v>0</v>
      </c>
      <c r="P122" s="1373"/>
      <c r="S122" s="1449"/>
      <c r="T122" s="1449"/>
      <c r="U122" s="1378"/>
      <c r="V122" s="1378"/>
    </row>
    <row r="123" ht="15.75" hidden="1" customHeight="1" outlineLevel="2">
      <c r="A123" s="1378">
        <f t="shared" ref="A123:A127" si="21">1+A122</f>
        <v>2</v>
      </c>
      <c r="B123" s="51" t="str">
        <f t="shared" si="16"/>
        <v>Churchill</v>
      </c>
      <c r="C123" s="1490"/>
      <c r="D123" s="1428">
        <f t="shared" si="17"/>
        <v>8093</v>
      </c>
      <c r="E123" s="1491">
        <f t="shared" si="18"/>
        <v>0</v>
      </c>
      <c r="F123" s="1491">
        <f t="shared" ref="F123:I123" si="19">IF($C123="y",F$115*F$117*$D123,0)</f>
        <v>0</v>
      </c>
      <c r="G123" s="1491">
        <f t="shared" si="19"/>
        <v>0</v>
      </c>
      <c r="H123" s="1491">
        <f t="shared" si="19"/>
        <v>0</v>
      </c>
      <c r="I123" s="1492">
        <f t="shared" si="19"/>
        <v>0</v>
      </c>
      <c r="J123" s="1489">
        <f t="shared" si="20"/>
        <v>0</v>
      </c>
      <c r="P123" s="1373"/>
      <c r="S123" s="1449"/>
      <c r="T123" s="1449"/>
      <c r="U123" s="1378"/>
      <c r="V123" s="1378"/>
    </row>
    <row r="124" ht="15.75" hidden="1" customHeight="1" outlineLevel="2">
      <c r="A124" s="1378">
        <f t="shared" si="21"/>
        <v>3</v>
      </c>
      <c r="B124" s="51" t="str">
        <f t="shared" si="16"/>
        <v>Clark</v>
      </c>
      <c r="C124" s="1490" t="s">
        <v>1278</v>
      </c>
      <c r="D124" s="1428">
        <f t="shared" si="17"/>
        <v>7197</v>
      </c>
      <c r="E124" s="1491">
        <f t="shared" si="18"/>
        <v>3598500</v>
      </c>
      <c r="F124" s="1491">
        <f t="shared" ref="F124:I124" si="22">IF($C124="y",F$115*F$117*$D124,0)</f>
        <v>123988.5</v>
      </c>
      <c r="G124" s="1491">
        <f t="shared" si="22"/>
        <v>17272.8</v>
      </c>
      <c r="H124" s="1491">
        <f t="shared" si="22"/>
        <v>31091.04</v>
      </c>
      <c r="I124" s="1492">
        <f t="shared" si="22"/>
        <v>44045.64</v>
      </c>
      <c r="J124" s="1489">
        <f t="shared" si="20"/>
        <v>3814897.98</v>
      </c>
      <c r="P124" s="1373"/>
      <c r="S124" s="1449"/>
      <c r="T124" s="1449"/>
      <c r="U124" s="1378"/>
      <c r="V124" s="1378"/>
    </row>
    <row r="125" ht="15.75" hidden="1" customHeight="1" outlineLevel="2">
      <c r="A125" s="1378">
        <f t="shared" si="21"/>
        <v>4</v>
      </c>
      <c r="B125" s="51" t="str">
        <f t="shared" si="16"/>
        <v>Elko</v>
      </c>
      <c r="C125" s="1490"/>
      <c r="D125" s="1428">
        <f t="shared" si="17"/>
        <v>7715</v>
      </c>
      <c r="E125" s="1493">
        <f t="shared" si="18"/>
        <v>0</v>
      </c>
      <c r="F125" s="1493">
        <f t="shared" ref="F125:I125" si="23">IF($C125="y",F$115*F$117*$D125,0)</f>
        <v>0</v>
      </c>
      <c r="G125" s="1493">
        <f t="shared" si="23"/>
        <v>0</v>
      </c>
      <c r="H125" s="1493">
        <f t="shared" si="23"/>
        <v>0</v>
      </c>
      <c r="I125" s="1494">
        <f t="shared" si="23"/>
        <v>0</v>
      </c>
      <c r="J125" s="1489">
        <f t="shared" si="20"/>
        <v>0</v>
      </c>
      <c r="P125" s="1373"/>
      <c r="S125" s="1449"/>
      <c r="T125" s="1449"/>
      <c r="U125" s="1378"/>
      <c r="V125" s="1378"/>
    </row>
    <row r="126" ht="15.75" hidden="1" customHeight="1" outlineLevel="2">
      <c r="A126" s="1378">
        <f t="shared" si="21"/>
        <v>5</v>
      </c>
      <c r="B126" s="51" t="str">
        <f t="shared" ref="B126:B127" si="25">$B72</f>
        <v>Washoe</v>
      </c>
      <c r="C126" s="1490"/>
      <c r="D126" s="1428">
        <f t="shared" ref="D126:D127" si="26">+D72</f>
        <v>6980</v>
      </c>
      <c r="E126" s="1493">
        <f t="shared" si="18"/>
        <v>0</v>
      </c>
      <c r="F126" s="1493">
        <f t="shared" ref="F126:I126" si="24">IF($C126="y",F$115*F$117*$D126,0)</f>
        <v>0</v>
      </c>
      <c r="G126" s="1493">
        <f t="shared" si="24"/>
        <v>0</v>
      </c>
      <c r="H126" s="1493">
        <f t="shared" si="24"/>
        <v>0</v>
      </c>
      <c r="I126" s="1494">
        <f t="shared" si="24"/>
        <v>0</v>
      </c>
      <c r="J126" s="1489">
        <f t="shared" si="20"/>
        <v>0</v>
      </c>
      <c r="P126" s="1373"/>
      <c r="S126" s="1449"/>
      <c r="T126" s="1449"/>
      <c r="U126" s="1378"/>
      <c r="V126" s="1378"/>
    </row>
    <row r="127" ht="15.75" hidden="1" customHeight="1" outlineLevel="2">
      <c r="A127" s="1378">
        <f t="shared" si="21"/>
        <v>6</v>
      </c>
      <c r="B127" s="18" t="str">
        <f t="shared" si="25"/>
        <v>White Pine</v>
      </c>
      <c r="C127" s="1486"/>
      <c r="D127" s="1427">
        <f t="shared" si="26"/>
        <v>10367</v>
      </c>
      <c r="E127" s="1495">
        <f t="shared" si="18"/>
        <v>0</v>
      </c>
      <c r="F127" s="1495">
        <f t="shared" ref="F127:I127" si="27">IF($C127="y",F$115*F$117*$D127,0)</f>
        <v>0</v>
      </c>
      <c r="G127" s="1495">
        <f t="shared" si="27"/>
        <v>0</v>
      </c>
      <c r="H127" s="1495">
        <f t="shared" si="27"/>
        <v>0</v>
      </c>
      <c r="I127" s="1496">
        <f t="shared" si="27"/>
        <v>0</v>
      </c>
      <c r="J127" s="1497">
        <f t="shared" si="20"/>
        <v>0</v>
      </c>
      <c r="P127" s="1373"/>
      <c r="S127" s="1449"/>
      <c r="T127" s="1449"/>
      <c r="U127" s="1378"/>
      <c r="V127" s="1378"/>
    </row>
    <row r="128" ht="15.75" hidden="1" customHeight="1" outlineLevel="2">
      <c r="A128" s="1378"/>
      <c r="B128" s="1498" t="s">
        <v>1279</v>
      </c>
      <c r="C128" s="1499"/>
      <c r="D128" s="1500">
        <f>+D50</f>
        <v>8966</v>
      </c>
      <c r="E128" s="1501">
        <f t="shared" si="18"/>
        <v>0</v>
      </c>
      <c r="F128" s="1501">
        <f t="shared" ref="F128:I128" si="28">IF($C128="y",F$115*F$117*$D128,0)</f>
        <v>0</v>
      </c>
      <c r="G128" s="1501">
        <f t="shared" si="28"/>
        <v>0</v>
      </c>
      <c r="H128" s="1501">
        <f t="shared" si="28"/>
        <v>0</v>
      </c>
      <c r="I128" s="1502">
        <f t="shared" si="28"/>
        <v>0</v>
      </c>
      <c r="J128" s="1503">
        <f t="shared" si="20"/>
        <v>0</v>
      </c>
      <c r="K128" s="18" t="s">
        <v>1280</v>
      </c>
      <c r="P128" s="1373"/>
      <c r="S128" s="1449"/>
      <c r="T128" s="1449"/>
      <c r="U128" s="1378"/>
      <c r="V128" s="1378"/>
    </row>
    <row r="129" ht="15.75" hidden="1" customHeight="1" outlineLevel="2">
      <c r="A129" s="1378"/>
      <c r="C129" s="1504" t="str">
        <f>IF(COUNTIF(C122:C128,"y")&gt;1,"Error: Select 1 area","ok")</f>
        <v>ok</v>
      </c>
      <c r="E129" s="1505">
        <f t="shared" ref="E129:I129" si="29">SUM(E122:E128)</f>
        <v>3598500</v>
      </c>
      <c r="F129" s="1505">
        <f t="shared" si="29"/>
        <v>123988.5</v>
      </c>
      <c r="G129" s="1505">
        <f t="shared" si="29"/>
        <v>17272.8</v>
      </c>
      <c r="H129" s="1505">
        <f t="shared" si="29"/>
        <v>31091.04</v>
      </c>
      <c r="I129" s="1505">
        <f t="shared" si="29"/>
        <v>44045.64</v>
      </c>
      <c r="J129" s="1506">
        <f t="shared" si="20"/>
        <v>3814897.98</v>
      </c>
      <c r="P129" s="1373"/>
      <c r="S129" s="1449"/>
      <c r="T129" s="1449"/>
      <c r="U129" s="1378"/>
      <c r="V129" s="1378"/>
    </row>
    <row r="130" ht="15.75" hidden="1" customHeight="1" outlineLevel="2">
      <c r="A130" s="1378"/>
      <c r="B130" s="1257"/>
      <c r="C130" s="1257"/>
      <c r="D130" s="1257" t="s">
        <v>1276</v>
      </c>
      <c r="E130" s="1507">
        <f>+E129/J115</f>
        <v>7197</v>
      </c>
      <c r="F130" s="1507">
        <f t="shared" ref="F130:J130" si="30">+F129/F115</f>
        <v>2755.3</v>
      </c>
      <c r="G130" s="1507">
        <f t="shared" si="30"/>
        <v>1727.28</v>
      </c>
      <c r="H130" s="1507">
        <f t="shared" si="30"/>
        <v>215.91</v>
      </c>
      <c r="I130" s="1507">
        <f t="shared" si="30"/>
        <v>863.64</v>
      </c>
      <c r="J130" s="1507">
        <f t="shared" si="30"/>
        <v>7629.79596</v>
      </c>
      <c r="P130" s="1373"/>
      <c r="S130" s="1449"/>
      <c r="T130" s="1449"/>
      <c r="U130" s="1378"/>
      <c r="V130" s="1378"/>
    </row>
    <row r="131" ht="15.75" hidden="1" customHeight="1" outlineLevel="2">
      <c r="A131" s="1378"/>
      <c r="B131" s="1257"/>
      <c r="C131" s="1257"/>
      <c r="D131" s="1257"/>
      <c r="E131" s="1508">
        <f t="shared" ref="E131:J131" si="31">+E130/$E$130</f>
        <v>1</v>
      </c>
      <c r="F131" s="1508">
        <f t="shared" si="31"/>
        <v>0.3828400723</v>
      </c>
      <c r="G131" s="1508">
        <f t="shared" si="31"/>
        <v>0.24</v>
      </c>
      <c r="H131" s="1508">
        <f t="shared" si="31"/>
        <v>0.03</v>
      </c>
      <c r="I131" s="1508">
        <f t="shared" si="31"/>
        <v>0.12</v>
      </c>
      <c r="J131" s="1508">
        <f t="shared" si="31"/>
        <v>1.060135607</v>
      </c>
      <c r="P131" s="1373"/>
      <c r="S131" s="1449"/>
      <c r="T131" s="1449"/>
      <c r="U131" s="1378"/>
      <c r="V131" s="1378"/>
    </row>
    <row r="132" ht="15.75" hidden="1" customHeight="1" outlineLevel="2">
      <c r="A132" s="1378"/>
      <c r="B132" s="1257"/>
      <c r="C132" s="1257"/>
      <c r="D132" s="1257"/>
      <c r="E132" s="1508"/>
      <c r="F132" s="1508"/>
      <c r="G132" s="1508"/>
      <c r="H132" s="1508"/>
      <c r="I132" s="1508"/>
      <c r="J132" s="1508"/>
      <c r="P132" s="1373"/>
      <c r="S132" s="1449"/>
      <c r="T132" s="1449"/>
      <c r="U132" s="1378"/>
      <c r="V132" s="1378"/>
    </row>
    <row r="133" ht="15.75" hidden="1" customHeight="1" outlineLevel="2">
      <c r="A133" s="1378"/>
      <c r="E133" s="1475" t="s">
        <v>751</v>
      </c>
      <c r="F133" s="1475" t="s">
        <v>1264</v>
      </c>
      <c r="G133" s="1475" t="s">
        <v>1265</v>
      </c>
      <c r="H133" s="1475" t="s">
        <v>1254</v>
      </c>
      <c r="I133" s="1475" t="s">
        <v>1266</v>
      </c>
      <c r="J133" s="1475" t="s">
        <v>160</v>
      </c>
      <c r="P133" s="1373"/>
      <c r="S133" s="1449"/>
      <c r="T133" s="1449"/>
      <c r="U133" s="1378"/>
      <c r="V133" s="1378"/>
    </row>
    <row r="134" ht="15.75" hidden="1" customHeight="1" outlineLevel="2">
      <c r="A134" s="1378"/>
      <c r="E134" s="1477">
        <f t="shared" ref="E134:I134" si="32">+E115</f>
        <v>250</v>
      </c>
      <c r="F134" s="1477">
        <f t="shared" si="32"/>
        <v>45</v>
      </c>
      <c r="G134" s="1477">
        <f t="shared" si="32"/>
        <v>10</v>
      </c>
      <c r="H134" s="1477">
        <f t="shared" si="32"/>
        <v>144</v>
      </c>
      <c r="I134" s="1477">
        <f t="shared" si="32"/>
        <v>51</v>
      </c>
      <c r="J134" s="1478">
        <f>SUM(E134:I134)</f>
        <v>500</v>
      </c>
      <c r="P134" s="1373"/>
      <c r="S134" s="1449"/>
      <c r="T134" s="1449"/>
      <c r="U134" s="1378"/>
      <c r="V134" s="1378"/>
    </row>
    <row r="135" ht="15.75" hidden="1" customHeight="1" outlineLevel="2">
      <c r="A135" s="1378"/>
      <c r="D135" s="1444" t="s">
        <v>1268</v>
      </c>
      <c r="E135" s="1479">
        <f t="shared" ref="E135:J135" si="33">+E134/$J134</f>
        <v>0.5</v>
      </c>
      <c r="F135" s="1479">
        <f t="shared" si="33"/>
        <v>0.09</v>
      </c>
      <c r="G135" s="1479">
        <f t="shared" si="33"/>
        <v>0.02</v>
      </c>
      <c r="H135" s="1479">
        <f t="shared" si="33"/>
        <v>0.288</v>
      </c>
      <c r="I135" s="1479">
        <f t="shared" si="33"/>
        <v>0.102</v>
      </c>
      <c r="J135" s="1479">
        <f t="shared" si="33"/>
        <v>1</v>
      </c>
      <c r="P135" s="1373"/>
      <c r="S135" s="1449"/>
      <c r="T135" s="1449"/>
      <c r="U135" s="1378"/>
      <c r="V135" s="1378"/>
    </row>
    <row r="136" ht="15.75" hidden="1" customHeight="1" outlineLevel="2">
      <c r="A136" s="1378"/>
      <c r="D136" s="1444" t="s">
        <v>1269</v>
      </c>
      <c r="E136" s="1481">
        <v>0.0</v>
      </c>
      <c r="F136" s="1481">
        <f>E77</f>
        <v>0.33</v>
      </c>
      <c r="G136" s="1481">
        <f>E78</f>
        <v>0.23</v>
      </c>
      <c r="H136" s="1481">
        <f>E79</f>
        <v>0.03</v>
      </c>
      <c r="I136" s="1481">
        <f>E80</f>
        <v>0.12</v>
      </c>
      <c r="J136" s="1472"/>
      <c r="P136" s="1373"/>
      <c r="S136" s="1449"/>
      <c r="T136" s="1449"/>
      <c r="U136" s="1378"/>
      <c r="V136" s="1378"/>
    </row>
    <row r="137" ht="15.75" hidden="1" customHeight="1" outlineLevel="1">
      <c r="A137" s="1378"/>
      <c r="D137" s="1444"/>
      <c r="E137" s="1479"/>
      <c r="F137" s="1479"/>
      <c r="G137" s="1479"/>
      <c r="H137" s="1479"/>
      <c r="I137" s="1479"/>
      <c r="J137" s="1472"/>
      <c r="P137" s="1373"/>
      <c r="S137" s="1449"/>
      <c r="T137" s="1449"/>
      <c r="U137" s="1378"/>
      <c r="V137" s="1378"/>
    </row>
    <row r="138" ht="15.75" hidden="1" customHeight="1" outlineLevel="1">
      <c r="A138" s="1378"/>
      <c r="B138" s="18" t="s">
        <v>1281</v>
      </c>
      <c r="C138" s="1509" t="str">
        <f>+E48</f>
        <v>SYE 25</v>
      </c>
      <c r="D138" s="1444"/>
      <c r="E138" s="1479"/>
      <c r="F138" s="1479"/>
      <c r="G138" s="1479"/>
      <c r="H138" s="1479"/>
      <c r="I138" s="1479"/>
      <c r="J138" s="1472"/>
      <c r="P138" s="1373"/>
      <c r="S138" s="1449"/>
      <c r="T138" s="1449"/>
      <c r="U138" s="1378"/>
      <c r="V138" s="1378"/>
    </row>
    <row r="139" ht="15.75" hidden="1" customHeight="1" outlineLevel="1">
      <c r="A139" s="1378"/>
      <c r="D139" s="1444"/>
      <c r="E139" s="1479"/>
      <c r="F139" s="1479"/>
      <c r="G139" s="1479"/>
      <c r="H139" s="1479"/>
      <c r="I139" s="1479"/>
      <c r="J139" s="1472"/>
      <c r="P139" s="1373"/>
      <c r="S139" s="1449"/>
      <c r="T139" s="1449"/>
      <c r="U139" s="1378"/>
      <c r="V139" s="1378"/>
    </row>
    <row r="140" ht="15.75" hidden="1" customHeight="1" outlineLevel="1">
      <c r="A140" s="1378"/>
      <c r="B140" s="19" t="s">
        <v>1270</v>
      </c>
      <c r="E140" s="1479"/>
      <c r="F140" s="1479"/>
      <c r="G140" s="1479"/>
      <c r="H140" s="1479"/>
      <c r="I140" s="1479"/>
      <c r="J140" s="1472"/>
      <c r="P140" s="1373"/>
      <c r="S140" s="1449"/>
      <c r="T140" s="1449"/>
      <c r="U140" s="1378"/>
      <c r="V140" s="1378"/>
    </row>
    <row r="141" ht="15.75" hidden="1" customHeight="1" outlineLevel="1">
      <c r="A141" s="1378"/>
      <c r="C141" s="1483" t="s">
        <v>1272</v>
      </c>
      <c r="D141" s="19"/>
      <c r="E141" s="1482" t="s">
        <v>1282</v>
      </c>
      <c r="F141" s="1482"/>
      <c r="G141" s="1482"/>
      <c r="H141" s="1482"/>
      <c r="I141" s="1482"/>
      <c r="J141" s="1459" t="s">
        <v>160</v>
      </c>
      <c r="P141" s="1373"/>
      <c r="S141" s="1449"/>
      <c r="T141" s="1449"/>
      <c r="U141" s="1378"/>
      <c r="V141" s="1378"/>
    </row>
    <row r="142" ht="15.75" hidden="1" customHeight="1" outlineLevel="1">
      <c r="A142" s="1378"/>
      <c r="B142" s="1510" t="s">
        <v>1274</v>
      </c>
      <c r="C142" s="1475" t="s">
        <v>1275</v>
      </c>
      <c r="D142" s="1475" t="str">
        <f t="shared" ref="D142:D149" si="34">+E66</f>
        <v>SYE 23</v>
      </c>
      <c r="E142" s="1484">
        <f>+J134</f>
        <v>500</v>
      </c>
      <c r="F142" s="1485" t="s">
        <v>1277</v>
      </c>
      <c r="G142" s="1482"/>
      <c r="H142" s="1482"/>
      <c r="I142" s="1482"/>
      <c r="J142" s="1457" t="s">
        <v>1273</v>
      </c>
      <c r="P142" s="1373"/>
      <c r="S142" s="1449"/>
      <c r="T142" s="1449"/>
      <c r="U142" s="1378"/>
      <c r="V142" s="1378"/>
    </row>
    <row r="143" ht="15.75" hidden="1" customHeight="1" outlineLevel="1">
      <c r="A143" s="1378">
        <v>1.0</v>
      </c>
      <c r="B143" s="1406" t="str">
        <f t="shared" ref="B143:B146" si="36">$B67</f>
        <v>Carson City </v>
      </c>
      <c r="C143" s="1486"/>
      <c r="D143" s="1511">
        <f t="shared" si="34"/>
        <v>7594</v>
      </c>
      <c r="E143" s="1512">
        <f t="shared" ref="E143:E146" si="37">IF($C143="y",$J$134*$D143,0)</f>
        <v>0</v>
      </c>
      <c r="F143" s="1512">
        <f t="shared" ref="F143:I143" si="35">IF($C143="y",F$134*F$136*$D143,0)</f>
        <v>0</v>
      </c>
      <c r="G143" s="1512">
        <f t="shared" si="35"/>
        <v>0</v>
      </c>
      <c r="H143" s="1512">
        <f t="shared" si="35"/>
        <v>0</v>
      </c>
      <c r="I143" s="1513">
        <f t="shared" si="35"/>
        <v>0</v>
      </c>
      <c r="J143" s="1514">
        <f t="shared" ref="J143:J146" si="39">SUM(E143:I143)</f>
        <v>0</v>
      </c>
      <c r="P143" s="1373"/>
      <c r="S143" s="1449"/>
      <c r="T143" s="1449"/>
      <c r="U143" s="1378"/>
      <c r="V143" s="1378"/>
    </row>
    <row r="144" ht="15.75" hidden="1" customHeight="1" outlineLevel="1">
      <c r="A144" s="1378">
        <f t="shared" ref="A144:A149" si="40">1+A143</f>
        <v>2</v>
      </c>
      <c r="B144" s="1515" t="str">
        <f t="shared" si="36"/>
        <v>Churchill</v>
      </c>
      <c r="C144" s="1490"/>
      <c r="D144" s="1516">
        <f t="shared" si="34"/>
        <v>8197</v>
      </c>
      <c r="E144" s="1517">
        <f t="shared" si="37"/>
        <v>0</v>
      </c>
      <c r="F144" s="1517">
        <f t="shared" ref="F144:I144" si="38">IF($C144="y",F$134*F$136*$D144,0)</f>
        <v>0</v>
      </c>
      <c r="G144" s="1517">
        <f t="shared" si="38"/>
        <v>0</v>
      </c>
      <c r="H144" s="1517">
        <f t="shared" si="38"/>
        <v>0</v>
      </c>
      <c r="I144" s="1518">
        <f t="shared" si="38"/>
        <v>0</v>
      </c>
      <c r="J144" s="1489">
        <f t="shared" si="39"/>
        <v>0</v>
      </c>
      <c r="P144" s="1373"/>
      <c r="S144" s="1449"/>
      <c r="T144" s="1449"/>
      <c r="U144" s="1378"/>
      <c r="V144" s="1378"/>
    </row>
    <row r="145" ht="15.75" hidden="1" customHeight="1" outlineLevel="1">
      <c r="A145" s="1378">
        <f t="shared" si="40"/>
        <v>3</v>
      </c>
      <c r="B145" s="1515" t="str">
        <f t="shared" si="36"/>
        <v>Clark</v>
      </c>
      <c r="C145" s="1490"/>
      <c r="D145" s="1516">
        <f t="shared" si="34"/>
        <v>7293</v>
      </c>
      <c r="E145" s="1517">
        <f t="shared" si="37"/>
        <v>0</v>
      </c>
      <c r="F145" s="1517">
        <f t="shared" ref="F145:I145" si="41">IF($C145="y",F$134*F$136*$D145,0)</f>
        <v>0</v>
      </c>
      <c r="G145" s="1517">
        <f t="shared" si="41"/>
        <v>0</v>
      </c>
      <c r="H145" s="1517">
        <f t="shared" si="41"/>
        <v>0</v>
      </c>
      <c r="I145" s="1518">
        <f t="shared" si="41"/>
        <v>0</v>
      </c>
      <c r="J145" s="1489">
        <f t="shared" si="39"/>
        <v>0</v>
      </c>
      <c r="P145" s="1373"/>
      <c r="S145" s="1449"/>
      <c r="T145" s="1449"/>
      <c r="U145" s="1378"/>
      <c r="V145" s="1378"/>
    </row>
    <row r="146" ht="15.75" hidden="1" customHeight="1" outlineLevel="1">
      <c r="A146" s="1378">
        <f t="shared" si="40"/>
        <v>4</v>
      </c>
      <c r="B146" s="1515" t="str">
        <f t="shared" si="36"/>
        <v>Elko</v>
      </c>
      <c r="C146" s="1490"/>
      <c r="D146" s="1516">
        <f t="shared" si="34"/>
        <v>7818</v>
      </c>
      <c r="E146" s="1519">
        <f t="shared" si="37"/>
        <v>0</v>
      </c>
      <c r="F146" s="1519">
        <f t="shared" ref="F146:I146" si="42">IF($C146="y",F$134*F$136*$D146,0)</f>
        <v>0</v>
      </c>
      <c r="G146" s="1519">
        <f t="shared" si="42"/>
        <v>0</v>
      </c>
      <c r="H146" s="1519">
        <f t="shared" si="42"/>
        <v>0</v>
      </c>
      <c r="I146" s="1520">
        <f t="shared" si="42"/>
        <v>0</v>
      </c>
      <c r="J146" s="1489">
        <f t="shared" si="39"/>
        <v>0</v>
      </c>
      <c r="P146" s="1373"/>
      <c r="S146" s="1449"/>
      <c r="T146" s="1449"/>
      <c r="U146" s="1378"/>
      <c r="V146" s="1378"/>
    </row>
    <row r="147" ht="15.75" hidden="1" customHeight="1" outlineLevel="1">
      <c r="A147" s="1378">
        <f t="shared" si="40"/>
        <v>5</v>
      </c>
      <c r="B147" s="1515" t="s">
        <v>1189</v>
      </c>
      <c r="C147" s="1490"/>
      <c r="D147" s="1516">
        <f t="shared" si="34"/>
        <v>8881</v>
      </c>
      <c r="E147" s="1519"/>
      <c r="F147" s="1519"/>
      <c r="G147" s="1519"/>
      <c r="H147" s="1519"/>
      <c r="I147" s="1520"/>
      <c r="J147" s="1489"/>
      <c r="P147" s="1373"/>
      <c r="S147" s="1449"/>
      <c r="T147" s="1449"/>
      <c r="U147" s="1378"/>
      <c r="V147" s="1378"/>
    </row>
    <row r="148" ht="15.75" hidden="1" customHeight="1" outlineLevel="1">
      <c r="A148" s="1378">
        <f t="shared" si="40"/>
        <v>6</v>
      </c>
      <c r="B148" s="1515" t="str">
        <f t="shared" ref="B148:B149" si="44">$B72</f>
        <v>Washoe</v>
      </c>
      <c r="C148" s="1490"/>
      <c r="D148" s="1516">
        <f t="shared" si="34"/>
        <v>7074</v>
      </c>
      <c r="E148" s="1519">
        <f t="shared" ref="E148:E150" si="45">IF($C148="y",$J$134*$D148,0)</f>
        <v>0</v>
      </c>
      <c r="F148" s="1519">
        <f t="shared" ref="F148:I148" si="43">IF($C148="y",F$134*F$136*$D148,0)</f>
        <v>0</v>
      </c>
      <c r="G148" s="1519">
        <f t="shared" si="43"/>
        <v>0</v>
      </c>
      <c r="H148" s="1519">
        <f t="shared" si="43"/>
        <v>0</v>
      </c>
      <c r="I148" s="1520">
        <f t="shared" si="43"/>
        <v>0</v>
      </c>
      <c r="J148" s="1489">
        <f t="shared" ref="J148:J151" si="47">SUM(E148:I148)</f>
        <v>0</v>
      </c>
      <c r="P148" s="1373"/>
      <c r="S148" s="1449"/>
      <c r="T148" s="1449"/>
      <c r="U148" s="1378"/>
      <c r="V148" s="1378"/>
    </row>
    <row r="149" ht="15.75" hidden="1" customHeight="1" outlineLevel="1">
      <c r="A149" s="1378">
        <f t="shared" si="40"/>
        <v>7</v>
      </c>
      <c r="B149" s="1406" t="str">
        <f t="shared" si="44"/>
        <v>White Pine</v>
      </c>
      <c r="C149" s="1486"/>
      <c r="D149" s="1511">
        <f t="shared" si="34"/>
        <v>10501</v>
      </c>
      <c r="E149" s="1521">
        <f t="shared" si="45"/>
        <v>0</v>
      </c>
      <c r="F149" s="1521">
        <f t="shared" ref="F149:I149" si="46">IF($C149="y",F$134*F$136*$D149,0)</f>
        <v>0</v>
      </c>
      <c r="G149" s="1521">
        <f t="shared" si="46"/>
        <v>0</v>
      </c>
      <c r="H149" s="1521">
        <f t="shared" si="46"/>
        <v>0</v>
      </c>
      <c r="I149" s="1522">
        <f t="shared" si="46"/>
        <v>0</v>
      </c>
      <c r="J149" s="1497">
        <f t="shared" si="47"/>
        <v>0</v>
      </c>
      <c r="P149" s="1373"/>
      <c r="S149" s="1449"/>
      <c r="T149" s="1449"/>
      <c r="U149" s="1378"/>
      <c r="V149" s="1378"/>
    </row>
    <row r="150" ht="15.75" hidden="1" customHeight="1" outlineLevel="1">
      <c r="A150" s="1378"/>
      <c r="B150" s="1498" t="s">
        <v>1279</v>
      </c>
      <c r="C150" s="1499" t="s">
        <v>1278</v>
      </c>
      <c r="D150" s="1523">
        <f>+E50</f>
        <v>9414</v>
      </c>
      <c r="E150" s="1501">
        <f t="shared" si="45"/>
        <v>4707000</v>
      </c>
      <c r="F150" s="1501">
        <f t="shared" ref="F150:I150" si="48">IF($C150="y",F$134*F$136*$D150,0)</f>
        <v>139797.9</v>
      </c>
      <c r="G150" s="1501">
        <f t="shared" si="48"/>
        <v>21652.2</v>
      </c>
      <c r="H150" s="1501">
        <f t="shared" si="48"/>
        <v>40668.48</v>
      </c>
      <c r="I150" s="1502">
        <f t="shared" si="48"/>
        <v>57613.68</v>
      </c>
      <c r="J150" s="1503">
        <f t="shared" si="47"/>
        <v>4966732.26</v>
      </c>
      <c r="K150" s="18" t="s">
        <v>1280</v>
      </c>
      <c r="P150" s="1373"/>
      <c r="S150" s="1449"/>
      <c r="T150" s="1449"/>
      <c r="U150" s="1378"/>
      <c r="V150" s="1378"/>
    </row>
    <row r="151" ht="15.75" hidden="1" customHeight="1" outlineLevel="1">
      <c r="A151" s="1378"/>
      <c r="B151" s="18" t="s">
        <v>1283</v>
      </c>
      <c r="C151" s="1504"/>
      <c r="D151" s="1427">
        <v>7074.0</v>
      </c>
      <c r="E151" s="1505">
        <f t="shared" ref="E151:I151" si="49">SUM(E143:E150)</f>
        <v>4707000</v>
      </c>
      <c r="F151" s="1505">
        <f t="shared" si="49"/>
        <v>139797.9</v>
      </c>
      <c r="G151" s="1505">
        <f t="shared" si="49"/>
        <v>21652.2</v>
      </c>
      <c r="H151" s="1505">
        <f t="shared" si="49"/>
        <v>40668.48</v>
      </c>
      <c r="I151" s="1505">
        <f t="shared" si="49"/>
        <v>57613.68</v>
      </c>
      <c r="J151" s="1506">
        <f t="shared" si="47"/>
        <v>4966732.26</v>
      </c>
      <c r="P151" s="1373"/>
      <c r="S151" s="1449"/>
      <c r="T151" s="1449"/>
      <c r="U151" s="1378"/>
      <c r="V151" s="1378"/>
    </row>
    <row r="152" ht="15.75" hidden="1" customHeight="1" outlineLevel="1">
      <c r="A152" s="1378"/>
      <c r="B152" s="18" t="s">
        <v>1284</v>
      </c>
      <c r="D152" s="1524">
        <f>+D153</f>
        <v>7074</v>
      </c>
      <c r="E152" s="1472"/>
      <c r="F152" s="1472"/>
      <c r="G152" s="1472"/>
      <c r="H152" s="1472"/>
      <c r="P152" s="1373"/>
      <c r="S152" s="1449"/>
      <c r="T152" s="1449"/>
      <c r="U152" s="1378"/>
      <c r="V152" s="1378"/>
    </row>
    <row r="153" ht="15.75" hidden="1" customHeight="1" outlineLevel="1">
      <c r="A153" s="1378"/>
      <c r="D153" s="1427">
        <f>+D151*D46</f>
        <v>7074</v>
      </c>
      <c r="E153" s="1472"/>
      <c r="F153" s="1472"/>
      <c r="G153" s="1472"/>
      <c r="H153" s="1472"/>
      <c r="P153" s="1373"/>
      <c r="S153" s="1449"/>
      <c r="T153" s="1449"/>
      <c r="U153" s="1378"/>
      <c r="V153" s="1378"/>
    </row>
    <row r="154" ht="15.75" hidden="1" customHeight="1" outlineLevel="1">
      <c r="A154" s="1378"/>
      <c r="D154" s="1427"/>
      <c r="E154" s="1472"/>
      <c r="F154" s="1472"/>
      <c r="G154" s="1472"/>
      <c r="H154" s="1472"/>
      <c r="P154" s="1373"/>
      <c r="S154" s="1449"/>
      <c r="T154" s="1449"/>
      <c r="U154" s="1378"/>
      <c r="V154" s="1378"/>
    </row>
    <row r="155" ht="15.75" hidden="1" customHeight="1" outlineLevel="1">
      <c r="A155" s="1378"/>
      <c r="E155" s="1525" t="s">
        <v>1285</v>
      </c>
      <c r="F155" s="1525" t="s">
        <v>1286</v>
      </c>
      <c r="G155" s="1525" t="s">
        <v>1287</v>
      </c>
      <c r="H155" s="1472"/>
      <c r="P155" s="1373"/>
      <c r="S155" s="1449"/>
      <c r="T155" s="1449"/>
      <c r="U155" s="1378"/>
      <c r="V155" s="1378"/>
    </row>
    <row r="156" ht="15.75" hidden="1" customHeight="1" outlineLevel="1">
      <c r="A156" s="1378"/>
      <c r="D156" s="1444"/>
      <c r="E156" s="1525" t="s">
        <v>513</v>
      </c>
      <c r="F156" s="1525" t="s">
        <v>1288</v>
      </c>
      <c r="G156" s="1525" t="s">
        <v>1289</v>
      </c>
      <c r="H156" s="1445"/>
      <c r="P156" s="1373"/>
      <c r="S156" s="1449"/>
      <c r="T156" s="1449"/>
      <c r="U156" s="1378"/>
      <c r="V156" s="1378"/>
    </row>
    <row r="157" ht="15.75" hidden="1" customHeight="1" outlineLevel="1">
      <c r="A157" s="1378"/>
      <c r="E157" s="1525" t="s">
        <v>166</v>
      </c>
      <c r="F157" s="1525" t="s">
        <v>1290</v>
      </c>
      <c r="G157" s="1525" t="s">
        <v>1291</v>
      </c>
      <c r="P157" s="1373"/>
      <c r="S157" s="1449"/>
      <c r="T157" s="1449"/>
      <c r="U157" s="1378"/>
      <c r="V157" s="1378"/>
    </row>
    <row r="158" ht="15.75" hidden="1" customHeight="1" outlineLevel="1">
      <c r="A158" s="1378"/>
      <c r="E158" s="1525" t="s">
        <v>517</v>
      </c>
      <c r="F158" s="1525" t="s">
        <v>1292</v>
      </c>
      <c r="G158" s="1525" t="s">
        <v>1291</v>
      </c>
      <c r="P158" s="1373"/>
      <c r="S158" s="1449"/>
      <c r="T158" s="1449"/>
      <c r="U158" s="1378"/>
      <c r="V158" s="1378"/>
    </row>
    <row r="159" ht="15.75" hidden="1" customHeight="1" outlineLevel="1">
      <c r="A159" s="1378"/>
      <c r="E159" s="1525" t="s">
        <v>1293</v>
      </c>
      <c r="F159" s="1525" t="s">
        <v>1294</v>
      </c>
      <c r="G159" s="1525" t="s">
        <v>1295</v>
      </c>
      <c r="J159" s="1448"/>
      <c r="P159" s="1373"/>
      <c r="S159" s="1449"/>
      <c r="T159" s="1449"/>
      <c r="U159" s="1378"/>
      <c r="V159" s="1378"/>
    </row>
    <row r="160" ht="15.75" hidden="1" customHeight="1" outlineLevel="2">
      <c r="A160" s="1378"/>
      <c r="B160" s="1526" t="s">
        <v>1296</v>
      </c>
      <c r="C160" s="1526"/>
      <c r="D160" s="1526"/>
      <c r="E160" s="1527"/>
      <c r="F160" s="1528"/>
      <c r="G160" s="1526"/>
      <c r="H160" s="1528"/>
      <c r="I160" s="1528"/>
      <c r="J160" s="1529"/>
      <c r="P160" s="1373"/>
      <c r="S160" s="1449"/>
      <c r="T160" s="1449"/>
      <c r="U160" s="1378"/>
      <c r="V160" s="1378"/>
    </row>
    <row r="161" ht="15.75" hidden="1" customHeight="1" outlineLevel="2">
      <c r="A161" s="1378"/>
      <c r="B161" s="1530" t="s">
        <v>1274</v>
      </c>
      <c r="C161" s="1530"/>
      <c r="D161" s="1530"/>
      <c r="E161" s="1412"/>
      <c r="F161" s="1412"/>
      <c r="G161" s="1530"/>
      <c r="H161" s="1412"/>
      <c r="I161" s="1412"/>
      <c r="J161" s="1531"/>
      <c r="P161" s="1373"/>
      <c r="S161" s="1449"/>
      <c r="T161" s="1449"/>
      <c r="U161" s="1378"/>
      <c r="V161" s="1378"/>
    </row>
    <row r="162" ht="15.75" hidden="1" customHeight="1" outlineLevel="2">
      <c r="A162" s="1378"/>
      <c r="B162" s="1510"/>
      <c r="C162" s="1510"/>
      <c r="D162" s="1510"/>
      <c r="E162" s="1510" t="s">
        <v>1297</v>
      </c>
      <c r="F162" s="35"/>
      <c r="G162" s="1510"/>
      <c r="H162" s="35"/>
      <c r="I162" s="35"/>
      <c r="J162" s="1532"/>
      <c r="P162" s="1373"/>
      <c r="S162" s="1449"/>
      <c r="T162" s="1449"/>
      <c r="U162" s="1378"/>
      <c r="V162" s="1378"/>
    </row>
    <row r="163" ht="15.75" hidden="1" customHeight="1" outlineLevel="2">
      <c r="A163" s="1378"/>
      <c r="B163" s="1384"/>
      <c r="C163" s="1384"/>
      <c r="D163" s="1384"/>
      <c r="E163" s="1384" t="s">
        <v>751</v>
      </c>
      <c r="F163" s="1384" t="s">
        <v>1264</v>
      </c>
      <c r="G163" s="1384" t="s">
        <v>1265</v>
      </c>
      <c r="H163" s="1384" t="s">
        <v>1254</v>
      </c>
      <c r="I163" s="1384" t="s">
        <v>1266</v>
      </c>
      <c r="J163" s="1384" t="s">
        <v>160</v>
      </c>
      <c r="P163" s="1373"/>
      <c r="S163" s="1449"/>
      <c r="T163" s="1449"/>
      <c r="U163" s="1378"/>
      <c r="V163" s="1378"/>
    </row>
    <row r="164" ht="15.75" hidden="1" customHeight="1" outlineLevel="2">
      <c r="A164" s="1378">
        <v>1.0</v>
      </c>
      <c r="B164" s="18" t="str">
        <f>+B$67</f>
        <v>Carson City </v>
      </c>
      <c r="E164" s="1533">
        <v>10.0</v>
      </c>
      <c r="F164" s="1533">
        <v>4.0</v>
      </c>
      <c r="G164" s="1533">
        <v>5.0</v>
      </c>
      <c r="H164" s="1533">
        <v>5.0</v>
      </c>
      <c r="I164" s="1533">
        <v>1.0</v>
      </c>
      <c r="J164" s="1534">
        <f t="shared" ref="J164:J170" si="50">SUM(E164:I164)</f>
        <v>25</v>
      </c>
      <c r="P164" s="1373"/>
      <c r="S164" s="1449"/>
      <c r="T164" s="1449"/>
      <c r="U164" s="1378"/>
      <c r="V164" s="1378"/>
    </row>
    <row r="165" ht="15.75" hidden="1" customHeight="1" outlineLevel="2">
      <c r="A165" s="1378">
        <f t="shared" ref="A165:A169" si="51">1+A164</f>
        <v>2</v>
      </c>
      <c r="B165" s="18" t="str">
        <f>+$B$68</f>
        <v>Churchill</v>
      </c>
      <c r="E165" s="1533">
        <v>10.0</v>
      </c>
      <c r="F165" s="1533">
        <v>4.0</v>
      </c>
      <c r="G165" s="1533">
        <v>5.0</v>
      </c>
      <c r="H165" s="1533">
        <v>5.0</v>
      </c>
      <c r="I165" s="1533">
        <v>1.0</v>
      </c>
      <c r="J165" s="1535">
        <f t="shared" si="50"/>
        <v>25</v>
      </c>
      <c r="P165" s="1373"/>
      <c r="S165" s="1449"/>
      <c r="T165" s="1449"/>
      <c r="U165" s="1378"/>
      <c r="V165" s="1378"/>
    </row>
    <row r="166" ht="15.75" hidden="1" customHeight="1" outlineLevel="2">
      <c r="A166" s="1378">
        <f t="shared" si="51"/>
        <v>3</v>
      </c>
      <c r="B166" s="18" t="str">
        <f>+$B$69</f>
        <v>Clark</v>
      </c>
      <c r="E166" s="1533">
        <v>10.0</v>
      </c>
      <c r="F166" s="1533">
        <v>4.0</v>
      </c>
      <c r="G166" s="1533">
        <v>5.0</v>
      </c>
      <c r="H166" s="1533">
        <v>5.0</v>
      </c>
      <c r="I166" s="1533">
        <v>1.0</v>
      </c>
      <c r="J166" s="1535">
        <f t="shared" si="50"/>
        <v>25</v>
      </c>
      <c r="P166" s="1373"/>
      <c r="S166" s="1449"/>
      <c r="T166" s="1449"/>
      <c r="U166" s="1378"/>
      <c r="V166" s="1378"/>
    </row>
    <row r="167" ht="15.75" hidden="1" customHeight="1" outlineLevel="2">
      <c r="A167" s="1378">
        <f t="shared" si="51"/>
        <v>4</v>
      </c>
      <c r="B167" s="18" t="str">
        <f>+$B$70</f>
        <v>Elko</v>
      </c>
      <c r="E167" s="1533">
        <v>10.0</v>
      </c>
      <c r="F167" s="1533">
        <v>4.0</v>
      </c>
      <c r="G167" s="1533">
        <v>5.0</v>
      </c>
      <c r="H167" s="1533">
        <v>5.0</v>
      </c>
      <c r="I167" s="1533">
        <v>1.0</v>
      </c>
      <c r="J167" s="1535">
        <f t="shared" si="50"/>
        <v>25</v>
      </c>
      <c r="P167" s="1373"/>
      <c r="S167" s="1449"/>
      <c r="T167" s="1449"/>
      <c r="U167" s="1378"/>
      <c r="V167" s="1378"/>
    </row>
    <row r="168" ht="15.75" hidden="1" customHeight="1" outlineLevel="2">
      <c r="A168" s="1378">
        <f t="shared" si="51"/>
        <v>5</v>
      </c>
      <c r="B168" s="18" t="str">
        <f>+$B$72</f>
        <v>Washoe</v>
      </c>
      <c r="E168" s="1536">
        <v>10.0</v>
      </c>
      <c r="F168" s="1536">
        <v>4.0</v>
      </c>
      <c r="G168" s="1536">
        <v>5.0</v>
      </c>
      <c r="H168" s="1536">
        <v>5.0</v>
      </c>
      <c r="I168" s="1536">
        <v>1.0</v>
      </c>
      <c r="J168" s="1535">
        <f t="shared" si="50"/>
        <v>25</v>
      </c>
      <c r="P168" s="1373"/>
      <c r="S168" s="1449"/>
      <c r="T168" s="1449"/>
      <c r="U168" s="1378"/>
      <c r="V168" s="1378"/>
    </row>
    <row r="169" ht="15.75" hidden="1" customHeight="1" outlineLevel="2">
      <c r="A169" s="1378">
        <f t="shared" si="51"/>
        <v>6</v>
      </c>
      <c r="B169" s="18" t="str">
        <f>+$B$73</f>
        <v>White Pine</v>
      </c>
      <c r="E169" s="1536">
        <v>10.0</v>
      </c>
      <c r="F169" s="1536">
        <v>4.0</v>
      </c>
      <c r="G169" s="1536">
        <v>5.0</v>
      </c>
      <c r="H169" s="1536">
        <v>5.0</v>
      </c>
      <c r="I169" s="1536">
        <v>1.0</v>
      </c>
      <c r="J169" s="1537">
        <f t="shared" si="50"/>
        <v>25</v>
      </c>
      <c r="P169" s="1373"/>
      <c r="S169" s="1449"/>
      <c r="T169" s="1449"/>
      <c r="U169" s="1378"/>
      <c r="V169" s="1378"/>
    </row>
    <row r="170" ht="15.75" hidden="1" customHeight="1" outlineLevel="2">
      <c r="A170" s="1378"/>
      <c r="B170" s="1538" t="s">
        <v>160</v>
      </c>
      <c r="C170" s="1538"/>
      <c r="D170" s="1538"/>
      <c r="E170" s="1539">
        <f t="shared" ref="E170:I170" si="52">SUM(E164:E169)</f>
        <v>60</v>
      </c>
      <c r="F170" s="1539">
        <f t="shared" si="52"/>
        <v>24</v>
      </c>
      <c r="G170" s="1539">
        <f t="shared" si="52"/>
        <v>30</v>
      </c>
      <c r="H170" s="1539">
        <f t="shared" si="52"/>
        <v>30</v>
      </c>
      <c r="I170" s="1539">
        <f t="shared" si="52"/>
        <v>6</v>
      </c>
      <c r="J170" s="1539">
        <f t="shared" si="50"/>
        <v>150</v>
      </c>
      <c r="P170" s="1448"/>
      <c r="Q170" s="1449"/>
      <c r="R170" s="1449"/>
      <c r="S170" s="1449"/>
      <c r="T170" s="1449"/>
      <c r="U170" s="1378"/>
      <c r="V170" s="1378"/>
    </row>
    <row r="171" ht="15.75" hidden="1" customHeight="1" outlineLevel="2">
      <c r="A171" s="1378"/>
      <c r="J171" s="783"/>
      <c r="O171" s="1447"/>
      <c r="P171" s="1448"/>
      <c r="Q171" s="1449"/>
      <c r="R171" s="1449"/>
      <c r="S171" s="1449"/>
      <c r="T171" s="1449"/>
      <c r="U171" s="1378"/>
      <c r="V171" s="1378"/>
    </row>
    <row r="172" ht="15.75" hidden="1" customHeight="1" outlineLevel="2">
      <c r="A172" s="1378"/>
      <c r="E172" s="1510" t="s">
        <v>1298</v>
      </c>
      <c r="F172" s="35"/>
      <c r="G172" s="1510"/>
      <c r="H172" s="1510"/>
      <c r="I172" s="1510"/>
      <c r="J172" s="35"/>
      <c r="O172" s="1447"/>
      <c r="P172" s="1448"/>
      <c r="Q172" s="1449"/>
      <c r="R172" s="1449"/>
      <c r="S172" s="1449"/>
      <c r="T172" s="1449"/>
      <c r="U172" s="1378"/>
      <c r="V172" s="1378"/>
    </row>
    <row r="173" ht="15.75" hidden="1" customHeight="1" outlineLevel="2">
      <c r="A173" s="1378"/>
      <c r="E173" s="1384" t="s">
        <v>751</v>
      </c>
      <c r="F173" s="1384" t="s">
        <v>1264</v>
      </c>
      <c r="G173" s="1384" t="s">
        <v>1265</v>
      </c>
      <c r="H173" s="1384" t="s">
        <v>1254</v>
      </c>
      <c r="I173" s="1384" t="s">
        <v>1266</v>
      </c>
      <c r="J173" s="1540"/>
      <c r="O173" s="1447"/>
      <c r="P173" s="1448"/>
      <c r="Q173" s="1449"/>
      <c r="R173" s="1449"/>
      <c r="S173" s="1449"/>
      <c r="T173" s="1449"/>
      <c r="U173" s="1378"/>
      <c r="V173" s="1378"/>
    </row>
    <row r="174" ht="15.75" hidden="1" customHeight="1" outlineLevel="2">
      <c r="A174" s="1378"/>
      <c r="B174" s="1384" t="s">
        <v>1299</v>
      </c>
      <c r="C174" s="1384"/>
      <c r="D174" s="1384"/>
      <c r="E174" s="1541">
        <v>0.0</v>
      </c>
      <c r="F174" s="1542">
        <f>+D77</f>
        <v>0.3828400723</v>
      </c>
      <c r="G174" s="1542">
        <f>+D78</f>
        <v>0.24</v>
      </c>
      <c r="H174" s="1542">
        <f>+D79</f>
        <v>0.03</v>
      </c>
      <c r="I174" s="1542">
        <f>+D80</f>
        <v>0.12</v>
      </c>
      <c r="J174" s="1384" t="s">
        <v>160</v>
      </c>
      <c r="P174" s="1448"/>
      <c r="Q174" s="1449"/>
      <c r="R174" s="1449"/>
      <c r="S174" s="1449"/>
      <c r="T174" s="1449"/>
      <c r="U174" s="1378"/>
      <c r="V174" s="1378"/>
    </row>
    <row r="175" ht="15.75" hidden="1" customHeight="1" outlineLevel="2">
      <c r="A175" s="1378">
        <v>1.0</v>
      </c>
      <c r="B175" s="18" t="str">
        <f>+B$67</f>
        <v>Carson City </v>
      </c>
      <c r="E175" s="1543"/>
      <c r="F175" s="1544">
        <v>4.0</v>
      </c>
      <c r="G175" s="1544">
        <v>2.0</v>
      </c>
      <c r="H175" s="1544">
        <v>3.0</v>
      </c>
      <c r="I175" s="1544">
        <v>1.0</v>
      </c>
      <c r="J175" s="1534">
        <f t="shared" ref="J175:J181" si="53">SUM(E175:I175)</f>
        <v>10</v>
      </c>
      <c r="P175" s="1448"/>
      <c r="Q175" s="1449"/>
      <c r="R175" s="1449"/>
      <c r="S175" s="1449"/>
      <c r="T175" s="1449"/>
      <c r="U175" s="1378"/>
      <c r="V175" s="1378"/>
    </row>
    <row r="176" ht="15.75" hidden="1" customHeight="1" outlineLevel="2">
      <c r="A176" s="1378">
        <f t="shared" ref="A176:A180" si="54">1+A175</f>
        <v>2</v>
      </c>
      <c r="B176" s="18" t="str">
        <f>+$B$68</f>
        <v>Churchill</v>
      </c>
      <c r="E176" s="1543"/>
      <c r="F176" s="1545">
        <v>4.0</v>
      </c>
      <c r="G176" s="1545">
        <v>2.0</v>
      </c>
      <c r="H176" s="1545">
        <v>3.0</v>
      </c>
      <c r="I176" s="1545">
        <v>1.0</v>
      </c>
      <c r="J176" s="1535">
        <f t="shared" si="53"/>
        <v>10</v>
      </c>
      <c r="P176" s="1448"/>
      <c r="Q176" s="1449"/>
      <c r="R176" s="1449"/>
      <c r="S176" s="1449"/>
      <c r="T176" s="1449"/>
      <c r="U176" s="1378"/>
      <c r="V176" s="1378"/>
    </row>
    <row r="177" ht="15.75" hidden="1" customHeight="1" outlineLevel="2">
      <c r="A177" s="1378">
        <f t="shared" si="54"/>
        <v>3</v>
      </c>
      <c r="B177" s="18" t="str">
        <f>+$B$69</f>
        <v>Clark</v>
      </c>
      <c r="E177" s="1543"/>
      <c r="F177" s="1545">
        <v>4.0</v>
      </c>
      <c r="G177" s="1545">
        <v>2.0</v>
      </c>
      <c r="H177" s="1545">
        <v>3.0</v>
      </c>
      <c r="I177" s="1545">
        <v>1.0</v>
      </c>
      <c r="J177" s="1535">
        <f t="shared" si="53"/>
        <v>10</v>
      </c>
      <c r="P177" s="1448"/>
      <c r="Q177" s="1449"/>
      <c r="R177" s="1449"/>
      <c r="S177" s="1449"/>
      <c r="T177" s="1449"/>
      <c r="U177" s="1378"/>
      <c r="V177" s="1378"/>
    </row>
    <row r="178" ht="15.75" hidden="1" customHeight="1" outlineLevel="2">
      <c r="A178" s="1378">
        <f t="shared" si="54"/>
        <v>4</v>
      </c>
      <c r="B178" s="18" t="str">
        <f>+$B$70</f>
        <v>Elko</v>
      </c>
      <c r="E178" s="1543"/>
      <c r="F178" s="1545">
        <v>4.0</v>
      </c>
      <c r="G178" s="1545">
        <v>2.0</v>
      </c>
      <c r="H178" s="1545">
        <v>3.0</v>
      </c>
      <c r="I178" s="1545">
        <v>1.0</v>
      </c>
      <c r="J178" s="1535">
        <f t="shared" si="53"/>
        <v>10</v>
      </c>
      <c r="P178" s="1448"/>
      <c r="Q178" s="1449"/>
      <c r="R178" s="1449"/>
      <c r="S178" s="1449"/>
      <c r="T178" s="1449"/>
      <c r="U178" s="1378"/>
      <c r="V178" s="1378"/>
    </row>
    <row r="179" ht="15.75" hidden="1" customHeight="1" outlineLevel="2">
      <c r="A179" s="1378">
        <f t="shared" si="54"/>
        <v>5</v>
      </c>
      <c r="B179" s="18" t="str">
        <f>+$B$72</f>
        <v>Washoe</v>
      </c>
      <c r="E179" s="1543"/>
      <c r="F179" s="1545">
        <v>4.0</v>
      </c>
      <c r="G179" s="1545">
        <v>2.0</v>
      </c>
      <c r="H179" s="1545">
        <v>3.0</v>
      </c>
      <c r="I179" s="1545">
        <v>1.0</v>
      </c>
      <c r="J179" s="1535">
        <f t="shared" si="53"/>
        <v>10</v>
      </c>
      <c r="P179" s="1448"/>
      <c r="Q179" s="1449"/>
      <c r="R179" s="1449"/>
      <c r="S179" s="1449"/>
      <c r="T179" s="1449"/>
      <c r="U179" s="1378"/>
      <c r="V179" s="1378"/>
    </row>
    <row r="180" ht="15.75" hidden="1" customHeight="1" outlineLevel="2">
      <c r="A180" s="1378">
        <f t="shared" si="54"/>
        <v>6</v>
      </c>
      <c r="B180" s="18" t="str">
        <f>+$B$73</f>
        <v>White Pine</v>
      </c>
      <c r="E180" s="1543"/>
      <c r="F180" s="1546">
        <v>4.0</v>
      </c>
      <c r="G180" s="1546">
        <v>2.0</v>
      </c>
      <c r="H180" s="1546">
        <v>3.0</v>
      </c>
      <c r="I180" s="1546">
        <v>1.0</v>
      </c>
      <c r="J180" s="1537">
        <f t="shared" si="53"/>
        <v>10</v>
      </c>
      <c r="P180" s="1448"/>
      <c r="Q180" s="1449"/>
      <c r="R180" s="1449"/>
      <c r="S180" s="1449"/>
      <c r="T180" s="1449"/>
      <c r="U180" s="1378"/>
      <c r="V180" s="1378"/>
    </row>
    <row r="181" ht="15.75" hidden="1" customHeight="1" outlineLevel="2">
      <c r="A181" s="1378"/>
      <c r="B181" s="1538" t="s">
        <v>160</v>
      </c>
      <c r="C181" s="1538"/>
      <c r="D181" s="1538"/>
      <c r="E181" s="1547"/>
      <c r="F181" s="1547">
        <f t="shared" ref="F181:I181" si="55">SUM(F175:F180)</f>
        <v>24</v>
      </c>
      <c r="G181" s="1547">
        <f t="shared" si="55"/>
        <v>12</v>
      </c>
      <c r="H181" s="1547">
        <f t="shared" si="55"/>
        <v>18</v>
      </c>
      <c r="I181" s="1547">
        <f t="shared" si="55"/>
        <v>6</v>
      </c>
      <c r="J181" s="1539">
        <f t="shared" si="53"/>
        <v>60</v>
      </c>
      <c r="O181" s="1447"/>
      <c r="P181" s="1448"/>
      <c r="Q181" s="1449"/>
      <c r="R181" s="1449"/>
      <c r="S181" s="1449"/>
      <c r="T181" s="1449"/>
      <c r="U181" s="1378"/>
      <c r="V181" s="1378"/>
    </row>
    <row r="182" ht="15.75" hidden="1" customHeight="1" outlineLevel="2">
      <c r="A182" s="1378"/>
      <c r="O182" s="1447"/>
      <c r="P182" s="1448"/>
      <c r="Q182" s="1449"/>
      <c r="R182" s="1449"/>
      <c r="S182" s="1449"/>
      <c r="T182" s="1449"/>
      <c r="U182" s="1378"/>
      <c r="V182" s="1378"/>
    </row>
    <row r="183" ht="15.75" hidden="1" customHeight="1" outlineLevel="2">
      <c r="A183" s="1378"/>
      <c r="E183" s="19" t="s">
        <v>1300</v>
      </c>
      <c r="F183" s="19"/>
      <c r="G183" s="35"/>
      <c r="H183" s="35"/>
      <c r="I183" s="35"/>
      <c r="O183" s="1447"/>
      <c r="P183" s="1448"/>
      <c r="Q183" s="1449"/>
      <c r="R183" s="1449"/>
      <c r="S183" s="1449"/>
      <c r="T183" s="1449"/>
      <c r="U183" s="1378"/>
      <c r="V183" s="1378"/>
    </row>
    <row r="184" ht="15.75" hidden="1" customHeight="1" outlineLevel="2">
      <c r="A184" s="1378"/>
      <c r="E184" s="1548" t="s">
        <v>751</v>
      </c>
      <c r="F184" s="1548" t="s">
        <v>1264</v>
      </c>
      <c r="G184" s="1384" t="s">
        <v>1265</v>
      </c>
      <c r="H184" s="1384" t="s">
        <v>1254</v>
      </c>
      <c r="I184" s="1384" t="s">
        <v>1266</v>
      </c>
      <c r="J184" s="1548" t="s">
        <v>160</v>
      </c>
      <c r="K184" s="1449"/>
      <c r="O184" s="1447"/>
      <c r="P184" s="1448"/>
      <c r="Q184" s="1449"/>
      <c r="R184" s="1449"/>
      <c r="S184" s="1449"/>
      <c r="T184" s="1449"/>
      <c r="U184" s="1378"/>
      <c r="V184" s="1378"/>
    </row>
    <row r="185" ht="15.75" hidden="1" customHeight="1" outlineLevel="2">
      <c r="A185" s="1378">
        <v>1.0</v>
      </c>
      <c r="B185" s="18" t="str">
        <f>+B$67</f>
        <v>Carson City </v>
      </c>
      <c r="E185" s="1549">
        <f t="shared" ref="E185:I185" si="56">+E164-E175</f>
        <v>10</v>
      </c>
      <c r="F185" s="1549">
        <f t="shared" si="56"/>
        <v>0</v>
      </c>
      <c r="G185" s="1549">
        <f t="shared" si="56"/>
        <v>3</v>
      </c>
      <c r="H185" s="1549">
        <f t="shared" si="56"/>
        <v>2</v>
      </c>
      <c r="I185" s="1549">
        <f t="shared" si="56"/>
        <v>0</v>
      </c>
      <c r="J185" s="783">
        <f t="shared" ref="J185:J191" si="58">SUM(E185:I185)</f>
        <v>15</v>
      </c>
      <c r="O185" s="1447"/>
      <c r="P185" s="1448"/>
      <c r="Q185" s="1449"/>
      <c r="R185" s="1449"/>
      <c r="S185" s="1449"/>
      <c r="T185" s="1449"/>
      <c r="U185" s="1378"/>
      <c r="V185" s="1378"/>
    </row>
    <row r="186" ht="15.75" hidden="1" customHeight="1" outlineLevel="2">
      <c r="A186" s="1378">
        <f t="shared" ref="A186:A190" si="59">1+A185</f>
        <v>2</v>
      </c>
      <c r="B186" s="18" t="str">
        <f>+$B$68</f>
        <v>Churchill</v>
      </c>
      <c r="E186" s="1550">
        <f t="shared" ref="E186:I186" si="57">+E165-E176</f>
        <v>10</v>
      </c>
      <c r="F186" s="1550">
        <f t="shared" si="57"/>
        <v>0</v>
      </c>
      <c r="G186" s="1550">
        <f t="shared" si="57"/>
        <v>3</v>
      </c>
      <c r="H186" s="1550">
        <f t="shared" si="57"/>
        <v>2</v>
      </c>
      <c r="I186" s="1550">
        <f t="shared" si="57"/>
        <v>0</v>
      </c>
      <c r="J186" s="783">
        <f t="shared" si="58"/>
        <v>15</v>
      </c>
      <c r="O186" s="1447"/>
      <c r="P186" s="1448"/>
      <c r="Q186" s="1449"/>
      <c r="R186" s="1449"/>
      <c r="S186" s="1449"/>
      <c r="T186" s="1449"/>
      <c r="U186" s="1378"/>
      <c r="V186" s="1378"/>
    </row>
    <row r="187" ht="15.75" hidden="1" customHeight="1" outlineLevel="2">
      <c r="A187" s="1378">
        <f t="shared" si="59"/>
        <v>3</v>
      </c>
      <c r="B187" s="18" t="str">
        <f>+$B$69</f>
        <v>Clark</v>
      </c>
      <c r="E187" s="1550">
        <f t="shared" ref="E187:I187" si="60">+E166-E177</f>
        <v>10</v>
      </c>
      <c r="F187" s="1550">
        <f t="shared" si="60"/>
        <v>0</v>
      </c>
      <c r="G187" s="1550">
        <f t="shared" si="60"/>
        <v>3</v>
      </c>
      <c r="H187" s="1550">
        <f t="shared" si="60"/>
        <v>2</v>
      </c>
      <c r="I187" s="1550">
        <f t="shared" si="60"/>
        <v>0</v>
      </c>
      <c r="J187" s="783">
        <f t="shared" si="58"/>
        <v>15</v>
      </c>
      <c r="O187" s="1447"/>
      <c r="P187" s="1448"/>
      <c r="Q187" s="1449"/>
      <c r="R187" s="1449"/>
      <c r="S187" s="1449"/>
      <c r="T187" s="1449"/>
      <c r="U187" s="1378"/>
      <c r="V187" s="1378"/>
    </row>
    <row r="188" ht="15.75" hidden="1" customHeight="1" outlineLevel="2">
      <c r="A188" s="1378">
        <f t="shared" si="59"/>
        <v>4</v>
      </c>
      <c r="B188" s="18" t="str">
        <f>+$B$70</f>
        <v>Elko</v>
      </c>
      <c r="E188" s="1550">
        <f t="shared" ref="E188:I188" si="61">+E167-E178</f>
        <v>10</v>
      </c>
      <c r="F188" s="1550">
        <f t="shared" si="61"/>
        <v>0</v>
      </c>
      <c r="G188" s="1550">
        <f t="shared" si="61"/>
        <v>3</v>
      </c>
      <c r="H188" s="1550">
        <f t="shared" si="61"/>
        <v>2</v>
      </c>
      <c r="I188" s="1550">
        <f t="shared" si="61"/>
        <v>0</v>
      </c>
      <c r="J188" s="783">
        <f t="shared" si="58"/>
        <v>15</v>
      </c>
      <c r="O188" s="1447"/>
      <c r="P188" s="1448"/>
      <c r="Q188" s="1449"/>
      <c r="R188" s="1449"/>
      <c r="S188" s="1449"/>
      <c r="T188" s="1449"/>
      <c r="U188" s="1378"/>
      <c r="V188" s="1378"/>
    </row>
    <row r="189" ht="15.75" hidden="1" customHeight="1" outlineLevel="2">
      <c r="A189" s="1378">
        <f t="shared" si="59"/>
        <v>5</v>
      </c>
      <c r="B189" s="18" t="str">
        <f>+$B$72</f>
        <v>Washoe</v>
      </c>
      <c r="E189" s="1550">
        <f t="shared" ref="E189:I189" si="62">+E168-E179</f>
        <v>10</v>
      </c>
      <c r="F189" s="1550">
        <f t="shared" si="62"/>
        <v>0</v>
      </c>
      <c r="G189" s="1550">
        <f t="shared" si="62"/>
        <v>3</v>
      </c>
      <c r="H189" s="1550">
        <f t="shared" si="62"/>
        <v>2</v>
      </c>
      <c r="I189" s="1550">
        <f t="shared" si="62"/>
        <v>0</v>
      </c>
      <c r="J189" s="783">
        <f t="shared" si="58"/>
        <v>15</v>
      </c>
      <c r="O189" s="1447"/>
      <c r="P189" s="1448"/>
      <c r="Q189" s="1449"/>
      <c r="R189" s="1449"/>
      <c r="S189" s="1449"/>
      <c r="T189" s="1449"/>
      <c r="U189" s="1378"/>
      <c r="V189" s="1378"/>
    </row>
    <row r="190" ht="15.75" hidden="1" customHeight="1" outlineLevel="2">
      <c r="A190" s="1378">
        <f t="shared" si="59"/>
        <v>6</v>
      </c>
      <c r="B190" s="18" t="str">
        <f>+$B$73</f>
        <v>White Pine</v>
      </c>
      <c r="E190" s="1551">
        <f t="shared" ref="E190:I190" si="63">+E169-E180</f>
        <v>10</v>
      </c>
      <c r="F190" s="1551">
        <f t="shared" si="63"/>
        <v>0</v>
      </c>
      <c r="G190" s="1551">
        <f t="shared" si="63"/>
        <v>3</v>
      </c>
      <c r="H190" s="1551">
        <f t="shared" si="63"/>
        <v>2</v>
      </c>
      <c r="I190" s="1551">
        <f t="shared" si="63"/>
        <v>0</v>
      </c>
      <c r="J190" s="783">
        <f t="shared" si="58"/>
        <v>15</v>
      </c>
      <c r="O190" s="1447"/>
      <c r="P190" s="1448"/>
      <c r="Q190" s="1449"/>
      <c r="R190" s="1449"/>
      <c r="S190" s="1449"/>
      <c r="T190" s="1449"/>
      <c r="U190" s="1378"/>
      <c r="V190" s="1378"/>
    </row>
    <row r="191" ht="15.75" hidden="1" customHeight="1" outlineLevel="2">
      <c r="A191" s="1378"/>
      <c r="B191" s="1538" t="s">
        <v>160</v>
      </c>
      <c r="C191" s="1538"/>
      <c r="D191" s="1538"/>
      <c r="E191" s="1547">
        <f t="shared" ref="E191:I191" si="64">SUM(E185:E190)</f>
        <v>60</v>
      </c>
      <c r="F191" s="1547">
        <f t="shared" si="64"/>
        <v>0</v>
      </c>
      <c r="G191" s="1547">
        <f t="shared" si="64"/>
        <v>18</v>
      </c>
      <c r="H191" s="1547">
        <f t="shared" si="64"/>
        <v>12</v>
      </c>
      <c r="I191" s="1547">
        <f t="shared" si="64"/>
        <v>0</v>
      </c>
      <c r="J191" s="1547">
        <f t="shared" si="58"/>
        <v>90</v>
      </c>
      <c r="O191" s="1447"/>
      <c r="P191" s="1448"/>
      <c r="Q191" s="1449"/>
      <c r="R191" s="1449"/>
      <c r="S191" s="1449"/>
      <c r="T191" s="1449"/>
      <c r="U191" s="1378"/>
      <c r="V191" s="1378"/>
    </row>
    <row r="192" ht="15.75" hidden="1" customHeight="1" outlineLevel="2">
      <c r="A192" s="1378"/>
      <c r="O192" s="1447"/>
      <c r="P192" s="1448"/>
      <c r="Q192" s="1449"/>
      <c r="R192" s="1449"/>
      <c r="S192" s="1449"/>
      <c r="T192" s="1449"/>
      <c r="U192" s="1378"/>
      <c r="V192" s="1378"/>
    </row>
    <row r="193" ht="15.75" hidden="1" customHeight="1" outlineLevel="2">
      <c r="A193" s="1378"/>
      <c r="B193" s="1538" t="s">
        <v>1301</v>
      </c>
      <c r="C193" s="1538"/>
      <c r="D193" s="1538"/>
      <c r="E193" s="1547">
        <f t="shared" ref="E193:I193" si="65">+E181+E191</f>
        <v>60</v>
      </c>
      <c r="F193" s="1547">
        <f t="shared" si="65"/>
        <v>24</v>
      </c>
      <c r="G193" s="1547">
        <f t="shared" si="65"/>
        <v>30</v>
      </c>
      <c r="H193" s="1547">
        <f t="shared" si="65"/>
        <v>30</v>
      </c>
      <c r="I193" s="1547">
        <f t="shared" si="65"/>
        <v>6</v>
      </c>
      <c r="J193" s="1547">
        <f>SUM(E193:I193)</f>
        <v>150</v>
      </c>
      <c r="O193" s="1447"/>
      <c r="P193" s="1448"/>
      <c r="Q193" s="1449"/>
      <c r="R193" s="1449"/>
      <c r="S193" s="1449"/>
      <c r="T193" s="1449"/>
      <c r="U193" s="1378"/>
      <c r="V193" s="1378"/>
    </row>
    <row r="194" ht="15.75" hidden="1" customHeight="1" outlineLevel="2">
      <c r="A194" s="1378"/>
      <c r="O194" s="1447"/>
      <c r="P194" s="1448"/>
      <c r="Q194" s="1449"/>
      <c r="R194" s="1449"/>
      <c r="S194" s="1449"/>
      <c r="T194" s="1449"/>
      <c r="U194" s="1378"/>
      <c r="V194" s="1378"/>
    </row>
    <row r="195" ht="15.75" hidden="1" customHeight="1" outlineLevel="2">
      <c r="A195" s="1378"/>
      <c r="B195" s="1526" t="s">
        <v>1296</v>
      </c>
      <c r="C195" s="1526"/>
      <c r="D195" s="1526"/>
      <c r="E195" s="1527"/>
      <c r="F195" s="1528"/>
      <c r="G195" s="1526"/>
      <c r="H195" s="1528"/>
      <c r="I195" s="1528"/>
      <c r="J195" s="1529"/>
      <c r="O195" s="1447"/>
      <c r="P195" s="1448"/>
      <c r="Q195" s="1449"/>
      <c r="R195" s="1449"/>
      <c r="S195" s="1449"/>
      <c r="T195" s="1449"/>
      <c r="U195" s="1378"/>
      <c r="V195" s="1378"/>
    </row>
    <row r="196" ht="15.75" hidden="1" customHeight="1" outlineLevel="2">
      <c r="A196" s="1378"/>
      <c r="B196" s="1530" t="s">
        <v>1302</v>
      </c>
      <c r="C196" s="1530"/>
      <c r="D196" s="1530"/>
      <c r="E196" s="1530"/>
      <c r="F196" s="1412"/>
      <c r="G196" s="1530"/>
      <c r="H196" s="1412"/>
      <c r="I196" s="1412"/>
      <c r="J196" s="1531"/>
      <c r="O196" s="1447"/>
      <c r="P196" s="1448"/>
      <c r="Q196" s="1449"/>
      <c r="R196" s="1449"/>
      <c r="S196" s="1449"/>
      <c r="T196" s="1449"/>
      <c r="U196" s="1378"/>
      <c r="V196" s="1378"/>
    </row>
    <row r="197" ht="15.75" hidden="1" customHeight="1" outlineLevel="3">
      <c r="A197" s="1378"/>
      <c r="B197" s="1510"/>
      <c r="C197" s="1510"/>
      <c r="D197" s="1510"/>
      <c r="E197" s="1510" t="s">
        <v>1297</v>
      </c>
      <c r="F197" s="35"/>
      <c r="G197" s="1510"/>
      <c r="H197" s="35"/>
      <c r="I197" s="35"/>
      <c r="J197" s="1532"/>
      <c r="O197" s="1447"/>
      <c r="P197" s="1448"/>
      <c r="Q197" s="1449"/>
      <c r="R197" s="1449"/>
      <c r="S197" s="1449"/>
      <c r="T197" s="1449"/>
      <c r="U197" s="1378"/>
      <c r="V197" s="1378"/>
    </row>
    <row r="198" ht="15.75" hidden="1" customHeight="1" outlineLevel="3">
      <c r="A198" s="1378"/>
      <c r="B198" s="1384"/>
      <c r="C198" s="1384"/>
      <c r="D198" s="1384"/>
      <c r="E198" s="1384" t="s">
        <v>751</v>
      </c>
      <c r="F198" s="1384" t="s">
        <v>1264</v>
      </c>
      <c r="G198" s="1384" t="s">
        <v>1265</v>
      </c>
      <c r="H198" s="1384" t="s">
        <v>1254</v>
      </c>
      <c r="I198" s="1384" t="s">
        <v>1266</v>
      </c>
      <c r="J198" s="1384" t="s">
        <v>160</v>
      </c>
      <c r="O198" s="1447"/>
      <c r="P198" s="1448"/>
      <c r="Q198" s="1449"/>
      <c r="R198" s="1449"/>
      <c r="S198" s="1449"/>
      <c r="T198" s="1449"/>
      <c r="U198" s="1378"/>
      <c r="V198" s="1378"/>
    </row>
    <row r="199" ht="15.75" hidden="1" customHeight="1" outlineLevel="3">
      <c r="A199" s="1378">
        <v>1.0</v>
      </c>
      <c r="B199" s="18" t="str">
        <f>+B$67</f>
        <v>Carson City </v>
      </c>
      <c r="E199" s="1552">
        <v>100.0</v>
      </c>
      <c r="F199" s="1552">
        <v>40.0</v>
      </c>
      <c r="G199" s="1552">
        <v>50.0</v>
      </c>
      <c r="H199" s="1552">
        <v>50.0</v>
      </c>
      <c r="I199" s="1552">
        <v>2.0</v>
      </c>
      <c r="J199" s="1534">
        <f t="shared" ref="J199:J205" si="66">SUM(E199:I199)</f>
        <v>242</v>
      </c>
      <c r="O199" s="1447"/>
      <c r="P199" s="1448"/>
      <c r="Q199" s="1449"/>
      <c r="R199" s="1449"/>
      <c r="S199" s="1449"/>
      <c r="T199" s="1449"/>
      <c r="U199" s="1378"/>
      <c r="V199" s="1378"/>
    </row>
    <row r="200" ht="15.75" hidden="1" customHeight="1" outlineLevel="3">
      <c r="A200" s="1378">
        <f t="shared" ref="A200:A204" si="67">1+A199</f>
        <v>2</v>
      </c>
      <c r="B200" s="18" t="str">
        <f>+$B$68</f>
        <v>Churchill</v>
      </c>
      <c r="E200" s="1552"/>
      <c r="F200" s="1552">
        <v>30.0</v>
      </c>
      <c r="G200" s="1552">
        <v>0.0</v>
      </c>
      <c r="H200" s="1552">
        <v>0.0</v>
      </c>
      <c r="I200" s="1552">
        <v>0.0</v>
      </c>
      <c r="J200" s="1535">
        <f t="shared" si="66"/>
        <v>30</v>
      </c>
      <c r="O200" s="1447"/>
      <c r="P200" s="1448"/>
      <c r="Q200" s="1449"/>
      <c r="R200" s="1449"/>
      <c r="S200" s="1449"/>
      <c r="T200" s="1449"/>
      <c r="U200" s="1378"/>
      <c r="V200" s="1378"/>
    </row>
    <row r="201" ht="15.75" hidden="1" customHeight="1" outlineLevel="3">
      <c r="A201" s="1378">
        <f t="shared" si="67"/>
        <v>3</v>
      </c>
      <c r="B201" s="18" t="str">
        <f>+$B$69</f>
        <v>Clark</v>
      </c>
      <c r="E201" s="1552"/>
      <c r="F201" s="1552">
        <v>30.0</v>
      </c>
      <c r="G201" s="1552">
        <v>0.0</v>
      </c>
      <c r="H201" s="1552">
        <v>0.0</v>
      </c>
      <c r="I201" s="1552">
        <v>0.0</v>
      </c>
      <c r="J201" s="1535">
        <f t="shared" si="66"/>
        <v>30</v>
      </c>
      <c r="O201" s="1447"/>
      <c r="P201" s="1448"/>
      <c r="Q201" s="1449"/>
      <c r="R201" s="1449"/>
      <c r="S201" s="1449"/>
      <c r="T201" s="1449"/>
      <c r="U201" s="1378"/>
      <c r="V201" s="1378"/>
    </row>
    <row r="202" ht="15.75" hidden="1" customHeight="1" outlineLevel="3">
      <c r="A202" s="1378">
        <f t="shared" si="67"/>
        <v>4</v>
      </c>
      <c r="B202" s="18" t="str">
        <f>+$B$70</f>
        <v>Elko</v>
      </c>
      <c r="E202" s="1552"/>
      <c r="F202" s="1552">
        <v>5.0</v>
      </c>
      <c r="G202" s="1552">
        <v>0.0</v>
      </c>
      <c r="H202" s="1552">
        <v>0.0</v>
      </c>
      <c r="I202" s="1552">
        <v>0.0</v>
      </c>
      <c r="J202" s="1535">
        <f t="shared" si="66"/>
        <v>5</v>
      </c>
      <c r="O202" s="1447"/>
      <c r="P202" s="1448"/>
      <c r="Q202" s="1449"/>
      <c r="R202" s="1449"/>
      <c r="S202" s="1449"/>
      <c r="T202" s="1449"/>
      <c r="U202" s="1378"/>
      <c r="V202" s="1378"/>
    </row>
    <row r="203" ht="15.75" hidden="1" customHeight="1" outlineLevel="3">
      <c r="A203" s="1378">
        <f t="shared" si="67"/>
        <v>5</v>
      </c>
      <c r="B203" s="18" t="str">
        <f>+$B$72</f>
        <v>Washoe</v>
      </c>
      <c r="E203" s="1553"/>
      <c r="F203" s="1553">
        <v>10.0</v>
      </c>
      <c r="G203" s="1553">
        <v>0.0</v>
      </c>
      <c r="H203" s="1553">
        <v>0.0</v>
      </c>
      <c r="I203" s="1553">
        <v>0.0</v>
      </c>
      <c r="J203" s="1535">
        <f t="shared" si="66"/>
        <v>10</v>
      </c>
      <c r="O203" s="1447"/>
      <c r="P203" s="1448"/>
      <c r="Q203" s="1449"/>
      <c r="R203" s="1449"/>
      <c r="S203" s="1449"/>
      <c r="T203" s="1449"/>
      <c r="U203" s="1378"/>
      <c r="V203" s="1378"/>
    </row>
    <row r="204" ht="15.75" hidden="1" customHeight="1" outlineLevel="3">
      <c r="A204" s="1378">
        <f t="shared" si="67"/>
        <v>6</v>
      </c>
      <c r="B204" s="18" t="str">
        <f>+$B$73</f>
        <v>White Pine</v>
      </c>
      <c r="E204" s="1553"/>
      <c r="F204" s="1553">
        <v>10.0</v>
      </c>
      <c r="G204" s="1553">
        <v>0.0</v>
      </c>
      <c r="H204" s="1553">
        <v>0.0</v>
      </c>
      <c r="I204" s="1553">
        <v>0.0</v>
      </c>
      <c r="J204" s="1537">
        <f t="shared" si="66"/>
        <v>10</v>
      </c>
      <c r="O204" s="1447"/>
      <c r="P204" s="1448"/>
      <c r="Q204" s="1449"/>
      <c r="R204" s="1449"/>
      <c r="S204" s="1449"/>
      <c r="T204" s="1449"/>
      <c r="U204" s="1378"/>
      <c r="V204" s="1378"/>
    </row>
    <row r="205" ht="15.75" hidden="1" customHeight="1" outlineLevel="3">
      <c r="A205" s="1378"/>
      <c r="B205" s="1538" t="s">
        <v>160</v>
      </c>
      <c r="C205" s="1538"/>
      <c r="D205" s="1538"/>
      <c r="E205" s="1539">
        <f t="shared" ref="E205:I205" si="68">SUM(E199:E204)</f>
        <v>100</v>
      </c>
      <c r="F205" s="1539">
        <f t="shared" si="68"/>
        <v>125</v>
      </c>
      <c r="G205" s="1539">
        <f t="shared" si="68"/>
        <v>50</v>
      </c>
      <c r="H205" s="1539">
        <f t="shared" si="68"/>
        <v>50</v>
      </c>
      <c r="I205" s="1539">
        <f t="shared" si="68"/>
        <v>2</v>
      </c>
      <c r="J205" s="1539">
        <f t="shared" si="66"/>
        <v>327</v>
      </c>
      <c r="O205" s="1447"/>
      <c r="P205" s="1448"/>
      <c r="Q205" s="1449"/>
      <c r="R205" s="1449"/>
      <c r="S205" s="1449"/>
      <c r="T205" s="1449"/>
      <c r="U205" s="1378"/>
      <c r="V205" s="1378"/>
    </row>
    <row r="206" ht="15.75" hidden="1" customHeight="1" outlineLevel="3">
      <c r="A206" s="1378"/>
      <c r="J206" s="783"/>
      <c r="O206" s="1447"/>
      <c r="P206" s="1448"/>
      <c r="Q206" s="1449"/>
      <c r="R206" s="1449"/>
      <c r="S206" s="1449"/>
      <c r="T206" s="1449"/>
      <c r="U206" s="1378"/>
      <c r="V206" s="1378"/>
    </row>
    <row r="207" ht="15.75" hidden="1" customHeight="1" outlineLevel="3">
      <c r="A207" s="1378"/>
      <c r="E207" s="1510" t="s">
        <v>1303</v>
      </c>
      <c r="F207" s="35"/>
      <c r="G207" s="1510"/>
      <c r="H207" s="1510"/>
      <c r="I207" s="1510"/>
      <c r="J207" s="35"/>
      <c r="O207" s="1447"/>
      <c r="P207" s="1448"/>
      <c r="Q207" s="1449"/>
      <c r="R207" s="1449"/>
      <c r="S207" s="1449"/>
      <c r="T207" s="1449"/>
      <c r="U207" s="1378"/>
      <c r="V207" s="1378"/>
    </row>
    <row r="208" ht="15.75" hidden="1" customHeight="1" outlineLevel="3">
      <c r="A208" s="1378"/>
      <c r="E208" s="1384" t="s">
        <v>751</v>
      </c>
      <c r="F208" s="1384" t="s">
        <v>1264</v>
      </c>
      <c r="G208" s="1384" t="s">
        <v>1265</v>
      </c>
      <c r="H208" s="1384" t="s">
        <v>1254</v>
      </c>
      <c r="I208" s="1384" t="s">
        <v>1266</v>
      </c>
      <c r="J208" s="1540"/>
      <c r="O208" s="1447"/>
      <c r="P208" s="1448"/>
      <c r="Q208" s="1449"/>
      <c r="R208" s="1449"/>
      <c r="S208" s="1449"/>
      <c r="T208" s="1449"/>
      <c r="U208" s="1378"/>
      <c r="V208" s="1378"/>
    </row>
    <row r="209" ht="15.75" hidden="1" customHeight="1" outlineLevel="3">
      <c r="A209" s="1378"/>
      <c r="E209" s="1540"/>
      <c r="F209" s="1554">
        <f>+E185</f>
        <v>10</v>
      </c>
      <c r="G209" s="1554">
        <f>+E186</f>
        <v>10</v>
      </c>
      <c r="H209" s="1554">
        <f>+E187</f>
        <v>10</v>
      </c>
      <c r="I209" s="1554">
        <f>+E188</f>
        <v>10</v>
      </c>
      <c r="J209" s="1384" t="s">
        <v>160</v>
      </c>
      <c r="O209" s="1447"/>
      <c r="P209" s="1448"/>
      <c r="Q209" s="1449"/>
      <c r="R209" s="1449"/>
      <c r="S209" s="1449"/>
      <c r="T209" s="1449"/>
      <c r="U209" s="1378"/>
      <c r="V209" s="1378"/>
    </row>
    <row r="210" ht="15.75" hidden="1" customHeight="1" outlineLevel="3">
      <c r="A210" s="1378">
        <v>1.0</v>
      </c>
      <c r="B210" s="18" t="str">
        <f>+B$67</f>
        <v>Carson City </v>
      </c>
      <c r="E210" s="1543"/>
      <c r="F210" s="1544">
        <v>20.0</v>
      </c>
      <c r="G210" s="1544">
        <v>20.0</v>
      </c>
      <c r="H210" s="1544">
        <v>30.0</v>
      </c>
      <c r="I210" s="1544">
        <v>1.0</v>
      </c>
      <c r="J210" s="1555">
        <f t="shared" ref="J210:J216" si="69">SUM(E210:I210)</f>
        <v>71</v>
      </c>
      <c r="O210" s="1447"/>
      <c r="P210" s="1448"/>
      <c r="Q210" s="1449"/>
      <c r="R210" s="1449"/>
      <c r="S210" s="1449"/>
      <c r="T210" s="1449"/>
      <c r="U210" s="1378"/>
      <c r="V210" s="1378"/>
    </row>
    <row r="211" ht="15.75" hidden="1" customHeight="1" outlineLevel="3">
      <c r="A211" s="1378">
        <f t="shared" ref="A211:A215" si="70">1+A210</f>
        <v>2</v>
      </c>
      <c r="B211" s="18" t="str">
        <f>+$B$68</f>
        <v>Churchill</v>
      </c>
      <c r="E211" s="1543"/>
      <c r="F211" s="1545">
        <v>0.0</v>
      </c>
      <c r="G211" s="1545"/>
      <c r="H211" s="1545"/>
      <c r="I211" s="1545"/>
      <c r="J211" s="1535">
        <f t="shared" si="69"/>
        <v>0</v>
      </c>
      <c r="O211" s="1447"/>
      <c r="P211" s="1448"/>
      <c r="Q211" s="1449"/>
      <c r="R211" s="1449"/>
      <c r="S211" s="1449"/>
      <c r="T211" s="1449"/>
      <c r="U211" s="1378"/>
      <c r="V211" s="1378"/>
    </row>
    <row r="212" ht="15.75" hidden="1" customHeight="1" outlineLevel="3">
      <c r="A212" s="1378">
        <f t="shared" si="70"/>
        <v>3</v>
      </c>
      <c r="B212" s="18" t="str">
        <f>+$B$69</f>
        <v>Clark</v>
      </c>
      <c r="E212" s="1543"/>
      <c r="F212" s="1545">
        <v>30.0</v>
      </c>
      <c r="G212" s="1545"/>
      <c r="H212" s="1545"/>
      <c r="I212" s="1545"/>
      <c r="J212" s="1535">
        <f t="shared" si="69"/>
        <v>30</v>
      </c>
      <c r="O212" s="1447"/>
      <c r="P212" s="1448"/>
      <c r="Q212" s="1449"/>
      <c r="R212" s="1449"/>
      <c r="S212" s="1449"/>
      <c r="T212" s="1449"/>
      <c r="U212" s="1378"/>
      <c r="V212" s="1378"/>
    </row>
    <row r="213" ht="15.75" hidden="1" customHeight="1" outlineLevel="3">
      <c r="A213" s="1378">
        <f t="shared" si="70"/>
        <v>4</v>
      </c>
      <c r="B213" s="18" t="str">
        <f>+$B$70</f>
        <v>Elko</v>
      </c>
      <c r="E213" s="1543"/>
      <c r="F213" s="1545">
        <v>5.0</v>
      </c>
      <c r="G213" s="1545"/>
      <c r="H213" s="1545"/>
      <c r="I213" s="1545"/>
      <c r="J213" s="1535">
        <f t="shared" si="69"/>
        <v>5</v>
      </c>
      <c r="O213" s="1447"/>
      <c r="P213" s="1448"/>
      <c r="Q213" s="1449"/>
      <c r="R213" s="1449"/>
      <c r="S213" s="1449"/>
      <c r="T213" s="1449"/>
      <c r="U213" s="1378"/>
      <c r="V213" s="1378"/>
    </row>
    <row r="214" ht="15.75" hidden="1" customHeight="1" outlineLevel="3">
      <c r="A214" s="1378">
        <f t="shared" si="70"/>
        <v>5</v>
      </c>
      <c r="B214" s="18" t="str">
        <f>+$B$72</f>
        <v>Washoe</v>
      </c>
      <c r="E214" s="1543"/>
      <c r="F214" s="1545">
        <v>10.0</v>
      </c>
      <c r="G214" s="1545"/>
      <c r="H214" s="1545"/>
      <c r="I214" s="1545"/>
      <c r="J214" s="1535">
        <f t="shared" si="69"/>
        <v>10</v>
      </c>
      <c r="O214" s="1447"/>
      <c r="P214" s="1448"/>
      <c r="Q214" s="1449"/>
      <c r="R214" s="1449"/>
      <c r="S214" s="1449"/>
      <c r="T214" s="1449"/>
      <c r="U214" s="1378"/>
      <c r="V214" s="1378"/>
    </row>
    <row r="215" ht="15.75" hidden="1" customHeight="1" outlineLevel="3">
      <c r="A215" s="1378">
        <f t="shared" si="70"/>
        <v>6</v>
      </c>
      <c r="B215" s="18" t="str">
        <f>+$B$73</f>
        <v>White Pine</v>
      </c>
      <c r="E215" s="1543"/>
      <c r="F215" s="1546">
        <v>0.0</v>
      </c>
      <c r="G215" s="1546"/>
      <c r="H215" s="1546"/>
      <c r="I215" s="1546"/>
      <c r="J215" s="1537">
        <f t="shared" si="69"/>
        <v>0</v>
      </c>
      <c r="O215" s="1447"/>
      <c r="P215" s="1448"/>
      <c r="Q215" s="1449"/>
      <c r="R215" s="1449"/>
      <c r="S215" s="1449"/>
      <c r="T215" s="1449"/>
      <c r="U215" s="1378"/>
      <c r="V215" s="1378"/>
    </row>
    <row r="216" ht="15.75" hidden="1" customHeight="1" outlineLevel="3">
      <c r="A216" s="1378"/>
      <c r="B216" s="1538" t="s">
        <v>160</v>
      </c>
      <c r="C216" s="1538"/>
      <c r="D216" s="1538"/>
      <c r="E216" s="1556"/>
      <c r="F216" s="1547">
        <f t="shared" ref="F216:I216" si="71">SUM(F210:F215)</f>
        <v>65</v>
      </c>
      <c r="G216" s="1547">
        <f t="shared" si="71"/>
        <v>20</v>
      </c>
      <c r="H216" s="1547">
        <f t="shared" si="71"/>
        <v>30</v>
      </c>
      <c r="I216" s="1547">
        <f t="shared" si="71"/>
        <v>1</v>
      </c>
      <c r="J216" s="1539">
        <f t="shared" si="69"/>
        <v>116</v>
      </c>
      <c r="O216" s="1447"/>
      <c r="P216" s="1448"/>
      <c r="Q216" s="1449"/>
      <c r="R216" s="1449"/>
      <c r="S216" s="1449"/>
      <c r="T216" s="1449"/>
      <c r="U216" s="1378"/>
      <c r="V216" s="1378"/>
    </row>
    <row r="217" ht="15.75" hidden="1" customHeight="1" outlineLevel="3">
      <c r="A217" s="1378"/>
      <c r="O217" s="1447"/>
      <c r="P217" s="1448"/>
      <c r="Q217" s="1449"/>
      <c r="R217" s="1449"/>
      <c r="S217" s="1449"/>
      <c r="T217" s="1449"/>
      <c r="U217" s="1378"/>
      <c r="V217" s="1378"/>
    </row>
    <row r="218" ht="15.75" hidden="1" customHeight="1" outlineLevel="3">
      <c r="A218" s="1378"/>
      <c r="E218" s="1510"/>
      <c r="F218" s="19" t="s">
        <v>1300</v>
      </c>
      <c r="G218" s="35"/>
      <c r="H218" s="35"/>
      <c r="I218" s="35"/>
      <c r="O218" s="1447"/>
      <c r="P218" s="1448"/>
      <c r="Q218" s="1449"/>
      <c r="R218" s="1449"/>
      <c r="S218" s="1449"/>
      <c r="T218" s="1449"/>
      <c r="U218" s="1378"/>
      <c r="V218" s="1378"/>
    </row>
    <row r="219" ht="15.75" hidden="1" customHeight="1" outlineLevel="3">
      <c r="A219" s="1378"/>
      <c r="E219" s="1384" t="s">
        <v>751</v>
      </c>
      <c r="F219" s="1548" t="s">
        <v>1264</v>
      </c>
      <c r="G219" s="1384" t="s">
        <v>1265</v>
      </c>
      <c r="H219" s="1384" t="s">
        <v>1254</v>
      </c>
      <c r="I219" s="1384" t="s">
        <v>1266</v>
      </c>
      <c r="O219" s="1447"/>
      <c r="P219" s="1448"/>
      <c r="Q219" s="1449"/>
      <c r="R219" s="1449"/>
      <c r="S219" s="1449"/>
      <c r="T219" s="1449"/>
      <c r="U219" s="1378"/>
      <c r="V219" s="1378"/>
    </row>
    <row r="220" ht="15.75" hidden="1" customHeight="1" outlineLevel="3">
      <c r="A220" s="1378">
        <v>1.0</v>
      </c>
      <c r="B220" s="18" t="str">
        <f>+B$67</f>
        <v>Carson City </v>
      </c>
      <c r="E220" s="1549">
        <f t="shared" ref="E220:I220" si="72">+E199-E210</f>
        <v>100</v>
      </c>
      <c r="F220" s="1549">
        <f t="shared" si="72"/>
        <v>20</v>
      </c>
      <c r="G220" s="1549">
        <f t="shared" si="72"/>
        <v>30</v>
      </c>
      <c r="H220" s="1549">
        <f t="shared" si="72"/>
        <v>20</v>
      </c>
      <c r="I220" s="1549">
        <f t="shared" si="72"/>
        <v>1</v>
      </c>
      <c r="J220" s="783">
        <f t="shared" ref="J220:J226" si="74">SUM(E220:I220)</f>
        <v>171</v>
      </c>
      <c r="O220" s="1447"/>
      <c r="P220" s="1448"/>
      <c r="Q220" s="1449"/>
      <c r="R220" s="1449"/>
      <c r="S220" s="1449"/>
      <c r="T220" s="1449"/>
      <c r="U220" s="1378"/>
      <c r="V220" s="1378"/>
    </row>
    <row r="221" ht="15.75" hidden="1" customHeight="1" outlineLevel="3">
      <c r="A221" s="1378">
        <f t="shared" ref="A221:A225" si="75">1+A220</f>
        <v>2</v>
      </c>
      <c r="B221" s="18" t="str">
        <f>+$B$68</f>
        <v>Churchill</v>
      </c>
      <c r="E221" s="1550">
        <f t="shared" ref="E221:I221" si="73">+E200-E211</f>
        <v>0</v>
      </c>
      <c r="F221" s="1550">
        <f t="shared" si="73"/>
        <v>30</v>
      </c>
      <c r="G221" s="1550">
        <f t="shared" si="73"/>
        <v>0</v>
      </c>
      <c r="H221" s="1550">
        <f t="shared" si="73"/>
        <v>0</v>
      </c>
      <c r="I221" s="1550">
        <f t="shared" si="73"/>
        <v>0</v>
      </c>
      <c r="J221" s="783">
        <f t="shared" si="74"/>
        <v>30</v>
      </c>
      <c r="O221" s="1447"/>
      <c r="P221" s="1448"/>
      <c r="Q221" s="1449"/>
      <c r="R221" s="1449"/>
      <c r="S221" s="1449"/>
      <c r="T221" s="1449"/>
      <c r="U221" s="1378"/>
      <c r="V221" s="1378"/>
    </row>
    <row r="222" ht="15.75" hidden="1" customHeight="1" outlineLevel="3">
      <c r="A222" s="1378">
        <f t="shared" si="75"/>
        <v>3</v>
      </c>
      <c r="B222" s="18" t="str">
        <f>+$B$69</f>
        <v>Clark</v>
      </c>
      <c r="E222" s="1550">
        <f t="shared" ref="E222:I222" si="76">+E201-E212</f>
        <v>0</v>
      </c>
      <c r="F222" s="1550">
        <f t="shared" si="76"/>
        <v>0</v>
      </c>
      <c r="G222" s="1550">
        <f t="shared" si="76"/>
        <v>0</v>
      </c>
      <c r="H222" s="1550">
        <f t="shared" si="76"/>
        <v>0</v>
      </c>
      <c r="I222" s="1550">
        <f t="shared" si="76"/>
        <v>0</v>
      </c>
      <c r="J222" s="783">
        <f t="shared" si="74"/>
        <v>0</v>
      </c>
      <c r="O222" s="1447"/>
      <c r="P222" s="1448"/>
      <c r="Q222" s="1449"/>
      <c r="R222" s="1449"/>
      <c r="S222" s="1449"/>
      <c r="T222" s="1449"/>
      <c r="U222" s="1378"/>
      <c r="V222" s="1378"/>
    </row>
    <row r="223" ht="15.75" hidden="1" customHeight="1" outlineLevel="3">
      <c r="A223" s="1378">
        <f t="shared" si="75"/>
        <v>4</v>
      </c>
      <c r="B223" s="18" t="str">
        <f>+$B$70</f>
        <v>Elko</v>
      </c>
      <c r="E223" s="1550">
        <f t="shared" ref="E223:I223" si="77">+E202-E213</f>
        <v>0</v>
      </c>
      <c r="F223" s="1550">
        <f t="shared" si="77"/>
        <v>0</v>
      </c>
      <c r="G223" s="1550">
        <f t="shared" si="77"/>
        <v>0</v>
      </c>
      <c r="H223" s="1550">
        <f t="shared" si="77"/>
        <v>0</v>
      </c>
      <c r="I223" s="1550">
        <f t="shared" si="77"/>
        <v>0</v>
      </c>
      <c r="J223" s="783">
        <f t="shared" si="74"/>
        <v>0</v>
      </c>
      <c r="O223" s="1447"/>
      <c r="P223" s="1448"/>
      <c r="Q223" s="1449"/>
      <c r="R223" s="1449"/>
      <c r="S223" s="1449"/>
      <c r="T223" s="1449"/>
      <c r="U223" s="1378"/>
      <c r="V223" s="1378"/>
    </row>
    <row r="224" ht="15.75" hidden="1" customHeight="1" outlineLevel="3">
      <c r="A224" s="1378">
        <f t="shared" si="75"/>
        <v>5</v>
      </c>
      <c r="B224" s="18" t="str">
        <f>+$B$72</f>
        <v>Washoe</v>
      </c>
      <c r="E224" s="1550">
        <f t="shared" ref="E224:I224" si="78">+E203-E214</f>
        <v>0</v>
      </c>
      <c r="F224" s="1550">
        <f t="shared" si="78"/>
        <v>0</v>
      </c>
      <c r="G224" s="1550">
        <f t="shared" si="78"/>
        <v>0</v>
      </c>
      <c r="H224" s="1550">
        <f t="shared" si="78"/>
        <v>0</v>
      </c>
      <c r="I224" s="1550">
        <f t="shared" si="78"/>
        <v>0</v>
      </c>
      <c r="J224" s="783">
        <f t="shared" si="74"/>
        <v>0</v>
      </c>
      <c r="O224" s="1447"/>
      <c r="P224" s="1448"/>
      <c r="Q224" s="1449"/>
      <c r="R224" s="1449"/>
      <c r="S224" s="1449"/>
      <c r="T224" s="1449"/>
      <c r="U224" s="1378"/>
      <c r="V224" s="1378"/>
    </row>
    <row r="225" ht="15.75" hidden="1" customHeight="1" outlineLevel="3">
      <c r="A225" s="1378">
        <f t="shared" si="75"/>
        <v>6</v>
      </c>
      <c r="B225" s="18" t="str">
        <f>+$B$73</f>
        <v>White Pine</v>
      </c>
      <c r="E225" s="1551">
        <f t="shared" ref="E225:I225" si="79">+E204-E215</f>
        <v>0</v>
      </c>
      <c r="F225" s="1551">
        <f t="shared" si="79"/>
        <v>10</v>
      </c>
      <c r="G225" s="1551">
        <f t="shared" si="79"/>
        <v>0</v>
      </c>
      <c r="H225" s="1551">
        <f t="shared" si="79"/>
        <v>0</v>
      </c>
      <c r="I225" s="1551">
        <f t="shared" si="79"/>
        <v>0</v>
      </c>
      <c r="J225" s="783">
        <f t="shared" si="74"/>
        <v>10</v>
      </c>
      <c r="O225" s="1447"/>
      <c r="P225" s="1448"/>
      <c r="Q225" s="1449"/>
      <c r="R225" s="1449"/>
      <c r="S225" s="1449"/>
      <c r="T225" s="1449"/>
      <c r="U225" s="1378"/>
      <c r="V225" s="1378"/>
    </row>
    <row r="226" ht="15.75" hidden="1" customHeight="1" outlineLevel="3">
      <c r="A226" s="1378"/>
      <c r="B226" s="1538" t="s">
        <v>160</v>
      </c>
      <c r="C226" s="1538"/>
      <c r="D226" s="1538"/>
      <c r="E226" s="1547">
        <f t="shared" ref="E226:I226" si="80">SUM(E220:E225)</f>
        <v>100</v>
      </c>
      <c r="F226" s="1547">
        <f t="shared" si="80"/>
        <v>60</v>
      </c>
      <c r="G226" s="1547">
        <f t="shared" si="80"/>
        <v>30</v>
      </c>
      <c r="H226" s="1547">
        <f t="shared" si="80"/>
        <v>20</v>
      </c>
      <c r="I226" s="1547">
        <f t="shared" si="80"/>
        <v>1</v>
      </c>
      <c r="J226" s="1547">
        <f t="shared" si="74"/>
        <v>211</v>
      </c>
      <c r="O226" s="1447"/>
      <c r="P226" s="1448"/>
      <c r="Q226" s="1449"/>
      <c r="R226" s="1449"/>
      <c r="S226" s="1449"/>
      <c r="T226" s="1449"/>
      <c r="U226" s="1378"/>
      <c r="V226" s="1378"/>
    </row>
    <row r="227" ht="15.75" hidden="1" customHeight="1" outlineLevel="3">
      <c r="A227" s="1378"/>
      <c r="O227" s="1447"/>
      <c r="P227" s="1448"/>
      <c r="Q227" s="1449"/>
      <c r="R227" s="1449"/>
      <c r="S227" s="1449"/>
      <c r="T227" s="1449"/>
      <c r="U227" s="1378"/>
      <c r="V227" s="1378"/>
    </row>
    <row r="228" ht="15.75" hidden="1" customHeight="1" outlineLevel="3">
      <c r="A228" s="1378"/>
      <c r="B228" s="1538" t="s">
        <v>1301</v>
      </c>
      <c r="C228" s="1538"/>
      <c r="D228" s="1538"/>
      <c r="E228" s="1547">
        <f t="shared" ref="E228:I228" si="81">+E216+E226</f>
        <v>100</v>
      </c>
      <c r="F228" s="1547">
        <f t="shared" si="81"/>
        <v>125</v>
      </c>
      <c r="G228" s="1547">
        <f t="shared" si="81"/>
        <v>50</v>
      </c>
      <c r="H228" s="1547">
        <f t="shared" si="81"/>
        <v>50</v>
      </c>
      <c r="I228" s="1547">
        <f t="shared" si="81"/>
        <v>2</v>
      </c>
      <c r="J228" s="1547">
        <f>SUM(E228:I228)</f>
        <v>327</v>
      </c>
      <c r="O228" s="1447"/>
      <c r="P228" s="1448"/>
      <c r="Q228" s="1449"/>
      <c r="R228" s="1449"/>
      <c r="S228" s="1449"/>
      <c r="T228" s="1449"/>
      <c r="U228" s="1378"/>
      <c r="V228" s="1378"/>
    </row>
    <row r="229" ht="15.75" hidden="1" customHeight="1" outlineLevel="2">
      <c r="A229" s="1378"/>
      <c r="O229" s="1447"/>
      <c r="P229" s="1448"/>
      <c r="Q229" s="1449"/>
      <c r="R229" s="1449"/>
      <c r="S229" s="1449"/>
      <c r="T229" s="1449"/>
      <c r="U229" s="1378"/>
      <c r="V229" s="1378"/>
    </row>
    <row r="230" ht="15.75" hidden="1" customHeight="1" outlineLevel="2">
      <c r="A230" s="1378"/>
      <c r="B230" s="1557" t="s">
        <v>264</v>
      </c>
      <c r="C230" s="1557"/>
      <c r="D230" s="1557"/>
      <c r="E230" s="1558"/>
      <c r="F230" s="1558"/>
      <c r="G230" s="1558"/>
      <c r="H230" s="1558"/>
      <c r="I230" s="1558"/>
      <c r="J230" s="1558"/>
      <c r="O230" s="1447"/>
      <c r="P230" s="1448"/>
      <c r="Q230" s="1449"/>
      <c r="R230" s="1449"/>
      <c r="S230" s="1449"/>
      <c r="T230" s="1449"/>
      <c r="U230" s="1378"/>
      <c r="V230" s="1378"/>
    </row>
    <row r="231" ht="15.75" hidden="1" customHeight="1" outlineLevel="2">
      <c r="A231" s="1378"/>
      <c r="B231" s="1530" t="s">
        <v>1274</v>
      </c>
      <c r="C231" s="1530"/>
      <c r="D231" s="1530"/>
      <c r="E231" s="1412"/>
      <c r="F231" s="1412"/>
      <c r="G231" s="1530"/>
      <c r="H231" s="1412"/>
      <c r="I231" s="1412"/>
      <c r="J231" s="1531"/>
      <c r="O231" s="1447"/>
      <c r="P231" s="1448"/>
      <c r="Q231" s="1449"/>
      <c r="R231" s="1449"/>
      <c r="S231" s="1449"/>
      <c r="T231" s="1449"/>
      <c r="U231" s="1378"/>
      <c r="V231" s="1378"/>
    </row>
    <row r="232" ht="15.75" hidden="1" customHeight="1" outlineLevel="2">
      <c r="A232" s="1378"/>
      <c r="B232" s="1510"/>
      <c r="C232" s="1510"/>
      <c r="D232" s="1510"/>
      <c r="E232" s="1510" t="s">
        <v>1297</v>
      </c>
      <c r="F232" s="35"/>
      <c r="G232" s="1510"/>
      <c r="H232" s="35"/>
      <c r="I232" s="35"/>
      <c r="J232" s="1532"/>
      <c r="O232" s="1447"/>
      <c r="P232" s="1448"/>
      <c r="Q232" s="1449"/>
      <c r="R232" s="1449"/>
      <c r="S232" s="1449"/>
      <c r="T232" s="1449"/>
      <c r="U232" s="1378"/>
      <c r="V232" s="1378"/>
    </row>
    <row r="233" ht="15.75" hidden="1" customHeight="1" outlineLevel="2">
      <c r="A233" s="1378"/>
      <c r="B233" s="1384"/>
      <c r="C233" s="1384"/>
      <c r="D233" s="1384"/>
      <c r="E233" s="1384" t="s">
        <v>751</v>
      </c>
      <c r="F233" s="1384" t="s">
        <v>1264</v>
      </c>
      <c r="G233" s="1384" t="s">
        <v>1265</v>
      </c>
      <c r="H233" s="1384" t="s">
        <v>1254</v>
      </c>
      <c r="I233" s="1384" t="s">
        <v>1266</v>
      </c>
      <c r="J233" s="1384" t="s">
        <v>160</v>
      </c>
      <c r="O233" s="1447"/>
      <c r="P233" s="1448"/>
      <c r="Q233" s="1449"/>
      <c r="R233" s="1449"/>
      <c r="S233" s="1449"/>
      <c r="T233" s="1449"/>
      <c r="U233" s="1378"/>
      <c r="V233" s="1378"/>
    </row>
    <row r="234" ht="15.75" hidden="1" customHeight="1" outlineLevel="2">
      <c r="A234" s="1378">
        <v>1.0</v>
      </c>
      <c r="B234" s="18" t="str">
        <f>+B$67</f>
        <v>Carson City </v>
      </c>
      <c r="C234" s="1427"/>
      <c r="D234" s="1427">
        <f t="shared" ref="D234:D237" si="83">D67</f>
        <v>7494</v>
      </c>
      <c r="E234" s="1559">
        <f t="shared" ref="E234:I234" si="82">+E247+E257</f>
        <v>74940</v>
      </c>
      <c r="F234" s="1559">
        <f t="shared" si="82"/>
        <v>41452.01401</v>
      </c>
      <c r="G234" s="1559">
        <f t="shared" si="82"/>
        <v>41067.12</v>
      </c>
      <c r="H234" s="1559">
        <f t="shared" si="82"/>
        <v>38144.46</v>
      </c>
      <c r="I234" s="1559">
        <f t="shared" si="82"/>
        <v>8393.28</v>
      </c>
      <c r="J234" s="1560">
        <f t="shared" ref="J234:J241" si="85">SUM(E234:I234)</f>
        <v>203996.874</v>
      </c>
      <c r="O234" s="1447"/>
      <c r="P234" s="1448"/>
      <c r="Q234" s="1449"/>
      <c r="R234" s="1449"/>
      <c r="S234" s="1449"/>
      <c r="T234" s="1449"/>
      <c r="U234" s="1378"/>
      <c r="V234" s="1378"/>
    </row>
    <row r="235" ht="15.75" hidden="1" customHeight="1" outlineLevel="2">
      <c r="A235" s="1378">
        <f t="shared" ref="A235:A239" si="86">1+A234</f>
        <v>2</v>
      </c>
      <c r="B235" s="18" t="str">
        <f>+$B$68</f>
        <v>Churchill</v>
      </c>
      <c r="C235" s="17"/>
      <c r="D235" s="17">
        <f t="shared" si="83"/>
        <v>8093</v>
      </c>
      <c r="E235" s="1535">
        <f t="shared" ref="E235:I235" si="84">+E248+E258</f>
        <v>80930</v>
      </c>
      <c r="F235" s="1535">
        <f t="shared" si="84"/>
        <v>44765.29882</v>
      </c>
      <c r="G235" s="1535">
        <f t="shared" si="84"/>
        <v>44349.64</v>
      </c>
      <c r="H235" s="1535">
        <f t="shared" si="84"/>
        <v>41193.37</v>
      </c>
      <c r="I235" s="1535">
        <f t="shared" si="84"/>
        <v>9064.16</v>
      </c>
      <c r="J235" s="1535">
        <f t="shared" si="85"/>
        <v>220302.4688</v>
      </c>
      <c r="O235" s="1447"/>
      <c r="P235" s="1448"/>
      <c r="Q235" s="1449"/>
      <c r="R235" s="1449"/>
      <c r="S235" s="1449"/>
      <c r="T235" s="1449"/>
      <c r="U235" s="1378"/>
      <c r="V235" s="1378"/>
    </row>
    <row r="236" ht="15.75" hidden="1" customHeight="1" outlineLevel="2">
      <c r="A236" s="1378">
        <f t="shared" si="86"/>
        <v>3</v>
      </c>
      <c r="B236" s="18" t="str">
        <f>+$B$69</f>
        <v>Clark</v>
      </c>
      <c r="C236" s="17"/>
      <c r="D236" s="17">
        <f t="shared" si="83"/>
        <v>7197</v>
      </c>
      <c r="E236" s="1535">
        <f t="shared" ref="E236:I236" si="87">+E249+E259</f>
        <v>71970</v>
      </c>
      <c r="F236" s="1535">
        <f t="shared" si="87"/>
        <v>39809.2</v>
      </c>
      <c r="G236" s="1535">
        <f t="shared" si="87"/>
        <v>39439.56</v>
      </c>
      <c r="H236" s="1535">
        <f t="shared" si="87"/>
        <v>36632.73</v>
      </c>
      <c r="I236" s="1535">
        <f t="shared" si="87"/>
        <v>8060.64</v>
      </c>
      <c r="J236" s="1535">
        <f t="shared" si="85"/>
        <v>195912.13</v>
      </c>
      <c r="O236" s="1447"/>
      <c r="P236" s="1448"/>
      <c r="Q236" s="1449"/>
      <c r="R236" s="1449"/>
      <c r="S236" s="1449"/>
      <c r="T236" s="1449"/>
      <c r="U236" s="1378"/>
      <c r="V236" s="1378"/>
    </row>
    <row r="237" ht="15.75" hidden="1" customHeight="1" outlineLevel="2">
      <c r="A237" s="1378">
        <f t="shared" si="86"/>
        <v>4</v>
      </c>
      <c r="B237" s="18" t="str">
        <f>+$B$70</f>
        <v>Elko</v>
      </c>
      <c r="C237" s="17"/>
      <c r="D237" s="17">
        <f t="shared" si="83"/>
        <v>7715</v>
      </c>
      <c r="E237" s="1535">
        <f t="shared" ref="E237:I237" si="88">+E250+E260</f>
        <v>77150</v>
      </c>
      <c r="F237" s="1535">
        <f t="shared" si="88"/>
        <v>42674.44463</v>
      </c>
      <c r="G237" s="1535">
        <f t="shared" si="88"/>
        <v>42278.2</v>
      </c>
      <c r="H237" s="1535">
        <f t="shared" si="88"/>
        <v>39269.35</v>
      </c>
      <c r="I237" s="1535">
        <f t="shared" si="88"/>
        <v>8640.8</v>
      </c>
      <c r="J237" s="1535">
        <f t="shared" si="85"/>
        <v>210012.7946</v>
      </c>
      <c r="O237" s="1447"/>
      <c r="P237" s="1448"/>
      <c r="Q237" s="1449"/>
      <c r="R237" s="1449"/>
      <c r="S237" s="1449"/>
      <c r="T237" s="1449"/>
      <c r="U237" s="1378"/>
      <c r="V237" s="1378"/>
    </row>
    <row r="238" ht="15.75" hidden="1" customHeight="1" outlineLevel="2">
      <c r="A238" s="1378">
        <f t="shared" si="86"/>
        <v>5</v>
      </c>
      <c r="B238" s="18" t="str">
        <f>+$B$72</f>
        <v>Washoe</v>
      </c>
      <c r="C238" s="17"/>
      <c r="D238" s="17">
        <f t="shared" ref="D238:D239" si="90">D72</f>
        <v>6980</v>
      </c>
      <c r="E238" s="1537">
        <f t="shared" ref="E238:I238" si="89">+E251+E261</f>
        <v>69800</v>
      </c>
      <c r="F238" s="1537">
        <f t="shared" si="89"/>
        <v>38608.89482</v>
      </c>
      <c r="G238" s="1537">
        <f t="shared" si="89"/>
        <v>38250.4</v>
      </c>
      <c r="H238" s="1537">
        <f t="shared" si="89"/>
        <v>35528.2</v>
      </c>
      <c r="I238" s="1537">
        <f t="shared" si="89"/>
        <v>7817.6</v>
      </c>
      <c r="J238" s="1535">
        <f t="shared" si="85"/>
        <v>190005.0948</v>
      </c>
      <c r="O238" s="1447"/>
      <c r="P238" s="1448"/>
      <c r="Q238" s="1449"/>
      <c r="R238" s="1449"/>
      <c r="S238" s="1449"/>
      <c r="T238" s="1449"/>
      <c r="U238" s="1378"/>
      <c r="V238" s="1378"/>
    </row>
    <row r="239" ht="15.75" hidden="1" customHeight="1" outlineLevel="2">
      <c r="A239" s="1378">
        <f t="shared" si="86"/>
        <v>6</v>
      </c>
      <c r="B239" s="18" t="str">
        <f>+$B$73</f>
        <v>White Pine</v>
      </c>
      <c r="C239" s="17"/>
      <c r="D239" s="17">
        <f t="shared" si="90"/>
        <v>10367</v>
      </c>
      <c r="E239" s="1537">
        <f t="shared" ref="E239:I239" si="91">+E252+E262</f>
        <v>103670</v>
      </c>
      <c r="F239" s="1537">
        <f t="shared" si="91"/>
        <v>57343.61212</v>
      </c>
      <c r="G239" s="1537">
        <f t="shared" si="91"/>
        <v>56811.16</v>
      </c>
      <c r="H239" s="1537">
        <f t="shared" si="91"/>
        <v>52768.03</v>
      </c>
      <c r="I239" s="1537">
        <f t="shared" si="91"/>
        <v>11611.04</v>
      </c>
      <c r="J239" s="1537">
        <f t="shared" si="85"/>
        <v>282203.8421</v>
      </c>
      <c r="O239" s="1447"/>
      <c r="P239" s="1448"/>
      <c r="Q239" s="1449"/>
      <c r="R239" s="1449"/>
      <c r="S239" s="1449"/>
      <c r="T239" s="1449"/>
      <c r="U239" s="1378"/>
      <c r="V239" s="1378"/>
    </row>
    <row r="240" ht="15.75" hidden="1" customHeight="1" outlineLevel="2">
      <c r="A240" s="1378"/>
      <c r="B240" s="1538" t="s">
        <v>664</v>
      </c>
      <c r="C240" s="1538"/>
      <c r="D240" s="1538"/>
      <c r="E240" s="1505">
        <f t="shared" ref="E240:I240" si="92">SUM(E234:E239)</f>
        <v>478460</v>
      </c>
      <c r="F240" s="1505">
        <f t="shared" si="92"/>
        <v>264653.4644</v>
      </c>
      <c r="G240" s="1505">
        <f t="shared" si="92"/>
        <v>262196.08</v>
      </c>
      <c r="H240" s="1505">
        <f t="shared" si="92"/>
        <v>243536.14</v>
      </c>
      <c r="I240" s="1505">
        <f t="shared" si="92"/>
        <v>53587.52</v>
      </c>
      <c r="J240" s="1506">
        <f t="shared" si="85"/>
        <v>1302433.204</v>
      </c>
      <c r="O240" s="1447"/>
      <c r="P240" s="1448"/>
      <c r="Q240" s="1449"/>
      <c r="R240" s="1449"/>
      <c r="S240" s="1449"/>
      <c r="T240" s="1449"/>
      <c r="U240" s="1378"/>
      <c r="V240" s="1378"/>
    </row>
    <row r="241" ht="15.75" hidden="1" customHeight="1" outlineLevel="2">
      <c r="A241" s="1378"/>
      <c r="B241" s="19" t="s">
        <v>565</v>
      </c>
      <c r="E241" s="783">
        <f t="shared" ref="E241:I241" si="93">+E170</f>
        <v>60</v>
      </c>
      <c r="F241" s="783">
        <f t="shared" si="93"/>
        <v>24</v>
      </c>
      <c r="G241" s="783">
        <f t="shared" si="93"/>
        <v>30</v>
      </c>
      <c r="H241" s="783">
        <f t="shared" si="93"/>
        <v>30</v>
      </c>
      <c r="I241" s="783">
        <f t="shared" si="93"/>
        <v>6</v>
      </c>
      <c r="J241" s="783">
        <f t="shared" si="85"/>
        <v>150</v>
      </c>
      <c r="O241" s="1447"/>
      <c r="P241" s="1448"/>
      <c r="Q241" s="1449"/>
      <c r="R241" s="1449"/>
      <c r="S241" s="1449"/>
      <c r="T241" s="1449"/>
      <c r="U241" s="1378"/>
      <c r="V241" s="1378"/>
    </row>
    <row r="242" ht="15.75" hidden="1" customHeight="1" outlineLevel="2">
      <c r="A242" s="1378"/>
      <c r="B242" s="1538" t="s">
        <v>1304</v>
      </c>
      <c r="C242" s="1455"/>
      <c r="D242" s="1455"/>
      <c r="E242" s="1296">
        <f t="shared" ref="E242:J242" si="94">+E240/E241</f>
        <v>7974.333333</v>
      </c>
      <c r="F242" s="1296">
        <f t="shared" si="94"/>
        <v>11027.22768</v>
      </c>
      <c r="G242" s="1296">
        <f t="shared" si="94"/>
        <v>8739.869333</v>
      </c>
      <c r="H242" s="1296">
        <f t="shared" si="94"/>
        <v>8117.871333</v>
      </c>
      <c r="I242" s="1296">
        <f t="shared" si="94"/>
        <v>8931.253333</v>
      </c>
      <c r="J242" s="1296">
        <f t="shared" si="94"/>
        <v>8682.888029</v>
      </c>
      <c r="O242" s="1447"/>
      <c r="P242" s="1448"/>
      <c r="Q242" s="1449"/>
      <c r="R242" s="1449"/>
      <c r="S242" s="1449"/>
      <c r="T242" s="1449"/>
      <c r="U242" s="1378"/>
      <c r="V242" s="1378"/>
    </row>
    <row r="243" ht="15.75" hidden="1" customHeight="1" outlineLevel="2">
      <c r="A243" s="1378"/>
      <c r="B243" s="19"/>
      <c r="J243" s="783"/>
      <c r="O243" s="1447"/>
      <c r="P243" s="1448"/>
      <c r="Q243" s="1449"/>
      <c r="R243" s="1449"/>
      <c r="S243" s="1449"/>
      <c r="T243" s="1449"/>
      <c r="U243" s="1378"/>
      <c r="V243" s="1378"/>
    </row>
    <row r="244" ht="15.75" hidden="1" customHeight="1" outlineLevel="2">
      <c r="A244" s="1378"/>
      <c r="E244" s="1510" t="s">
        <v>1305</v>
      </c>
      <c r="F244" s="35"/>
      <c r="G244" s="1510"/>
      <c r="H244" s="1510"/>
      <c r="I244" s="1510"/>
      <c r="J244" s="35"/>
      <c r="O244" s="1447"/>
      <c r="P244" s="1448"/>
      <c r="Q244" s="1449"/>
      <c r="R244" s="1449"/>
      <c r="S244" s="1449"/>
      <c r="T244" s="1449"/>
      <c r="U244" s="1378"/>
      <c r="V244" s="1378"/>
    </row>
    <row r="245" ht="15.75" hidden="1" customHeight="1" outlineLevel="2">
      <c r="A245" s="1378"/>
      <c r="E245" s="1384" t="s">
        <v>751</v>
      </c>
      <c r="F245" s="1384" t="s">
        <v>1264</v>
      </c>
      <c r="G245" s="1384" t="s">
        <v>1265</v>
      </c>
      <c r="H245" s="1384" t="s">
        <v>1254</v>
      </c>
      <c r="I245" s="1384" t="s">
        <v>1266</v>
      </c>
      <c r="J245" s="1540"/>
      <c r="O245" s="1447"/>
      <c r="P245" s="1448"/>
      <c r="Q245" s="1449"/>
      <c r="R245" s="1449"/>
      <c r="S245" s="1449"/>
      <c r="T245" s="1449"/>
      <c r="U245" s="1378"/>
      <c r="V245" s="1378"/>
    </row>
    <row r="246" ht="15.75" hidden="1" customHeight="1" outlineLevel="2">
      <c r="A246" s="1378"/>
      <c r="B246" s="1384" t="s">
        <v>1299</v>
      </c>
      <c r="C246" s="1384"/>
      <c r="D246" s="1384"/>
      <c r="E246" s="1561">
        <v>0.0</v>
      </c>
      <c r="F246" s="1562">
        <f t="shared" ref="F246:I246" si="95">+F174</f>
        <v>0.3828400723</v>
      </c>
      <c r="G246" s="1562">
        <f t="shared" si="95"/>
        <v>0.24</v>
      </c>
      <c r="H246" s="1562">
        <f t="shared" si="95"/>
        <v>0.03</v>
      </c>
      <c r="I246" s="1562">
        <f t="shared" si="95"/>
        <v>0.12</v>
      </c>
      <c r="J246" s="1384" t="s">
        <v>160</v>
      </c>
      <c r="O246" s="1447"/>
      <c r="P246" s="1448"/>
      <c r="Q246" s="1449"/>
      <c r="R246" s="1449"/>
      <c r="S246" s="1449"/>
      <c r="T246" s="1449"/>
      <c r="U246" s="1378"/>
      <c r="V246" s="1378"/>
    </row>
    <row r="247" ht="15.75" hidden="1" customHeight="1" outlineLevel="2">
      <c r="A247" s="1378">
        <v>1.0</v>
      </c>
      <c r="B247" s="18" t="str">
        <f>+B$67</f>
        <v>Carson City </v>
      </c>
      <c r="C247" s="1427"/>
      <c r="D247" s="1427">
        <f t="shared" ref="D247:D250" si="97">D67</f>
        <v>7494</v>
      </c>
      <c r="E247" s="1543"/>
      <c r="F247" s="1563">
        <f t="shared" ref="F247:I247" si="96">F$246*F175*$D247</f>
        <v>11476.01401</v>
      </c>
      <c r="G247" s="1563">
        <f t="shared" si="96"/>
        <v>3597.12</v>
      </c>
      <c r="H247" s="1563">
        <f t="shared" si="96"/>
        <v>674.46</v>
      </c>
      <c r="I247" s="1563">
        <f t="shared" si="96"/>
        <v>899.28</v>
      </c>
      <c r="J247" s="1560">
        <f t="shared" ref="J247:J253" si="99">SUM(E247:I247)</f>
        <v>16646.87401</v>
      </c>
      <c r="O247" s="1447"/>
      <c r="P247" s="1448"/>
      <c r="Q247" s="1449"/>
      <c r="R247" s="1449"/>
      <c r="S247" s="1449"/>
      <c r="T247" s="1449"/>
      <c r="U247" s="1378"/>
      <c r="V247" s="1378"/>
    </row>
    <row r="248" ht="15.75" hidden="1" customHeight="1" outlineLevel="2">
      <c r="A248" s="1378">
        <f t="shared" ref="A248:A252" si="100">1+A247</f>
        <v>2</v>
      </c>
      <c r="B248" s="18" t="str">
        <f>+$B$68</f>
        <v>Churchill</v>
      </c>
      <c r="C248" s="17"/>
      <c r="D248" s="17">
        <f t="shared" si="97"/>
        <v>8093</v>
      </c>
      <c r="E248" s="1543"/>
      <c r="F248" s="1564">
        <f t="shared" ref="F248:I248" si="98">F$246*F176*$D248</f>
        <v>12393.29882</v>
      </c>
      <c r="G248" s="1564">
        <f t="shared" si="98"/>
        <v>3884.64</v>
      </c>
      <c r="H248" s="1564">
        <f t="shared" si="98"/>
        <v>728.37</v>
      </c>
      <c r="I248" s="1564">
        <f t="shared" si="98"/>
        <v>971.16</v>
      </c>
      <c r="J248" s="1535">
        <f t="shared" si="99"/>
        <v>17977.46882</v>
      </c>
      <c r="O248" s="1447"/>
      <c r="P248" s="1448"/>
      <c r="Q248" s="1449"/>
      <c r="R248" s="1449"/>
      <c r="S248" s="1449"/>
      <c r="T248" s="1449"/>
      <c r="U248" s="1378"/>
      <c r="V248" s="1378"/>
    </row>
    <row r="249" ht="15.75" hidden="1" customHeight="1" outlineLevel="2">
      <c r="A249" s="1378">
        <f t="shared" si="100"/>
        <v>3</v>
      </c>
      <c r="B249" s="18" t="str">
        <f>+$B$69</f>
        <v>Clark</v>
      </c>
      <c r="C249" s="17"/>
      <c r="D249" s="17">
        <f t="shared" si="97"/>
        <v>7197</v>
      </c>
      <c r="E249" s="1543"/>
      <c r="F249" s="1564">
        <f t="shared" ref="F249:I249" si="101">F$246*F177*$D249</f>
        <v>11021.2</v>
      </c>
      <c r="G249" s="1564">
        <f t="shared" si="101"/>
        <v>3454.56</v>
      </c>
      <c r="H249" s="1564">
        <f t="shared" si="101"/>
        <v>647.73</v>
      </c>
      <c r="I249" s="1564">
        <f t="shared" si="101"/>
        <v>863.64</v>
      </c>
      <c r="J249" s="1535">
        <f t="shared" si="99"/>
        <v>15987.13</v>
      </c>
      <c r="O249" s="1447"/>
      <c r="P249" s="1448"/>
      <c r="Q249" s="1449"/>
      <c r="R249" s="1449"/>
      <c r="S249" s="1449"/>
      <c r="T249" s="1449"/>
      <c r="U249" s="1378"/>
      <c r="V249" s="1378"/>
    </row>
    <row r="250" ht="15.75" hidden="1" customHeight="1" outlineLevel="2">
      <c r="A250" s="1378">
        <f t="shared" si="100"/>
        <v>4</v>
      </c>
      <c r="B250" s="18" t="str">
        <f>+$B$70</f>
        <v>Elko</v>
      </c>
      <c r="C250" s="17"/>
      <c r="D250" s="17">
        <f t="shared" si="97"/>
        <v>7715</v>
      </c>
      <c r="E250" s="1543"/>
      <c r="F250" s="1564">
        <f t="shared" ref="F250:I250" si="102">F$246*F178*$D250</f>
        <v>11814.44463</v>
      </c>
      <c r="G250" s="1564">
        <f t="shared" si="102"/>
        <v>3703.2</v>
      </c>
      <c r="H250" s="1564">
        <f t="shared" si="102"/>
        <v>694.35</v>
      </c>
      <c r="I250" s="1564">
        <f t="shared" si="102"/>
        <v>925.8</v>
      </c>
      <c r="J250" s="1535">
        <f t="shared" si="99"/>
        <v>17137.79463</v>
      </c>
      <c r="O250" s="1447"/>
      <c r="P250" s="1448"/>
      <c r="Q250" s="1449"/>
      <c r="R250" s="1449"/>
      <c r="S250" s="1449"/>
      <c r="T250" s="1449"/>
      <c r="U250" s="1378"/>
      <c r="V250" s="1378"/>
    </row>
    <row r="251" ht="15.75" hidden="1" customHeight="1" outlineLevel="2">
      <c r="A251" s="1378">
        <f t="shared" si="100"/>
        <v>5</v>
      </c>
      <c r="B251" s="18" t="str">
        <f>+$B$72</f>
        <v>Washoe</v>
      </c>
      <c r="C251" s="17"/>
      <c r="D251" s="17">
        <f t="shared" ref="D251:D252" si="104">D72</f>
        <v>6980</v>
      </c>
      <c r="E251" s="1543"/>
      <c r="F251" s="1564">
        <f t="shared" ref="F251:I251" si="103">F$246*F179*$D251</f>
        <v>10688.89482</v>
      </c>
      <c r="G251" s="1564">
        <f t="shared" si="103"/>
        <v>3350.4</v>
      </c>
      <c r="H251" s="1564">
        <f t="shared" si="103"/>
        <v>628.2</v>
      </c>
      <c r="I251" s="1564">
        <f t="shared" si="103"/>
        <v>837.6</v>
      </c>
      <c r="J251" s="1535">
        <f t="shared" si="99"/>
        <v>15505.09482</v>
      </c>
      <c r="O251" s="1447"/>
      <c r="P251" s="1448"/>
      <c r="Q251" s="1449"/>
      <c r="R251" s="1449"/>
      <c r="S251" s="1449"/>
      <c r="T251" s="1449"/>
      <c r="U251" s="1378"/>
      <c r="V251" s="1378"/>
    </row>
    <row r="252" ht="15.75" hidden="1" customHeight="1" outlineLevel="2">
      <c r="A252" s="1378">
        <f t="shared" si="100"/>
        <v>6</v>
      </c>
      <c r="B252" s="18" t="str">
        <f>+$B$73</f>
        <v>White Pine</v>
      </c>
      <c r="C252" s="17"/>
      <c r="D252" s="17">
        <f t="shared" si="104"/>
        <v>10367</v>
      </c>
      <c r="E252" s="1543"/>
      <c r="F252" s="1204">
        <f t="shared" ref="F252:I252" si="105">F$246*F180*$D252</f>
        <v>15875.61212</v>
      </c>
      <c r="G252" s="1204">
        <f t="shared" si="105"/>
        <v>4976.16</v>
      </c>
      <c r="H252" s="1204">
        <f t="shared" si="105"/>
        <v>933.03</v>
      </c>
      <c r="I252" s="1204">
        <f t="shared" si="105"/>
        <v>1244.04</v>
      </c>
      <c r="J252" s="1537">
        <f t="shared" si="99"/>
        <v>23028.84212</v>
      </c>
      <c r="O252" s="1447"/>
      <c r="P252" s="1448"/>
      <c r="Q252" s="1449"/>
      <c r="R252" s="1449"/>
      <c r="S252" s="1449"/>
      <c r="T252" s="1449"/>
      <c r="U252" s="1378"/>
      <c r="V252" s="1378"/>
    </row>
    <row r="253" ht="15.75" hidden="1" customHeight="1" outlineLevel="2">
      <c r="A253" s="1378"/>
      <c r="B253" s="1538" t="s">
        <v>160</v>
      </c>
      <c r="C253" s="1538"/>
      <c r="D253" s="1538"/>
      <c r="E253" s="1565"/>
      <c r="F253" s="1296">
        <f t="shared" ref="F253:I253" si="106">SUM(F247:F252)</f>
        <v>73269.46439</v>
      </c>
      <c r="G253" s="1296">
        <f t="shared" si="106"/>
        <v>22966.08</v>
      </c>
      <c r="H253" s="1296">
        <f t="shared" si="106"/>
        <v>4306.14</v>
      </c>
      <c r="I253" s="1296">
        <f t="shared" si="106"/>
        <v>5741.52</v>
      </c>
      <c r="J253" s="1505">
        <f t="shared" si="99"/>
        <v>106283.2044</v>
      </c>
      <c r="O253" s="1447"/>
      <c r="P253" s="1448"/>
      <c r="Q253" s="1449"/>
      <c r="R253" s="1449"/>
      <c r="S253" s="1449"/>
      <c r="T253" s="1449"/>
      <c r="U253" s="1378"/>
      <c r="V253" s="1378"/>
    </row>
    <row r="254" ht="15.75" hidden="1" customHeight="1" outlineLevel="2">
      <c r="A254" s="1378"/>
      <c r="O254" s="1447"/>
      <c r="P254" s="1448"/>
      <c r="Q254" s="1449"/>
      <c r="R254" s="1449"/>
      <c r="S254" s="1449"/>
      <c r="T254" s="1449"/>
      <c r="U254" s="1378"/>
      <c r="V254" s="1378"/>
    </row>
    <row r="255" ht="15.75" hidden="1" customHeight="1" outlineLevel="2">
      <c r="A255" s="1378"/>
      <c r="E255" s="1510" t="s">
        <v>1306</v>
      </c>
      <c r="F255" s="19"/>
      <c r="G255" s="35"/>
      <c r="H255" s="35"/>
      <c r="I255" s="35"/>
      <c r="O255" s="1447"/>
      <c r="P255" s="1448"/>
      <c r="Q255" s="1449"/>
      <c r="R255" s="1449"/>
      <c r="S255" s="1449"/>
      <c r="T255" s="1449"/>
      <c r="U255" s="1378"/>
      <c r="V255" s="1378"/>
    </row>
    <row r="256" ht="15.75" hidden="1" customHeight="1" outlineLevel="2">
      <c r="A256" s="1378"/>
      <c r="E256" s="1384" t="s">
        <v>751</v>
      </c>
      <c r="F256" s="1548" t="s">
        <v>1264</v>
      </c>
      <c r="G256" s="1384" t="s">
        <v>1265</v>
      </c>
      <c r="H256" s="1384" t="s">
        <v>1254</v>
      </c>
      <c r="I256" s="1384" t="s">
        <v>1266</v>
      </c>
      <c r="J256" s="1548" t="s">
        <v>160</v>
      </c>
      <c r="O256" s="1447"/>
      <c r="P256" s="1448"/>
      <c r="Q256" s="1449"/>
      <c r="R256" s="1449"/>
      <c r="S256" s="1449"/>
      <c r="T256" s="1449"/>
      <c r="U256" s="1378"/>
      <c r="V256" s="1378"/>
    </row>
    <row r="257" ht="15.75" hidden="1" customHeight="1" outlineLevel="2">
      <c r="A257" s="1378">
        <v>1.0</v>
      </c>
      <c r="B257" s="18" t="str">
        <f>+B$67</f>
        <v>Carson City </v>
      </c>
      <c r="C257" s="1427"/>
      <c r="D257" s="1427">
        <f t="shared" ref="D257:D260" si="108">D67</f>
        <v>7494</v>
      </c>
      <c r="E257" s="1566">
        <f t="shared" ref="E257:E260" si="109">+$D67*E164</f>
        <v>74940</v>
      </c>
      <c r="F257" s="1566">
        <f>+$D257*F164</f>
        <v>29976</v>
      </c>
      <c r="G257" s="1566">
        <f t="shared" ref="G257:I257" si="107">+$D67*G164</f>
        <v>37470</v>
      </c>
      <c r="H257" s="1566">
        <f t="shared" si="107"/>
        <v>37470</v>
      </c>
      <c r="I257" s="1566">
        <f t="shared" si="107"/>
        <v>7494</v>
      </c>
      <c r="J257" s="1567">
        <f t="shared" ref="J257:J263" si="111">SUM(E257:I257)</f>
        <v>187350</v>
      </c>
      <c r="O257" s="1447"/>
      <c r="P257" s="1448"/>
      <c r="Q257" s="1449"/>
      <c r="R257" s="1449"/>
      <c r="S257" s="1449"/>
      <c r="T257" s="1449"/>
      <c r="U257" s="1378"/>
      <c r="V257" s="1378"/>
    </row>
    <row r="258" ht="15.75" hidden="1" customHeight="1" outlineLevel="2">
      <c r="A258" s="1378">
        <f t="shared" ref="A258:A262" si="112">1+A257</f>
        <v>2</v>
      </c>
      <c r="B258" s="18" t="str">
        <f>+$B$68</f>
        <v>Churchill</v>
      </c>
      <c r="C258" s="17"/>
      <c r="D258" s="17">
        <f t="shared" si="108"/>
        <v>8093</v>
      </c>
      <c r="E258" s="1550">
        <f t="shared" si="109"/>
        <v>80930</v>
      </c>
      <c r="F258" s="1550">
        <f t="shared" ref="F258:I258" si="110">+$D68*F165</f>
        <v>32372</v>
      </c>
      <c r="G258" s="1550">
        <f t="shared" si="110"/>
        <v>40465</v>
      </c>
      <c r="H258" s="1550">
        <f t="shared" si="110"/>
        <v>40465</v>
      </c>
      <c r="I258" s="1550">
        <f t="shared" si="110"/>
        <v>8093</v>
      </c>
      <c r="J258" s="783">
        <f t="shared" si="111"/>
        <v>202325</v>
      </c>
      <c r="O258" s="1447"/>
      <c r="P258" s="1448"/>
      <c r="Q258" s="1449"/>
      <c r="R258" s="1449"/>
      <c r="S258" s="1449"/>
      <c r="T258" s="1449"/>
      <c r="U258" s="1378"/>
      <c r="V258" s="1378"/>
    </row>
    <row r="259" ht="15.75" hidden="1" customHeight="1" outlineLevel="2">
      <c r="A259" s="1378">
        <f t="shared" si="112"/>
        <v>3</v>
      </c>
      <c r="B259" s="18" t="str">
        <f>+$B$69</f>
        <v>Clark</v>
      </c>
      <c r="C259" s="17"/>
      <c r="D259" s="17">
        <f t="shared" si="108"/>
        <v>7197</v>
      </c>
      <c r="E259" s="1550">
        <f t="shared" si="109"/>
        <v>71970</v>
      </c>
      <c r="F259" s="1550">
        <f t="shared" ref="F259:I259" si="113">+$D69*F166</f>
        <v>28788</v>
      </c>
      <c r="G259" s="1550">
        <f t="shared" si="113"/>
        <v>35985</v>
      </c>
      <c r="H259" s="1550">
        <f t="shared" si="113"/>
        <v>35985</v>
      </c>
      <c r="I259" s="1550">
        <f t="shared" si="113"/>
        <v>7197</v>
      </c>
      <c r="J259" s="783">
        <f t="shared" si="111"/>
        <v>179925</v>
      </c>
      <c r="O259" s="1447"/>
      <c r="P259" s="1448"/>
      <c r="Q259" s="1449"/>
      <c r="R259" s="1449"/>
      <c r="S259" s="1449"/>
      <c r="T259" s="1449"/>
      <c r="U259" s="1378"/>
      <c r="V259" s="1378"/>
    </row>
    <row r="260" ht="15.75" hidden="1" customHeight="1" outlineLevel="2">
      <c r="A260" s="1378">
        <f t="shared" si="112"/>
        <v>4</v>
      </c>
      <c r="B260" s="18" t="str">
        <f>+$B$70</f>
        <v>Elko</v>
      </c>
      <c r="C260" s="17"/>
      <c r="D260" s="17">
        <f t="shared" si="108"/>
        <v>7715</v>
      </c>
      <c r="E260" s="1550">
        <f t="shared" si="109"/>
        <v>77150</v>
      </c>
      <c r="F260" s="1550">
        <f t="shared" ref="F260:I260" si="114">+$D70*F167</f>
        <v>30860</v>
      </c>
      <c r="G260" s="1550">
        <f t="shared" si="114"/>
        <v>38575</v>
      </c>
      <c r="H260" s="1550">
        <f t="shared" si="114"/>
        <v>38575</v>
      </c>
      <c r="I260" s="1550">
        <f t="shared" si="114"/>
        <v>7715</v>
      </c>
      <c r="J260" s="783">
        <f t="shared" si="111"/>
        <v>192875</v>
      </c>
      <c r="O260" s="1447"/>
      <c r="P260" s="1448"/>
      <c r="Q260" s="1449"/>
      <c r="R260" s="1449"/>
      <c r="S260" s="1449"/>
      <c r="T260" s="1449"/>
      <c r="U260" s="1378"/>
      <c r="V260" s="1378"/>
    </row>
    <row r="261" ht="15.75" hidden="1" customHeight="1" outlineLevel="2">
      <c r="A261" s="1378">
        <f t="shared" si="112"/>
        <v>5</v>
      </c>
      <c r="B261" s="18" t="str">
        <f>+$B$72</f>
        <v>Washoe</v>
      </c>
      <c r="C261" s="17"/>
      <c r="D261" s="17">
        <f t="shared" ref="D261:D262" si="116">D72</f>
        <v>6980</v>
      </c>
      <c r="E261" s="1550">
        <f t="shared" ref="E261:I261" si="115">+$D72*E168</f>
        <v>69800</v>
      </c>
      <c r="F261" s="1550">
        <f t="shared" si="115"/>
        <v>27920</v>
      </c>
      <c r="G261" s="1550">
        <f t="shared" si="115"/>
        <v>34900</v>
      </c>
      <c r="H261" s="1550">
        <f t="shared" si="115"/>
        <v>34900</v>
      </c>
      <c r="I261" s="1550">
        <f t="shared" si="115"/>
        <v>6980</v>
      </c>
      <c r="J261" s="783">
        <f t="shared" si="111"/>
        <v>174500</v>
      </c>
      <c r="O261" s="1447"/>
      <c r="P261" s="1448"/>
      <c r="Q261" s="1449"/>
      <c r="R261" s="1449"/>
      <c r="S261" s="1449"/>
      <c r="T261" s="1449"/>
      <c r="U261" s="1378"/>
      <c r="V261" s="1378"/>
    </row>
    <row r="262" ht="15.75" hidden="1" customHeight="1" outlineLevel="2">
      <c r="A262" s="1378">
        <f t="shared" si="112"/>
        <v>6</v>
      </c>
      <c r="B262" s="18" t="str">
        <f>+$B$73</f>
        <v>White Pine</v>
      </c>
      <c r="C262" s="17"/>
      <c r="D262" s="17">
        <f t="shared" si="116"/>
        <v>10367</v>
      </c>
      <c r="E262" s="1551">
        <f t="shared" ref="E262:I262" si="117">+$D73*E169</f>
        <v>103670</v>
      </c>
      <c r="F262" s="1551">
        <f t="shared" si="117"/>
        <v>41468</v>
      </c>
      <c r="G262" s="1551">
        <f t="shared" si="117"/>
        <v>51835</v>
      </c>
      <c r="H262" s="1551">
        <f t="shared" si="117"/>
        <v>51835</v>
      </c>
      <c r="I262" s="1551">
        <f t="shared" si="117"/>
        <v>10367</v>
      </c>
      <c r="J262" s="783">
        <f t="shared" si="111"/>
        <v>259175</v>
      </c>
      <c r="O262" s="1447"/>
      <c r="P262" s="1448"/>
      <c r="Q262" s="1449"/>
      <c r="R262" s="1449"/>
      <c r="S262" s="1449"/>
      <c r="T262" s="1449"/>
      <c r="U262" s="1378"/>
      <c r="V262" s="1378"/>
    </row>
    <row r="263" ht="15.75" hidden="1" customHeight="1" outlineLevel="2">
      <c r="A263" s="1378"/>
      <c r="B263" s="1538" t="s">
        <v>160</v>
      </c>
      <c r="C263" s="1538"/>
      <c r="D263" s="1538"/>
      <c r="E263" s="1296">
        <f t="shared" ref="E263:I263" si="118">SUM(E257:E262)</f>
        <v>478460</v>
      </c>
      <c r="F263" s="1296">
        <f t="shared" si="118"/>
        <v>191384</v>
      </c>
      <c r="G263" s="1296">
        <f t="shared" si="118"/>
        <v>239230</v>
      </c>
      <c r="H263" s="1296">
        <f t="shared" si="118"/>
        <v>239230</v>
      </c>
      <c r="I263" s="1296">
        <f t="shared" si="118"/>
        <v>47846</v>
      </c>
      <c r="J263" s="1296">
        <f t="shared" si="111"/>
        <v>1196150</v>
      </c>
      <c r="O263" s="1447"/>
      <c r="P263" s="1448"/>
      <c r="Q263" s="1449"/>
      <c r="R263" s="1449"/>
      <c r="S263" s="1449"/>
      <c r="T263" s="1449"/>
      <c r="U263" s="1378"/>
      <c r="V263" s="1378"/>
    </row>
    <row r="264" ht="15.75" hidden="1" customHeight="1" outlineLevel="2">
      <c r="A264" s="1378"/>
      <c r="O264" s="1447"/>
      <c r="P264" s="1448"/>
      <c r="Q264" s="1449"/>
      <c r="R264" s="1449"/>
      <c r="S264" s="1449"/>
      <c r="T264" s="1449"/>
      <c r="U264" s="1378"/>
      <c r="V264" s="1378"/>
    </row>
    <row r="265" ht="15.75" hidden="1" customHeight="1" outlineLevel="2">
      <c r="A265" s="1378"/>
      <c r="B265" s="1538" t="s">
        <v>1301</v>
      </c>
      <c r="C265" s="1538"/>
      <c r="D265" s="1538"/>
      <c r="E265" s="1296">
        <f t="shared" ref="E265:I265" si="119">+E253+E263</f>
        <v>478460</v>
      </c>
      <c r="F265" s="1296">
        <f t="shared" si="119"/>
        <v>264653.4644</v>
      </c>
      <c r="G265" s="1296">
        <f t="shared" si="119"/>
        <v>262196.08</v>
      </c>
      <c r="H265" s="1296">
        <f t="shared" si="119"/>
        <v>243536.14</v>
      </c>
      <c r="I265" s="1296">
        <f t="shared" si="119"/>
        <v>53587.52</v>
      </c>
      <c r="J265" s="209">
        <f>SUM(E265:I265)</f>
        <v>1302433.204</v>
      </c>
      <c r="O265" s="1447"/>
      <c r="P265" s="1448"/>
      <c r="Q265" s="1449"/>
      <c r="R265" s="1449"/>
      <c r="S265" s="1449"/>
      <c r="T265" s="1449"/>
      <c r="U265" s="1378"/>
      <c r="V265" s="1378"/>
    </row>
    <row r="266" ht="15.75" hidden="1" customHeight="1" outlineLevel="2">
      <c r="A266" s="1378"/>
      <c r="O266" s="1447"/>
      <c r="P266" s="1448"/>
      <c r="Q266" s="1449"/>
      <c r="R266" s="1449"/>
      <c r="S266" s="1449"/>
      <c r="T266" s="1449"/>
      <c r="U266" s="1378"/>
      <c r="V266" s="1378"/>
    </row>
    <row r="267" ht="15.75" hidden="1" customHeight="1" outlineLevel="2">
      <c r="A267" s="1378"/>
      <c r="B267" s="1557" t="s">
        <v>264</v>
      </c>
      <c r="C267" s="1557"/>
      <c r="D267" s="1557"/>
      <c r="E267" s="1558"/>
      <c r="F267" s="1558"/>
      <c r="G267" s="1558"/>
      <c r="H267" s="1558"/>
      <c r="I267" s="1558"/>
      <c r="J267" s="1558"/>
      <c r="O267" s="1447"/>
      <c r="P267" s="1448"/>
      <c r="Q267" s="1449"/>
      <c r="R267" s="1449"/>
      <c r="S267" s="1449"/>
      <c r="T267" s="1449"/>
      <c r="U267" s="1378"/>
      <c r="V267" s="1378"/>
    </row>
    <row r="268" ht="15.75" hidden="1" customHeight="1" outlineLevel="2">
      <c r="A268" s="1378"/>
      <c r="B268" s="1530" t="s">
        <v>1302</v>
      </c>
      <c r="C268" s="1530"/>
      <c r="D268" s="1530"/>
      <c r="E268" s="1530"/>
      <c r="F268" s="1412"/>
      <c r="G268" s="1530"/>
      <c r="H268" s="1412"/>
      <c r="I268" s="1412"/>
      <c r="J268" s="1531"/>
      <c r="O268" s="1447"/>
      <c r="P268" s="1448"/>
      <c r="Q268" s="1449"/>
      <c r="R268" s="1449"/>
      <c r="S268" s="1449"/>
      <c r="T268" s="1449"/>
      <c r="U268" s="1378"/>
      <c r="V268" s="1378"/>
    </row>
    <row r="269" ht="15.75" hidden="1" customHeight="1" outlineLevel="2">
      <c r="A269" s="1378"/>
      <c r="B269" s="1510"/>
      <c r="C269" s="1510"/>
      <c r="D269" s="1510"/>
      <c r="E269" s="1510" t="s">
        <v>1297</v>
      </c>
      <c r="F269" s="35"/>
      <c r="G269" s="1510"/>
      <c r="H269" s="35"/>
      <c r="I269" s="35"/>
      <c r="J269" s="1532"/>
      <c r="O269" s="1447"/>
      <c r="P269" s="1448"/>
      <c r="Q269" s="1449"/>
      <c r="R269" s="1449"/>
      <c r="S269" s="1449"/>
      <c r="T269" s="1449"/>
      <c r="U269" s="1378"/>
      <c r="V269" s="1378"/>
    </row>
    <row r="270" ht="15.75" hidden="1" customHeight="1" outlineLevel="2">
      <c r="A270" s="1378"/>
      <c r="B270" s="1384"/>
      <c r="C270" s="1384"/>
      <c r="D270" s="1384"/>
      <c r="E270" s="1384" t="s">
        <v>751</v>
      </c>
      <c r="F270" s="1384" t="s">
        <v>1264</v>
      </c>
      <c r="G270" s="1384" t="s">
        <v>1265</v>
      </c>
      <c r="H270" s="1384" t="s">
        <v>1254</v>
      </c>
      <c r="I270" s="1384" t="s">
        <v>1266</v>
      </c>
      <c r="J270" s="1384" t="s">
        <v>160</v>
      </c>
      <c r="O270" s="1447"/>
      <c r="P270" s="1448"/>
      <c r="Q270" s="1449"/>
      <c r="R270" s="1449"/>
      <c r="S270" s="1449"/>
      <c r="T270" s="1449"/>
      <c r="U270" s="1378"/>
      <c r="V270" s="1378"/>
    </row>
    <row r="271" ht="15.75" hidden="1" customHeight="1" outlineLevel="2">
      <c r="A271" s="1378">
        <v>1.0</v>
      </c>
      <c r="B271" s="18" t="str">
        <f>+B$67</f>
        <v>Carson City </v>
      </c>
      <c r="C271" s="1427"/>
      <c r="D271" s="1427">
        <f t="shared" ref="D271:D276" si="121">$D$50</f>
        <v>8966</v>
      </c>
      <c r="E271" s="1559">
        <f t="shared" ref="E271:I271" si="120">+E282+E292</f>
        <v>0</v>
      </c>
      <c r="F271" s="1559">
        <f t="shared" si="120"/>
        <v>68650.88176</v>
      </c>
      <c r="G271" s="1559">
        <f t="shared" si="120"/>
        <v>43036.8</v>
      </c>
      <c r="H271" s="1559">
        <f t="shared" si="120"/>
        <v>8069.4</v>
      </c>
      <c r="I271" s="1559">
        <f t="shared" si="120"/>
        <v>1075.92</v>
      </c>
      <c r="J271" s="1560">
        <f t="shared" ref="J271:J277" si="123">SUM(E271:I271)</f>
        <v>120833.0018</v>
      </c>
      <c r="O271" s="1447"/>
      <c r="P271" s="1448"/>
      <c r="Q271" s="1449"/>
      <c r="R271" s="1449"/>
      <c r="S271" s="1449"/>
      <c r="T271" s="1449"/>
      <c r="U271" s="1378"/>
      <c r="V271" s="1378"/>
    </row>
    <row r="272" ht="15.75" hidden="1" customHeight="1" outlineLevel="2">
      <c r="A272" s="1378">
        <f t="shared" ref="A272:A276" si="124">1+A271</f>
        <v>2</v>
      </c>
      <c r="B272" s="18" t="str">
        <f>+$B$68</f>
        <v>Churchill</v>
      </c>
      <c r="C272" s="17"/>
      <c r="D272" s="17">
        <f t="shared" si="121"/>
        <v>8966</v>
      </c>
      <c r="E272" s="1535">
        <f t="shared" ref="E272:I272" si="122">+E283+E293</f>
        <v>0</v>
      </c>
      <c r="F272" s="1535">
        <f t="shared" si="122"/>
        <v>0</v>
      </c>
      <c r="G272" s="1535">
        <f t="shared" si="122"/>
        <v>0</v>
      </c>
      <c r="H272" s="1535">
        <f t="shared" si="122"/>
        <v>0</v>
      </c>
      <c r="I272" s="1535">
        <f t="shared" si="122"/>
        <v>0</v>
      </c>
      <c r="J272" s="1535">
        <f t="shared" si="123"/>
        <v>0</v>
      </c>
      <c r="O272" s="1447"/>
      <c r="P272" s="1448"/>
      <c r="Q272" s="1449"/>
      <c r="R272" s="1449"/>
      <c r="S272" s="1449"/>
      <c r="T272" s="1449"/>
      <c r="U272" s="1378"/>
      <c r="V272" s="1378"/>
    </row>
    <row r="273" ht="15.75" hidden="1" customHeight="1" outlineLevel="2">
      <c r="A273" s="1378">
        <f t="shared" si="124"/>
        <v>3</v>
      </c>
      <c r="B273" s="18" t="str">
        <f>+$B$69</f>
        <v>Clark</v>
      </c>
      <c r="C273" s="17"/>
      <c r="D273" s="17">
        <f t="shared" si="121"/>
        <v>8966</v>
      </c>
      <c r="E273" s="1535">
        <f t="shared" ref="E273:I273" si="125">+E284+E294</f>
        <v>0</v>
      </c>
      <c r="F273" s="1535">
        <f t="shared" si="125"/>
        <v>102976.3226</v>
      </c>
      <c r="G273" s="1535">
        <f t="shared" si="125"/>
        <v>0</v>
      </c>
      <c r="H273" s="1535">
        <f t="shared" si="125"/>
        <v>0</v>
      </c>
      <c r="I273" s="1535">
        <f t="shared" si="125"/>
        <v>0</v>
      </c>
      <c r="J273" s="1535">
        <f t="shared" si="123"/>
        <v>102976.3226</v>
      </c>
      <c r="O273" s="1447"/>
      <c r="P273" s="1448"/>
      <c r="Q273" s="1449"/>
      <c r="R273" s="1449"/>
      <c r="S273" s="1449"/>
      <c r="T273" s="1449"/>
      <c r="U273" s="1378"/>
      <c r="V273" s="1378"/>
    </row>
    <row r="274" ht="15.75" hidden="1" customHeight="1" outlineLevel="2">
      <c r="A274" s="1378">
        <f t="shared" si="124"/>
        <v>4</v>
      </c>
      <c r="B274" s="18" t="str">
        <f>+$B$70</f>
        <v>Elko</v>
      </c>
      <c r="C274" s="17"/>
      <c r="D274" s="17">
        <f t="shared" si="121"/>
        <v>8966</v>
      </c>
      <c r="E274" s="1535">
        <f t="shared" ref="E274:I274" si="126">+E285+E295</f>
        <v>0</v>
      </c>
      <c r="F274" s="1535">
        <f t="shared" si="126"/>
        <v>17162.72044</v>
      </c>
      <c r="G274" s="1535">
        <f t="shared" si="126"/>
        <v>0</v>
      </c>
      <c r="H274" s="1535">
        <f t="shared" si="126"/>
        <v>0</v>
      </c>
      <c r="I274" s="1535">
        <f t="shared" si="126"/>
        <v>0</v>
      </c>
      <c r="J274" s="1535">
        <f t="shared" si="123"/>
        <v>17162.72044</v>
      </c>
      <c r="O274" s="1447"/>
      <c r="P274" s="1448"/>
      <c r="Q274" s="1449"/>
      <c r="R274" s="1449"/>
      <c r="S274" s="1449"/>
      <c r="T274" s="1449"/>
      <c r="U274" s="1378"/>
      <c r="V274" s="1378"/>
    </row>
    <row r="275" ht="15.75" hidden="1" customHeight="1" outlineLevel="2">
      <c r="A275" s="1378">
        <f t="shared" si="124"/>
        <v>5</v>
      </c>
      <c r="B275" s="18" t="str">
        <f>+$B$72</f>
        <v>Washoe</v>
      </c>
      <c r="C275" s="17"/>
      <c r="D275" s="17">
        <f t="shared" si="121"/>
        <v>8966</v>
      </c>
      <c r="E275" s="1537">
        <f t="shared" ref="E275:I275" si="127">+E286+E296</f>
        <v>0</v>
      </c>
      <c r="F275" s="1537">
        <f t="shared" si="127"/>
        <v>34325.44088</v>
      </c>
      <c r="G275" s="1537">
        <f t="shared" si="127"/>
        <v>0</v>
      </c>
      <c r="H275" s="1537">
        <f t="shared" si="127"/>
        <v>0</v>
      </c>
      <c r="I275" s="1537">
        <f t="shared" si="127"/>
        <v>0</v>
      </c>
      <c r="J275" s="1535">
        <f t="shared" si="123"/>
        <v>34325.44088</v>
      </c>
      <c r="O275" s="1447"/>
      <c r="P275" s="1448"/>
      <c r="Q275" s="1449"/>
      <c r="R275" s="1449"/>
      <c r="S275" s="1449"/>
      <c r="T275" s="1449"/>
      <c r="U275" s="1378"/>
      <c r="V275" s="1378"/>
    </row>
    <row r="276" ht="15.75" hidden="1" customHeight="1" outlineLevel="2">
      <c r="A276" s="1378">
        <f t="shared" si="124"/>
        <v>6</v>
      </c>
      <c r="B276" s="18" t="str">
        <f>+$B$73</f>
        <v>White Pine</v>
      </c>
      <c r="C276" s="17"/>
      <c r="D276" s="17">
        <f t="shared" si="121"/>
        <v>8966</v>
      </c>
      <c r="E276" s="1537">
        <f t="shared" ref="E276:I276" si="128">+E287+E297</f>
        <v>0</v>
      </c>
      <c r="F276" s="1537">
        <f t="shared" si="128"/>
        <v>0</v>
      </c>
      <c r="G276" s="1537">
        <f t="shared" si="128"/>
        <v>0</v>
      </c>
      <c r="H276" s="1537">
        <f t="shared" si="128"/>
        <v>0</v>
      </c>
      <c r="I276" s="1537">
        <f t="shared" si="128"/>
        <v>0</v>
      </c>
      <c r="J276" s="1537">
        <f t="shared" si="123"/>
        <v>0</v>
      </c>
      <c r="O276" s="1447"/>
      <c r="P276" s="1448"/>
      <c r="Q276" s="1449"/>
      <c r="R276" s="1449"/>
      <c r="S276" s="1449"/>
      <c r="T276" s="1449"/>
      <c r="U276" s="1378"/>
      <c r="V276" s="1378"/>
    </row>
    <row r="277" ht="15.75" hidden="1" customHeight="1" outlineLevel="2">
      <c r="A277" s="1378"/>
      <c r="B277" s="1538" t="s">
        <v>160</v>
      </c>
      <c r="C277" s="1538"/>
      <c r="D277" s="1538"/>
      <c r="E277" s="1505">
        <f t="shared" ref="E277:I277" si="129">SUM(E271:E276)</f>
        <v>0</v>
      </c>
      <c r="F277" s="1505">
        <f t="shared" si="129"/>
        <v>223115.3657</v>
      </c>
      <c r="G277" s="1505">
        <f t="shared" si="129"/>
        <v>43036.8</v>
      </c>
      <c r="H277" s="1505">
        <f t="shared" si="129"/>
        <v>8069.4</v>
      </c>
      <c r="I277" s="1505">
        <f t="shared" si="129"/>
        <v>1075.92</v>
      </c>
      <c r="J277" s="1506">
        <f t="shared" si="123"/>
        <v>275297.4857</v>
      </c>
      <c r="O277" s="1447"/>
      <c r="P277" s="1448"/>
      <c r="Q277" s="1449"/>
      <c r="R277" s="1449"/>
      <c r="S277" s="1449"/>
      <c r="T277" s="1449"/>
      <c r="U277" s="1378"/>
      <c r="V277" s="1378"/>
    </row>
    <row r="278" ht="15.75" hidden="1" customHeight="1" outlineLevel="2">
      <c r="A278" s="1378"/>
      <c r="J278" s="783"/>
      <c r="O278" s="1447"/>
      <c r="P278" s="1448"/>
      <c r="Q278" s="1449"/>
      <c r="R278" s="1449"/>
      <c r="S278" s="1449"/>
      <c r="T278" s="1449"/>
      <c r="U278" s="1378"/>
      <c r="V278" s="1378"/>
    </row>
    <row r="279" ht="15.75" hidden="1" customHeight="1" outlineLevel="2">
      <c r="A279" s="1378"/>
      <c r="E279" s="1510" t="s">
        <v>1305</v>
      </c>
      <c r="F279" s="35"/>
      <c r="G279" s="1510"/>
      <c r="H279" s="1510"/>
      <c r="I279" s="1510"/>
      <c r="J279" s="35"/>
      <c r="O279" s="1447"/>
      <c r="P279" s="1448"/>
      <c r="Q279" s="1449"/>
      <c r="R279" s="1449"/>
      <c r="S279" s="1449"/>
      <c r="T279" s="1449"/>
      <c r="U279" s="1378"/>
      <c r="V279" s="1378"/>
    </row>
    <row r="280" ht="15.75" hidden="1" customHeight="1" outlineLevel="2">
      <c r="A280" s="1378"/>
      <c r="E280" s="1384" t="s">
        <v>751</v>
      </c>
      <c r="F280" s="1384" t="s">
        <v>1264</v>
      </c>
      <c r="G280" s="1384" t="s">
        <v>1265</v>
      </c>
      <c r="H280" s="1384" t="s">
        <v>1254</v>
      </c>
      <c r="I280" s="1384" t="s">
        <v>1266</v>
      </c>
      <c r="J280" s="1540"/>
      <c r="O280" s="1447"/>
      <c r="P280" s="1448"/>
      <c r="Q280" s="1449"/>
      <c r="R280" s="1449"/>
      <c r="S280" s="1449"/>
      <c r="T280" s="1449"/>
      <c r="U280" s="1378"/>
      <c r="V280" s="1378"/>
    </row>
    <row r="281" ht="15.75" hidden="1" customHeight="1" outlineLevel="2">
      <c r="A281" s="1378"/>
      <c r="E281" s="1540"/>
      <c r="F281" s="1562">
        <f t="shared" ref="F281:I281" si="130">+F246</f>
        <v>0.3828400723</v>
      </c>
      <c r="G281" s="1562">
        <f t="shared" si="130"/>
        <v>0.24</v>
      </c>
      <c r="H281" s="1562">
        <f t="shared" si="130"/>
        <v>0.03</v>
      </c>
      <c r="I281" s="1562">
        <f t="shared" si="130"/>
        <v>0.12</v>
      </c>
      <c r="J281" s="1384" t="s">
        <v>160</v>
      </c>
      <c r="O281" s="1447"/>
      <c r="P281" s="1448"/>
      <c r="Q281" s="1449"/>
      <c r="R281" s="1449"/>
      <c r="S281" s="1449"/>
      <c r="T281" s="1449"/>
      <c r="U281" s="1378"/>
      <c r="V281" s="1378"/>
    </row>
    <row r="282" ht="15.75" hidden="1" customHeight="1" outlineLevel="2">
      <c r="A282" s="1378">
        <v>1.0</v>
      </c>
      <c r="B282" s="18" t="str">
        <f>+B$67</f>
        <v>Carson City </v>
      </c>
      <c r="C282" s="17"/>
      <c r="D282" s="17">
        <f t="shared" ref="D282:D287" si="132">$D$50</f>
        <v>8966</v>
      </c>
      <c r="E282" s="1543"/>
      <c r="F282" s="1563">
        <f t="shared" ref="F282:I282" si="131">F$246*F210*$D282</f>
        <v>68650.88176</v>
      </c>
      <c r="G282" s="1563">
        <f t="shared" si="131"/>
        <v>43036.8</v>
      </c>
      <c r="H282" s="1563">
        <f t="shared" si="131"/>
        <v>8069.4</v>
      </c>
      <c r="I282" s="1563">
        <f t="shared" si="131"/>
        <v>1075.92</v>
      </c>
      <c r="J282" s="1560">
        <f t="shared" ref="J282:J288" si="134">SUM(E282:I282)</f>
        <v>120833.0018</v>
      </c>
      <c r="O282" s="1447"/>
      <c r="P282" s="1448"/>
      <c r="Q282" s="1449"/>
      <c r="R282" s="1449"/>
      <c r="S282" s="1449"/>
      <c r="T282" s="1449"/>
      <c r="U282" s="1378"/>
      <c r="V282" s="1378"/>
    </row>
    <row r="283" ht="15.75" hidden="1" customHeight="1" outlineLevel="2">
      <c r="A283" s="1378">
        <f t="shared" ref="A283:A287" si="135">1+A282</f>
        <v>2</v>
      </c>
      <c r="B283" s="18" t="str">
        <f>+$B$68</f>
        <v>Churchill</v>
      </c>
      <c r="C283" s="17"/>
      <c r="D283" s="17">
        <f t="shared" si="132"/>
        <v>8966</v>
      </c>
      <c r="E283" s="1543"/>
      <c r="F283" s="1564">
        <f t="shared" ref="F283:I283" si="133">F$246*F211*$D283</f>
        <v>0</v>
      </c>
      <c r="G283" s="1564">
        <f t="shared" si="133"/>
        <v>0</v>
      </c>
      <c r="H283" s="1564">
        <f t="shared" si="133"/>
        <v>0</v>
      </c>
      <c r="I283" s="1564">
        <f t="shared" si="133"/>
        <v>0</v>
      </c>
      <c r="J283" s="1535">
        <f t="shared" si="134"/>
        <v>0</v>
      </c>
      <c r="O283" s="1447"/>
      <c r="P283" s="1448"/>
      <c r="Q283" s="1449"/>
      <c r="R283" s="1449"/>
      <c r="S283" s="1449"/>
      <c r="T283" s="1449"/>
      <c r="U283" s="1378"/>
      <c r="V283" s="1378"/>
    </row>
    <row r="284" ht="15.75" hidden="1" customHeight="1" outlineLevel="2">
      <c r="A284" s="1378">
        <f t="shared" si="135"/>
        <v>3</v>
      </c>
      <c r="B284" s="18" t="str">
        <f>+$B$69</f>
        <v>Clark</v>
      </c>
      <c r="C284" s="17"/>
      <c r="D284" s="17">
        <f t="shared" si="132"/>
        <v>8966</v>
      </c>
      <c r="E284" s="1543"/>
      <c r="F284" s="1564">
        <f t="shared" ref="F284:I284" si="136">F$246*F212*$D284</f>
        <v>102976.3226</v>
      </c>
      <c r="G284" s="1564">
        <f t="shared" si="136"/>
        <v>0</v>
      </c>
      <c r="H284" s="1564">
        <f t="shared" si="136"/>
        <v>0</v>
      </c>
      <c r="I284" s="1564">
        <f t="shared" si="136"/>
        <v>0</v>
      </c>
      <c r="J284" s="1535">
        <f t="shared" si="134"/>
        <v>102976.3226</v>
      </c>
      <c r="O284" s="1447"/>
      <c r="P284" s="1448"/>
      <c r="Q284" s="1449"/>
      <c r="R284" s="1449"/>
      <c r="S284" s="1449"/>
      <c r="T284" s="1449"/>
      <c r="U284" s="1378"/>
      <c r="V284" s="1378"/>
    </row>
    <row r="285" ht="15.75" hidden="1" customHeight="1" outlineLevel="2">
      <c r="A285" s="1378">
        <f t="shared" si="135"/>
        <v>4</v>
      </c>
      <c r="B285" s="18" t="str">
        <f>+$B$70</f>
        <v>Elko</v>
      </c>
      <c r="C285" s="17"/>
      <c r="D285" s="17">
        <f t="shared" si="132"/>
        <v>8966</v>
      </c>
      <c r="E285" s="1543"/>
      <c r="F285" s="1564">
        <f t="shared" ref="F285:I285" si="137">F$246*F213*$D285</f>
        <v>17162.72044</v>
      </c>
      <c r="G285" s="1564">
        <f t="shared" si="137"/>
        <v>0</v>
      </c>
      <c r="H285" s="1564">
        <f t="shared" si="137"/>
        <v>0</v>
      </c>
      <c r="I285" s="1564">
        <f t="shared" si="137"/>
        <v>0</v>
      </c>
      <c r="J285" s="1535">
        <f t="shared" si="134"/>
        <v>17162.72044</v>
      </c>
      <c r="O285" s="1447"/>
      <c r="P285" s="1448"/>
      <c r="Q285" s="1449"/>
      <c r="R285" s="1449"/>
      <c r="S285" s="1449"/>
      <c r="T285" s="1449"/>
      <c r="U285" s="1378"/>
      <c r="V285" s="1378"/>
    </row>
    <row r="286" ht="15.75" hidden="1" customHeight="1" outlineLevel="2">
      <c r="A286" s="1378">
        <f t="shared" si="135"/>
        <v>5</v>
      </c>
      <c r="B286" s="18" t="str">
        <f>+$B$72</f>
        <v>Washoe</v>
      </c>
      <c r="C286" s="17"/>
      <c r="D286" s="17">
        <f t="shared" si="132"/>
        <v>8966</v>
      </c>
      <c r="E286" s="1543"/>
      <c r="F286" s="1564">
        <f t="shared" ref="F286:I286" si="138">F$246*F214*$D286</f>
        <v>34325.44088</v>
      </c>
      <c r="G286" s="1564">
        <f t="shared" si="138"/>
        <v>0</v>
      </c>
      <c r="H286" s="1564">
        <f t="shared" si="138"/>
        <v>0</v>
      </c>
      <c r="I286" s="1564">
        <f t="shared" si="138"/>
        <v>0</v>
      </c>
      <c r="J286" s="1535">
        <f t="shared" si="134"/>
        <v>34325.44088</v>
      </c>
      <c r="O286" s="1447"/>
      <c r="P286" s="1448"/>
      <c r="Q286" s="1449"/>
      <c r="R286" s="1449"/>
      <c r="S286" s="1449"/>
      <c r="T286" s="1449"/>
      <c r="U286" s="1378"/>
      <c r="V286" s="1378"/>
    </row>
    <row r="287" ht="15.75" hidden="1" customHeight="1" outlineLevel="2">
      <c r="A287" s="1378">
        <f t="shared" si="135"/>
        <v>6</v>
      </c>
      <c r="B287" s="18" t="str">
        <f>+$B$73</f>
        <v>White Pine</v>
      </c>
      <c r="C287" s="17"/>
      <c r="D287" s="17">
        <f t="shared" si="132"/>
        <v>8966</v>
      </c>
      <c r="E287" s="1543"/>
      <c r="F287" s="1204">
        <f t="shared" ref="F287:I287" si="139">F$246*F215*$D287</f>
        <v>0</v>
      </c>
      <c r="G287" s="1204">
        <f t="shared" si="139"/>
        <v>0</v>
      </c>
      <c r="H287" s="1204">
        <f t="shared" si="139"/>
        <v>0</v>
      </c>
      <c r="I287" s="1204">
        <f t="shared" si="139"/>
        <v>0</v>
      </c>
      <c r="J287" s="1537">
        <f t="shared" si="134"/>
        <v>0</v>
      </c>
      <c r="O287" s="1447"/>
      <c r="P287" s="1448"/>
      <c r="Q287" s="1449"/>
      <c r="R287" s="1449"/>
      <c r="S287" s="1449"/>
      <c r="T287" s="1449"/>
      <c r="U287" s="1378"/>
      <c r="V287" s="1378"/>
    </row>
    <row r="288" ht="15.75" hidden="1" customHeight="1" outlineLevel="2">
      <c r="A288" s="1378"/>
      <c r="B288" s="1538" t="s">
        <v>160</v>
      </c>
      <c r="C288" s="1538"/>
      <c r="D288" s="1538"/>
      <c r="E288" s="1565"/>
      <c r="F288" s="1296">
        <f t="shared" ref="F288:I288" si="140">SUM(F282:F287)</f>
        <v>223115.3657</v>
      </c>
      <c r="G288" s="1296">
        <f t="shared" si="140"/>
        <v>43036.8</v>
      </c>
      <c r="H288" s="1296">
        <f t="shared" si="140"/>
        <v>8069.4</v>
      </c>
      <c r="I288" s="1296">
        <f t="shared" si="140"/>
        <v>1075.92</v>
      </c>
      <c r="J288" s="1505">
        <f t="shared" si="134"/>
        <v>275297.4857</v>
      </c>
      <c r="O288" s="1447"/>
      <c r="P288" s="1448"/>
      <c r="Q288" s="1449"/>
      <c r="R288" s="1449"/>
      <c r="S288" s="1449"/>
      <c r="T288" s="1449"/>
      <c r="U288" s="1378"/>
      <c r="V288" s="1378"/>
    </row>
    <row r="289" ht="15.75" hidden="1" customHeight="1" outlineLevel="2">
      <c r="A289" s="1378"/>
      <c r="O289" s="1447"/>
      <c r="P289" s="1448"/>
      <c r="Q289" s="1449"/>
      <c r="R289" s="1449"/>
      <c r="S289" s="1449"/>
      <c r="T289" s="1449"/>
      <c r="U289" s="1378"/>
      <c r="V289" s="1378"/>
    </row>
    <row r="290" ht="15.75" hidden="1" customHeight="1" outlineLevel="2">
      <c r="A290" s="1378"/>
      <c r="E290" s="1510" t="s">
        <v>1306</v>
      </c>
      <c r="F290" s="19"/>
      <c r="G290" s="35"/>
      <c r="H290" s="35"/>
      <c r="I290" s="35"/>
      <c r="O290" s="1447"/>
      <c r="P290" s="1448"/>
      <c r="Q290" s="1449"/>
      <c r="R290" s="1449"/>
      <c r="S290" s="1449"/>
      <c r="T290" s="1449"/>
      <c r="U290" s="1378"/>
      <c r="V290" s="1378"/>
    </row>
    <row r="291" ht="15.75" hidden="1" customHeight="1" outlineLevel="2">
      <c r="A291" s="1378"/>
      <c r="E291" s="1384" t="s">
        <v>751</v>
      </c>
      <c r="F291" s="1548" t="s">
        <v>1264</v>
      </c>
      <c r="G291" s="1384" t="s">
        <v>1265</v>
      </c>
      <c r="H291" s="1384" t="s">
        <v>1254</v>
      </c>
      <c r="I291" s="1384" t="s">
        <v>1266</v>
      </c>
      <c r="J291" s="1548" t="s">
        <v>160</v>
      </c>
      <c r="O291" s="1447"/>
      <c r="P291" s="1448"/>
      <c r="Q291" s="1449"/>
      <c r="R291" s="1449"/>
      <c r="S291" s="1449"/>
      <c r="T291" s="1449"/>
      <c r="U291" s="1378"/>
      <c r="V291" s="1378"/>
    </row>
    <row r="292" ht="15.75" hidden="1" customHeight="1" outlineLevel="2">
      <c r="A292" s="1378">
        <v>1.0</v>
      </c>
      <c r="B292" s="18" t="str">
        <f>+B$67</f>
        <v>Carson City </v>
      </c>
      <c r="C292" s="17"/>
      <c r="D292" s="17">
        <f t="shared" ref="D292:D297" si="142">$D$50</f>
        <v>8966</v>
      </c>
      <c r="E292" s="1566">
        <f t="shared" ref="E292:I292" si="141">+$E177*E199</f>
        <v>0</v>
      </c>
      <c r="F292" s="1566">
        <f t="shared" si="141"/>
        <v>0</v>
      </c>
      <c r="G292" s="1566">
        <f t="shared" si="141"/>
        <v>0</v>
      </c>
      <c r="H292" s="1566">
        <f t="shared" si="141"/>
        <v>0</v>
      </c>
      <c r="I292" s="1566">
        <f t="shared" si="141"/>
        <v>0</v>
      </c>
      <c r="J292" s="1567">
        <f t="shared" ref="J292:J298" si="144">SUM(E292:I292)</f>
        <v>0</v>
      </c>
      <c r="O292" s="1447"/>
      <c r="P292" s="1448"/>
      <c r="Q292" s="1449"/>
      <c r="R292" s="1449"/>
      <c r="S292" s="1449"/>
      <c r="T292" s="1449"/>
      <c r="U292" s="1378"/>
      <c r="V292" s="1378"/>
    </row>
    <row r="293" ht="15.75" hidden="1" customHeight="1" outlineLevel="2">
      <c r="A293" s="1378">
        <f t="shared" ref="A293:A297" si="145">1+A292</f>
        <v>2</v>
      </c>
      <c r="B293" s="18" t="str">
        <f>+$B$68</f>
        <v>Churchill</v>
      </c>
      <c r="C293" s="17"/>
      <c r="D293" s="17">
        <f t="shared" si="142"/>
        <v>8966</v>
      </c>
      <c r="E293" s="1550">
        <f t="shared" ref="E293:I293" si="143">+$E178*E200</f>
        <v>0</v>
      </c>
      <c r="F293" s="1550">
        <f t="shared" si="143"/>
        <v>0</v>
      </c>
      <c r="G293" s="1550">
        <f t="shared" si="143"/>
        <v>0</v>
      </c>
      <c r="H293" s="1550">
        <f t="shared" si="143"/>
        <v>0</v>
      </c>
      <c r="I293" s="1550">
        <f t="shared" si="143"/>
        <v>0</v>
      </c>
      <c r="J293" s="783">
        <f t="shared" si="144"/>
        <v>0</v>
      </c>
      <c r="O293" s="1447"/>
      <c r="P293" s="1448"/>
      <c r="Q293" s="1449"/>
      <c r="R293" s="1449"/>
      <c r="S293" s="1449"/>
      <c r="T293" s="1449"/>
      <c r="U293" s="1378"/>
      <c r="V293" s="1378"/>
    </row>
    <row r="294" ht="15.75" hidden="1" customHeight="1" outlineLevel="2">
      <c r="A294" s="1378">
        <f t="shared" si="145"/>
        <v>3</v>
      </c>
      <c r="B294" s="18" t="str">
        <f>+$B$69</f>
        <v>Clark</v>
      </c>
      <c r="C294" s="17"/>
      <c r="D294" s="17">
        <f t="shared" si="142"/>
        <v>8966</v>
      </c>
      <c r="E294" s="1550">
        <f t="shared" ref="E294:I294" si="146">+$E179*E201</f>
        <v>0</v>
      </c>
      <c r="F294" s="1550">
        <f t="shared" si="146"/>
        <v>0</v>
      </c>
      <c r="G294" s="1550">
        <f t="shared" si="146"/>
        <v>0</v>
      </c>
      <c r="H294" s="1550">
        <f t="shared" si="146"/>
        <v>0</v>
      </c>
      <c r="I294" s="1550">
        <f t="shared" si="146"/>
        <v>0</v>
      </c>
      <c r="J294" s="783">
        <f t="shared" si="144"/>
        <v>0</v>
      </c>
      <c r="O294" s="1447"/>
      <c r="P294" s="1448"/>
      <c r="Q294" s="1449"/>
      <c r="R294" s="1449"/>
      <c r="S294" s="1449"/>
      <c r="T294" s="1449"/>
      <c r="U294" s="1378"/>
      <c r="V294" s="1378"/>
    </row>
    <row r="295" ht="15.75" hidden="1" customHeight="1" outlineLevel="2">
      <c r="A295" s="1378">
        <f t="shared" si="145"/>
        <v>4</v>
      </c>
      <c r="B295" s="18" t="str">
        <f>+$B$70</f>
        <v>Elko</v>
      </c>
      <c r="C295" s="17"/>
      <c r="D295" s="17">
        <f t="shared" si="142"/>
        <v>8966</v>
      </c>
      <c r="E295" s="1550">
        <f t="shared" ref="E295:I295" si="147">+$E180*E202</f>
        <v>0</v>
      </c>
      <c r="F295" s="1550">
        <f t="shared" si="147"/>
        <v>0</v>
      </c>
      <c r="G295" s="1550">
        <f t="shared" si="147"/>
        <v>0</v>
      </c>
      <c r="H295" s="1550">
        <f t="shared" si="147"/>
        <v>0</v>
      </c>
      <c r="I295" s="1550">
        <f t="shared" si="147"/>
        <v>0</v>
      </c>
      <c r="J295" s="783">
        <f t="shared" si="144"/>
        <v>0</v>
      </c>
      <c r="O295" s="1447"/>
      <c r="P295" s="1448"/>
      <c r="Q295" s="1449"/>
      <c r="R295" s="1449"/>
      <c r="S295" s="1449"/>
      <c r="T295" s="1449"/>
      <c r="U295" s="1378"/>
      <c r="V295" s="1378"/>
    </row>
    <row r="296" ht="15.75" hidden="1" customHeight="1" outlineLevel="2">
      <c r="A296" s="1378">
        <f t="shared" si="145"/>
        <v>5</v>
      </c>
      <c r="B296" s="18" t="str">
        <f>+$B$72</f>
        <v>Washoe</v>
      </c>
      <c r="C296" s="17"/>
      <c r="D296" s="17">
        <f t="shared" si="142"/>
        <v>8966</v>
      </c>
      <c r="E296" s="1550">
        <f t="shared" ref="E296:I296" si="148">+$E181*E203</f>
        <v>0</v>
      </c>
      <c r="F296" s="1550">
        <f t="shared" si="148"/>
        <v>0</v>
      </c>
      <c r="G296" s="1550">
        <f t="shared" si="148"/>
        <v>0</v>
      </c>
      <c r="H296" s="1550">
        <f t="shared" si="148"/>
        <v>0</v>
      </c>
      <c r="I296" s="1550">
        <f t="shared" si="148"/>
        <v>0</v>
      </c>
      <c r="J296" s="783">
        <f t="shared" si="144"/>
        <v>0</v>
      </c>
      <c r="O296" s="1447"/>
      <c r="P296" s="1448"/>
      <c r="Q296" s="1449"/>
      <c r="R296" s="1449"/>
      <c r="S296" s="1449"/>
      <c r="T296" s="1449"/>
      <c r="U296" s="1378"/>
      <c r="V296" s="1378"/>
    </row>
    <row r="297" ht="15.75" hidden="1" customHeight="1" outlineLevel="2">
      <c r="A297" s="1378">
        <f t="shared" si="145"/>
        <v>6</v>
      </c>
      <c r="B297" s="18" t="str">
        <f>+$B$73</f>
        <v>White Pine</v>
      </c>
      <c r="C297" s="17"/>
      <c r="D297" s="17">
        <f t="shared" si="142"/>
        <v>8966</v>
      </c>
      <c r="E297" s="1551">
        <f t="shared" ref="E297:I297" si="149">+$E182*E204</f>
        <v>0</v>
      </c>
      <c r="F297" s="1551">
        <f t="shared" si="149"/>
        <v>0</v>
      </c>
      <c r="G297" s="1551">
        <f t="shared" si="149"/>
        <v>0</v>
      </c>
      <c r="H297" s="1551">
        <f t="shared" si="149"/>
        <v>0</v>
      </c>
      <c r="I297" s="1551">
        <f t="shared" si="149"/>
        <v>0</v>
      </c>
      <c r="J297" s="783">
        <f t="shared" si="144"/>
        <v>0</v>
      </c>
      <c r="O297" s="1447"/>
      <c r="P297" s="1448"/>
      <c r="Q297" s="1449"/>
      <c r="R297" s="1449"/>
      <c r="S297" s="1449"/>
      <c r="T297" s="1449"/>
      <c r="U297" s="1378"/>
      <c r="V297" s="1378"/>
    </row>
    <row r="298" ht="15.75" hidden="1" customHeight="1" outlineLevel="2">
      <c r="A298" s="1378"/>
      <c r="B298" s="1538" t="s">
        <v>160</v>
      </c>
      <c r="C298" s="1538"/>
      <c r="D298" s="1538"/>
      <c r="E298" s="1296">
        <f t="shared" ref="E298:I298" si="150">SUM(E292:E297)</f>
        <v>0</v>
      </c>
      <c r="F298" s="1296">
        <f t="shared" si="150"/>
        <v>0</v>
      </c>
      <c r="G298" s="1296">
        <f t="shared" si="150"/>
        <v>0</v>
      </c>
      <c r="H298" s="1296">
        <f t="shared" si="150"/>
        <v>0</v>
      </c>
      <c r="I298" s="1296">
        <f t="shared" si="150"/>
        <v>0</v>
      </c>
      <c r="J298" s="1296">
        <f t="shared" si="144"/>
        <v>0</v>
      </c>
      <c r="O298" s="1447"/>
      <c r="P298" s="1448"/>
      <c r="Q298" s="1449"/>
      <c r="R298" s="1449"/>
      <c r="S298" s="1449"/>
      <c r="T298" s="1449"/>
      <c r="U298" s="1378"/>
      <c r="V298" s="1378"/>
    </row>
    <row r="299" ht="15.75" hidden="1" customHeight="1" outlineLevel="2">
      <c r="A299" s="1378"/>
      <c r="O299" s="1447"/>
      <c r="P299" s="1448"/>
      <c r="Q299" s="1449"/>
      <c r="R299" s="1449"/>
      <c r="S299" s="1449"/>
      <c r="T299" s="1449"/>
      <c r="U299" s="1378"/>
      <c r="V299" s="1378"/>
    </row>
    <row r="300" ht="15.75" hidden="1" customHeight="1" outlineLevel="2">
      <c r="A300" s="1378"/>
      <c r="B300" s="1538" t="s">
        <v>1301</v>
      </c>
      <c r="C300" s="1538"/>
      <c r="D300" s="1538"/>
      <c r="E300" s="1296">
        <f t="shared" ref="E300:I300" si="151">+E288+E298</f>
        <v>0</v>
      </c>
      <c r="F300" s="1296">
        <f t="shared" si="151"/>
        <v>223115.3657</v>
      </c>
      <c r="G300" s="1296">
        <f t="shared" si="151"/>
        <v>43036.8</v>
      </c>
      <c r="H300" s="1296">
        <f t="shared" si="151"/>
        <v>8069.4</v>
      </c>
      <c r="I300" s="1296">
        <f t="shared" si="151"/>
        <v>1075.92</v>
      </c>
      <c r="J300" s="209">
        <f>SUM(E300:I300)</f>
        <v>275297.4857</v>
      </c>
      <c r="O300" s="1447"/>
      <c r="P300" s="1448"/>
      <c r="Q300" s="1449"/>
      <c r="R300" s="1449"/>
      <c r="S300" s="1449"/>
      <c r="T300" s="1449"/>
      <c r="U300" s="1378"/>
      <c r="V300" s="1378"/>
    </row>
    <row r="301" ht="15.75" hidden="1" customHeight="1" outlineLevel="2">
      <c r="A301" s="1378"/>
      <c r="O301" s="1447"/>
      <c r="P301" s="1448"/>
      <c r="Q301" s="1449"/>
      <c r="R301" s="1449"/>
      <c r="S301" s="1449"/>
      <c r="T301" s="1449"/>
      <c r="U301" s="1378"/>
      <c r="V301" s="1378"/>
    </row>
    <row r="302" ht="15.75" hidden="1" customHeight="1" outlineLevel="2">
      <c r="A302" s="1378"/>
      <c r="O302" s="1447"/>
      <c r="P302" s="1448"/>
      <c r="Q302" s="1449"/>
      <c r="R302" s="1449"/>
      <c r="S302" s="1449"/>
      <c r="T302" s="1449"/>
      <c r="U302" s="1378"/>
      <c r="V302" s="1378"/>
    </row>
    <row r="303" ht="15.75" hidden="1" customHeight="1" outlineLevel="2">
      <c r="A303" s="1378"/>
      <c r="O303" s="1378"/>
      <c r="P303" s="1568"/>
      <c r="Q303" s="1378"/>
      <c r="R303" s="1378"/>
      <c r="S303" s="1378"/>
      <c r="T303" s="1378"/>
      <c r="U303" s="1378"/>
      <c r="V303" s="1378"/>
    </row>
    <row r="304" ht="15.75" hidden="1" customHeight="1" outlineLevel="2">
      <c r="A304" s="1378"/>
      <c r="B304" s="1557" t="s">
        <v>264</v>
      </c>
      <c r="C304" s="1557"/>
      <c r="D304" s="1557"/>
      <c r="E304" s="1558"/>
      <c r="F304" s="1558"/>
      <c r="G304" s="1558"/>
      <c r="H304" s="1558"/>
      <c r="I304" s="1558"/>
      <c r="J304" s="1558"/>
      <c r="O304" s="1378"/>
      <c r="P304" s="1568"/>
      <c r="Q304" s="1378"/>
      <c r="R304" s="1378"/>
      <c r="S304" s="1378"/>
      <c r="T304" s="1378"/>
      <c r="U304" s="1378"/>
      <c r="V304" s="1378"/>
    </row>
    <row r="305" ht="15.75" hidden="1" customHeight="1" outlineLevel="2">
      <c r="A305" s="1378"/>
      <c r="B305" s="1530" t="s">
        <v>1274</v>
      </c>
      <c r="C305" s="1530"/>
      <c r="D305" s="1530"/>
      <c r="E305" s="1412"/>
      <c r="F305" s="1412"/>
      <c r="G305" s="1530"/>
      <c r="H305" s="1412"/>
      <c r="I305" s="1412"/>
      <c r="J305" s="1531"/>
      <c r="O305" s="1378"/>
      <c r="P305" s="1568"/>
      <c r="Q305" s="1378"/>
      <c r="R305" s="1378"/>
      <c r="S305" s="1378"/>
      <c r="T305" s="1378"/>
      <c r="U305" s="1378"/>
      <c r="V305" s="1378"/>
    </row>
    <row r="306" ht="15.75" hidden="1" customHeight="1" outlineLevel="2">
      <c r="A306" s="1378"/>
      <c r="B306" s="1510"/>
      <c r="C306" s="1510"/>
      <c r="D306" s="1510"/>
      <c r="E306" s="1510" t="s">
        <v>1297</v>
      </c>
      <c r="F306" s="35"/>
      <c r="G306" s="1510"/>
      <c r="H306" s="35"/>
      <c r="I306" s="35"/>
      <c r="J306" s="1532"/>
      <c r="O306" s="1378"/>
      <c r="P306" s="1568"/>
      <c r="Q306" s="1378"/>
      <c r="R306" s="1378"/>
      <c r="S306" s="1378"/>
      <c r="T306" s="1378"/>
      <c r="U306" s="1378"/>
      <c r="V306" s="1378"/>
    </row>
    <row r="307" ht="15.75" hidden="1" customHeight="1" outlineLevel="2">
      <c r="A307" s="1378"/>
      <c r="B307" s="1384"/>
      <c r="C307" s="1384"/>
      <c r="D307" s="1384"/>
      <c r="E307" s="1384" t="s">
        <v>751</v>
      </c>
      <c r="F307" s="1384" t="s">
        <v>1264</v>
      </c>
      <c r="G307" s="1384" t="s">
        <v>1265</v>
      </c>
      <c r="H307" s="1384" t="s">
        <v>1254</v>
      </c>
      <c r="I307" s="1384" t="s">
        <v>1266</v>
      </c>
      <c r="J307" s="1384" t="s">
        <v>160</v>
      </c>
      <c r="O307" s="1378"/>
      <c r="P307" s="1568"/>
      <c r="Q307" s="1378"/>
      <c r="R307" s="1378"/>
      <c r="S307" s="1378"/>
      <c r="T307" s="1378"/>
      <c r="U307" s="1378"/>
      <c r="V307" s="1378"/>
    </row>
    <row r="308" ht="15.75" hidden="1" customHeight="1" outlineLevel="2">
      <c r="A308" s="1378">
        <v>1.0</v>
      </c>
      <c r="B308" s="18" t="str">
        <f>+B$67</f>
        <v>Carson City </v>
      </c>
      <c r="C308" s="1427"/>
      <c r="D308" s="1427" t="str">
        <f t="shared" ref="D308:D313" si="153">E217</f>
        <v/>
      </c>
      <c r="E308" s="1559">
        <f t="shared" ref="E308:I308" si="152">+E321+E331</f>
        <v>0</v>
      </c>
      <c r="F308" s="1559">
        <f t="shared" si="152"/>
        <v>0</v>
      </c>
      <c r="G308" s="1559">
        <f t="shared" si="152"/>
        <v>0</v>
      </c>
      <c r="H308" s="1559">
        <f t="shared" si="152"/>
        <v>0</v>
      </c>
      <c r="I308" s="1559">
        <f t="shared" si="152"/>
        <v>0</v>
      </c>
      <c r="J308" s="1560">
        <f t="shared" ref="J308:J315" si="155">SUM(E308:I308)</f>
        <v>0</v>
      </c>
      <c r="O308" s="1378"/>
      <c r="P308" s="1568"/>
      <c r="Q308" s="1378"/>
      <c r="R308" s="1378"/>
      <c r="S308" s="1378"/>
      <c r="T308" s="1378"/>
      <c r="U308" s="1378"/>
      <c r="V308" s="1378"/>
    </row>
    <row r="309" ht="15.75" hidden="1" customHeight="1" outlineLevel="2">
      <c r="A309" s="1378">
        <f t="shared" ref="A309:A313" si="156">1+A308</f>
        <v>2</v>
      </c>
      <c r="B309" s="18" t="str">
        <f>+$B$68</f>
        <v>Churchill</v>
      </c>
      <c r="C309" s="17"/>
      <c r="D309" s="17" t="str">
        <f t="shared" si="153"/>
        <v/>
      </c>
      <c r="E309" s="1535">
        <f t="shared" ref="E309:I309" si="154">+E322+E332</f>
        <v>0</v>
      </c>
      <c r="F309" s="1535">
        <f t="shared" si="154"/>
        <v>0</v>
      </c>
      <c r="G309" s="1535">
        <f t="shared" si="154"/>
        <v>0</v>
      </c>
      <c r="H309" s="1535">
        <f t="shared" si="154"/>
        <v>0</v>
      </c>
      <c r="I309" s="1535">
        <f t="shared" si="154"/>
        <v>0</v>
      </c>
      <c r="J309" s="1535">
        <f t="shared" si="155"/>
        <v>0</v>
      </c>
      <c r="O309" s="1378"/>
      <c r="P309" s="1568"/>
      <c r="Q309" s="1378"/>
      <c r="R309" s="1378"/>
      <c r="S309" s="1378"/>
      <c r="T309" s="1378"/>
      <c r="U309" s="1378"/>
      <c r="V309" s="1378"/>
    </row>
    <row r="310" ht="15.75" hidden="1" customHeight="1" outlineLevel="2">
      <c r="A310" s="1378">
        <f t="shared" si="156"/>
        <v>3</v>
      </c>
      <c r="B310" s="18" t="str">
        <f>+$B$69</f>
        <v>Clark</v>
      </c>
      <c r="C310" s="17"/>
      <c r="D310" s="17" t="str">
        <f t="shared" si="153"/>
        <v>General</v>
      </c>
      <c r="E310" s="1535" t="str">
        <f t="shared" ref="E310:I310" si="157">+E323+E333</f>
        <v>#VALUE!</v>
      </c>
      <c r="F310" s="1535" t="str">
        <f t="shared" si="157"/>
        <v>#VALUE!</v>
      </c>
      <c r="G310" s="1535" t="str">
        <f t="shared" si="157"/>
        <v>#VALUE!</v>
      </c>
      <c r="H310" s="1535" t="str">
        <f t="shared" si="157"/>
        <v>#VALUE!</v>
      </c>
      <c r="I310" s="1535" t="str">
        <f t="shared" si="157"/>
        <v>#VALUE!</v>
      </c>
      <c r="J310" s="1535" t="str">
        <f t="shared" si="155"/>
        <v>#VALUE!</v>
      </c>
      <c r="O310" s="1378"/>
      <c r="P310" s="1568"/>
      <c r="Q310" s="1378"/>
      <c r="R310" s="1378"/>
      <c r="S310" s="1378"/>
      <c r="T310" s="1378"/>
      <c r="U310" s="1378"/>
      <c r="V310" s="1378"/>
    </row>
    <row r="311" ht="15.75" hidden="1" customHeight="1" outlineLevel="2">
      <c r="A311" s="1378">
        <f t="shared" si="156"/>
        <v>4</v>
      </c>
      <c r="B311" s="18" t="str">
        <f>+$B$70</f>
        <v>Elko</v>
      </c>
      <c r="C311" s="17"/>
      <c r="D311" s="17">
        <f t="shared" si="153"/>
        <v>100</v>
      </c>
      <c r="E311" s="1535">
        <f t="shared" ref="E311:I311" si="158">+E324+E334</f>
        <v>797433.3333</v>
      </c>
      <c r="F311" s="1535">
        <f t="shared" si="158"/>
        <v>3907771.472</v>
      </c>
      <c r="G311" s="1535">
        <f t="shared" si="158"/>
        <v>1425172.853</v>
      </c>
      <c r="H311" s="1535">
        <f t="shared" si="158"/>
        <v>824705.5533</v>
      </c>
      <c r="I311" s="1535">
        <f t="shared" si="158"/>
        <v>962023.5733</v>
      </c>
      <c r="J311" s="1535">
        <f t="shared" si="155"/>
        <v>7917106.786</v>
      </c>
      <c r="O311" s="1378"/>
      <c r="P311" s="1568"/>
      <c r="Q311" s="1378"/>
      <c r="R311" s="1378"/>
      <c r="S311" s="1378"/>
      <c r="T311" s="1378"/>
      <c r="U311" s="1378"/>
      <c r="V311" s="1378"/>
    </row>
    <row r="312" ht="15.75" hidden="1" customHeight="1" outlineLevel="2">
      <c r="A312" s="1378">
        <f t="shared" si="156"/>
        <v>5</v>
      </c>
      <c r="B312" s="18" t="str">
        <f>+$B$72</f>
        <v>Washoe</v>
      </c>
      <c r="C312" s="17"/>
      <c r="D312" s="17">
        <f t="shared" si="153"/>
        <v>0</v>
      </c>
      <c r="E312" s="1537">
        <f t="shared" ref="E312:I312" si="159">+E325+E335</f>
        <v>0</v>
      </c>
      <c r="F312" s="1537">
        <f t="shared" si="159"/>
        <v>0</v>
      </c>
      <c r="G312" s="1537">
        <f t="shared" si="159"/>
        <v>0</v>
      </c>
      <c r="H312" s="1537">
        <f t="shared" si="159"/>
        <v>0</v>
      </c>
      <c r="I312" s="1537">
        <f t="shared" si="159"/>
        <v>0</v>
      </c>
      <c r="J312" s="1535">
        <f t="shared" si="155"/>
        <v>0</v>
      </c>
      <c r="O312" s="1378"/>
      <c r="P312" s="1568"/>
      <c r="Q312" s="1378"/>
      <c r="R312" s="1378"/>
      <c r="S312" s="1378"/>
      <c r="T312" s="1378"/>
      <c r="U312" s="1378"/>
      <c r="V312" s="1378"/>
    </row>
    <row r="313" ht="15.75" hidden="1" customHeight="1" outlineLevel="2">
      <c r="A313" s="1378">
        <f t="shared" si="156"/>
        <v>6</v>
      </c>
      <c r="B313" s="18" t="str">
        <f>+$B$73</f>
        <v>White Pine</v>
      </c>
      <c r="C313" s="17"/>
      <c r="D313" s="17">
        <f t="shared" si="153"/>
        <v>0</v>
      </c>
      <c r="E313" s="1537" t="str">
        <f t="shared" ref="E313:I313" si="160">+E326+E336</f>
        <v>#VALUE!</v>
      </c>
      <c r="F313" s="1537">
        <f t="shared" si="160"/>
        <v>0</v>
      </c>
      <c r="G313" s="1537">
        <f t="shared" si="160"/>
        <v>0</v>
      </c>
      <c r="H313" s="1537">
        <f t="shared" si="160"/>
        <v>0</v>
      </c>
      <c r="I313" s="1537">
        <f t="shared" si="160"/>
        <v>0</v>
      </c>
      <c r="J313" s="1537" t="str">
        <f t="shared" si="155"/>
        <v>#VALUE!</v>
      </c>
      <c r="O313" s="1378"/>
      <c r="P313" s="1568"/>
      <c r="Q313" s="1378"/>
      <c r="R313" s="1378"/>
      <c r="S313" s="1378"/>
      <c r="T313" s="1378"/>
      <c r="U313" s="1378"/>
      <c r="V313" s="1378"/>
    </row>
    <row r="314" ht="15.75" hidden="1" customHeight="1" outlineLevel="2">
      <c r="A314" s="1378"/>
      <c r="B314" s="1538" t="s">
        <v>664</v>
      </c>
      <c r="C314" s="1538"/>
      <c r="D314" s="1538"/>
      <c r="E314" s="1505" t="str">
        <f t="shared" ref="E314:I314" si="161">SUM(E308:E313)</f>
        <v>#VALUE!</v>
      </c>
      <c r="F314" s="1505" t="str">
        <f t="shared" si="161"/>
        <v>#VALUE!</v>
      </c>
      <c r="G314" s="1505" t="str">
        <f t="shared" si="161"/>
        <v>#VALUE!</v>
      </c>
      <c r="H314" s="1505" t="str">
        <f t="shared" si="161"/>
        <v>#VALUE!</v>
      </c>
      <c r="I314" s="1505" t="str">
        <f t="shared" si="161"/>
        <v>#VALUE!</v>
      </c>
      <c r="J314" s="1506" t="str">
        <f t="shared" si="155"/>
        <v>#VALUE!</v>
      </c>
      <c r="O314" s="1378"/>
      <c r="P314" s="1568"/>
      <c r="Q314" s="1378"/>
      <c r="R314" s="1378"/>
      <c r="S314" s="1378"/>
      <c r="T314" s="1378"/>
      <c r="U314" s="1378"/>
      <c r="V314" s="1378"/>
    </row>
    <row r="315" ht="15.75" hidden="1" customHeight="1" outlineLevel="2">
      <c r="A315" s="1378"/>
      <c r="B315" s="19" t="s">
        <v>565</v>
      </c>
      <c r="E315" s="783" t="str">
        <f t="shared" ref="E315:I315" si="162">+E245</f>
        <v>General</v>
      </c>
      <c r="F315" s="783" t="str">
        <f t="shared" si="162"/>
        <v>SpEd</v>
      </c>
      <c r="G315" s="783" t="str">
        <f t="shared" si="162"/>
        <v>EL</v>
      </c>
      <c r="H315" s="783" t="str">
        <f t="shared" si="162"/>
        <v>AR</v>
      </c>
      <c r="I315" s="783" t="str">
        <f t="shared" si="162"/>
        <v>G&amp;T</v>
      </c>
      <c r="J315" s="783">
        <f t="shared" si="155"/>
        <v>0</v>
      </c>
      <c r="O315" s="1378"/>
      <c r="P315" s="1568"/>
      <c r="Q315" s="1378"/>
      <c r="R315" s="1378"/>
      <c r="S315" s="1378"/>
      <c r="T315" s="1378"/>
      <c r="U315" s="1378"/>
      <c r="V315" s="1378"/>
    </row>
    <row r="316" ht="15.75" hidden="1" customHeight="1" outlineLevel="2">
      <c r="A316" s="1378"/>
      <c r="B316" s="1538" t="s">
        <v>1304</v>
      </c>
      <c r="C316" s="1455"/>
      <c r="D316" s="1455"/>
      <c r="E316" s="1296" t="str">
        <f t="shared" ref="E316:J316" si="163">+E314/E315</f>
        <v>#VALUE!</v>
      </c>
      <c r="F316" s="1296" t="str">
        <f t="shared" si="163"/>
        <v>#VALUE!</v>
      </c>
      <c r="G316" s="1296" t="str">
        <f t="shared" si="163"/>
        <v>#VALUE!</v>
      </c>
      <c r="H316" s="1296" t="str">
        <f t="shared" si="163"/>
        <v>#VALUE!</v>
      </c>
      <c r="I316" s="1296" t="str">
        <f t="shared" si="163"/>
        <v>#VALUE!</v>
      </c>
      <c r="J316" s="1296" t="str">
        <f t="shared" si="163"/>
        <v>#VALUE!</v>
      </c>
      <c r="O316" s="1378"/>
      <c r="P316" s="1568"/>
      <c r="Q316" s="1378"/>
      <c r="R316" s="1378"/>
      <c r="S316" s="1378"/>
      <c r="T316" s="1378"/>
      <c r="U316" s="1378"/>
      <c r="V316" s="1378"/>
    </row>
    <row r="317" ht="15.75" hidden="1" customHeight="1" outlineLevel="2">
      <c r="A317" s="1378"/>
      <c r="B317" s="19"/>
      <c r="J317" s="783"/>
      <c r="O317" s="1378"/>
      <c r="P317" s="1568"/>
      <c r="Q317" s="1378"/>
      <c r="R317" s="1378"/>
      <c r="S317" s="1378"/>
      <c r="T317" s="1378"/>
      <c r="U317" s="1378"/>
      <c r="V317" s="1378"/>
    </row>
    <row r="318" ht="15.75" hidden="1" customHeight="1" outlineLevel="2">
      <c r="A318" s="1378"/>
      <c r="E318" s="1510" t="s">
        <v>1305</v>
      </c>
      <c r="F318" s="35"/>
      <c r="G318" s="1510"/>
      <c r="H318" s="1510"/>
      <c r="I318" s="1510"/>
      <c r="J318" s="35"/>
      <c r="O318" s="1378"/>
      <c r="P318" s="1568"/>
      <c r="Q318" s="1378"/>
      <c r="R318" s="1378"/>
      <c r="S318" s="1378"/>
      <c r="T318" s="1378"/>
      <c r="U318" s="1378"/>
      <c r="V318" s="1378"/>
    </row>
    <row r="319" ht="15.75" hidden="1" customHeight="1" outlineLevel="2">
      <c r="A319" s="1378"/>
      <c r="E319" s="1384" t="s">
        <v>751</v>
      </c>
      <c r="F319" s="1384" t="s">
        <v>1264</v>
      </c>
      <c r="G319" s="1384" t="s">
        <v>1265</v>
      </c>
      <c r="H319" s="1384" t="s">
        <v>1254</v>
      </c>
      <c r="I319" s="1384" t="s">
        <v>1266</v>
      </c>
      <c r="J319" s="1540"/>
      <c r="O319" s="1378"/>
      <c r="P319" s="1568"/>
      <c r="Q319" s="1378"/>
      <c r="R319" s="1378"/>
      <c r="S319" s="1378"/>
      <c r="T319" s="1378"/>
      <c r="U319" s="1378"/>
      <c r="V319" s="1378"/>
    </row>
    <row r="320" ht="15.75" hidden="1" customHeight="1" outlineLevel="2">
      <c r="A320" s="1378"/>
      <c r="B320" s="1384" t="s">
        <v>1299</v>
      </c>
      <c r="C320" s="1384"/>
      <c r="D320" s="1384"/>
      <c r="E320" s="1561">
        <v>0.0</v>
      </c>
      <c r="F320" s="1562">
        <f t="shared" ref="F320:I320" si="164">+F249</f>
        <v>11021.2</v>
      </c>
      <c r="G320" s="1562">
        <f t="shared" si="164"/>
        <v>3454.56</v>
      </c>
      <c r="H320" s="1562">
        <f t="shared" si="164"/>
        <v>647.73</v>
      </c>
      <c r="I320" s="1562">
        <f t="shared" si="164"/>
        <v>863.64</v>
      </c>
      <c r="J320" s="1384" t="s">
        <v>160</v>
      </c>
      <c r="O320" s="1378"/>
      <c r="P320" s="1568"/>
      <c r="Q320" s="1378"/>
      <c r="R320" s="1378"/>
      <c r="S320" s="1378"/>
      <c r="T320" s="1378"/>
      <c r="U320" s="1378"/>
      <c r="V320" s="1378"/>
    </row>
    <row r="321" ht="15.75" hidden="1" customHeight="1" outlineLevel="2">
      <c r="A321" s="1378">
        <v>1.0</v>
      </c>
      <c r="B321" s="18" t="str">
        <f>+B$67</f>
        <v>Carson City </v>
      </c>
      <c r="C321" s="1427"/>
      <c r="D321" s="1427" t="str">
        <f t="shared" ref="D321:D326" si="166">E217</f>
        <v/>
      </c>
      <c r="E321" s="1543"/>
      <c r="F321" s="1256">
        <f t="shared" ref="F321:I321" si="165">F$246*F250*$D321</f>
        <v>0</v>
      </c>
      <c r="G321" s="1256">
        <f t="shared" si="165"/>
        <v>0</v>
      </c>
      <c r="H321" s="1256">
        <f t="shared" si="165"/>
        <v>0</v>
      </c>
      <c r="I321" s="1256">
        <f t="shared" si="165"/>
        <v>0</v>
      </c>
      <c r="J321" s="1560">
        <f t="shared" ref="J321:J327" si="168">SUM(E321:I321)</f>
        <v>0</v>
      </c>
      <c r="O321" s="1378"/>
      <c r="P321" s="1568"/>
      <c r="Q321" s="1378"/>
      <c r="R321" s="1378"/>
      <c r="S321" s="1378"/>
      <c r="T321" s="1378"/>
      <c r="U321" s="1378"/>
      <c r="V321" s="1378"/>
    </row>
    <row r="322" ht="15.75" hidden="1" customHeight="1" outlineLevel="2">
      <c r="A322" s="1378">
        <f t="shared" ref="A322:A326" si="169">1+A321</f>
        <v>2</v>
      </c>
      <c r="B322" s="18" t="str">
        <f>+$B$68</f>
        <v>Churchill</v>
      </c>
      <c r="C322" s="17"/>
      <c r="D322" s="17" t="str">
        <f t="shared" si="166"/>
        <v/>
      </c>
      <c r="E322" s="1543"/>
      <c r="F322" s="1564">
        <f t="shared" ref="F322:I322" si="167">F$246*F251*$D322</f>
        <v>0</v>
      </c>
      <c r="G322" s="1564">
        <f t="shared" si="167"/>
        <v>0</v>
      </c>
      <c r="H322" s="1564">
        <f t="shared" si="167"/>
        <v>0</v>
      </c>
      <c r="I322" s="1564">
        <f t="shared" si="167"/>
        <v>0</v>
      </c>
      <c r="J322" s="1535">
        <f t="shared" si="168"/>
        <v>0</v>
      </c>
      <c r="O322" s="1378"/>
      <c r="P322" s="1568"/>
      <c r="Q322" s="1378"/>
      <c r="R322" s="1378"/>
      <c r="S322" s="1378"/>
      <c r="T322" s="1378"/>
      <c r="U322" s="1378"/>
      <c r="V322" s="1378"/>
    </row>
    <row r="323" ht="15.75" hidden="1" customHeight="1" outlineLevel="2">
      <c r="A323" s="1378">
        <f t="shared" si="169"/>
        <v>3</v>
      </c>
      <c r="B323" s="18" t="str">
        <f>+$B$69</f>
        <v>Clark</v>
      </c>
      <c r="C323" s="17"/>
      <c r="D323" s="17" t="str">
        <f t="shared" si="166"/>
        <v>General</v>
      </c>
      <c r="E323" s="1543"/>
      <c r="F323" s="1564" t="str">
        <f t="shared" ref="F323:I323" si="170">F$246*F252*$D323</f>
        <v>#VALUE!</v>
      </c>
      <c r="G323" s="1564" t="str">
        <f t="shared" si="170"/>
        <v>#VALUE!</v>
      </c>
      <c r="H323" s="1564" t="str">
        <f t="shared" si="170"/>
        <v>#VALUE!</v>
      </c>
      <c r="I323" s="1564" t="str">
        <f t="shared" si="170"/>
        <v>#VALUE!</v>
      </c>
      <c r="J323" s="1535" t="str">
        <f t="shared" si="168"/>
        <v>#VALUE!</v>
      </c>
      <c r="O323" s="1378"/>
      <c r="P323" s="1568"/>
      <c r="Q323" s="1378"/>
      <c r="R323" s="1378"/>
      <c r="S323" s="1378"/>
      <c r="T323" s="1378"/>
      <c r="U323" s="1378"/>
      <c r="V323" s="1378"/>
    </row>
    <row r="324" ht="15.75" hidden="1" customHeight="1" outlineLevel="2">
      <c r="A324" s="1378">
        <f t="shared" si="169"/>
        <v>4</v>
      </c>
      <c r="B324" s="18" t="str">
        <f>+$B$70</f>
        <v>Elko</v>
      </c>
      <c r="C324" s="17"/>
      <c r="D324" s="17">
        <f t="shared" si="166"/>
        <v>100</v>
      </c>
      <c r="E324" s="1543"/>
      <c r="F324" s="1564">
        <f t="shared" ref="F324:I324" si="171">F$246*F253*$D324</f>
        <v>2805048.704</v>
      </c>
      <c r="G324" s="1564">
        <f t="shared" si="171"/>
        <v>551185.92</v>
      </c>
      <c r="H324" s="1564">
        <f t="shared" si="171"/>
        <v>12918.42</v>
      </c>
      <c r="I324" s="1564">
        <f t="shared" si="171"/>
        <v>68898.24</v>
      </c>
      <c r="J324" s="1535">
        <f t="shared" si="168"/>
        <v>3438051.284</v>
      </c>
      <c r="O324" s="1378"/>
      <c r="P324" s="1568"/>
      <c r="Q324" s="1378"/>
      <c r="R324" s="1378"/>
      <c r="S324" s="1378"/>
      <c r="T324" s="1378"/>
      <c r="U324" s="1378"/>
      <c r="V324" s="1378"/>
    </row>
    <row r="325" ht="15.75" hidden="1" customHeight="1" outlineLevel="2">
      <c r="A325" s="1378">
        <f t="shared" si="169"/>
        <v>5</v>
      </c>
      <c r="B325" s="18" t="str">
        <f>+$B$72</f>
        <v>Washoe</v>
      </c>
      <c r="C325" s="17"/>
      <c r="D325" s="17">
        <f t="shared" si="166"/>
        <v>0</v>
      </c>
      <c r="E325" s="1543"/>
      <c r="F325" s="1564">
        <f t="shared" ref="F325:I325" si="172">F$246*F254*$D325</f>
        <v>0</v>
      </c>
      <c r="G325" s="1564">
        <f t="shared" si="172"/>
        <v>0</v>
      </c>
      <c r="H325" s="1564">
        <f t="shared" si="172"/>
        <v>0</v>
      </c>
      <c r="I325" s="1564">
        <f t="shared" si="172"/>
        <v>0</v>
      </c>
      <c r="J325" s="1535">
        <f t="shared" si="168"/>
        <v>0</v>
      </c>
      <c r="O325" s="1378"/>
      <c r="P325" s="1568"/>
      <c r="Q325" s="1378"/>
      <c r="R325" s="1378"/>
      <c r="S325" s="1378"/>
      <c r="T325" s="1378"/>
      <c r="U325" s="1378"/>
      <c r="V325" s="1378"/>
    </row>
    <row r="326" ht="15.75" hidden="1" customHeight="1" outlineLevel="2">
      <c r="A326" s="1378">
        <f t="shared" si="169"/>
        <v>6</v>
      </c>
      <c r="B326" s="18" t="str">
        <f>+$B$73</f>
        <v>White Pine</v>
      </c>
      <c r="C326" s="17"/>
      <c r="D326" s="17">
        <f t="shared" si="166"/>
        <v>0</v>
      </c>
      <c r="E326" s="1543"/>
      <c r="F326" s="1204">
        <f t="shared" ref="F326:I326" si="173">F$246*F255*$D326</f>
        <v>0</v>
      </c>
      <c r="G326" s="1204">
        <f t="shared" si="173"/>
        <v>0</v>
      </c>
      <c r="H326" s="1204">
        <f t="shared" si="173"/>
        <v>0</v>
      </c>
      <c r="I326" s="1204">
        <f t="shared" si="173"/>
        <v>0</v>
      </c>
      <c r="J326" s="1537">
        <f t="shared" si="168"/>
        <v>0</v>
      </c>
      <c r="O326" s="1378"/>
      <c r="P326" s="1568"/>
      <c r="Q326" s="1378"/>
      <c r="R326" s="1378"/>
      <c r="S326" s="1378"/>
      <c r="T326" s="1378"/>
      <c r="U326" s="1378"/>
      <c r="V326" s="1378"/>
    </row>
    <row r="327" ht="15.75" hidden="1" customHeight="1" outlineLevel="2">
      <c r="A327" s="1378"/>
      <c r="B327" s="1538" t="s">
        <v>160</v>
      </c>
      <c r="C327" s="1538"/>
      <c r="D327" s="1538"/>
      <c r="E327" s="1565"/>
      <c r="F327" s="1296" t="str">
        <f t="shared" ref="F327:I327" si="174">SUM(F321:F326)</f>
        <v>#VALUE!</v>
      </c>
      <c r="G327" s="1296" t="str">
        <f t="shared" si="174"/>
        <v>#VALUE!</v>
      </c>
      <c r="H327" s="1296" t="str">
        <f t="shared" si="174"/>
        <v>#VALUE!</v>
      </c>
      <c r="I327" s="1296" t="str">
        <f t="shared" si="174"/>
        <v>#VALUE!</v>
      </c>
      <c r="J327" s="1505" t="str">
        <f t="shared" si="168"/>
        <v>#VALUE!</v>
      </c>
      <c r="O327" s="1378"/>
      <c r="P327" s="1568"/>
      <c r="Q327" s="1378"/>
      <c r="R327" s="1378"/>
      <c r="S327" s="1378"/>
      <c r="T327" s="1378"/>
      <c r="U327" s="1378"/>
      <c r="V327" s="1378"/>
    </row>
    <row r="328" ht="15.75" hidden="1" customHeight="1" outlineLevel="2">
      <c r="A328" s="1378"/>
      <c r="O328" s="1378"/>
      <c r="P328" s="1568"/>
      <c r="Q328" s="1378"/>
      <c r="R328" s="1378"/>
      <c r="S328" s="1378"/>
      <c r="T328" s="1378"/>
      <c r="U328" s="1378"/>
      <c r="V328" s="1378"/>
    </row>
    <row r="329" ht="15.75" hidden="1" customHeight="1" outlineLevel="2">
      <c r="A329" s="1378"/>
      <c r="E329" s="1510" t="s">
        <v>1306</v>
      </c>
      <c r="F329" s="19"/>
      <c r="G329" s="35"/>
      <c r="H329" s="35"/>
      <c r="I329" s="35"/>
      <c r="O329" s="1378"/>
      <c r="P329" s="1568"/>
      <c r="Q329" s="1378"/>
      <c r="R329" s="1378"/>
      <c r="S329" s="1378"/>
      <c r="T329" s="1378"/>
      <c r="U329" s="1378"/>
      <c r="V329" s="1378"/>
    </row>
    <row r="330" ht="15.75" hidden="1" customHeight="1" outlineLevel="2">
      <c r="A330" s="1378"/>
      <c r="E330" s="1384" t="s">
        <v>751</v>
      </c>
      <c r="F330" s="1548" t="s">
        <v>1264</v>
      </c>
      <c r="G330" s="1384" t="s">
        <v>1265</v>
      </c>
      <c r="H330" s="1384" t="s">
        <v>1254</v>
      </c>
      <c r="I330" s="1384" t="s">
        <v>1266</v>
      </c>
      <c r="J330" s="1548" t="s">
        <v>160</v>
      </c>
      <c r="O330" s="1378"/>
      <c r="P330" s="1568"/>
      <c r="Q330" s="1378"/>
      <c r="R330" s="1378"/>
      <c r="S330" s="1378"/>
      <c r="T330" s="1378"/>
      <c r="U330" s="1378"/>
      <c r="V330" s="1378"/>
    </row>
    <row r="331" ht="15.75" hidden="1" customHeight="1" outlineLevel="2">
      <c r="A331" s="1378">
        <v>1.0</v>
      </c>
      <c r="B331" s="18" t="str">
        <f>+B$67</f>
        <v>Carson City </v>
      </c>
      <c r="C331" s="1427"/>
      <c r="D331" s="1427" t="str">
        <f t="shared" ref="D331:D336" si="176">E217</f>
        <v/>
      </c>
      <c r="E331" s="1549">
        <f t="shared" ref="E331:I331" si="175">+$E217*E239</f>
        <v>0</v>
      </c>
      <c r="F331" s="1549">
        <f t="shared" si="175"/>
        <v>0</v>
      </c>
      <c r="G331" s="1549">
        <f t="shared" si="175"/>
        <v>0</v>
      </c>
      <c r="H331" s="1549">
        <f t="shared" si="175"/>
        <v>0</v>
      </c>
      <c r="I331" s="1549">
        <f t="shared" si="175"/>
        <v>0</v>
      </c>
      <c r="J331" s="1567">
        <f t="shared" ref="J331:J337" si="178">SUM(E331:I331)</f>
        <v>0</v>
      </c>
      <c r="O331" s="1378"/>
      <c r="P331" s="1568"/>
      <c r="Q331" s="1378"/>
      <c r="R331" s="1378"/>
      <c r="S331" s="1378"/>
      <c r="T331" s="1378"/>
      <c r="U331" s="1378"/>
      <c r="V331" s="1378"/>
    </row>
    <row r="332" ht="15.75" hidden="1" customHeight="1" outlineLevel="2">
      <c r="A332" s="1378">
        <f t="shared" ref="A332:A336" si="179">1+A331</f>
        <v>2</v>
      </c>
      <c r="B332" s="18" t="str">
        <f>+$B$68</f>
        <v>Churchill</v>
      </c>
      <c r="C332" s="17"/>
      <c r="D332" s="17" t="str">
        <f t="shared" si="176"/>
        <v/>
      </c>
      <c r="E332" s="1550">
        <f t="shared" ref="E332:I332" si="177">+$E218*E240</f>
        <v>0</v>
      </c>
      <c r="F332" s="1550">
        <f t="shared" si="177"/>
        <v>0</v>
      </c>
      <c r="G332" s="1550">
        <f t="shared" si="177"/>
        <v>0</v>
      </c>
      <c r="H332" s="1550">
        <f t="shared" si="177"/>
        <v>0</v>
      </c>
      <c r="I332" s="1550">
        <f t="shared" si="177"/>
        <v>0</v>
      </c>
      <c r="J332" s="783">
        <f t="shared" si="178"/>
        <v>0</v>
      </c>
      <c r="O332" s="1378"/>
      <c r="P332" s="1568"/>
      <c r="Q332" s="1378"/>
      <c r="R332" s="1378"/>
      <c r="S332" s="1378"/>
      <c r="T332" s="1378"/>
      <c r="U332" s="1378"/>
      <c r="V332" s="1378"/>
    </row>
    <row r="333" ht="15.75" hidden="1" customHeight="1" outlineLevel="2">
      <c r="A333" s="1378">
        <f t="shared" si="179"/>
        <v>3</v>
      </c>
      <c r="B333" s="18" t="str">
        <f>+$B$69</f>
        <v>Clark</v>
      </c>
      <c r="C333" s="17"/>
      <c r="D333" s="17" t="str">
        <f t="shared" si="176"/>
        <v>General</v>
      </c>
      <c r="E333" s="1550" t="str">
        <f t="shared" ref="E333:I333" si="180">+$E219*E241</f>
        <v>#VALUE!</v>
      </c>
      <c r="F333" s="1550" t="str">
        <f t="shared" si="180"/>
        <v>#VALUE!</v>
      </c>
      <c r="G333" s="1550" t="str">
        <f t="shared" si="180"/>
        <v>#VALUE!</v>
      </c>
      <c r="H333" s="1550" t="str">
        <f t="shared" si="180"/>
        <v>#VALUE!</v>
      </c>
      <c r="I333" s="1550" t="str">
        <f t="shared" si="180"/>
        <v>#VALUE!</v>
      </c>
      <c r="J333" s="783" t="str">
        <f t="shared" si="178"/>
        <v>#VALUE!</v>
      </c>
      <c r="O333" s="1378"/>
      <c r="P333" s="1568"/>
      <c r="Q333" s="1378"/>
      <c r="R333" s="1378"/>
      <c r="S333" s="1378"/>
      <c r="T333" s="1378"/>
      <c r="U333" s="1378"/>
      <c r="V333" s="1378"/>
    </row>
    <row r="334" ht="15.75" hidden="1" customHeight="1" outlineLevel="2">
      <c r="A334" s="1378">
        <f t="shared" si="179"/>
        <v>4</v>
      </c>
      <c r="B334" s="18" t="str">
        <f>+$B$70</f>
        <v>Elko</v>
      </c>
      <c r="C334" s="17"/>
      <c r="D334" s="17">
        <f t="shared" si="176"/>
        <v>100</v>
      </c>
      <c r="E334" s="1550">
        <f t="shared" ref="E334:I334" si="181">+$E220*E242</f>
        <v>797433.3333</v>
      </c>
      <c r="F334" s="1550">
        <f t="shared" si="181"/>
        <v>1102722.768</v>
      </c>
      <c r="G334" s="1550">
        <f t="shared" si="181"/>
        <v>873986.9333</v>
      </c>
      <c r="H334" s="1550">
        <f t="shared" si="181"/>
        <v>811787.1333</v>
      </c>
      <c r="I334" s="1550">
        <f t="shared" si="181"/>
        <v>893125.3333</v>
      </c>
      <c r="J334" s="783">
        <f t="shared" si="178"/>
        <v>4479055.502</v>
      </c>
      <c r="O334" s="1378"/>
      <c r="P334" s="1568"/>
      <c r="Q334" s="1378"/>
      <c r="R334" s="1378"/>
      <c r="S334" s="1378"/>
      <c r="T334" s="1378"/>
      <c r="U334" s="1378"/>
      <c r="V334" s="1378"/>
    </row>
    <row r="335" ht="15.75" hidden="1" customHeight="1" outlineLevel="2">
      <c r="A335" s="1378">
        <f t="shared" si="179"/>
        <v>5</v>
      </c>
      <c r="B335" s="18" t="str">
        <f>+$B$72</f>
        <v>Washoe</v>
      </c>
      <c r="C335" s="17"/>
      <c r="D335" s="17">
        <f t="shared" si="176"/>
        <v>0</v>
      </c>
      <c r="E335" s="1550">
        <f t="shared" ref="E335:I335" si="182">+$E221*E243</f>
        <v>0</v>
      </c>
      <c r="F335" s="1550">
        <f t="shared" si="182"/>
        <v>0</v>
      </c>
      <c r="G335" s="1550">
        <f t="shared" si="182"/>
        <v>0</v>
      </c>
      <c r="H335" s="1550">
        <f t="shared" si="182"/>
        <v>0</v>
      </c>
      <c r="I335" s="1550">
        <f t="shared" si="182"/>
        <v>0</v>
      </c>
      <c r="J335" s="783">
        <f t="shared" si="178"/>
        <v>0</v>
      </c>
      <c r="O335" s="1378"/>
      <c r="P335" s="1568"/>
      <c r="Q335" s="1378"/>
      <c r="R335" s="1378"/>
      <c r="S335" s="1378"/>
      <c r="T335" s="1378"/>
      <c r="U335" s="1378"/>
      <c r="V335" s="1378"/>
    </row>
    <row r="336" ht="15.75" hidden="1" customHeight="1" outlineLevel="2">
      <c r="A336" s="1378">
        <f t="shared" si="179"/>
        <v>6</v>
      </c>
      <c r="B336" s="18" t="str">
        <f>+$B$73</f>
        <v>White Pine</v>
      </c>
      <c r="C336" s="17"/>
      <c r="D336" s="17">
        <f t="shared" si="176"/>
        <v>0</v>
      </c>
      <c r="E336" s="1551" t="str">
        <f t="shared" ref="E336:I336" si="183">+$E222*E244</f>
        <v>#VALUE!</v>
      </c>
      <c r="F336" s="1551">
        <f t="shared" si="183"/>
        <v>0</v>
      </c>
      <c r="G336" s="1551">
        <f t="shared" si="183"/>
        <v>0</v>
      </c>
      <c r="H336" s="1551">
        <f t="shared" si="183"/>
        <v>0</v>
      </c>
      <c r="I336" s="1551">
        <f t="shared" si="183"/>
        <v>0</v>
      </c>
      <c r="J336" s="783" t="str">
        <f t="shared" si="178"/>
        <v>#VALUE!</v>
      </c>
      <c r="O336" s="1378"/>
      <c r="P336" s="1568"/>
      <c r="Q336" s="1378"/>
      <c r="R336" s="1378"/>
      <c r="S336" s="1378"/>
      <c r="T336" s="1378"/>
      <c r="U336" s="1378"/>
      <c r="V336" s="1378"/>
    </row>
    <row r="337" ht="15.75" hidden="1" customHeight="1" outlineLevel="2">
      <c r="A337" s="1378"/>
      <c r="B337" s="1538" t="s">
        <v>160</v>
      </c>
      <c r="C337" s="1538"/>
      <c r="D337" s="1538"/>
      <c r="E337" s="1296" t="str">
        <f t="shared" ref="E337:I337" si="184">SUM(E331:E336)</f>
        <v>#VALUE!</v>
      </c>
      <c r="F337" s="1296" t="str">
        <f t="shared" si="184"/>
        <v>#VALUE!</v>
      </c>
      <c r="G337" s="1296" t="str">
        <f t="shared" si="184"/>
        <v>#VALUE!</v>
      </c>
      <c r="H337" s="1296" t="str">
        <f t="shared" si="184"/>
        <v>#VALUE!</v>
      </c>
      <c r="I337" s="1296" t="str">
        <f t="shared" si="184"/>
        <v>#VALUE!</v>
      </c>
      <c r="J337" s="1296" t="str">
        <f t="shared" si="178"/>
        <v>#VALUE!</v>
      </c>
      <c r="O337" s="1378"/>
      <c r="P337" s="1568"/>
      <c r="Q337" s="1378"/>
      <c r="R337" s="1378"/>
      <c r="S337" s="1378"/>
      <c r="T337" s="1378"/>
      <c r="U337" s="1378"/>
      <c r="V337" s="1378"/>
    </row>
    <row r="338" ht="15.75" hidden="1" customHeight="1" outlineLevel="2">
      <c r="A338" s="1378"/>
      <c r="O338" s="1378"/>
      <c r="P338" s="1568"/>
      <c r="Q338" s="1378"/>
      <c r="R338" s="1378"/>
      <c r="S338" s="1378"/>
      <c r="T338" s="1378"/>
      <c r="U338" s="1378"/>
      <c r="V338" s="1378"/>
    </row>
    <row r="339" ht="15.75" hidden="1" customHeight="1" outlineLevel="2">
      <c r="A339" s="1378"/>
      <c r="B339" s="1538" t="s">
        <v>1301</v>
      </c>
      <c r="C339" s="1538"/>
      <c r="D339" s="1538"/>
      <c r="E339" s="1296" t="str">
        <f t="shared" ref="E339:I339" si="185">+E327+E337</f>
        <v>#VALUE!</v>
      </c>
      <c r="F339" s="1296" t="str">
        <f t="shared" si="185"/>
        <v>#VALUE!</v>
      </c>
      <c r="G339" s="1296" t="str">
        <f t="shared" si="185"/>
        <v>#VALUE!</v>
      </c>
      <c r="H339" s="1296" t="str">
        <f t="shared" si="185"/>
        <v>#VALUE!</v>
      </c>
      <c r="I339" s="1296" t="str">
        <f t="shared" si="185"/>
        <v>#VALUE!</v>
      </c>
      <c r="J339" s="209" t="str">
        <f>SUM(E339:I339)</f>
        <v>#VALUE!</v>
      </c>
      <c r="O339" s="1378"/>
      <c r="P339" s="1568"/>
      <c r="Q339" s="1378"/>
      <c r="R339" s="1378"/>
      <c r="S339" s="1378"/>
      <c r="T339" s="1378"/>
      <c r="U339" s="1378"/>
      <c r="V339" s="1378"/>
    </row>
    <row r="340" ht="15.75" hidden="1" customHeight="1" outlineLevel="2">
      <c r="A340" s="1378"/>
      <c r="O340" s="1378"/>
      <c r="P340" s="1568"/>
      <c r="Q340" s="1378"/>
      <c r="R340" s="1378"/>
      <c r="S340" s="1378"/>
      <c r="T340" s="1378"/>
      <c r="U340" s="1378"/>
      <c r="V340" s="1378"/>
    </row>
    <row r="341" ht="15.75" hidden="1" customHeight="1" outlineLevel="2">
      <c r="A341" s="1378"/>
      <c r="O341" s="1378"/>
      <c r="P341" s="1568"/>
      <c r="Q341" s="1378"/>
      <c r="R341" s="1378"/>
      <c r="S341" s="1378"/>
      <c r="T341" s="1378"/>
      <c r="U341" s="1378"/>
      <c r="V341" s="1378"/>
    </row>
    <row r="342" ht="15.75" hidden="1" customHeight="1" outlineLevel="2">
      <c r="A342" s="1378"/>
      <c r="O342" s="1378"/>
      <c r="P342" s="1568"/>
      <c r="Q342" s="1378"/>
      <c r="R342" s="1378"/>
      <c r="S342" s="1378"/>
      <c r="T342" s="1378"/>
      <c r="U342" s="1378"/>
      <c r="V342" s="1378"/>
    </row>
    <row r="343" ht="15.75" hidden="1" customHeight="1" outlineLevel="1">
      <c r="A343" s="1378"/>
      <c r="O343" s="1378"/>
      <c r="P343" s="1568"/>
      <c r="Q343" s="1378"/>
      <c r="R343" s="1378"/>
      <c r="S343" s="1378"/>
      <c r="T343" s="1378"/>
      <c r="U343" s="1378"/>
      <c r="V343" s="1378"/>
    </row>
    <row r="344" ht="15.75" customHeight="1" collapsed="1">
      <c r="A344" s="1378"/>
      <c r="K344" s="1569"/>
      <c r="L344" s="1569"/>
      <c r="M344" s="1569"/>
      <c r="N344" s="1570"/>
      <c r="O344" s="1571"/>
      <c r="P344" s="1568"/>
      <c r="Q344" s="1378"/>
      <c r="R344" s="1378"/>
      <c r="S344" s="1378"/>
      <c r="T344" s="1378"/>
      <c r="U344" s="1378"/>
      <c r="V344" s="1378"/>
    </row>
    <row r="345" ht="15.75" customHeight="1">
      <c r="A345" s="1378"/>
      <c r="J345" s="1572"/>
      <c r="N345" s="1427"/>
      <c r="O345" s="1427"/>
      <c r="P345" s="1568"/>
      <c r="Q345" s="1378"/>
      <c r="R345" s="1378"/>
      <c r="S345" s="1378"/>
      <c r="T345" s="1378"/>
      <c r="U345" s="1378"/>
      <c r="V345" s="1378"/>
    </row>
    <row r="346" ht="15.75" customHeight="1">
      <c r="A346" s="1378"/>
      <c r="J346" s="1572"/>
      <c r="N346" s="1427"/>
      <c r="O346" s="1427"/>
      <c r="P346" s="1568"/>
      <c r="Q346" s="1378"/>
      <c r="R346" s="1378"/>
      <c r="S346" s="1378"/>
      <c r="T346" s="1378"/>
      <c r="U346" s="1378"/>
      <c r="V346" s="1378"/>
    </row>
    <row r="347" ht="15.75" customHeight="1">
      <c r="A347" s="1378"/>
      <c r="J347" s="1572"/>
      <c r="N347" s="1427"/>
      <c r="O347" s="1427"/>
      <c r="P347" s="1568"/>
      <c r="Q347" s="1378"/>
      <c r="R347" s="1378"/>
      <c r="S347" s="1378"/>
      <c r="T347" s="1378"/>
      <c r="U347" s="1378"/>
      <c r="V347" s="1378"/>
    </row>
    <row r="348" ht="15.75" customHeight="1">
      <c r="A348" s="1378"/>
      <c r="J348" s="1572"/>
      <c r="N348" s="1427"/>
      <c r="O348" s="1427"/>
      <c r="P348" s="1568"/>
      <c r="Q348" s="1378"/>
      <c r="R348" s="1378"/>
      <c r="S348" s="1378"/>
      <c r="T348" s="1378"/>
      <c r="U348" s="1378"/>
      <c r="V348" s="1378"/>
    </row>
    <row r="349" ht="15.75" customHeight="1">
      <c r="A349" s="1378"/>
      <c r="O349" s="1378"/>
      <c r="P349" s="1568"/>
      <c r="Q349" s="1378"/>
      <c r="R349" s="1378"/>
      <c r="S349" s="1378"/>
      <c r="T349" s="1378"/>
      <c r="U349" s="1378"/>
      <c r="V349" s="1378"/>
    </row>
    <row r="350" ht="15.75" customHeight="1">
      <c r="A350" s="1378"/>
      <c r="O350" s="1378"/>
      <c r="P350" s="1568"/>
      <c r="Q350" s="1378"/>
      <c r="R350" s="1378"/>
      <c r="S350" s="1378"/>
      <c r="T350" s="1378"/>
      <c r="U350" s="1378"/>
      <c r="V350" s="1378"/>
    </row>
    <row r="351" ht="15.75" customHeight="1">
      <c r="A351" s="1378"/>
      <c r="O351" s="1378"/>
      <c r="P351" s="1568"/>
      <c r="Q351" s="1378"/>
      <c r="R351" s="1378"/>
      <c r="S351" s="1378"/>
      <c r="T351" s="1378"/>
      <c r="U351" s="1378"/>
      <c r="V351" s="1378"/>
    </row>
    <row r="352" ht="15.75" customHeight="1">
      <c r="A352" s="1378"/>
      <c r="O352" s="1378"/>
      <c r="P352" s="1568"/>
      <c r="Q352" s="1378"/>
      <c r="R352" s="1378"/>
      <c r="S352" s="1378"/>
      <c r="T352" s="1378"/>
      <c r="U352" s="1378"/>
      <c r="V352" s="1378"/>
    </row>
    <row r="353" ht="15.75" customHeight="1">
      <c r="A353" s="1378"/>
      <c r="O353" s="1378"/>
      <c r="P353" s="1568"/>
      <c r="Q353" s="1378"/>
      <c r="R353" s="1378"/>
      <c r="S353" s="1378"/>
      <c r="T353" s="1378"/>
      <c r="U353" s="1378"/>
      <c r="V353" s="1378"/>
    </row>
    <row r="354" ht="15.75" customHeight="1">
      <c r="A354" s="1378"/>
      <c r="O354" s="1378"/>
      <c r="P354" s="1568"/>
      <c r="Q354" s="1378"/>
      <c r="R354" s="1378"/>
      <c r="S354" s="1378"/>
      <c r="T354" s="1378"/>
      <c r="U354" s="1378"/>
      <c r="V354" s="1378"/>
    </row>
    <row r="355" ht="15.75" customHeight="1">
      <c r="A355" s="1378"/>
      <c r="O355" s="1378"/>
      <c r="P355" s="1568"/>
      <c r="Q355" s="1378"/>
      <c r="R355" s="1378"/>
      <c r="S355" s="1378"/>
      <c r="T355" s="1378"/>
      <c r="U355" s="1378"/>
      <c r="V355" s="1378"/>
    </row>
    <row r="356" ht="15.75" customHeight="1">
      <c r="A356" s="1378"/>
      <c r="O356" s="1378"/>
      <c r="P356" s="1568"/>
      <c r="Q356" s="1378"/>
      <c r="R356" s="1378"/>
      <c r="S356" s="1378"/>
      <c r="T356" s="1378"/>
      <c r="U356" s="1378"/>
      <c r="V356" s="1378"/>
    </row>
    <row r="357" ht="15.75" customHeight="1">
      <c r="A357" s="1378"/>
      <c r="O357" s="1378"/>
      <c r="P357" s="1568"/>
      <c r="Q357" s="1378"/>
      <c r="R357" s="1378"/>
      <c r="S357" s="1378"/>
      <c r="T357" s="1378"/>
      <c r="U357" s="1378"/>
      <c r="V357" s="1378"/>
    </row>
    <row r="358" ht="15.75" customHeight="1">
      <c r="A358" s="1378"/>
      <c r="O358" s="1378"/>
      <c r="P358" s="1568"/>
      <c r="Q358" s="1378"/>
      <c r="R358" s="1378"/>
      <c r="S358" s="1378"/>
      <c r="T358" s="1378"/>
      <c r="U358" s="1378"/>
      <c r="V358" s="1378"/>
    </row>
    <row r="359" ht="15.75" customHeight="1">
      <c r="A359" s="1378"/>
      <c r="O359" s="1378"/>
      <c r="P359" s="1568"/>
      <c r="Q359" s="1378"/>
      <c r="R359" s="1378"/>
      <c r="S359" s="1378"/>
      <c r="T359" s="1378"/>
      <c r="U359" s="1378"/>
      <c r="V359" s="1378"/>
    </row>
    <row r="360" ht="15.75" customHeight="1">
      <c r="A360" s="1378"/>
      <c r="O360" s="1378"/>
      <c r="P360" s="1568"/>
      <c r="Q360" s="1378"/>
      <c r="R360" s="1378"/>
      <c r="S360" s="1378"/>
      <c r="T360" s="1378"/>
      <c r="U360" s="1378"/>
      <c r="V360" s="1378"/>
    </row>
    <row r="361" ht="15.75" customHeight="1">
      <c r="A361" s="1378"/>
      <c r="O361" s="1378"/>
      <c r="P361" s="1568"/>
      <c r="Q361" s="1378"/>
      <c r="R361" s="1378"/>
      <c r="S361" s="1378"/>
      <c r="T361" s="1378"/>
      <c r="U361" s="1378"/>
      <c r="V361" s="1378"/>
    </row>
    <row r="362" ht="15.75" customHeight="1">
      <c r="A362" s="1378"/>
      <c r="O362" s="1378"/>
      <c r="P362" s="1568"/>
      <c r="Q362" s="1378"/>
      <c r="R362" s="1378"/>
      <c r="S362" s="1378"/>
      <c r="T362" s="1378"/>
      <c r="U362" s="1378"/>
      <c r="V362" s="1378"/>
    </row>
    <row r="363" ht="15.75" customHeight="1">
      <c r="A363" s="1378"/>
      <c r="O363" s="1378"/>
      <c r="P363" s="1568"/>
      <c r="Q363" s="1378"/>
      <c r="R363" s="1378"/>
      <c r="S363" s="1378"/>
      <c r="T363" s="1378"/>
      <c r="U363" s="1378"/>
      <c r="V363" s="1378"/>
    </row>
    <row r="364" ht="15.75" customHeight="1">
      <c r="A364" s="1378"/>
      <c r="O364" s="1378"/>
      <c r="P364" s="1568"/>
      <c r="Q364" s="1378"/>
      <c r="R364" s="1378"/>
      <c r="S364" s="1378"/>
      <c r="T364" s="1378"/>
      <c r="U364" s="1378"/>
      <c r="V364" s="1378"/>
    </row>
    <row r="365" ht="15.75" customHeight="1">
      <c r="A365" s="1378"/>
      <c r="O365" s="1378"/>
      <c r="P365" s="1568"/>
      <c r="Q365" s="1378"/>
      <c r="R365" s="1378"/>
      <c r="S365" s="1378"/>
      <c r="T365" s="1378"/>
      <c r="U365" s="1378"/>
      <c r="V365" s="1378"/>
    </row>
    <row r="366" ht="15.75" customHeight="1">
      <c r="A366" s="1378"/>
      <c r="O366" s="1378"/>
      <c r="P366" s="1568"/>
      <c r="Q366" s="1378"/>
      <c r="R366" s="1378"/>
      <c r="S366" s="1378"/>
      <c r="T366" s="1378"/>
      <c r="U366" s="1378"/>
      <c r="V366" s="1378"/>
    </row>
    <row r="367" ht="15.75" customHeight="1">
      <c r="A367" s="1378"/>
      <c r="O367" s="1378"/>
      <c r="P367" s="1568"/>
      <c r="Q367" s="1378"/>
      <c r="R367" s="1378"/>
      <c r="S367" s="1378"/>
      <c r="T367" s="1378"/>
      <c r="U367" s="1378"/>
      <c r="V367" s="1378"/>
    </row>
    <row r="368" ht="15.75" customHeight="1">
      <c r="A368" s="1378"/>
      <c r="O368" s="1378"/>
      <c r="P368" s="1568"/>
      <c r="Q368" s="1378"/>
      <c r="R368" s="1378"/>
      <c r="S368" s="1378"/>
      <c r="T368" s="1378"/>
      <c r="U368" s="1378"/>
      <c r="V368" s="1378"/>
    </row>
    <row r="369" ht="15.75" customHeight="1">
      <c r="A369" s="1378"/>
      <c r="O369" s="1378"/>
      <c r="P369" s="1568"/>
      <c r="Q369" s="1378"/>
      <c r="R369" s="1378"/>
      <c r="S369" s="1378"/>
      <c r="T369" s="1378"/>
      <c r="U369" s="1378"/>
      <c r="V369" s="1378"/>
    </row>
    <row r="370" ht="15.75" customHeight="1">
      <c r="A370" s="1378"/>
      <c r="O370" s="1378"/>
      <c r="P370" s="1568"/>
      <c r="Q370" s="1378"/>
      <c r="R370" s="1378"/>
      <c r="S370" s="1378"/>
      <c r="T370" s="1378"/>
      <c r="U370" s="1378"/>
      <c r="V370" s="1378"/>
    </row>
    <row r="371" ht="15.75" customHeight="1">
      <c r="A371" s="1378"/>
      <c r="O371" s="1378"/>
      <c r="P371" s="1568"/>
      <c r="Q371" s="1378"/>
      <c r="R371" s="1378"/>
      <c r="S371" s="1378"/>
      <c r="T371" s="1378"/>
      <c r="U371" s="1378"/>
      <c r="V371" s="1378"/>
    </row>
    <row r="372" ht="15.75" customHeight="1">
      <c r="A372" s="1378"/>
      <c r="O372" s="1378"/>
      <c r="P372" s="1568"/>
      <c r="Q372" s="1378"/>
      <c r="R372" s="1378"/>
      <c r="S372" s="1378"/>
      <c r="T372" s="1378"/>
      <c r="U372" s="1378"/>
      <c r="V372" s="1378"/>
    </row>
    <row r="373" ht="15.75" customHeight="1">
      <c r="A373" s="1378"/>
      <c r="O373" s="1378"/>
      <c r="P373" s="1568"/>
      <c r="Q373" s="1378"/>
      <c r="R373" s="1378"/>
      <c r="S373" s="1378"/>
      <c r="T373" s="1378"/>
      <c r="U373" s="1378"/>
      <c r="V373" s="1378"/>
    </row>
    <row r="374" ht="15.75" customHeight="1">
      <c r="A374" s="1378"/>
      <c r="O374" s="1378"/>
      <c r="P374" s="1568"/>
      <c r="Q374" s="1378"/>
      <c r="R374" s="1378"/>
      <c r="S374" s="1378"/>
      <c r="T374" s="1378"/>
      <c r="U374" s="1378"/>
      <c r="V374" s="1378"/>
    </row>
    <row r="375" ht="15.75" customHeight="1">
      <c r="A375" s="1378"/>
      <c r="O375" s="1378"/>
      <c r="P375" s="1568"/>
      <c r="Q375" s="1378"/>
      <c r="R375" s="1378"/>
      <c r="S375" s="1378"/>
      <c r="T375" s="1378"/>
      <c r="U375" s="1378"/>
      <c r="V375" s="1378"/>
    </row>
    <row r="376" ht="15.75" customHeight="1">
      <c r="A376" s="1378"/>
      <c r="O376" s="1378"/>
      <c r="P376" s="1568"/>
      <c r="Q376" s="1378"/>
      <c r="R376" s="1378"/>
      <c r="S376" s="1378"/>
      <c r="T376" s="1378"/>
      <c r="U376" s="1378"/>
      <c r="V376" s="1378"/>
    </row>
    <row r="377" ht="15.75" customHeight="1">
      <c r="A377" s="1378"/>
      <c r="O377" s="1378"/>
      <c r="P377" s="1568"/>
      <c r="Q377" s="1378"/>
      <c r="R377" s="1378"/>
      <c r="S377" s="1378"/>
      <c r="T377" s="1378"/>
      <c r="U377" s="1378"/>
      <c r="V377" s="1378"/>
    </row>
    <row r="378" ht="15.75" customHeight="1">
      <c r="A378" s="1378"/>
      <c r="O378" s="1378"/>
      <c r="P378" s="1568"/>
      <c r="Q378" s="1378"/>
      <c r="R378" s="1378"/>
      <c r="S378" s="1378"/>
      <c r="T378" s="1378"/>
      <c r="U378" s="1378"/>
      <c r="V378" s="1378"/>
    </row>
    <row r="379" ht="15.75" customHeight="1">
      <c r="A379" s="1378"/>
      <c r="O379" s="1378"/>
      <c r="P379" s="1568"/>
      <c r="Q379" s="1378"/>
      <c r="R379" s="1378"/>
      <c r="S379" s="1378"/>
      <c r="T379" s="1378"/>
      <c r="U379" s="1378"/>
      <c r="V379" s="1378"/>
    </row>
    <row r="380" ht="15.75" customHeight="1">
      <c r="A380" s="1378"/>
      <c r="O380" s="1378"/>
      <c r="P380" s="1568"/>
      <c r="Q380" s="1378"/>
      <c r="R380" s="1378"/>
      <c r="S380" s="1378"/>
      <c r="T380" s="1378"/>
      <c r="U380" s="1378"/>
      <c r="V380" s="1378"/>
    </row>
    <row r="381" ht="15.75" customHeight="1">
      <c r="A381" s="1378"/>
      <c r="O381" s="1378"/>
      <c r="P381" s="1568"/>
      <c r="Q381" s="1378"/>
      <c r="R381" s="1378"/>
      <c r="S381" s="1378"/>
      <c r="T381" s="1378"/>
      <c r="U381" s="1378"/>
      <c r="V381" s="1378"/>
    </row>
    <row r="382" ht="15.75" customHeight="1">
      <c r="A382" s="1378"/>
      <c r="O382" s="1378"/>
      <c r="P382" s="1568"/>
      <c r="Q382" s="1378"/>
      <c r="R382" s="1378"/>
      <c r="S382" s="1378"/>
      <c r="T382" s="1378"/>
      <c r="U382" s="1378"/>
      <c r="V382" s="1378"/>
    </row>
    <row r="383" ht="15.75" customHeight="1">
      <c r="A383" s="1378"/>
      <c r="O383" s="1378"/>
      <c r="P383" s="1568"/>
      <c r="Q383" s="1378"/>
      <c r="R383" s="1378"/>
      <c r="S383" s="1378"/>
      <c r="T383" s="1378"/>
      <c r="U383" s="1378"/>
      <c r="V383" s="1378"/>
    </row>
    <row r="384" ht="15.75" customHeight="1">
      <c r="A384" s="1378"/>
      <c r="O384" s="1378"/>
      <c r="P384" s="1568"/>
      <c r="Q384" s="1378"/>
      <c r="R384" s="1378"/>
      <c r="S384" s="1378"/>
      <c r="T384" s="1378"/>
      <c r="U384" s="1378"/>
      <c r="V384" s="1378"/>
    </row>
    <row r="385" ht="15.75" customHeight="1">
      <c r="A385" s="1378"/>
      <c r="O385" s="1378"/>
      <c r="P385" s="1568"/>
      <c r="Q385" s="1378"/>
      <c r="R385" s="1378"/>
      <c r="S385" s="1378"/>
      <c r="T385" s="1378"/>
      <c r="U385" s="1378"/>
      <c r="V385" s="1378"/>
    </row>
    <row r="386" ht="15.75" customHeight="1">
      <c r="A386" s="1378"/>
      <c r="O386" s="1378"/>
      <c r="P386" s="1568"/>
      <c r="Q386" s="1378"/>
      <c r="R386" s="1378"/>
      <c r="S386" s="1378"/>
      <c r="T386" s="1378"/>
      <c r="U386" s="1378"/>
      <c r="V386" s="1378"/>
    </row>
    <row r="387" ht="15.75" customHeight="1">
      <c r="A387" s="1378"/>
      <c r="O387" s="1378"/>
      <c r="P387" s="1568"/>
      <c r="Q387" s="1378"/>
      <c r="R387" s="1378"/>
      <c r="S387" s="1378"/>
      <c r="T387" s="1378"/>
      <c r="U387" s="1378"/>
      <c r="V387" s="1378"/>
    </row>
    <row r="388" ht="15.75" customHeight="1">
      <c r="A388" s="1378"/>
      <c r="O388" s="1378"/>
      <c r="P388" s="1568"/>
      <c r="Q388" s="1378"/>
      <c r="R388" s="1378"/>
      <c r="S388" s="1378"/>
      <c r="T388" s="1378"/>
      <c r="U388" s="1378"/>
      <c r="V388" s="1378"/>
    </row>
    <row r="389" ht="15.75" customHeight="1">
      <c r="A389" s="1378"/>
      <c r="O389" s="1378"/>
      <c r="P389" s="1568"/>
      <c r="Q389" s="1378"/>
      <c r="R389" s="1378"/>
      <c r="S389" s="1378"/>
      <c r="T389" s="1378"/>
      <c r="U389" s="1378"/>
      <c r="V389" s="1378"/>
    </row>
    <row r="390" ht="15.75" customHeight="1">
      <c r="A390" s="1378"/>
      <c r="O390" s="1378"/>
      <c r="P390" s="1568"/>
      <c r="Q390" s="1378"/>
      <c r="R390" s="1378"/>
      <c r="S390" s="1378"/>
      <c r="T390" s="1378"/>
      <c r="U390" s="1378"/>
      <c r="V390" s="1378"/>
    </row>
    <row r="391" ht="15.75" customHeight="1">
      <c r="A391" s="1378"/>
      <c r="O391" s="1378"/>
      <c r="P391" s="1568"/>
      <c r="Q391" s="1378"/>
      <c r="R391" s="1378"/>
      <c r="S391" s="1378"/>
      <c r="T391" s="1378"/>
      <c r="U391" s="1378"/>
      <c r="V391" s="1378"/>
    </row>
    <row r="392" ht="15.75" customHeight="1">
      <c r="A392" s="1378"/>
      <c r="O392" s="1378"/>
      <c r="P392" s="1568"/>
      <c r="Q392" s="1378"/>
      <c r="R392" s="1378"/>
      <c r="S392" s="1378"/>
      <c r="T392" s="1378"/>
      <c r="U392" s="1378"/>
      <c r="V392" s="1378"/>
    </row>
    <row r="393" ht="15.75" customHeight="1">
      <c r="A393" s="1378"/>
      <c r="O393" s="1378"/>
      <c r="P393" s="1568"/>
      <c r="Q393" s="1378"/>
      <c r="R393" s="1378"/>
      <c r="S393" s="1378"/>
      <c r="T393" s="1378"/>
      <c r="U393" s="1378"/>
      <c r="V393" s="1378"/>
    </row>
    <row r="394" ht="15.75" customHeight="1">
      <c r="A394" s="1378"/>
      <c r="O394" s="1378"/>
      <c r="P394" s="1568"/>
      <c r="Q394" s="1378"/>
      <c r="R394" s="1378"/>
      <c r="S394" s="1378"/>
      <c r="T394" s="1378"/>
      <c r="U394" s="1378"/>
      <c r="V394" s="1378"/>
    </row>
    <row r="395" ht="15.75" customHeight="1">
      <c r="A395" s="1378"/>
      <c r="O395" s="1378"/>
      <c r="P395" s="1568"/>
      <c r="Q395" s="1378"/>
      <c r="R395" s="1378"/>
      <c r="S395" s="1378"/>
      <c r="T395" s="1378"/>
      <c r="U395" s="1378"/>
      <c r="V395" s="1378"/>
    </row>
    <row r="396" ht="15.75" customHeight="1">
      <c r="A396" s="1378"/>
      <c r="O396" s="1378"/>
      <c r="P396" s="1568"/>
      <c r="Q396" s="1378"/>
      <c r="R396" s="1378"/>
      <c r="S396" s="1378"/>
      <c r="T396" s="1378"/>
      <c r="U396" s="1378"/>
      <c r="V396" s="1378"/>
    </row>
    <row r="397" ht="15.75" customHeight="1">
      <c r="A397" s="1378"/>
      <c r="O397" s="1378"/>
      <c r="P397" s="1568"/>
      <c r="Q397" s="1378"/>
      <c r="R397" s="1378"/>
      <c r="S397" s="1378"/>
      <c r="T397" s="1378"/>
      <c r="U397" s="1378"/>
      <c r="V397" s="1378"/>
    </row>
    <row r="398" ht="15.75" customHeight="1">
      <c r="A398" s="1378"/>
      <c r="O398" s="1378"/>
      <c r="P398" s="1568"/>
      <c r="Q398" s="1378"/>
      <c r="R398" s="1378"/>
      <c r="S398" s="1378"/>
      <c r="T398" s="1378"/>
      <c r="U398" s="1378"/>
      <c r="V398" s="1378"/>
    </row>
    <row r="399" ht="15.75" customHeight="1">
      <c r="A399" s="1378"/>
      <c r="O399" s="1378"/>
      <c r="P399" s="1568"/>
      <c r="Q399" s="1378"/>
      <c r="R399" s="1378"/>
      <c r="S399" s="1378"/>
      <c r="T399" s="1378"/>
      <c r="U399" s="1378"/>
      <c r="V399" s="1378"/>
    </row>
    <row r="400" ht="15.75" customHeight="1">
      <c r="A400" s="1378"/>
      <c r="B400" s="1573" t="s">
        <v>1307</v>
      </c>
      <c r="C400" s="1574"/>
      <c r="D400" s="1574"/>
      <c r="E400" s="1574"/>
      <c r="F400" s="1574"/>
      <c r="G400" s="1574"/>
      <c r="H400" s="1574"/>
      <c r="I400" s="1574"/>
      <c r="J400" s="1574"/>
      <c r="O400" s="1378"/>
      <c r="P400" s="1568"/>
      <c r="Q400" s="1378"/>
      <c r="R400" s="1378"/>
      <c r="S400" s="1378"/>
      <c r="T400" s="1378"/>
      <c r="U400" s="1378"/>
      <c r="V400" s="1378"/>
    </row>
    <row r="401" ht="15.75" customHeight="1">
      <c r="A401" s="1378"/>
      <c r="B401" s="1379" t="s">
        <v>1308</v>
      </c>
      <c r="C401" s="1379"/>
      <c r="D401" s="1378"/>
      <c r="E401" s="1378"/>
      <c r="F401" s="1378"/>
      <c r="G401" s="1378"/>
      <c r="H401" s="1378"/>
      <c r="I401" s="1378"/>
      <c r="O401" s="1378"/>
      <c r="P401" s="1568"/>
      <c r="Q401" s="1378"/>
      <c r="R401" s="1378"/>
      <c r="S401" s="1378"/>
      <c r="T401" s="1378"/>
      <c r="U401" s="1378"/>
      <c r="V401" s="1378"/>
    </row>
    <row r="402" ht="15.75" customHeight="1">
      <c r="A402" s="1378"/>
      <c r="B402" s="1575">
        <v>6980.0</v>
      </c>
      <c r="C402" s="1575"/>
      <c r="D402" s="1379" t="s">
        <v>1309</v>
      </c>
      <c r="E402" s="1379"/>
      <c r="F402" s="1378"/>
      <c r="G402" s="1378"/>
      <c r="H402" s="1378"/>
      <c r="I402" s="1378"/>
      <c r="O402" s="1378"/>
      <c r="P402" s="1568"/>
      <c r="Q402" s="1378"/>
      <c r="R402" s="1378"/>
      <c r="S402" s="1378"/>
      <c r="T402" s="1378"/>
      <c r="U402" s="1378"/>
      <c r="V402" s="1378"/>
    </row>
    <row r="403" ht="15.75" customHeight="1">
      <c r="A403" s="1378"/>
      <c r="B403" s="1378"/>
      <c r="C403" s="1378"/>
      <c r="D403" s="1378"/>
      <c r="E403" s="1378"/>
      <c r="F403" s="1379" t="s">
        <v>1180</v>
      </c>
      <c r="G403" s="1378"/>
      <c r="H403" s="1378"/>
      <c r="I403" s="1379" t="s">
        <v>1180</v>
      </c>
      <c r="O403" s="1378"/>
      <c r="P403" s="1568"/>
      <c r="Q403" s="1378"/>
      <c r="R403" s="1378"/>
      <c r="S403" s="1378"/>
      <c r="T403" s="1378"/>
      <c r="U403" s="1378"/>
      <c r="V403" s="1378"/>
    </row>
    <row r="404" ht="15.75" customHeight="1">
      <c r="A404" s="1378"/>
      <c r="B404" s="1576" t="s">
        <v>1310</v>
      </c>
      <c r="C404" s="1576"/>
      <c r="D404" s="1577"/>
      <c r="F404" s="1576" t="s">
        <v>1311</v>
      </c>
      <c r="G404" s="1578"/>
      <c r="H404" s="1378"/>
      <c r="I404" s="1381" t="s">
        <v>1312</v>
      </c>
      <c r="J404" s="1382"/>
      <c r="O404" s="1378"/>
      <c r="P404" s="1568"/>
      <c r="Q404" s="1378"/>
      <c r="R404" s="1378"/>
      <c r="S404" s="1378"/>
      <c r="T404" s="1378"/>
      <c r="U404" s="1378"/>
      <c r="V404" s="1378"/>
    </row>
    <row r="405" ht="15.75" customHeight="1">
      <c r="A405" s="1378"/>
      <c r="B405" s="1510" t="s">
        <v>1313</v>
      </c>
      <c r="C405" s="1510"/>
      <c r="D405" s="1384" t="s">
        <v>1276</v>
      </c>
      <c r="E405" s="1384"/>
      <c r="F405" s="1383" t="s">
        <v>1182</v>
      </c>
      <c r="G405" s="1384" t="s">
        <v>1276</v>
      </c>
      <c r="H405" s="1579"/>
      <c r="I405" s="1383" t="s">
        <v>1182</v>
      </c>
      <c r="J405" s="1384" t="s">
        <v>1276</v>
      </c>
      <c r="O405" s="1378"/>
      <c r="P405" s="1568"/>
      <c r="Q405" s="1378"/>
      <c r="R405" s="1378"/>
      <c r="S405" s="1378"/>
      <c r="T405" s="1378"/>
      <c r="U405" s="1378"/>
      <c r="V405" s="1378"/>
    </row>
    <row r="406" ht="15.75" customHeight="1">
      <c r="A406" s="1378"/>
      <c r="B406" s="1578" t="s">
        <v>1212</v>
      </c>
      <c r="C406" s="1578"/>
      <c r="D406" s="1580">
        <v>7763.23</v>
      </c>
      <c r="E406" s="1575"/>
      <c r="F406" s="1578" t="s">
        <v>1212</v>
      </c>
      <c r="G406" s="1580">
        <v>6980.0</v>
      </c>
      <c r="H406" s="1378"/>
      <c r="I406" s="1397" t="s">
        <v>1212</v>
      </c>
      <c r="J406" s="1386">
        <v>7494.32</v>
      </c>
      <c r="O406" s="1378"/>
      <c r="P406" s="1568"/>
      <c r="Q406" s="1378"/>
      <c r="R406" s="1378"/>
      <c r="S406" s="1378"/>
      <c r="T406" s="1378"/>
      <c r="U406" s="1378"/>
      <c r="V406" s="1378"/>
    </row>
    <row r="407" ht="15.75" customHeight="1">
      <c r="A407" s="1378"/>
      <c r="B407" s="1578" t="s">
        <v>1213</v>
      </c>
      <c r="C407" s="1578"/>
      <c r="D407" s="1581">
        <v>8093.24</v>
      </c>
      <c r="E407" s="1582"/>
      <c r="F407" s="1578" t="s">
        <v>1213</v>
      </c>
      <c r="G407" s="1581">
        <v>7169.0</v>
      </c>
      <c r="H407" s="1378"/>
      <c r="I407" s="1397" t="s">
        <v>1213</v>
      </c>
      <c r="J407" s="1583">
        <v>8093.33</v>
      </c>
      <c r="O407" s="1378"/>
      <c r="P407" s="1568"/>
      <c r="Q407" s="1378"/>
      <c r="R407" s="1378"/>
      <c r="S407" s="1378"/>
      <c r="T407" s="1378"/>
      <c r="U407" s="1378"/>
      <c r="V407" s="1378"/>
    </row>
    <row r="408" ht="15.75" customHeight="1">
      <c r="A408" s="1378"/>
      <c r="B408" s="1578" t="s">
        <v>1214</v>
      </c>
      <c r="C408" s="1578"/>
      <c r="D408" s="1581">
        <v>7264.25</v>
      </c>
      <c r="E408" s="1582"/>
      <c r="F408" s="1578" t="s">
        <v>1214</v>
      </c>
      <c r="G408" s="1581">
        <v>7197.0</v>
      </c>
      <c r="H408" s="1378"/>
      <c r="I408" s="1397" t="s">
        <v>1214</v>
      </c>
      <c r="J408" s="1583">
        <v>7197.34</v>
      </c>
      <c r="O408" s="1378"/>
      <c r="P408" s="1568"/>
      <c r="Q408" s="1378"/>
      <c r="R408" s="1378"/>
      <c r="S408" s="1378"/>
      <c r="T408" s="1378"/>
      <c r="U408" s="1378"/>
      <c r="V408" s="1378"/>
    </row>
    <row r="409" ht="15.75" customHeight="1">
      <c r="A409" s="1378"/>
      <c r="B409" s="1578" t="s">
        <v>1314</v>
      </c>
      <c r="C409" s="1578"/>
      <c r="D409" s="1581">
        <v>9177.26</v>
      </c>
      <c r="E409" s="1582"/>
      <c r="F409" s="1578" t="s">
        <v>1314</v>
      </c>
      <c r="G409" s="1581">
        <v>6980.0</v>
      </c>
      <c r="H409" s="1378"/>
      <c r="I409" s="1397" t="s">
        <v>1215</v>
      </c>
      <c r="J409" s="1583">
        <v>7715.35</v>
      </c>
      <c r="O409" s="1378"/>
      <c r="P409" s="1568"/>
      <c r="Q409" s="1378"/>
      <c r="R409" s="1378"/>
      <c r="S409" s="1378"/>
      <c r="T409" s="1378"/>
      <c r="U409" s="1378"/>
      <c r="V409" s="1378"/>
    </row>
    <row r="410" ht="15.75" customHeight="1">
      <c r="A410" s="1378"/>
      <c r="B410" s="1578" t="s">
        <v>1215</v>
      </c>
      <c r="C410" s="1578"/>
      <c r="D410" s="1581">
        <v>9279.27</v>
      </c>
      <c r="E410" s="1582"/>
      <c r="F410" s="1578" t="s">
        <v>1215</v>
      </c>
      <c r="G410" s="1581">
        <v>7169.0</v>
      </c>
      <c r="H410" s="1378"/>
      <c r="I410" s="1397" t="s">
        <v>1216</v>
      </c>
      <c r="J410" s="1583">
        <v>6980.36</v>
      </c>
      <c r="O410" s="1378"/>
      <c r="P410" s="1568"/>
      <c r="Q410" s="1378"/>
      <c r="R410" s="1378"/>
      <c r="S410" s="1378"/>
      <c r="T410" s="1378"/>
      <c r="U410" s="1378"/>
      <c r="V410" s="1378"/>
    </row>
    <row r="411" ht="15.75" customHeight="1">
      <c r="A411" s="1378"/>
      <c r="B411" s="1578" t="s">
        <v>1315</v>
      </c>
      <c r="C411" s="1578"/>
      <c r="D411" s="1581">
        <v>22360.28</v>
      </c>
      <c r="E411" s="1582"/>
      <c r="F411" s="1578" t="s">
        <v>1315</v>
      </c>
      <c r="G411" s="1581">
        <v>7169.0</v>
      </c>
      <c r="H411" s="1378"/>
      <c r="I411" s="1397" t="s">
        <v>1217</v>
      </c>
      <c r="J411" s="1583">
        <v>10367.0</v>
      </c>
      <c r="O411" s="1378"/>
      <c r="P411" s="1568"/>
      <c r="Q411" s="1378"/>
      <c r="R411" s="1378"/>
      <c r="S411" s="1378"/>
      <c r="T411" s="1378"/>
      <c r="U411" s="1378"/>
      <c r="V411" s="1378"/>
    </row>
    <row r="412" ht="15.75" customHeight="1">
      <c r="A412" s="1378"/>
      <c r="B412" s="1578" t="s">
        <v>1316</v>
      </c>
      <c r="C412" s="1578"/>
      <c r="D412" s="1581">
        <v>33746.29</v>
      </c>
      <c r="E412" s="1582"/>
      <c r="F412" s="1578" t="s">
        <v>1316</v>
      </c>
      <c r="G412" s="1584">
        <v>7169.0</v>
      </c>
      <c r="H412" s="1582"/>
      <c r="I412" s="1397" t="s">
        <v>1317</v>
      </c>
      <c r="J412" s="1585">
        <v>6980.0</v>
      </c>
      <c r="O412" s="1378"/>
      <c r="P412" s="1568"/>
      <c r="Q412" s="1378"/>
      <c r="R412" s="1378"/>
      <c r="S412" s="1378"/>
      <c r="T412" s="1378"/>
      <c r="U412" s="1378"/>
      <c r="V412" s="1378"/>
    </row>
    <row r="413" ht="15.75" customHeight="1">
      <c r="A413" s="1378"/>
      <c r="B413" s="1578" t="s">
        <v>1318</v>
      </c>
      <c r="C413" s="1578"/>
      <c r="D413" s="1581">
        <v>9713.3</v>
      </c>
      <c r="E413" s="1582"/>
      <c r="F413" s="1578" t="s">
        <v>1318</v>
      </c>
      <c r="G413" s="1584">
        <v>7169.0</v>
      </c>
      <c r="H413" s="1582"/>
      <c r="O413" s="1378"/>
      <c r="P413" s="1568"/>
      <c r="Q413" s="1378"/>
      <c r="R413" s="1378"/>
      <c r="S413" s="1378"/>
      <c r="T413" s="1378"/>
      <c r="U413" s="1378"/>
      <c r="V413" s="1378"/>
    </row>
    <row r="414" ht="15.75" customHeight="1">
      <c r="A414" s="1378"/>
      <c r="B414" s="1578" t="s">
        <v>1319</v>
      </c>
      <c r="C414" s="1578"/>
      <c r="D414" s="1581">
        <v>10547.31</v>
      </c>
      <c r="E414" s="1582"/>
      <c r="F414" s="1578" t="s">
        <v>1319</v>
      </c>
      <c r="G414" s="1584">
        <v>7169.0</v>
      </c>
      <c r="H414" s="1582"/>
      <c r="I414" s="1395" t="s">
        <v>1320</v>
      </c>
      <c r="J414" s="1396"/>
      <c r="O414" s="1378"/>
      <c r="P414" s="1568"/>
      <c r="Q414" s="1378"/>
      <c r="R414" s="1378"/>
      <c r="S414" s="1378"/>
      <c r="T414" s="1378"/>
      <c r="U414" s="1378"/>
      <c r="V414" s="1378"/>
    </row>
    <row r="415" ht="15.75" customHeight="1">
      <c r="A415" s="1378"/>
      <c r="B415" s="1578" t="s">
        <v>1321</v>
      </c>
      <c r="C415" s="1578"/>
      <c r="D415" s="1581">
        <v>13725.32</v>
      </c>
      <c r="E415" s="1582"/>
      <c r="F415" s="1578" t="s">
        <v>1321</v>
      </c>
      <c r="G415" s="1584">
        <v>7169.0</v>
      </c>
      <c r="H415" s="1582"/>
      <c r="I415" s="1397" t="s">
        <v>1264</v>
      </c>
      <c r="J415" s="1586" t="s">
        <v>1322</v>
      </c>
      <c r="O415" s="1378"/>
      <c r="P415" s="1568"/>
      <c r="Q415" s="1378"/>
      <c r="R415" s="1378"/>
      <c r="S415" s="1378"/>
      <c r="T415" s="1378"/>
      <c r="U415" s="1378"/>
      <c r="V415" s="1378"/>
    </row>
    <row r="416" ht="15.75" customHeight="1">
      <c r="A416" s="1378"/>
      <c r="B416" s="1578" t="s">
        <v>1323</v>
      </c>
      <c r="C416" s="1578"/>
      <c r="D416" s="1581">
        <v>8532.33</v>
      </c>
      <c r="E416" s="1582"/>
      <c r="F416" s="1578" t="s">
        <v>1323</v>
      </c>
      <c r="G416" s="1584">
        <v>6980.0</v>
      </c>
      <c r="H416" s="1582"/>
      <c r="I416" s="1397" t="s">
        <v>1201</v>
      </c>
      <c r="J416" s="1397">
        <v>0.24</v>
      </c>
      <c r="O416" s="1378"/>
      <c r="P416" s="1568"/>
      <c r="Q416" s="1378"/>
      <c r="R416" s="1378"/>
      <c r="S416" s="1378"/>
      <c r="T416" s="1378"/>
      <c r="U416" s="1378"/>
      <c r="V416" s="1378"/>
    </row>
    <row r="417" ht="15.75" customHeight="1">
      <c r="A417" s="1378"/>
      <c r="B417" s="1578" t="s">
        <v>1324</v>
      </c>
      <c r="C417" s="1578"/>
      <c r="D417" s="1581">
        <v>12286.34</v>
      </c>
      <c r="E417" s="1582"/>
      <c r="F417" s="1578" t="s">
        <v>1324</v>
      </c>
      <c r="G417" s="1584">
        <v>7169.0</v>
      </c>
      <c r="H417" s="1582"/>
      <c r="I417" s="1397" t="s">
        <v>1325</v>
      </c>
      <c r="J417" s="1397">
        <v>0.03</v>
      </c>
      <c r="K417" s="18" t="s">
        <v>1326</v>
      </c>
      <c r="O417" s="1378"/>
      <c r="P417" s="1568"/>
      <c r="Q417" s="1378"/>
      <c r="R417" s="1378"/>
      <c r="S417" s="1378"/>
      <c r="T417" s="1378"/>
      <c r="U417" s="1378"/>
      <c r="V417" s="1378"/>
    </row>
    <row r="418" ht="15.75" customHeight="1">
      <c r="A418" s="1378"/>
      <c r="B418" s="1578" t="s">
        <v>1327</v>
      </c>
      <c r="C418" s="1578"/>
      <c r="D418" s="1581">
        <v>8764.35</v>
      </c>
      <c r="E418" s="1582"/>
      <c r="F418" s="1578" t="s">
        <v>1327</v>
      </c>
      <c r="G418" s="1584">
        <v>7169.0</v>
      </c>
      <c r="H418" s="1582"/>
      <c r="I418" s="1397" t="s">
        <v>1204</v>
      </c>
      <c r="J418" s="1397">
        <v>0.12</v>
      </c>
      <c r="O418" s="1378"/>
      <c r="P418" s="1568"/>
      <c r="Q418" s="1378"/>
      <c r="R418" s="1378"/>
      <c r="S418" s="1378"/>
      <c r="T418" s="1378"/>
      <c r="U418" s="1378"/>
      <c r="V418" s="1378"/>
    </row>
    <row r="419" ht="15.75" customHeight="1">
      <c r="A419" s="1378"/>
      <c r="B419" s="1578" t="s">
        <v>1328</v>
      </c>
      <c r="C419" s="1578"/>
      <c r="D419" s="1581">
        <v>11794.36</v>
      </c>
      <c r="E419" s="1582"/>
      <c r="F419" s="1578" t="s">
        <v>1328</v>
      </c>
      <c r="G419" s="1584">
        <v>7169.0</v>
      </c>
      <c r="H419" s="1582"/>
      <c r="O419" s="1378"/>
      <c r="P419" s="1568"/>
      <c r="Q419" s="1378"/>
      <c r="R419" s="1378"/>
      <c r="S419" s="1378"/>
      <c r="T419" s="1378"/>
      <c r="U419" s="1378"/>
      <c r="V419" s="1378"/>
    </row>
    <row r="420" ht="15.75" customHeight="1">
      <c r="A420" s="1378"/>
      <c r="B420" s="1578" t="s">
        <v>1329</v>
      </c>
      <c r="C420" s="1578"/>
      <c r="D420" s="1581">
        <v>23274.37</v>
      </c>
      <c r="E420" s="1582"/>
      <c r="F420" s="1578" t="s">
        <v>1329</v>
      </c>
      <c r="G420" s="1584">
        <v>6980.0</v>
      </c>
      <c r="H420" s="1582"/>
      <c r="O420" s="1378"/>
      <c r="P420" s="1568"/>
      <c r="Q420" s="1378"/>
      <c r="R420" s="1378"/>
      <c r="S420" s="1378"/>
      <c r="T420" s="1378"/>
      <c r="U420" s="1378"/>
      <c r="V420" s="1378"/>
    </row>
    <row r="421" ht="15.75" customHeight="1">
      <c r="A421" s="1378"/>
      <c r="B421" s="1578" t="s">
        <v>1216</v>
      </c>
      <c r="C421" s="1578"/>
      <c r="D421" s="1581">
        <v>7222.38</v>
      </c>
      <c r="E421" s="1582"/>
      <c r="F421" s="1578" t="s">
        <v>1216</v>
      </c>
      <c r="G421" s="1584">
        <v>6980.0</v>
      </c>
      <c r="H421" s="1582"/>
      <c r="I421" s="1378"/>
      <c r="O421" s="1378"/>
      <c r="P421" s="1568"/>
      <c r="Q421" s="1378"/>
      <c r="R421" s="1378"/>
      <c r="S421" s="1378"/>
      <c r="T421" s="1378"/>
      <c r="U421" s="1378"/>
      <c r="V421" s="1378"/>
    </row>
    <row r="422" ht="15.75" customHeight="1">
      <c r="A422" s="1378"/>
      <c r="B422" s="1578" t="s">
        <v>1217</v>
      </c>
      <c r="C422" s="1578"/>
      <c r="D422" s="1580">
        <v>11298.0</v>
      </c>
      <c r="E422" s="1575"/>
      <c r="F422" s="1578" t="s">
        <v>1217</v>
      </c>
      <c r="G422" s="1584">
        <v>7169.0</v>
      </c>
      <c r="H422" s="1582"/>
      <c r="I422" s="1378"/>
      <c r="O422" s="1378"/>
      <c r="P422" s="1568"/>
      <c r="Q422" s="1378"/>
      <c r="R422" s="1378"/>
      <c r="S422" s="1378"/>
      <c r="T422" s="1378"/>
      <c r="U422" s="1378"/>
      <c r="V422" s="1378"/>
    </row>
    <row r="423" ht="15.75" customHeight="1">
      <c r="A423" s="1378"/>
      <c r="B423" s="1378"/>
      <c r="C423" s="1378"/>
      <c r="D423" s="1378"/>
      <c r="E423" s="1378"/>
      <c r="H423" s="1378"/>
      <c r="I423" s="1378"/>
      <c r="O423" s="1378"/>
      <c r="P423" s="1568"/>
      <c r="Q423" s="1378"/>
      <c r="R423" s="1378"/>
      <c r="S423" s="1378"/>
      <c r="T423" s="1378"/>
      <c r="U423" s="1378"/>
      <c r="V423" s="1378"/>
    </row>
    <row r="424" ht="15.75" customHeight="1">
      <c r="A424" s="1378"/>
      <c r="B424" s="1378"/>
      <c r="C424" s="1378"/>
      <c r="D424" s="1378"/>
      <c r="E424" s="1378"/>
      <c r="F424" s="1378"/>
      <c r="G424" s="1378"/>
      <c r="H424" s="1378"/>
      <c r="I424" s="1378"/>
      <c r="O424" s="1378"/>
      <c r="P424" s="1568"/>
      <c r="Q424" s="1378"/>
      <c r="R424" s="1378"/>
      <c r="S424" s="1378"/>
      <c r="T424" s="1378"/>
      <c r="U424" s="1378"/>
      <c r="V424" s="1378"/>
    </row>
    <row r="425" ht="15.75" customHeight="1">
      <c r="A425" s="1378"/>
      <c r="B425" s="1587" t="s">
        <v>1330</v>
      </c>
      <c r="C425" s="1588"/>
      <c r="D425" s="1589"/>
      <c r="E425" s="1589"/>
      <c r="F425" s="1589"/>
      <c r="G425" s="1589"/>
      <c r="H425" s="1589"/>
      <c r="I425" s="1589"/>
      <c r="J425" s="1528"/>
      <c r="O425" s="1378"/>
      <c r="P425" s="1568"/>
      <c r="Q425" s="1378"/>
      <c r="R425" s="1378"/>
      <c r="S425" s="1378"/>
      <c r="T425" s="1378"/>
      <c r="U425" s="1378"/>
      <c r="V425" s="1378"/>
    </row>
    <row r="426" ht="15.75" customHeight="1">
      <c r="A426" s="1378"/>
      <c r="B426" s="1379" t="s">
        <v>1308</v>
      </c>
      <c r="C426" s="1379"/>
      <c r="D426" s="1378"/>
      <c r="E426" s="1378"/>
      <c r="F426" s="1378"/>
      <c r="G426" s="1378"/>
      <c r="H426" s="1378"/>
      <c r="I426" s="1378"/>
      <c r="O426" s="1378"/>
      <c r="P426" s="1568"/>
      <c r="Q426" s="1378"/>
      <c r="R426" s="1378"/>
      <c r="S426" s="1378"/>
      <c r="T426" s="1378"/>
      <c r="U426" s="1378"/>
      <c r="V426" s="1378"/>
    </row>
    <row r="427" ht="15.75" customHeight="1">
      <c r="A427" s="1378"/>
      <c r="B427" s="1575">
        <v>7074.0</v>
      </c>
      <c r="C427" s="1575"/>
      <c r="D427" s="1379" t="s">
        <v>1331</v>
      </c>
      <c r="E427" s="1379"/>
      <c r="F427" s="1378"/>
      <c r="G427" s="1378"/>
      <c r="H427" s="1378"/>
      <c r="I427" s="1378"/>
      <c r="O427" s="1590"/>
      <c r="P427" s="1568"/>
      <c r="Q427" s="1378"/>
      <c r="R427" s="1378"/>
      <c r="S427" s="1378"/>
      <c r="T427" s="1378"/>
      <c r="U427" s="1378"/>
      <c r="V427" s="1378"/>
    </row>
    <row r="428" ht="15.75" customHeight="1">
      <c r="A428" s="1378"/>
      <c r="B428" s="1378"/>
      <c r="C428" s="1378"/>
      <c r="D428" s="1378"/>
      <c r="E428" s="1378"/>
      <c r="F428" s="1379" t="s">
        <v>1180</v>
      </c>
      <c r="G428" s="1378"/>
      <c r="H428" s="1378"/>
      <c r="I428" s="1379" t="s">
        <v>1180</v>
      </c>
      <c r="O428" s="1590"/>
      <c r="P428" s="1568"/>
      <c r="Q428" s="1378"/>
      <c r="R428" s="1378"/>
      <c r="S428" s="1378"/>
      <c r="T428" s="1378"/>
      <c r="U428" s="1378"/>
      <c r="V428" s="1378"/>
    </row>
    <row r="429" ht="15.75" customHeight="1">
      <c r="A429" s="1378"/>
      <c r="B429" s="1379" t="s">
        <v>1332</v>
      </c>
      <c r="C429" s="1379"/>
      <c r="F429" s="1379" t="s">
        <v>1333</v>
      </c>
      <c r="G429" s="1378"/>
      <c r="H429" s="1378"/>
      <c r="I429" s="1379" t="s">
        <v>1334</v>
      </c>
      <c r="O429" s="1590"/>
      <c r="P429" s="1568"/>
      <c r="Q429" s="1378"/>
      <c r="R429" s="1378"/>
      <c r="S429" s="1378"/>
      <c r="T429" s="1378"/>
      <c r="U429" s="1378"/>
      <c r="V429" s="1378"/>
    </row>
    <row r="430" ht="15.75" customHeight="1">
      <c r="A430" s="1378"/>
      <c r="B430" s="1510" t="s">
        <v>1313</v>
      </c>
      <c r="C430" s="1510"/>
      <c r="D430" s="1384" t="s">
        <v>1276</v>
      </c>
      <c r="E430" s="1384"/>
      <c r="F430" s="1383" t="s">
        <v>1182</v>
      </c>
      <c r="G430" s="1384" t="s">
        <v>1276</v>
      </c>
      <c r="H430" s="1579"/>
      <c r="I430" s="1383" t="s">
        <v>1182</v>
      </c>
      <c r="J430" s="1384" t="s">
        <v>1276</v>
      </c>
      <c r="O430" s="1590"/>
      <c r="P430" s="1568"/>
      <c r="Q430" s="1378"/>
      <c r="R430" s="1378"/>
      <c r="S430" s="1378"/>
      <c r="T430" s="1378"/>
      <c r="U430" s="1378"/>
      <c r="V430" s="1378"/>
    </row>
    <row r="431" ht="15.75" customHeight="1">
      <c r="A431" s="1378"/>
      <c r="B431" s="1578" t="s">
        <v>1212</v>
      </c>
      <c r="C431" s="1578"/>
      <c r="D431" s="1580">
        <v>7753.0</v>
      </c>
      <c r="E431" s="1575"/>
      <c r="F431" s="1578" t="s">
        <v>1212</v>
      </c>
      <c r="G431" s="1580">
        <v>7074.0</v>
      </c>
      <c r="H431" s="1378"/>
      <c r="I431" s="1397" t="s">
        <v>1212</v>
      </c>
      <c r="J431" s="1386">
        <v>7594.0</v>
      </c>
      <c r="O431" s="1378"/>
      <c r="P431" s="1568"/>
      <c r="Q431" s="1378"/>
      <c r="R431" s="1378"/>
      <c r="S431" s="1378"/>
      <c r="T431" s="1378"/>
      <c r="U431" s="1378"/>
      <c r="V431" s="1378"/>
    </row>
    <row r="432" ht="15.75" customHeight="1">
      <c r="A432" s="1378"/>
      <c r="B432" s="1578" t="s">
        <v>1213</v>
      </c>
      <c r="C432" s="1578"/>
      <c r="D432" s="1581">
        <v>8197.0</v>
      </c>
      <c r="E432" s="1582"/>
      <c r="F432" s="1578" t="s">
        <v>1213</v>
      </c>
      <c r="G432" s="1581">
        <v>7265.0</v>
      </c>
      <c r="H432" s="1378"/>
      <c r="I432" s="1397" t="s">
        <v>1213</v>
      </c>
      <c r="J432" s="1583">
        <v>8197.0</v>
      </c>
      <c r="O432" s="1379"/>
      <c r="P432" s="1378"/>
      <c r="Q432" s="1378"/>
      <c r="R432" s="1378"/>
      <c r="S432" s="1378"/>
      <c r="T432" s="1378"/>
      <c r="U432" s="1378"/>
      <c r="V432" s="1378"/>
    </row>
    <row r="433" ht="15.75" customHeight="1">
      <c r="A433" s="1378"/>
      <c r="B433" s="1578" t="s">
        <v>1214</v>
      </c>
      <c r="C433" s="1578"/>
      <c r="D433" s="1581">
        <v>7361.0</v>
      </c>
      <c r="E433" s="1582"/>
      <c r="F433" s="1578" t="s">
        <v>1214</v>
      </c>
      <c r="G433" s="1581">
        <v>7293.0</v>
      </c>
      <c r="H433" s="1378"/>
      <c r="I433" s="1397" t="s">
        <v>1214</v>
      </c>
      <c r="J433" s="1583">
        <v>7293.0</v>
      </c>
      <c r="P433" s="1378"/>
      <c r="Q433" s="1378"/>
      <c r="R433" s="1378"/>
      <c r="S433" s="1378"/>
      <c r="T433" s="1378"/>
      <c r="U433" s="1378"/>
      <c r="V433" s="1378"/>
    </row>
    <row r="434" ht="15.75" customHeight="1">
      <c r="A434" s="1378"/>
      <c r="B434" s="1578" t="s">
        <v>1314</v>
      </c>
      <c r="C434" s="1578"/>
      <c r="D434" s="1581">
        <v>9165.0</v>
      </c>
      <c r="E434" s="1582"/>
      <c r="F434" s="1578" t="s">
        <v>1314</v>
      </c>
      <c r="G434" s="1581">
        <v>7074.0</v>
      </c>
      <c r="H434" s="1378"/>
      <c r="I434" s="1397" t="s">
        <v>1215</v>
      </c>
      <c r="J434" s="1583">
        <v>7818.0</v>
      </c>
      <c r="P434" s="1378"/>
      <c r="Q434" s="1378"/>
      <c r="R434" s="1378"/>
      <c r="S434" s="1378"/>
      <c r="T434" s="1378"/>
      <c r="U434" s="1378"/>
      <c r="V434" s="1378"/>
    </row>
    <row r="435" ht="15.75" customHeight="1">
      <c r="A435" s="1591">
        <f t="shared" ref="A435:A451" si="186">ROW()-39</f>
        <v>396</v>
      </c>
      <c r="B435" s="1578" t="s">
        <v>1215</v>
      </c>
      <c r="C435" s="1578"/>
      <c r="D435" s="1581">
        <v>9267.0</v>
      </c>
      <c r="E435" s="1582"/>
      <c r="F435" s="1578" t="s">
        <v>1215</v>
      </c>
      <c r="G435" s="1581">
        <v>7265.0</v>
      </c>
      <c r="H435" s="1378"/>
      <c r="I435" s="1397" t="s">
        <v>1216</v>
      </c>
      <c r="J435" s="1583">
        <v>7074.0</v>
      </c>
      <c r="P435" s="1378"/>
      <c r="Q435" s="1378"/>
      <c r="R435" s="1378"/>
      <c r="S435" s="1378"/>
      <c r="T435" s="1378"/>
      <c r="U435" s="1378"/>
      <c r="V435" s="1378"/>
    </row>
    <row r="436" ht="15.75" customHeight="1">
      <c r="A436" s="1591">
        <f t="shared" si="186"/>
        <v>397</v>
      </c>
      <c r="B436" s="1578" t="s">
        <v>1315</v>
      </c>
      <c r="C436" s="1578"/>
      <c r="D436" s="1581">
        <v>22331.0</v>
      </c>
      <c r="E436" s="1582"/>
      <c r="F436" s="1578" t="s">
        <v>1315</v>
      </c>
      <c r="G436" s="1581">
        <v>7265.0</v>
      </c>
      <c r="H436" s="1378"/>
      <c r="I436" s="1397" t="s">
        <v>1217</v>
      </c>
      <c r="J436" s="1583">
        <v>10501.0</v>
      </c>
      <c r="P436" s="1378"/>
      <c r="Q436" s="1378"/>
      <c r="R436" s="1378"/>
      <c r="S436" s="1378"/>
      <c r="T436" s="1378"/>
      <c r="U436" s="1378"/>
      <c r="V436" s="1378"/>
    </row>
    <row r="437" ht="15.75" customHeight="1">
      <c r="A437" s="1591">
        <f t="shared" si="186"/>
        <v>398</v>
      </c>
      <c r="B437" s="1578" t="s">
        <v>1316</v>
      </c>
      <c r="C437" s="1578"/>
      <c r="D437" s="1581">
        <v>33701.0</v>
      </c>
      <c r="E437" s="1582"/>
      <c r="F437" s="1578" t="s">
        <v>1316</v>
      </c>
      <c r="G437" s="1584">
        <v>7265.0</v>
      </c>
      <c r="H437" s="1582"/>
      <c r="I437" s="1397" t="s">
        <v>1317</v>
      </c>
      <c r="J437" s="1585">
        <f>+B427</f>
        <v>7074</v>
      </c>
      <c r="P437" s="1378"/>
      <c r="Q437" s="1378"/>
      <c r="R437" s="1378"/>
      <c r="S437" s="1378"/>
      <c r="T437" s="1378"/>
      <c r="U437" s="1378"/>
      <c r="V437" s="1378"/>
    </row>
    <row r="438" ht="15.75" customHeight="1">
      <c r="A438" s="1591">
        <f t="shared" si="186"/>
        <v>399</v>
      </c>
      <c r="B438" s="1578" t="s">
        <v>1318</v>
      </c>
      <c r="C438" s="1578"/>
      <c r="D438" s="1581">
        <v>9701.0</v>
      </c>
      <c r="E438" s="1582"/>
      <c r="F438" s="1578" t="s">
        <v>1318</v>
      </c>
      <c r="G438" s="1584">
        <v>7265.0</v>
      </c>
      <c r="H438" s="1582"/>
      <c r="P438" s="1378"/>
      <c r="Q438" s="1378"/>
      <c r="R438" s="1378"/>
      <c r="S438" s="1378"/>
      <c r="T438" s="1378"/>
      <c r="U438" s="1378"/>
      <c r="V438" s="1378"/>
    </row>
    <row r="439" ht="15.75" customHeight="1">
      <c r="A439" s="1591">
        <f t="shared" si="186"/>
        <v>400</v>
      </c>
      <c r="B439" s="1578" t="s">
        <v>1319</v>
      </c>
      <c r="C439" s="1578"/>
      <c r="D439" s="1581">
        <v>10683.0</v>
      </c>
      <c r="E439" s="1582"/>
      <c r="F439" s="1578" t="s">
        <v>1319</v>
      </c>
      <c r="G439" s="1584">
        <v>7265.0</v>
      </c>
      <c r="H439" s="1582"/>
      <c r="I439" s="1395" t="s">
        <v>1320</v>
      </c>
      <c r="J439" s="1396"/>
      <c r="P439" s="1378"/>
      <c r="Q439" s="1378"/>
      <c r="R439" s="1378"/>
      <c r="S439" s="1378"/>
      <c r="T439" s="1378"/>
      <c r="U439" s="1378"/>
      <c r="V439" s="1378"/>
    </row>
    <row r="440" ht="15.75" customHeight="1">
      <c r="A440" s="1591">
        <f t="shared" si="186"/>
        <v>401</v>
      </c>
      <c r="B440" s="1578" t="s">
        <v>1321</v>
      </c>
      <c r="C440" s="1578"/>
      <c r="D440" s="1581">
        <v>13707.0</v>
      </c>
      <c r="E440" s="1582"/>
      <c r="F440" s="1578" t="s">
        <v>1321</v>
      </c>
      <c r="G440" s="1584">
        <v>7265.0</v>
      </c>
      <c r="H440" s="1582"/>
      <c r="I440" s="1397" t="s">
        <v>1264</v>
      </c>
      <c r="J440" s="1586" t="s">
        <v>1322</v>
      </c>
      <c r="P440" s="1378"/>
      <c r="Q440" s="1378"/>
      <c r="R440" s="1378"/>
      <c r="S440" s="1378"/>
      <c r="T440" s="1378"/>
      <c r="U440" s="1378"/>
      <c r="V440" s="1378"/>
    </row>
    <row r="441" ht="15.75" customHeight="1">
      <c r="A441" s="1591">
        <f t="shared" si="186"/>
        <v>402</v>
      </c>
      <c r="B441" s="1578" t="s">
        <v>1323</v>
      </c>
      <c r="C441" s="1578"/>
      <c r="D441" s="1581">
        <v>8644.0</v>
      </c>
      <c r="E441" s="1582"/>
      <c r="F441" s="1578" t="s">
        <v>1323</v>
      </c>
      <c r="G441" s="1584">
        <v>7074.0</v>
      </c>
      <c r="H441" s="1582"/>
      <c r="I441" s="1397" t="s">
        <v>1201</v>
      </c>
      <c r="J441" s="1397">
        <v>0.23</v>
      </c>
      <c r="P441" s="1378"/>
      <c r="Q441" s="1378"/>
      <c r="R441" s="1378"/>
      <c r="S441" s="1378"/>
      <c r="T441" s="1378"/>
      <c r="U441" s="1378"/>
      <c r="V441" s="1378"/>
    </row>
    <row r="442" ht="15.75" customHeight="1">
      <c r="A442" s="1591">
        <f t="shared" si="186"/>
        <v>403</v>
      </c>
      <c r="B442" s="1578" t="s">
        <v>1324</v>
      </c>
      <c r="C442" s="1578"/>
      <c r="D442" s="1581">
        <v>12447.0</v>
      </c>
      <c r="E442" s="1582"/>
      <c r="F442" s="1578" t="s">
        <v>1324</v>
      </c>
      <c r="G442" s="1584">
        <v>7265.0</v>
      </c>
      <c r="H442" s="1582"/>
      <c r="I442" s="1397" t="s">
        <v>1325</v>
      </c>
      <c r="J442" s="1397">
        <v>0.03</v>
      </c>
      <c r="K442" s="18" t="s">
        <v>1326</v>
      </c>
      <c r="P442" s="1378"/>
      <c r="Q442" s="1378"/>
      <c r="R442" s="1378"/>
      <c r="S442" s="1378"/>
      <c r="T442" s="1378"/>
      <c r="U442" s="1378"/>
      <c r="V442" s="1378"/>
    </row>
    <row r="443" ht="15.75" customHeight="1">
      <c r="A443" s="1591">
        <f t="shared" si="186"/>
        <v>404</v>
      </c>
      <c r="B443" s="1578" t="s">
        <v>1327</v>
      </c>
      <c r="C443" s="1578"/>
      <c r="D443" s="1581">
        <v>8881.0</v>
      </c>
      <c r="E443" s="1582"/>
      <c r="F443" s="1578" t="s">
        <v>1327</v>
      </c>
      <c r="G443" s="1584">
        <v>7265.0</v>
      </c>
      <c r="H443" s="1582"/>
      <c r="I443" s="1397" t="s">
        <v>1204</v>
      </c>
      <c r="J443" s="1397">
        <v>0.12</v>
      </c>
      <c r="P443" s="1378"/>
      <c r="Q443" s="1378"/>
      <c r="R443" s="1378"/>
      <c r="S443" s="1378"/>
      <c r="T443" s="1378"/>
      <c r="U443" s="1378"/>
      <c r="V443" s="1378"/>
    </row>
    <row r="444" ht="15.75" customHeight="1">
      <c r="A444" s="1591">
        <f t="shared" si="186"/>
        <v>405</v>
      </c>
      <c r="B444" s="1578" t="s">
        <v>1328</v>
      </c>
      <c r="C444" s="1578"/>
      <c r="D444" s="1581">
        <v>11779.0</v>
      </c>
      <c r="E444" s="1582"/>
      <c r="F444" s="1578" t="s">
        <v>1328</v>
      </c>
      <c r="G444" s="1584">
        <v>7265.0</v>
      </c>
      <c r="H444" s="1582"/>
      <c r="P444" s="1378"/>
      <c r="Q444" s="1378"/>
      <c r="R444" s="1378"/>
      <c r="S444" s="1378"/>
      <c r="T444" s="1378"/>
      <c r="U444" s="1378"/>
      <c r="V444" s="1378"/>
    </row>
    <row r="445" ht="15.75" customHeight="1">
      <c r="A445" s="1591">
        <f t="shared" si="186"/>
        <v>406</v>
      </c>
      <c r="B445" s="1578" t="s">
        <v>1329</v>
      </c>
      <c r="C445" s="1578"/>
      <c r="D445" s="1581">
        <v>23243.0</v>
      </c>
      <c r="E445" s="1582"/>
      <c r="F445" s="1578" t="s">
        <v>1329</v>
      </c>
      <c r="G445" s="1584">
        <v>7074.0</v>
      </c>
      <c r="H445" s="1582"/>
      <c r="P445" s="1378"/>
      <c r="Q445" s="1378"/>
      <c r="R445" s="1378"/>
      <c r="S445" s="1378"/>
      <c r="T445" s="1378"/>
      <c r="U445" s="1378"/>
      <c r="V445" s="1378"/>
    </row>
    <row r="446" ht="15.75" customHeight="1">
      <c r="A446" s="1591">
        <f t="shared" si="186"/>
        <v>407</v>
      </c>
      <c r="B446" s="1578" t="s">
        <v>1216</v>
      </c>
      <c r="C446" s="1578"/>
      <c r="D446" s="1581">
        <v>7318.0</v>
      </c>
      <c r="E446" s="1582"/>
      <c r="F446" s="1578" t="s">
        <v>1216</v>
      </c>
      <c r="G446" s="1584">
        <v>7074.0</v>
      </c>
      <c r="H446" s="1582"/>
      <c r="I446" s="1378"/>
      <c r="P446" s="1378"/>
      <c r="Q446" s="1378"/>
      <c r="R446" s="1378"/>
      <c r="S446" s="1378"/>
      <c r="T446" s="1378"/>
      <c r="U446" s="1378"/>
      <c r="V446" s="1378"/>
    </row>
    <row r="447" ht="15.75" customHeight="1">
      <c r="A447" s="1591">
        <f t="shared" si="186"/>
        <v>408</v>
      </c>
      <c r="B447" s="1578" t="s">
        <v>1217</v>
      </c>
      <c r="C447" s="1578"/>
      <c r="D447" s="1580">
        <v>11444.55</v>
      </c>
      <c r="E447" s="1575"/>
      <c r="F447" s="1578" t="s">
        <v>1217</v>
      </c>
      <c r="G447" s="1584">
        <v>7265.0</v>
      </c>
      <c r="H447" s="1582"/>
      <c r="I447" s="1378"/>
      <c r="P447" s="1378"/>
      <c r="Q447" s="1378"/>
      <c r="R447" s="1378"/>
      <c r="S447" s="1378"/>
      <c r="T447" s="1378"/>
      <c r="U447" s="1378"/>
      <c r="V447" s="1378"/>
    </row>
    <row r="448" ht="15.75" customHeight="1">
      <c r="A448" s="1591">
        <f t="shared" si="186"/>
        <v>409</v>
      </c>
      <c r="B448" s="1378"/>
      <c r="C448" s="1378"/>
      <c r="D448" s="1378"/>
      <c r="E448" s="1378"/>
      <c r="F448" s="1378" t="s">
        <v>1317</v>
      </c>
      <c r="G448" s="1420">
        <f>+B427</f>
        <v>7074</v>
      </c>
      <c r="H448" s="1378"/>
      <c r="I448" s="1378"/>
      <c r="P448" s="1378"/>
      <c r="Q448" s="1378"/>
      <c r="R448" s="1378"/>
      <c r="S448" s="1378"/>
      <c r="T448" s="1378"/>
      <c r="U448" s="1378"/>
      <c r="V448" s="1378"/>
    </row>
    <row r="449" ht="15.75" customHeight="1">
      <c r="A449" s="1591">
        <f t="shared" si="186"/>
        <v>410</v>
      </c>
      <c r="P449" s="1378"/>
      <c r="Q449" s="1378"/>
      <c r="R449" s="1378"/>
      <c r="S449" s="1378"/>
      <c r="T449" s="1378"/>
      <c r="U449" s="1378"/>
      <c r="V449" s="1378"/>
    </row>
    <row r="450" ht="15.75" customHeight="1">
      <c r="A450" s="1591">
        <f t="shared" si="186"/>
        <v>411</v>
      </c>
      <c r="P450" s="1378"/>
      <c r="Q450" s="1378"/>
      <c r="R450" s="1378"/>
      <c r="S450" s="1378"/>
      <c r="T450" s="1378"/>
      <c r="U450" s="1378"/>
      <c r="V450" s="1378"/>
    </row>
    <row r="451" ht="15.75" customHeight="1">
      <c r="A451" s="1591">
        <f t="shared" si="186"/>
        <v>412</v>
      </c>
      <c r="P451" s="1378"/>
      <c r="Q451" s="1378"/>
      <c r="R451" s="1378"/>
      <c r="S451" s="1378"/>
      <c r="T451" s="1378"/>
      <c r="U451" s="1378"/>
      <c r="V451" s="1378"/>
    </row>
    <row r="452" ht="15.75" customHeight="1">
      <c r="A452" s="1378"/>
      <c r="P452" s="1378"/>
      <c r="Q452" s="1378"/>
      <c r="R452" s="1378"/>
      <c r="S452" s="1378"/>
      <c r="T452" s="1378"/>
      <c r="U452" s="1378"/>
      <c r="V452" s="1378"/>
    </row>
    <row r="453" ht="15.75" customHeight="1">
      <c r="A453" s="1378"/>
      <c r="O453" s="1592"/>
      <c r="P453" s="1378"/>
      <c r="Q453" s="1378"/>
      <c r="R453" s="1378"/>
      <c r="S453" s="1378"/>
      <c r="T453" s="1378"/>
      <c r="U453" s="1378"/>
      <c r="V453" s="1378"/>
    </row>
    <row r="454" ht="15.75" customHeight="1">
      <c r="A454" s="1378"/>
      <c r="O454" s="1378"/>
      <c r="P454" s="1378"/>
      <c r="Q454" s="1378"/>
      <c r="R454" s="1378"/>
      <c r="S454" s="1378"/>
      <c r="T454" s="1378"/>
      <c r="U454" s="1378"/>
      <c r="V454" s="1378"/>
    </row>
    <row r="455" ht="15.75" customHeight="1">
      <c r="P455" s="1373"/>
    </row>
    <row r="456" ht="15.75" customHeight="1">
      <c r="P456" s="1373"/>
    </row>
    <row r="457" ht="15.75" customHeight="1">
      <c r="P457" s="1373"/>
    </row>
    <row r="458" ht="15.75" customHeight="1">
      <c r="P458" s="1373"/>
    </row>
    <row r="459" ht="15.75" customHeight="1">
      <c r="P459" s="1373"/>
    </row>
    <row r="460" ht="15.75" customHeight="1">
      <c r="P460" s="1373"/>
    </row>
    <row r="461" ht="15.75" customHeight="1">
      <c r="P461" s="1373"/>
    </row>
    <row r="462" ht="15.75" customHeight="1">
      <c r="P462" s="1373"/>
    </row>
    <row r="463" ht="15.75" customHeight="1">
      <c r="P463" s="1373"/>
    </row>
    <row r="464" ht="15.75" customHeight="1">
      <c r="P464" s="1373"/>
    </row>
    <row r="465" ht="15.75" customHeight="1">
      <c r="P465" s="1373"/>
    </row>
    <row r="466" ht="15.75" customHeight="1">
      <c r="P466" s="1373"/>
    </row>
    <row r="467" ht="15.75" customHeight="1">
      <c r="P467" s="1373"/>
    </row>
    <row r="468" ht="15.75" customHeight="1">
      <c r="P468" s="1373"/>
    </row>
    <row r="469" ht="15.75" customHeight="1">
      <c r="P469" s="1373"/>
    </row>
    <row r="470" ht="15.75" customHeight="1">
      <c r="P470" s="1373"/>
    </row>
    <row r="471" ht="15.75" customHeight="1">
      <c r="P471" s="1373"/>
    </row>
    <row r="472" ht="15.75" customHeight="1">
      <c r="P472" s="1373"/>
    </row>
    <row r="473" ht="15.75" customHeight="1">
      <c r="P473" s="1373"/>
    </row>
    <row r="474" ht="15.75" customHeight="1">
      <c r="P474" s="1373"/>
    </row>
    <row r="475" ht="15.75" customHeight="1">
      <c r="P475" s="1373"/>
    </row>
    <row r="476" ht="15.75" customHeight="1">
      <c r="P476" s="1373"/>
    </row>
    <row r="477" ht="15.75" customHeight="1">
      <c r="P477" s="1373"/>
    </row>
    <row r="478" ht="15.75" customHeight="1">
      <c r="P478" s="1373"/>
    </row>
    <row r="479" ht="15.75" customHeight="1">
      <c r="P479" s="1373"/>
    </row>
    <row r="480" ht="15.75" customHeight="1">
      <c r="P480" s="1373"/>
    </row>
    <row r="481" ht="15.75" customHeight="1">
      <c r="P481" s="1373"/>
    </row>
    <row r="482" ht="15.75" customHeight="1">
      <c r="P482" s="1373"/>
    </row>
    <row r="483" ht="15.75" customHeight="1">
      <c r="P483" s="1373"/>
    </row>
    <row r="484" ht="15.75" customHeight="1">
      <c r="P484" s="1373"/>
    </row>
    <row r="485" ht="15.75" customHeight="1">
      <c r="P485" s="1373"/>
    </row>
    <row r="486" ht="15.75" customHeight="1">
      <c r="P486" s="1373"/>
    </row>
    <row r="487" ht="15.75" customHeight="1">
      <c r="P487" s="1373"/>
    </row>
    <row r="488" ht="15.75" customHeight="1">
      <c r="P488" s="1373"/>
    </row>
    <row r="489" ht="15.75" customHeight="1">
      <c r="P489" s="1373"/>
    </row>
    <row r="490" ht="15.75" customHeight="1">
      <c r="P490" s="1373"/>
    </row>
    <row r="491" ht="15.75" customHeight="1">
      <c r="P491" s="1373"/>
    </row>
    <row r="492" ht="15.75" customHeight="1">
      <c r="P492" s="1373"/>
    </row>
    <row r="493" ht="15.75" customHeight="1">
      <c r="P493" s="1373"/>
    </row>
    <row r="494" ht="15.75" customHeight="1">
      <c r="P494" s="1373"/>
    </row>
    <row r="495" ht="15.75" customHeight="1">
      <c r="P495" s="1373"/>
    </row>
    <row r="496" ht="15.75" customHeight="1">
      <c r="P496" s="1373"/>
    </row>
    <row r="497" ht="15.75" customHeight="1">
      <c r="P497" s="1373"/>
    </row>
    <row r="498" ht="15.75" customHeight="1">
      <c r="P498" s="1373"/>
    </row>
    <row r="499" ht="15.75" customHeight="1">
      <c r="P499" s="1373"/>
    </row>
    <row r="500" ht="15.75" customHeight="1">
      <c r="P500" s="1373"/>
    </row>
    <row r="501" ht="15.75" customHeight="1">
      <c r="P501" s="1373"/>
    </row>
    <row r="502" ht="15.75" customHeight="1">
      <c r="P502" s="1373"/>
    </row>
    <row r="503" ht="15.75" customHeight="1">
      <c r="P503" s="1373"/>
    </row>
    <row r="504" ht="15.75" customHeight="1">
      <c r="P504" s="1373"/>
    </row>
    <row r="505" ht="15.75" customHeight="1">
      <c r="P505" s="1373"/>
    </row>
    <row r="506" ht="15.75" customHeight="1">
      <c r="P506" s="1373"/>
    </row>
    <row r="507" ht="15.75" customHeight="1">
      <c r="P507" s="1373"/>
    </row>
    <row r="508" ht="15.75" customHeight="1">
      <c r="P508" s="1373"/>
    </row>
    <row r="509" ht="15.75" customHeight="1">
      <c r="P509" s="1373"/>
    </row>
    <row r="510" ht="15.75" customHeight="1">
      <c r="P510" s="1373"/>
    </row>
    <row r="511" ht="15.75" customHeight="1">
      <c r="P511" s="1373"/>
    </row>
    <row r="512" ht="15.75" customHeight="1">
      <c r="P512" s="1373"/>
    </row>
    <row r="513" ht="15.75" customHeight="1">
      <c r="P513" s="1373"/>
    </row>
    <row r="514" ht="15.75" customHeight="1">
      <c r="P514" s="1373"/>
    </row>
    <row r="515" ht="15.75" customHeight="1">
      <c r="P515" s="1373"/>
    </row>
    <row r="516" ht="15.75" customHeight="1">
      <c r="P516" s="1373"/>
    </row>
    <row r="517" ht="15.75" customHeight="1">
      <c r="P517" s="1373"/>
    </row>
    <row r="518" ht="15.75" customHeight="1">
      <c r="P518" s="1373"/>
    </row>
    <row r="519" ht="15.75" customHeight="1">
      <c r="P519" s="1373"/>
    </row>
    <row r="520" ht="15.75" customHeight="1">
      <c r="P520" s="1373"/>
    </row>
    <row r="521" ht="15.75" customHeight="1">
      <c r="P521" s="1373"/>
    </row>
    <row r="522" ht="15.75" customHeight="1">
      <c r="P522" s="1373"/>
    </row>
    <row r="523" ht="15.75" customHeight="1">
      <c r="P523" s="1373"/>
    </row>
    <row r="524" ht="15.75" customHeight="1">
      <c r="P524" s="1373"/>
    </row>
    <row r="525" ht="15.75" customHeight="1">
      <c r="P525" s="1373"/>
    </row>
    <row r="526" ht="15.75" customHeight="1">
      <c r="P526" s="1373"/>
    </row>
    <row r="527" ht="15.75" customHeight="1">
      <c r="P527" s="1373"/>
    </row>
    <row r="528" ht="15.75" customHeight="1">
      <c r="P528" s="1373"/>
    </row>
    <row r="529" ht="15.75" customHeight="1">
      <c r="P529" s="1373"/>
    </row>
    <row r="530" ht="15.75" customHeight="1">
      <c r="P530" s="1373"/>
    </row>
    <row r="531" ht="15.75" customHeight="1">
      <c r="P531" s="1373"/>
    </row>
    <row r="532" ht="15.75" customHeight="1">
      <c r="P532" s="1373"/>
    </row>
    <row r="533" ht="15.75" customHeight="1">
      <c r="P533" s="1373"/>
    </row>
    <row r="534" ht="15.75" customHeight="1">
      <c r="P534" s="1373"/>
    </row>
    <row r="535" ht="15.75" customHeight="1">
      <c r="P535" s="1373"/>
    </row>
    <row r="536" ht="15.75" customHeight="1">
      <c r="P536" s="1373"/>
    </row>
    <row r="537" ht="15.75" customHeight="1">
      <c r="P537" s="1373"/>
    </row>
    <row r="538" ht="15.75" customHeight="1">
      <c r="P538" s="1373"/>
    </row>
    <row r="539" ht="15.75" customHeight="1">
      <c r="P539" s="1373"/>
    </row>
    <row r="540" ht="15.75" customHeight="1">
      <c r="P540" s="1373"/>
    </row>
    <row r="541" ht="15.75" customHeight="1">
      <c r="P541" s="1373"/>
    </row>
    <row r="542" ht="15.75" customHeight="1">
      <c r="P542" s="1373"/>
    </row>
    <row r="543" ht="15.75" customHeight="1">
      <c r="P543" s="1373"/>
    </row>
    <row r="544" ht="15.75" customHeight="1">
      <c r="P544" s="1373"/>
    </row>
    <row r="545" ht="15.75" customHeight="1">
      <c r="P545" s="1373"/>
    </row>
    <row r="546" ht="15.75" customHeight="1">
      <c r="P546" s="1373"/>
    </row>
    <row r="547" ht="15.75" customHeight="1">
      <c r="P547" s="1373"/>
    </row>
    <row r="548" ht="15.75" customHeight="1">
      <c r="P548" s="1373"/>
    </row>
    <row r="549" ht="15.75" customHeight="1">
      <c r="P549" s="1373"/>
    </row>
    <row r="550" ht="15.75" customHeight="1">
      <c r="P550" s="1373"/>
    </row>
    <row r="551" ht="15.75" customHeight="1">
      <c r="P551" s="1373"/>
    </row>
    <row r="552" ht="15.75" customHeight="1">
      <c r="P552" s="1373"/>
    </row>
    <row r="553" ht="15.75" customHeight="1">
      <c r="P553" s="1373"/>
    </row>
    <row r="554" ht="15.75" customHeight="1">
      <c r="P554" s="1373"/>
    </row>
    <row r="555" ht="15.75" customHeight="1">
      <c r="P555" s="1373"/>
    </row>
    <row r="556" ht="15.75" customHeight="1">
      <c r="P556" s="1373"/>
    </row>
    <row r="557" ht="15.75" customHeight="1">
      <c r="P557" s="1373"/>
    </row>
    <row r="558" ht="15.75" customHeight="1">
      <c r="P558" s="1373"/>
    </row>
    <row r="559" ht="15.75" customHeight="1">
      <c r="P559" s="1373"/>
    </row>
    <row r="560" ht="15.75" customHeight="1">
      <c r="P560" s="1373"/>
    </row>
    <row r="561" ht="15.75" customHeight="1">
      <c r="P561" s="1373"/>
    </row>
    <row r="562" ht="15.75" customHeight="1">
      <c r="P562" s="1373"/>
    </row>
    <row r="563" ht="15.75" customHeight="1">
      <c r="P563" s="1373"/>
    </row>
    <row r="564" ht="15.75" customHeight="1">
      <c r="P564" s="1373"/>
    </row>
    <row r="565" ht="15.75" customHeight="1">
      <c r="P565" s="1373"/>
    </row>
    <row r="566" ht="15.75" customHeight="1">
      <c r="P566" s="1373"/>
    </row>
    <row r="567" ht="15.75" customHeight="1">
      <c r="P567" s="1373"/>
    </row>
    <row r="568" ht="15.75" customHeight="1">
      <c r="P568" s="1373"/>
    </row>
    <row r="569" ht="15.75" customHeight="1">
      <c r="P569" s="1373"/>
    </row>
    <row r="570" ht="15.75" customHeight="1">
      <c r="P570" s="1373"/>
    </row>
    <row r="571" ht="15.75" customHeight="1">
      <c r="P571" s="1373"/>
    </row>
    <row r="572" ht="15.75" customHeight="1">
      <c r="P572" s="1373"/>
    </row>
    <row r="573" ht="15.75" customHeight="1">
      <c r="P573" s="1373"/>
    </row>
    <row r="574" ht="15.75" customHeight="1">
      <c r="P574" s="1373"/>
    </row>
    <row r="575" ht="15.75" customHeight="1">
      <c r="P575" s="1373"/>
    </row>
    <row r="576" ht="15.75" customHeight="1">
      <c r="P576" s="1373"/>
    </row>
    <row r="577" ht="15.75" customHeight="1">
      <c r="P577" s="1373"/>
    </row>
    <row r="578" ht="15.75" customHeight="1">
      <c r="P578" s="1373"/>
    </row>
    <row r="579" ht="15.75" customHeight="1">
      <c r="P579" s="1373"/>
    </row>
    <row r="580" ht="15.75" customHeight="1">
      <c r="P580" s="1373"/>
    </row>
    <row r="581" ht="15.75" customHeight="1">
      <c r="P581" s="1373"/>
    </row>
    <row r="582" ht="15.75" customHeight="1">
      <c r="P582" s="1373"/>
    </row>
    <row r="583" ht="15.75" customHeight="1">
      <c r="P583" s="1373"/>
    </row>
    <row r="584" ht="15.75" customHeight="1">
      <c r="P584" s="1373"/>
    </row>
    <row r="585" ht="15.75" customHeight="1">
      <c r="P585" s="1373"/>
    </row>
    <row r="586" ht="15.75" customHeight="1">
      <c r="P586" s="1373"/>
    </row>
    <row r="587" ht="15.75" customHeight="1">
      <c r="P587" s="1373"/>
    </row>
    <row r="588" ht="15.75" customHeight="1">
      <c r="P588" s="1373"/>
    </row>
    <row r="589" ht="15.75" customHeight="1">
      <c r="P589" s="1373"/>
    </row>
    <row r="590" ht="15.75" customHeight="1">
      <c r="P590" s="1373"/>
    </row>
    <row r="591" ht="15.75" customHeight="1">
      <c r="P591" s="1373"/>
    </row>
    <row r="592" ht="15.75" customHeight="1">
      <c r="P592" s="1373"/>
    </row>
    <row r="593" ht="15.75" customHeight="1">
      <c r="P593" s="1373"/>
    </row>
    <row r="594" ht="15.75" customHeight="1">
      <c r="P594" s="1373"/>
    </row>
    <row r="595" ht="15.75" customHeight="1">
      <c r="P595" s="1373"/>
    </row>
    <row r="596" ht="15.75" customHeight="1">
      <c r="P596" s="1373"/>
    </row>
    <row r="597" ht="15.75" customHeight="1">
      <c r="P597" s="1373"/>
    </row>
    <row r="598" ht="15.75" customHeight="1">
      <c r="P598" s="1373"/>
    </row>
    <row r="599" ht="15.75" customHeight="1">
      <c r="P599" s="1373"/>
    </row>
    <row r="600" ht="15.75" customHeight="1">
      <c r="P600" s="1373"/>
    </row>
    <row r="601" ht="15.75" customHeight="1">
      <c r="P601" s="1373"/>
    </row>
    <row r="602" ht="15.75" customHeight="1">
      <c r="P602" s="1373"/>
    </row>
    <row r="603" ht="15.75" customHeight="1">
      <c r="P603" s="1373"/>
    </row>
    <row r="604" ht="15.75" customHeight="1">
      <c r="P604" s="1373"/>
    </row>
    <row r="605" ht="15.75" customHeight="1">
      <c r="P605" s="1373"/>
    </row>
    <row r="606" ht="15.75" customHeight="1">
      <c r="P606" s="1373"/>
    </row>
    <row r="607" ht="15.75" customHeight="1">
      <c r="P607" s="1373"/>
    </row>
    <row r="608" ht="15.75" customHeight="1">
      <c r="P608" s="1373"/>
    </row>
    <row r="609" ht="15.75" customHeight="1">
      <c r="P609" s="1373"/>
    </row>
    <row r="610" ht="15.75" customHeight="1">
      <c r="P610" s="1373"/>
    </row>
    <row r="611" ht="15.75" customHeight="1">
      <c r="P611" s="1373"/>
    </row>
    <row r="612" ht="15.75" customHeight="1">
      <c r="P612" s="1373"/>
    </row>
    <row r="613" ht="15.75" customHeight="1">
      <c r="P613" s="1373"/>
    </row>
    <row r="614" ht="15.75" customHeight="1">
      <c r="P614" s="1373"/>
    </row>
    <row r="615" ht="15.75" customHeight="1">
      <c r="P615" s="1373"/>
    </row>
    <row r="616" ht="15.75" customHeight="1">
      <c r="P616" s="1373"/>
    </row>
    <row r="617" ht="15.75" customHeight="1">
      <c r="P617" s="1373"/>
    </row>
    <row r="618" ht="15.75" customHeight="1">
      <c r="P618" s="1373"/>
    </row>
    <row r="619" ht="15.75" customHeight="1">
      <c r="P619" s="1373"/>
    </row>
    <row r="620" ht="15.75" customHeight="1">
      <c r="P620" s="1373"/>
    </row>
    <row r="621" ht="15.75" customHeight="1">
      <c r="P621" s="1373"/>
    </row>
    <row r="622" ht="15.75" customHeight="1">
      <c r="P622" s="1373"/>
    </row>
    <row r="623" ht="15.75" customHeight="1">
      <c r="P623" s="1373"/>
    </row>
    <row r="624" ht="15.75" customHeight="1">
      <c r="P624" s="1373"/>
    </row>
    <row r="625" ht="15.75" customHeight="1">
      <c r="P625" s="1373"/>
    </row>
    <row r="626" ht="15.75" customHeight="1">
      <c r="P626" s="1373"/>
    </row>
    <row r="627" ht="15.75" customHeight="1">
      <c r="P627" s="1373"/>
    </row>
    <row r="628" ht="15.75" customHeight="1">
      <c r="P628" s="1373"/>
    </row>
    <row r="629" ht="15.75" customHeight="1">
      <c r="P629" s="1373"/>
    </row>
    <row r="630" ht="15.75" customHeight="1">
      <c r="P630" s="1373"/>
    </row>
    <row r="631" ht="15.75" customHeight="1">
      <c r="P631" s="1373"/>
    </row>
    <row r="632" ht="15.75" customHeight="1">
      <c r="P632" s="1373"/>
    </row>
    <row r="633" ht="15.75" customHeight="1">
      <c r="P633" s="1373"/>
    </row>
    <row r="634" ht="15.75" customHeight="1">
      <c r="P634" s="1373"/>
    </row>
    <row r="635" ht="15.75" customHeight="1">
      <c r="P635" s="1373"/>
    </row>
    <row r="636" ht="15.75" customHeight="1">
      <c r="P636" s="1373"/>
    </row>
    <row r="637" ht="15.75" customHeight="1">
      <c r="P637" s="1373"/>
    </row>
    <row r="638" ht="15.75" customHeight="1">
      <c r="P638" s="1373"/>
    </row>
    <row r="639" ht="15.75" customHeight="1">
      <c r="P639" s="1373"/>
    </row>
    <row r="640" ht="15.75" customHeight="1">
      <c r="P640" s="1373"/>
    </row>
    <row r="641" ht="15.75" customHeight="1">
      <c r="P641" s="1373"/>
    </row>
    <row r="642" ht="15.75" customHeight="1">
      <c r="P642" s="1373"/>
    </row>
    <row r="643" ht="15.75" customHeight="1">
      <c r="P643" s="1373"/>
    </row>
    <row r="644" ht="15.75" customHeight="1">
      <c r="P644" s="1373"/>
    </row>
    <row r="645" ht="15.75" customHeight="1">
      <c r="P645" s="1373"/>
    </row>
    <row r="646" ht="15.75" customHeight="1">
      <c r="P646" s="1373"/>
    </row>
    <row r="647" ht="15.75" customHeight="1">
      <c r="P647" s="1373"/>
    </row>
    <row r="648" ht="15.75" customHeight="1">
      <c r="P648" s="1373"/>
    </row>
    <row r="649" ht="15.75" customHeight="1">
      <c r="P649" s="1373"/>
    </row>
    <row r="650" ht="15.75" customHeight="1">
      <c r="P650" s="1373"/>
    </row>
    <row r="651" ht="15.75" customHeight="1">
      <c r="P651" s="1373"/>
    </row>
    <row r="652" ht="15.75" customHeight="1">
      <c r="P652" s="1373"/>
    </row>
    <row r="653" ht="15.75" customHeight="1">
      <c r="P653" s="1373"/>
    </row>
    <row r="654" ht="15.75" customHeight="1">
      <c r="P654" s="1373"/>
    </row>
    <row r="655" ht="15.75" customHeight="1">
      <c r="P655" s="1373"/>
    </row>
    <row r="656" ht="15.75" customHeight="1">
      <c r="P656" s="1373"/>
    </row>
    <row r="657" ht="15.75" customHeight="1">
      <c r="P657" s="1373"/>
    </row>
    <row r="658" ht="15.75" customHeight="1">
      <c r="P658" s="1373"/>
    </row>
    <row r="659" ht="15.75" customHeight="1">
      <c r="P659" s="1373"/>
    </row>
    <row r="660" ht="15.75" customHeight="1">
      <c r="P660" s="1373"/>
    </row>
    <row r="661" ht="15.75" customHeight="1">
      <c r="P661" s="1373"/>
    </row>
    <row r="662" ht="15.75" customHeight="1">
      <c r="P662" s="1373"/>
    </row>
    <row r="663" ht="15.75" customHeight="1">
      <c r="P663" s="1373"/>
    </row>
    <row r="664" ht="15.75" customHeight="1">
      <c r="P664" s="1373"/>
    </row>
    <row r="665" ht="15.75" customHeight="1">
      <c r="P665" s="1373"/>
    </row>
    <row r="666" ht="15.75" customHeight="1">
      <c r="P666" s="1373"/>
    </row>
    <row r="667" ht="15.75" customHeight="1">
      <c r="P667" s="1373"/>
    </row>
    <row r="668" ht="15.75" customHeight="1">
      <c r="P668" s="1373"/>
    </row>
    <row r="669" ht="15.75" customHeight="1">
      <c r="P669" s="1373"/>
    </row>
    <row r="670" ht="15.75" customHeight="1">
      <c r="P670" s="1373"/>
    </row>
    <row r="671" ht="15.75" customHeight="1">
      <c r="P671" s="1373"/>
    </row>
    <row r="672" ht="15.75" customHeight="1">
      <c r="P672" s="1373"/>
    </row>
    <row r="673" ht="15.75" customHeight="1">
      <c r="P673" s="1373"/>
    </row>
    <row r="674" ht="15.75" customHeight="1">
      <c r="P674" s="1373"/>
    </row>
    <row r="675" ht="15.75" customHeight="1">
      <c r="P675" s="1373"/>
    </row>
    <row r="676" ht="15.75" customHeight="1">
      <c r="P676" s="1373"/>
    </row>
    <row r="677" ht="15.75" customHeight="1">
      <c r="P677" s="1373"/>
    </row>
    <row r="678" ht="15.75" customHeight="1">
      <c r="P678" s="1373"/>
    </row>
    <row r="679" ht="15.75" customHeight="1">
      <c r="P679" s="1373"/>
    </row>
    <row r="680" ht="15.75" customHeight="1">
      <c r="P680" s="1373"/>
    </row>
    <row r="681" ht="15.75" customHeight="1">
      <c r="P681" s="1373"/>
    </row>
    <row r="682" ht="15.75" customHeight="1">
      <c r="P682" s="1373"/>
    </row>
    <row r="683" ht="15.75" customHeight="1">
      <c r="P683" s="1373"/>
    </row>
    <row r="684" ht="15.75" customHeight="1">
      <c r="P684" s="1373"/>
    </row>
    <row r="685" ht="15.75" customHeight="1">
      <c r="P685" s="1373"/>
    </row>
    <row r="686" ht="15.75" customHeight="1">
      <c r="P686" s="1373"/>
    </row>
    <row r="687" ht="15.75" customHeight="1">
      <c r="P687" s="1373"/>
    </row>
    <row r="688" ht="15.75" customHeight="1">
      <c r="P688" s="1373"/>
    </row>
    <row r="689" ht="15.75" customHeight="1">
      <c r="P689" s="1373"/>
    </row>
    <row r="690" ht="15.75" customHeight="1">
      <c r="P690" s="1373"/>
    </row>
    <row r="691" ht="15.75" customHeight="1">
      <c r="P691" s="1373"/>
    </row>
    <row r="692" ht="15.75" customHeight="1">
      <c r="P692" s="1373"/>
    </row>
    <row r="693" ht="15.75" customHeight="1">
      <c r="P693" s="1373"/>
    </row>
    <row r="694" ht="15.75" customHeight="1">
      <c r="P694" s="1373"/>
    </row>
    <row r="695" ht="15.75" customHeight="1">
      <c r="P695" s="1373"/>
    </row>
    <row r="696" ht="15.75" customHeight="1">
      <c r="P696" s="1373"/>
    </row>
    <row r="697" ht="15.75" customHeight="1">
      <c r="P697" s="1373"/>
    </row>
    <row r="698" ht="15.75" customHeight="1">
      <c r="P698" s="1373"/>
    </row>
    <row r="699" ht="15.75" customHeight="1">
      <c r="P699" s="1373"/>
    </row>
    <row r="700" ht="15.75" customHeight="1">
      <c r="P700" s="1373"/>
    </row>
    <row r="701" ht="15.75" customHeight="1">
      <c r="P701" s="1373"/>
    </row>
    <row r="702" ht="15.75" customHeight="1">
      <c r="P702" s="1373"/>
    </row>
    <row r="703" ht="15.75" customHeight="1">
      <c r="P703" s="1373"/>
    </row>
    <row r="704" ht="15.75" customHeight="1">
      <c r="P704" s="1373"/>
    </row>
    <row r="705" ht="15.75" customHeight="1">
      <c r="P705" s="1373"/>
    </row>
    <row r="706" ht="15.75" customHeight="1">
      <c r="P706" s="1373"/>
    </row>
    <row r="707" ht="15.75" customHeight="1">
      <c r="P707" s="1373"/>
    </row>
    <row r="708" ht="15.75" customHeight="1">
      <c r="P708" s="1373"/>
    </row>
    <row r="709" ht="15.75" customHeight="1">
      <c r="P709" s="1373"/>
    </row>
    <row r="710" ht="15.75" customHeight="1">
      <c r="P710" s="1373"/>
    </row>
    <row r="711" ht="15.75" customHeight="1">
      <c r="P711" s="1373"/>
    </row>
    <row r="712" ht="15.75" customHeight="1">
      <c r="P712" s="1373"/>
    </row>
    <row r="713" ht="15.75" customHeight="1">
      <c r="P713" s="1373"/>
    </row>
    <row r="714" ht="15.75" customHeight="1">
      <c r="P714" s="1373"/>
    </row>
    <row r="715" ht="15.75" customHeight="1">
      <c r="P715" s="1373"/>
    </row>
    <row r="716" ht="15.75" customHeight="1">
      <c r="P716" s="1373"/>
    </row>
    <row r="717" ht="15.75" customHeight="1">
      <c r="P717" s="1373"/>
    </row>
    <row r="718" ht="15.75" customHeight="1">
      <c r="P718" s="1373"/>
    </row>
    <row r="719" ht="15.75" customHeight="1">
      <c r="P719" s="1373"/>
    </row>
    <row r="720" ht="15.75" customHeight="1">
      <c r="P720" s="1373"/>
    </row>
    <row r="721" ht="15.75" customHeight="1">
      <c r="P721" s="1373"/>
    </row>
    <row r="722" ht="15.75" customHeight="1">
      <c r="P722" s="1373"/>
    </row>
    <row r="723" ht="15.75" customHeight="1">
      <c r="P723" s="1373"/>
    </row>
    <row r="724" ht="15.75" customHeight="1">
      <c r="P724" s="1373"/>
    </row>
    <row r="725" ht="15.75" customHeight="1">
      <c r="P725" s="1373"/>
    </row>
    <row r="726" ht="15.75" customHeight="1">
      <c r="P726" s="1373"/>
    </row>
    <row r="727" ht="15.75" customHeight="1">
      <c r="P727" s="1373"/>
    </row>
    <row r="728" ht="15.75" customHeight="1">
      <c r="P728" s="1373"/>
    </row>
    <row r="729" ht="15.75" customHeight="1">
      <c r="P729" s="1373"/>
    </row>
    <row r="730" ht="15.75" customHeight="1">
      <c r="P730" s="1373"/>
    </row>
    <row r="731" ht="15.75" customHeight="1">
      <c r="P731" s="1373"/>
    </row>
    <row r="732" ht="15.75" customHeight="1">
      <c r="P732" s="1373"/>
    </row>
    <row r="733" ht="15.75" customHeight="1">
      <c r="P733" s="1373"/>
    </row>
    <row r="734" ht="15.75" customHeight="1">
      <c r="P734" s="1373"/>
    </row>
    <row r="735" ht="15.75" customHeight="1">
      <c r="P735" s="1373"/>
    </row>
    <row r="736" ht="15.75" customHeight="1">
      <c r="P736" s="1373"/>
    </row>
    <row r="737" ht="15.75" customHeight="1">
      <c r="P737" s="1373"/>
    </row>
    <row r="738" ht="15.75" customHeight="1">
      <c r="P738" s="1373"/>
    </row>
    <row r="739" ht="15.75" customHeight="1">
      <c r="P739" s="1373"/>
    </row>
    <row r="740" ht="15.75" customHeight="1">
      <c r="P740" s="1373"/>
    </row>
    <row r="741" ht="15.75" customHeight="1">
      <c r="P741" s="1373"/>
    </row>
    <row r="742" ht="15.75" customHeight="1">
      <c r="P742" s="1373"/>
    </row>
    <row r="743" ht="15.75" customHeight="1">
      <c r="P743" s="1373"/>
    </row>
    <row r="744" ht="15.75" customHeight="1">
      <c r="P744" s="1373"/>
    </row>
    <row r="745" ht="15.75" customHeight="1">
      <c r="P745" s="1373"/>
    </row>
    <row r="746" ht="15.75" customHeight="1">
      <c r="P746" s="1373"/>
    </row>
    <row r="747" ht="15.75" customHeight="1">
      <c r="P747" s="1373"/>
    </row>
    <row r="748" ht="15.75" customHeight="1">
      <c r="P748" s="1373"/>
    </row>
    <row r="749" ht="15.75" customHeight="1">
      <c r="P749" s="1373"/>
    </row>
    <row r="750" ht="15.75" customHeight="1">
      <c r="P750" s="1373"/>
    </row>
    <row r="751" ht="15.75" customHeight="1">
      <c r="P751" s="1373"/>
    </row>
    <row r="752" ht="15.75" customHeight="1">
      <c r="P752" s="1373"/>
    </row>
    <row r="753" ht="15.75" customHeight="1">
      <c r="P753" s="1373"/>
    </row>
    <row r="754" ht="15.75" customHeight="1">
      <c r="P754" s="1373"/>
    </row>
    <row r="755" ht="15.75" customHeight="1">
      <c r="P755" s="1373"/>
    </row>
    <row r="756" ht="15.75" customHeight="1">
      <c r="P756" s="1373"/>
    </row>
    <row r="757" ht="15.75" customHeight="1">
      <c r="P757" s="1373"/>
    </row>
    <row r="758" ht="15.75" customHeight="1">
      <c r="P758" s="1373"/>
    </row>
    <row r="759" ht="15.75" customHeight="1">
      <c r="P759" s="1373"/>
    </row>
    <row r="760" ht="15.75" customHeight="1">
      <c r="P760" s="1373"/>
    </row>
    <row r="761" ht="15.75" customHeight="1">
      <c r="P761" s="1373"/>
    </row>
    <row r="762" ht="15.75" customHeight="1">
      <c r="P762" s="1373"/>
    </row>
    <row r="763" ht="15.75" customHeight="1">
      <c r="P763" s="1373"/>
    </row>
    <row r="764" ht="15.75" customHeight="1">
      <c r="P764" s="1373"/>
    </row>
    <row r="765" ht="15.75" customHeight="1">
      <c r="P765" s="1373"/>
    </row>
    <row r="766" ht="15.75" customHeight="1">
      <c r="P766" s="1373"/>
    </row>
    <row r="767" ht="15.75" customHeight="1">
      <c r="P767" s="1373"/>
    </row>
    <row r="768" ht="15.75" customHeight="1">
      <c r="P768" s="1373"/>
    </row>
    <row r="769" ht="15.75" customHeight="1">
      <c r="P769" s="1373"/>
    </row>
    <row r="770" ht="15.75" customHeight="1">
      <c r="P770" s="1373"/>
    </row>
    <row r="771" ht="15.75" customHeight="1">
      <c r="P771" s="1373"/>
    </row>
    <row r="772" ht="15.75" customHeight="1">
      <c r="P772" s="1373"/>
    </row>
    <row r="773" ht="15.75" customHeight="1">
      <c r="P773" s="1373"/>
    </row>
    <row r="774" ht="15.75" customHeight="1">
      <c r="P774" s="1373"/>
    </row>
    <row r="775" ht="15.75" customHeight="1">
      <c r="P775" s="1373"/>
    </row>
    <row r="776" ht="15.75" customHeight="1">
      <c r="P776" s="1373"/>
    </row>
    <row r="777" ht="15.75" customHeight="1">
      <c r="P777" s="1373"/>
    </row>
    <row r="778" ht="15.75" customHeight="1">
      <c r="P778" s="1373"/>
    </row>
    <row r="779" ht="15.75" customHeight="1">
      <c r="P779" s="1373"/>
    </row>
    <row r="780" ht="15.75" customHeight="1">
      <c r="P780" s="1373"/>
    </row>
    <row r="781" ht="15.75" customHeight="1">
      <c r="P781" s="1373"/>
    </row>
    <row r="782" ht="15.75" customHeight="1">
      <c r="P782" s="1373"/>
    </row>
    <row r="783" ht="15.75" customHeight="1">
      <c r="P783" s="1373"/>
    </row>
    <row r="784" ht="15.75" customHeight="1">
      <c r="P784" s="1373"/>
    </row>
    <row r="785" ht="15.75" customHeight="1">
      <c r="P785" s="1373"/>
    </row>
    <row r="786" ht="15.75" customHeight="1">
      <c r="P786" s="1373"/>
    </row>
    <row r="787" ht="15.75" customHeight="1">
      <c r="P787" s="1373"/>
    </row>
    <row r="788" ht="15.75" customHeight="1">
      <c r="P788" s="1373"/>
    </row>
    <row r="789" ht="15.75" customHeight="1">
      <c r="P789" s="1373"/>
    </row>
    <row r="790" ht="15.75" customHeight="1">
      <c r="P790" s="1373"/>
    </row>
    <row r="791" ht="15.75" customHeight="1">
      <c r="P791" s="1373"/>
    </row>
    <row r="792" ht="15.75" customHeight="1">
      <c r="P792" s="1373"/>
    </row>
    <row r="793" ht="15.75" customHeight="1">
      <c r="P793" s="1373"/>
    </row>
    <row r="794" ht="15.75" customHeight="1">
      <c r="P794" s="1373"/>
    </row>
    <row r="795" ht="15.75" customHeight="1">
      <c r="P795" s="1373"/>
    </row>
    <row r="796" ht="15.75" customHeight="1">
      <c r="P796" s="1373"/>
    </row>
    <row r="797" ht="15.75" customHeight="1">
      <c r="P797" s="1373"/>
    </row>
    <row r="798" ht="15.75" customHeight="1">
      <c r="P798" s="1373"/>
    </row>
    <row r="799" ht="15.75" customHeight="1">
      <c r="P799" s="1373"/>
    </row>
    <row r="800" ht="15.75" customHeight="1">
      <c r="P800" s="1373"/>
    </row>
    <row r="801" ht="15.75" customHeight="1">
      <c r="P801" s="1373"/>
    </row>
    <row r="802" ht="15.75" customHeight="1">
      <c r="P802" s="1373"/>
    </row>
    <row r="803" ht="15.75" customHeight="1">
      <c r="P803" s="1373"/>
    </row>
    <row r="804" ht="15.75" customHeight="1">
      <c r="P804" s="1373"/>
    </row>
    <row r="805" ht="15.75" customHeight="1">
      <c r="P805" s="1373"/>
    </row>
    <row r="806" ht="15.75" customHeight="1">
      <c r="P806" s="1373"/>
    </row>
    <row r="807" ht="15.75" customHeight="1">
      <c r="P807" s="1373"/>
    </row>
    <row r="808" ht="15.75" customHeight="1">
      <c r="P808" s="1373"/>
    </row>
    <row r="809" ht="15.75" customHeight="1">
      <c r="P809" s="1373"/>
    </row>
    <row r="810" ht="15.75" customHeight="1">
      <c r="P810" s="1373"/>
    </row>
    <row r="811" ht="15.75" customHeight="1">
      <c r="P811" s="1373"/>
    </row>
    <row r="812" ht="15.75" customHeight="1">
      <c r="P812" s="1373"/>
    </row>
    <row r="813" ht="15.75" customHeight="1">
      <c r="P813" s="1373"/>
    </row>
    <row r="814" ht="15.75" customHeight="1">
      <c r="P814" s="1373"/>
    </row>
    <row r="815" ht="15.75" customHeight="1">
      <c r="P815" s="1373"/>
    </row>
    <row r="816" ht="15.75" customHeight="1">
      <c r="P816" s="1373"/>
    </row>
    <row r="817" ht="15.75" customHeight="1">
      <c r="P817" s="1373"/>
    </row>
    <row r="818" ht="15.75" customHeight="1">
      <c r="P818" s="1373"/>
    </row>
    <row r="819" ht="15.75" customHeight="1">
      <c r="P819" s="1373"/>
    </row>
    <row r="820" ht="15.75" customHeight="1">
      <c r="P820" s="1373"/>
    </row>
    <row r="821" ht="15.75" customHeight="1">
      <c r="P821" s="1373"/>
    </row>
    <row r="822" ht="15.75" customHeight="1">
      <c r="P822" s="1373"/>
    </row>
    <row r="823" ht="15.75" customHeight="1">
      <c r="P823" s="1373"/>
    </row>
    <row r="824" ht="15.75" customHeight="1">
      <c r="P824" s="1373"/>
    </row>
    <row r="825" ht="15.75" customHeight="1">
      <c r="P825" s="1373"/>
    </row>
    <row r="826" ht="15.75" customHeight="1">
      <c r="P826" s="1373"/>
    </row>
    <row r="827" ht="15.75" customHeight="1">
      <c r="P827" s="1373"/>
    </row>
    <row r="828" ht="15.75" customHeight="1">
      <c r="P828" s="1373"/>
    </row>
    <row r="829" ht="15.75" customHeight="1">
      <c r="P829" s="1373"/>
    </row>
    <row r="830" ht="15.75" customHeight="1">
      <c r="P830" s="1373"/>
    </row>
    <row r="831" ht="15.75" customHeight="1">
      <c r="P831" s="1373"/>
    </row>
    <row r="832" ht="15.75" customHeight="1">
      <c r="P832" s="1373"/>
    </row>
    <row r="833" ht="15.75" customHeight="1">
      <c r="P833" s="1373"/>
    </row>
    <row r="834" ht="15.75" customHeight="1">
      <c r="P834" s="1373"/>
    </row>
    <row r="835" ht="15.75" customHeight="1">
      <c r="P835" s="1373"/>
    </row>
    <row r="836" ht="15.75" customHeight="1">
      <c r="P836" s="1373"/>
    </row>
    <row r="837" ht="15.75" customHeight="1">
      <c r="P837" s="1373"/>
    </row>
    <row r="838" ht="15.75" customHeight="1">
      <c r="P838" s="1373"/>
    </row>
    <row r="839" ht="15.75" customHeight="1">
      <c r="P839" s="1373"/>
    </row>
    <row r="840" ht="15.75" customHeight="1">
      <c r="P840" s="1373"/>
    </row>
    <row r="841" ht="15.75" customHeight="1">
      <c r="P841" s="1373"/>
    </row>
    <row r="842" ht="15.75" customHeight="1">
      <c r="P842" s="1373"/>
    </row>
    <row r="843" ht="15.75" customHeight="1">
      <c r="P843" s="1373"/>
    </row>
    <row r="844" ht="15.75" customHeight="1">
      <c r="P844" s="1373"/>
    </row>
    <row r="845" ht="15.75" customHeight="1">
      <c r="P845" s="1373"/>
    </row>
    <row r="846" ht="15.75" customHeight="1">
      <c r="P846" s="1373"/>
    </row>
    <row r="847" ht="15.75" customHeight="1">
      <c r="P847" s="1373"/>
    </row>
    <row r="848" ht="15.75" customHeight="1">
      <c r="P848" s="1373"/>
    </row>
    <row r="849" ht="15.75" customHeight="1">
      <c r="P849" s="1373"/>
    </row>
    <row r="850" ht="15.75" customHeight="1">
      <c r="P850" s="1373"/>
    </row>
    <row r="851" ht="15.75" customHeight="1">
      <c r="P851" s="1373"/>
    </row>
    <row r="852" ht="15.75" customHeight="1">
      <c r="P852" s="1373"/>
    </row>
    <row r="853" ht="15.75" customHeight="1">
      <c r="P853" s="1373"/>
    </row>
    <row r="854" ht="15.75" customHeight="1">
      <c r="P854" s="1373"/>
    </row>
    <row r="855" ht="15.75" customHeight="1">
      <c r="P855" s="1373"/>
    </row>
    <row r="856" ht="15.75" customHeight="1">
      <c r="P856" s="1373"/>
    </row>
    <row r="857" ht="15.75" customHeight="1">
      <c r="P857" s="1373"/>
    </row>
    <row r="858" ht="15.75" customHeight="1">
      <c r="P858" s="1373"/>
    </row>
    <row r="859" ht="15.75" customHeight="1">
      <c r="P859" s="1373"/>
    </row>
    <row r="860" ht="15.75" customHeight="1">
      <c r="P860" s="1373"/>
    </row>
    <row r="861" ht="15.75" customHeight="1">
      <c r="P861" s="1373"/>
    </row>
    <row r="862" ht="15.75" customHeight="1">
      <c r="P862" s="1373"/>
    </row>
    <row r="863" ht="15.75" customHeight="1">
      <c r="P863" s="1373"/>
    </row>
    <row r="864" ht="15.75" customHeight="1">
      <c r="P864" s="1373"/>
    </row>
    <row r="865" ht="15.75" customHeight="1">
      <c r="P865" s="1373"/>
    </row>
    <row r="866" ht="15.75" customHeight="1">
      <c r="P866" s="1373"/>
    </row>
    <row r="867" ht="15.75" customHeight="1">
      <c r="P867" s="1373"/>
    </row>
    <row r="868" ht="15.75" customHeight="1">
      <c r="P868" s="1373"/>
    </row>
    <row r="869" ht="15.75" customHeight="1">
      <c r="P869" s="1373"/>
    </row>
    <row r="870" ht="15.75" customHeight="1">
      <c r="P870" s="1373"/>
    </row>
    <row r="871" ht="15.75" customHeight="1">
      <c r="P871" s="1373"/>
    </row>
    <row r="872" ht="15.75" customHeight="1">
      <c r="P872" s="1373"/>
    </row>
    <row r="873" ht="15.75" customHeight="1">
      <c r="P873" s="1373"/>
    </row>
    <row r="874" ht="15.75" customHeight="1">
      <c r="P874" s="1373"/>
    </row>
    <row r="875" ht="15.75" customHeight="1">
      <c r="P875" s="1373"/>
    </row>
    <row r="876" ht="15.75" customHeight="1">
      <c r="P876" s="1373"/>
    </row>
    <row r="877" ht="15.75" customHeight="1">
      <c r="P877" s="1373"/>
    </row>
    <row r="878" ht="15.75" customHeight="1">
      <c r="P878" s="1373"/>
    </row>
    <row r="879" ht="15.75" customHeight="1">
      <c r="P879" s="1373"/>
    </row>
    <row r="880" ht="15.75" customHeight="1">
      <c r="P880" s="1373"/>
    </row>
    <row r="881" ht="15.75" customHeight="1">
      <c r="P881" s="1373"/>
    </row>
    <row r="882" ht="15.75" customHeight="1">
      <c r="P882" s="1373"/>
    </row>
    <row r="883" ht="15.75" customHeight="1">
      <c r="P883" s="1373"/>
    </row>
    <row r="884" ht="15.75" customHeight="1">
      <c r="P884" s="1373"/>
    </row>
    <row r="885" ht="15.75" customHeight="1">
      <c r="P885" s="1373"/>
    </row>
    <row r="886" ht="15.75" customHeight="1">
      <c r="P886" s="1373"/>
    </row>
    <row r="887" ht="15.75" customHeight="1">
      <c r="P887" s="1373"/>
    </row>
    <row r="888" ht="15.75" customHeight="1">
      <c r="P888" s="1373"/>
    </row>
    <row r="889" ht="15.75" customHeight="1">
      <c r="P889" s="1373"/>
    </row>
    <row r="890" ht="15.75" customHeight="1">
      <c r="P890" s="1373"/>
    </row>
    <row r="891" ht="15.75" customHeight="1">
      <c r="P891" s="1373"/>
    </row>
    <row r="892" ht="15.75" customHeight="1">
      <c r="P892" s="1373"/>
    </row>
    <row r="893" ht="15.75" customHeight="1">
      <c r="P893" s="1373"/>
    </row>
    <row r="894" ht="15.75" customHeight="1">
      <c r="P894" s="1373"/>
    </row>
    <row r="895" ht="15.75" customHeight="1">
      <c r="P895" s="1373"/>
    </row>
    <row r="896" ht="15.75" customHeight="1">
      <c r="P896" s="1373"/>
    </row>
    <row r="897" ht="15.75" customHeight="1">
      <c r="P897" s="1373"/>
    </row>
    <row r="898" ht="15.75" customHeight="1">
      <c r="P898" s="1373"/>
    </row>
    <row r="899" ht="15.75" customHeight="1">
      <c r="P899" s="1373"/>
    </row>
    <row r="900" ht="15.75" customHeight="1">
      <c r="P900" s="1373"/>
    </row>
    <row r="901" ht="15.75" customHeight="1">
      <c r="P901" s="1373"/>
    </row>
    <row r="902" ht="15.75" customHeight="1">
      <c r="P902" s="1373"/>
    </row>
    <row r="903" ht="15.75" customHeight="1">
      <c r="P903" s="1373"/>
    </row>
    <row r="904" ht="15.75" customHeight="1">
      <c r="P904" s="1373"/>
    </row>
    <row r="905" ht="15.75" customHeight="1">
      <c r="P905" s="1373"/>
    </row>
    <row r="906" ht="15.75" customHeight="1">
      <c r="P906" s="1373"/>
    </row>
    <row r="907" ht="15.75" customHeight="1">
      <c r="P907" s="1373"/>
    </row>
    <row r="908" ht="15.75" customHeight="1">
      <c r="P908" s="1373"/>
    </row>
    <row r="909" ht="15.75" customHeight="1">
      <c r="P909" s="1373"/>
    </row>
    <row r="910" ht="15.75" customHeight="1">
      <c r="P910" s="1373"/>
    </row>
    <row r="911" ht="15.75" customHeight="1">
      <c r="P911" s="1373"/>
    </row>
    <row r="912" ht="15.75" customHeight="1">
      <c r="P912" s="1373"/>
    </row>
    <row r="913" ht="15.75" customHeight="1">
      <c r="P913" s="1373"/>
    </row>
    <row r="914" ht="15.75" customHeight="1">
      <c r="P914" s="1373"/>
    </row>
    <row r="915" ht="15.75" customHeight="1">
      <c r="P915" s="1373"/>
    </row>
    <row r="916" ht="15.75" customHeight="1">
      <c r="P916" s="1373"/>
    </row>
    <row r="917" ht="15.75" customHeight="1">
      <c r="P917" s="1373"/>
    </row>
    <row r="918" ht="15.75" customHeight="1">
      <c r="P918" s="1373"/>
    </row>
    <row r="919" ht="15.75" customHeight="1">
      <c r="P919" s="1373"/>
    </row>
    <row r="920" ht="15.75" customHeight="1">
      <c r="P920" s="1373"/>
    </row>
    <row r="921" ht="15.75" customHeight="1">
      <c r="P921" s="1373"/>
    </row>
    <row r="922" ht="15.75" customHeight="1">
      <c r="P922" s="1373"/>
    </row>
    <row r="923" ht="15.75" customHeight="1">
      <c r="P923" s="1373"/>
    </row>
    <row r="924" ht="15.75" customHeight="1">
      <c r="P924" s="1373"/>
    </row>
    <row r="925" ht="15.75" customHeight="1">
      <c r="P925" s="1373"/>
    </row>
    <row r="926" ht="15.75" customHeight="1">
      <c r="P926" s="1373"/>
    </row>
    <row r="927" ht="15.75" customHeight="1">
      <c r="P927" s="1373"/>
    </row>
    <row r="928" ht="15.75" customHeight="1">
      <c r="P928" s="1373"/>
    </row>
    <row r="929" ht="15.75" customHeight="1">
      <c r="P929" s="1373"/>
    </row>
    <row r="930" ht="15.75" customHeight="1">
      <c r="P930" s="1373"/>
    </row>
    <row r="931" ht="15.75" customHeight="1">
      <c r="P931" s="1373"/>
    </row>
    <row r="932" ht="15.75" customHeight="1">
      <c r="P932" s="1373"/>
    </row>
    <row r="933" ht="15.75" customHeight="1">
      <c r="P933" s="1373"/>
    </row>
    <row r="934" ht="15.75" customHeight="1">
      <c r="P934" s="1373"/>
    </row>
    <row r="935" ht="15.75" customHeight="1">
      <c r="P935" s="1373"/>
    </row>
    <row r="936" ht="15.75" customHeight="1">
      <c r="P936" s="1373"/>
    </row>
    <row r="937" ht="15.75" customHeight="1">
      <c r="P937" s="1373"/>
    </row>
    <row r="938" ht="15.75" customHeight="1">
      <c r="P938" s="1373"/>
    </row>
    <row r="939" ht="15.75" customHeight="1">
      <c r="P939" s="1373"/>
    </row>
    <row r="940" ht="15.75" customHeight="1">
      <c r="P940" s="1373"/>
    </row>
    <row r="941" ht="15.75" customHeight="1">
      <c r="P941" s="1373"/>
    </row>
    <row r="942" ht="15.75" customHeight="1">
      <c r="P942" s="1373"/>
    </row>
    <row r="943" ht="15.75" customHeight="1">
      <c r="P943" s="1373"/>
    </row>
    <row r="944" ht="15.75" customHeight="1">
      <c r="P944" s="1373"/>
    </row>
    <row r="945" ht="15.75" customHeight="1">
      <c r="P945" s="1373"/>
    </row>
    <row r="946" ht="15.75" customHeight="1">
      <c r="P946" s="1373"/>
    </row>
    <row r="947" ht="15.75" customHeight="1">
      <c r="P947" s="1373"/>
    </row>
    <row r="948" ht="15.75" customHeight="1">
      <c r="P948" s="1373"/>
    </row>
    <row r="949" ht="15.75" customHeight="1">
      <c r="P949" s="1373"/>
    </row>
    <row r="950" ht="15.75" customHeight="1">
      <c r="P950" s="1373"/>
    </row>
    <row r="951" ht="15.75" customHeight="1">
      <c r="P951" s="1373"/>
    </row>
    <row r="952" ht="15.75" customHeight="1">
      <c r="P952" s="1373"/>
    </row>
    <row r="953" ht="15.75" customHeight="1">
      <c r="P953" s="1373"/>
    </row>
    <row r="954" ht="15.75" customHeight="1">
      <c r="P954" s="1373"/>
    </row>
    <row r="955" ht="15.75" customHeight="1">
      <c r="P955" s="1373"/>
    </row>
    <row r="956" ht="15.75" customHeight="1">
      <c r="P956" s="1373"/>
    </row>
    <row r="957" ht="15.75" customHeight="1">
      <c r="P957" s="1373"/>
    </row>
    <row r="958" ht="15.75" customHeight="1">
      <c r="P958" s="1373"/>
    </row>
    <row r="959" ht="15.75" customHeight="1">
      <c r="P959" s="1373"/>
    </row>
    <row r="960" ht="15.75" customHeight="1">
      <c r="P960" s="1373"/>
    </row>
    <row r="961" ht="15.75" customHeight="1">
      <c r="P961" s="1373"/>
    </row>
    <row r="962" ht="15.75" customHeight="1">
      <c r="P962" s="1373"/>
    </row>
    <row r="963" ht="15.75" customHeight="1">
      <c r="P963" s="1373"/>
    </row>
    <row r="964" ht="15.75" customHeight="1">
      <c r="P964" s="1373"/>
    </row>
    <row r="965" ht="15.75" customHeight="1">
      <c r="P965" s="1373"/>
    </row>
    <row r="966" ht="15.75" customHeight="1">
      <c r="P966" s="1373"/>
    </row>
    <row r="967" ht="15.75" customHeight="1">
      <c r="P967" s="1373"/>
    </row>
    <row r="968" ht="15.75" customHeight="1">
      <c r="P968" s="1373"/>
    </row>
    <row r="969" ht="15.75" customHeight="1">
      <c r="P969" s="1373"/>
    </row>
    <row r="970" ht="15.75" customHeight="1">
      <c r="P970" s="1373"/>
    </row>
    <row r="971" ht="15.75" customHeight="1">
      <c r="P971" s="1373"/>
    </row>
    <row r="972" ht="15.75" customHeight="1">
      <c r="P972" s="1373"/>
    </row>
    <row r="973" ht="15.75" customHeight="1">
      <c r="P973" s="1373"/>
    </row>
    <row r="974" ht="15.75" customHeight="1">
      <c r="P974" s="1373"/>
    </row>
    <row r="975" ht="15.75" customHeight="1">
      <c r="P975" s="1373"/>
    </row>
    <row r="976" ht="15.75" customHeight="1">
      <c r="P976" s="1373"/>
    </row>
    <row r="977" ht="15.75" customHeight="1">
      <c r="P977" s="1373"/>
    </row>
    <row r="978" ht="15.75" customHeight="1">
      <c r="P978" s="1373"/>
    </row>
    <row r="979" ht="15.75" customHeight="1">
      <c r="P979" s="1373"/>
    </row>
    <row r="980" ht="15.75" customHeight="1">
      <c r="P980" s="1373"/>
    </row>
    <row r="981" ht="15.75" customHeight="1">
      <c r="P981" s="1373"/>
    </row>
    <row r="982" ht="15.75" customHeight="1">
      <c r="P982" s="1373"/>
    </row>
    <row r="983" ht="15.75" customHeight="1">
      <c r="P983" s="1373"/>
    </row>
    <row r="984" ht="15.75" customHeight="1">
      <c r="P984" s="1373"/>
    </row>
    <row r="985" ht="15.75" customHeight="1">
      <c r="P985" s="1373"/>
    </row>
    <row r="986" ht="15.75" customHeight="1">
      <c r="P986" s="1373"/>
    </row>
    <row r="987" ht="15.75" customHeight="1">
      <c r="P987" s="1373"/>
    </row>
    <row r="988" ht="15.75" customHeight="1">
      <c r="P988" s="1373"/>
    </row>
    <row r="989" ht="15.75" customHeight="1">
      <c r="P989" s="1373"/>
    </row>
    <row r="990" ht="15.75" customHeight="1">
      <c r="P990" s="1373"/>
    </row>
    <row r="991" ht="15.75" customHeight="1">
      <c r="P991" s="1373"/>
    </row>
    <row r="992" ht="15.75" customHeight="1">
      <c r="P992" s="1373"/>
    </row>
    <row r="993" ht="15.75" customHeight="1">
      <c r="P993" s="1373"/>
    </row>
    <row r="994" ht="15.75" customHeight="1">
      <c r="P994" s="1373"/>
    </row>
    <row r="995" ht="15.75" customHeight="1">
      <c r="P995" s="1373"/>
    </row>
    <row r="996" ht="15.75" customHeight="1">
      <c r="P996" s="1373"/>
    </row>
    <row r="997" ht="15.75" customHeight="1">
      <c r="P997" s="1373"/>
    </row>
    <row r="998" ht="15.75" customHeight="1">
      <c r="P998" s="1373"/>
    </row>
    <row r="999" ht="15.75" customHeight="1">
      <c r="P999" s="1373"/>
    </row>
    <row r="1000" ht="15.75" customHeight="1">
      <c r="P1000" s="1373"/>
    </row>
  </sheetData>
  <mergeCells count="1">
    <mergeCell ref="S45:T45"/>
  </mergeCells>
  <conditionalFormatting sqref="J1">
    <cfRule type="expression" dxfId="2" priority="1" stopIfTrue="1">
      <formula>MOD(ROW(),2)=0</formula>
    </cfRule>
  </conditionalFormatting>
  <conditionalFormatting sqref="V1">
    <cfRule type="expression" dxfId="2" priority="2" stopIfTrue="1">
      <formula>MOD(ROW(),2)=0</formula>
    </cfRule>
  </conditionalFormatting>
  <hyperlinks>
    <hyperlink r:id="rId1" ref="B10"/>
    <hyperlink r:id="rId2" ref="B25"/>
    <hyperlink r:id="rId3" ref="B41"/>
  </hyperlinks>
  <printOptions/>
  <pageMargins bottom="0.45" footer="0.0" header="0.0" left="0.25" right="0.25" top="0.5"/>
  <pageSetup orientation="landscape"/>
  <headerFooter>
    <oddHeader>&amp;L &amp;C &amp;R </oddHeader>
    <oddFooter>&amp;L&amp;D  at &amp;T Mike 702.486.8879&amp;C&amp;F  &amp;A&amp;RPage &amp;P of </oddFooter>
  </headerFooter>
  <rowBreaks count="4" manualBreakCount="4">
    <brk id="121" man="1"/>
    <brk id="76" man="1"/>
    <brk id="429" man="1"/>
    <brk id="302" man="1"/>
  </rowBrea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6.29"/>
    <col customWidth="1" min="2" max="2" width="31.71"/>
    <col customWidth="1" min="3" max="4" width="11.29"/>
    <col customWidth="1" min="5" max="9" width="8.86"/>
    <col customWidth="1" min="10" max="10" width="14.71"/>
    <col customWidth="1" min="11" max="11" width="2.29"/>
    <col customWidth="1" min="12" max="12" width="4.71"/>
    <col customWidth="1" min="13" max="13" width="47.71"/>
    <col customWidth="1" min="14" max="26" width="8.86"/>
  </cols>
  <sheetData>
    <row r="1" ht="15.75" customHeight="1">
      <c r="A1" s="2" t="s">
        <v>79</v>
      </c>
      <c r="B1" s="2"/>
      <c r="C1" s="2"/>
      <c r="D1" s="2"/>
      <c r="E1" s="2"/>
      <c r="F1" s="2"/>
      <c r="M1" s="25"/>
    </row>
    <row r="2" ht="15.75" customHeight="1">
      <c r="A2" s="3" t="str">
        <f>SchoolName</f>
        <v>Explore Knowledge Academy</v>
      </c>
      <c r="B2" s="3"/>
      <c r="C2" s="3"/>
      <c r="D2" s="3"/>
      <c r="E2" s="26"/>
      <c r="F2" s="26"/>
      <c r="M2" s="25"/>
    </row>
    <row r="3" ht="15.75" customHeight="1">
      <c r="A3" s="4" t="s">
        <v>2</v>
      </c>
      <c r="B3" s="4"/>
      <c r="C3" s="4"/>
      <c r="D3" s="4"/>
      <c r="M3" s="25"/>
    </row>
    <row r="4" ht="15.75" customHeight="1">
      <c r="A4" s="6" t="str">
        <f>CELL("filename")</f>
        <v>#N/A</v>
      </c>
      <c r="B4" s="6"/>
      <c r="C4" s="6"/>
      <c r="D4" s="6"/>
      <c r="M4" s="25"/>
    </row>
    <row r="5" ht="15.75" customHeight="1">
      <c r="A5" s="27" t="s">
        <v>80</v>
      </c>
      <c r="B5" s="28"/>
      <c r="C5" s="28"/>
      <c r="D5" s="28"/>
      <c r="M5" s="25"/>
    </row>
    <row r="6" ht="15.75" customHeight="1">
      <c r="A6" s="28"/>
      <c r="B6" s="28"/>
      <c r="C6" s="29" t="s">
        <v>81</v>
      </c>
      <c r="D6" s="29" t="s">
        <v>81</v>
      </c>
      <c r="E6" s="30"/>
      <c r="F6" s="30"/>
      <c r="M6" s="25"/>
    </row>
    <row r="7" ht="15.75" customHeight="1">
      <c r="A7" s="28"/>
      <c r="B7" s="31"/>
      <c r="C7" s="32" t="s">
        <v>82</v>
      </c>
      <c r="D7" s="32" t="s">
        <v>83</v>
      </c>
      <c r="E7" s="33" t="s">
        <v>84</v>
      </c>
      <c r="F7" s="34"/>
      <c r="G7" s="35"/>
      <c r="H7" s="35"/>
      <c r="I7" s="35"/>
      <c r="J7" s="35"/>
      <c r="M7" s="36" t="s">
        <v>85</v>
      </c>
    </row>
    <row r="8" ht="18.0" customHeight="1">
      <c r="A8" s="28"/>
      <c r="B8" s="27" t="s">
        <v>86</v>
      </c>
      <c r="C8" s="37" t="s">
        <v>87</v>
      </c>
      <c r="D8" s="28"/>
      <c r="F8" s="38"/>
      <c r="G8" s="38"/>
      <c r="H8" s="38"/>
      <c r="I8" s="39"/>
      <c r="J8" s="39"/>
      <c r="M8" s="40"/>
      <c r="S8" s="5"/>
    </row>
    <row r="9" ht="18.0" customHeight="1">
      <c r="A9" s="41">
        <f t="shared" ref="A9:A35" si="1">ROW()</f>
        <v>9</v>
      </c>
      <c r="B9" s="42" t="s">
        <v>88</v>
      </c>
      <c r="C9" s="43" t="s">
        <v>89</v>
      </c>
      <c r="D9" s="44"/>
      <c r="E9" s="45" t="s">
        <v>90</v>
      </c>
      <c r="F9" s="46"/>
      <c r="G9" s="46"/>
      <c r="H9" s="46"/>
      <c r="I9" s="47"/>
      <c r="J9" s="47"/>
      <c r="M9" s="40"/>
      <c r="S9" s="5"/>
    </row>
    <row r="10" ht="18.0" customHeight="1">
      <c r="A10" s="41">
        <f t="shared" si="1"/>
        <v>10</v>
      </c>
      <c r="B10" s="48" t="s">
        <v>91</v>
      </c>
      <c r="C10" s="44"/>
      <c r="D10" s="44"/>
      <c r="E10" s="49"/>
      <c r="F10" s="50"/>
      <c r="G10" s="50"/>
      <c r="H10" s="50"/>
      <c r="I10" s="51"/>
      <c r="J10" s="51"/>
      <c r="M10" s="40" t="s">
        <v>92</v>
      </c>
      <c r="S10" s="5"/>
    </row>
    <row r="11" ht="18.0" customHeight="1">
      <c r="A11" s="41">
        <f t="shared" si="1"/>
        <v>11</v>
      </c>
      <c r="B11" s="48" t="s">
        <v>93</v>
      </c>
      <c r="C11" s="44"/>
      <c r="D11" s="44"/>
      <c r="E11" s="52"/>
      <c r="G11" s="50"/>
      <c r="H11" s="50"/>
      <c r="I11" s="51"/>
      <c r="J11" s="51"/>
      <c r="M11" s="40"/>
      <c r="S11" s="5"/>
    </row>
    <row r="12" ht="18.0" customHeight="1">
      <c r="A12" s="41">
        <f t="shared" si="1"/>
        <v>12</v>
      </c>
      <c r="B12" s="48" t="s">
        <v>94</v>
      </c>
      <c r="C12" s="43" t="s">
        <v>89</v>
      </c>
      <c r="D12" s="44"/>
      <c r="E12" s="49" t="s">
        <v>95</v>
      </c>
      <c r="F12" s="50"/>
      <c r="G12" s="50"/>
      <c r="H12" s="50"/>
      <c r="I12" s="51"/>
      <c r="J12" s="51"/>
      <c r="M12" s="40"/>
      <c r="S12" s="5"/>
    </row>
    <row r="13" ht="18.0" customHeight="1">
      <c r="A13" s="41">
        <f t="shared" si="1"/>
        <v>13</v>
      </c>
      <c r="B13" s="48" t="s">
        <v>96</v>
      </c>
      <c r="C13" s="53"/>
      <c r="D13" s="44"/>
      <c r="E13" s="52"/>
      <c r="F13" s="50"/>
      <c r="G13" s="50"/>
      <c r="H13" s="50"/>
      <c r="I13" s="51"/>
      <c r="J13" s="51"/>
      <c r="M13" s="40"/>
      <c r="S13" s="5"/>
    </row>
    <row r="14" ht="18.0" customHeight="1">
      <c r="A14" s="41">
        <f t="shared" si="1"/>
        <v>14</v>
      </c>
      <c r="B14" s="48" t="s">
        <v>97</v>
      </c>
      <c r="C14" s="43" t="s">
        <v>89</v>
      </c>
      <c r="D14" s="44"/>
      <c r="E14" s="49" t="s">
        <v>98</v>
      </c>
      <c r="F14" s="50"/>
      <c r="G14" s="50"/>
      <c r="H14" s="50"/>
      <c r="I14" s="51"/>
      <c r="J14" s="51"/>
      <c r="M14" s="40"/>
      <c r="S14" s="5"/>
    </row>
    <row r="15" ht="18.0" customHeight="1">
      <c r="A15" s="41">
        <f t="shared" si="1"/>
        <v>15</v>
      </c>
      <c r="B15" s="48" t="s">
        <v>99</v>
      </c>
      <c r="C15" s="54" t="s">
        <v>89</v>
      </c>
      <c r="D15" s="44"/>
      <c r="E15" s="49" t="s">
        <v>100</v>
      </c>
      <c r="F15" s="50"/>
      <c r="G15" s="50"/>
      <c r="H15" s="50"/>
      <c r="I15" s="51"/>
      <c r="J15" s="51"/>
      <c r="M15" s="40"/>
      <c r="S15" s="5"/>
    </row>
    <row r="16" ht="18.0" customHeight="1">
      <c r="A16" s="41">
        <f t="shared" si="1"/>
        <v>16</v>
      </c>
      <c r="B16" s="48" t="s">
        <v>101</v>
      </c>
      <c r="C16" s="43" t="s">
        <v>89</v>
      </c>
      <c r="D16" s="44"/>
      <c r="E16" s="49" t="s">
        <v>102</v>
      </c>
      <c r="F16" s="50"/>
      <c r="G16" s="50"/>
      <c r="H16" s="50"/>
      <c r="I16" s="51"/>
      <c r="J16" s="51"/>
      <c r="M16" s="40"/>
      <c r="S16" s="5"/>
    </row>
    <row r="17" ht="18.0" customHeight="1">
      <c r="A17" s="41">
        <f t="shared" si="1"/>
        <v>17</v>
      </c>
      <c r="B17" s="48" t="s">
        <v>103</v>
      </c>
      <c r="C17" s="54" t="s">
        <v>89</v>
      </c>
      <c r="D17" s="44"/>
      <c r="E17" s="49" t="s">
        <v>104</v>
      </c>
      <c r="M17" s="40"/>
      <c r="S17" s="5"/>
    </row>
    <row r="18" ht="21.75" customHeight="1">
      <c r="A18" s="41">
        <f t="shared" si="1"/>
        <v>18</v>
      </c>
      <c r="B18" s="48" t="s">
        <v>105</v>
      </c>
      <c r="C18" s="43" t="s">
        <v>89</v>
      </c>
      <c r="D18" s="44"/>
      <c r="E18" s="49" t="s">
        <v>106</v>
      </c>
      <c r="F18" s="50"/>
      <c r="G18" s="50"/>
      <c r="H18" s="50"/>
      <c r="I18" s="51"/>
      <c r="J18" s="51"/>
      <c r="M18" s="40"/>
      <c r="S18" s="5"/>
    </row>
    <row r="19" ht="18.0" customHeight="1">
      <c r="A19" s="41">
        <f t="shared" si="1"/>
        <v>19</v>
      </c>
      <c r="B19" s="48" t="s">
        <v>107</v>
      </c>
      <c r="C19" s="54" t="s">
        <v>89</v>
      </c>
      <c r="D19" s="44"/>
      <c r="E19" s="49" t="s">
        <v>108</v>
      </c>
      <c r="F19" s="50"/>
      <c r="G19" s="50"/>
      <c r="H19" s="50"/>
      <c r="I19" s="51"/>
      <c r="J19" s="51"/>
      <c r="M19" s="40"/>
      <c r="S19" s="5"/>
    </row>
    <row r="20" ht="33.0" customHeight="1">
      <c r="A20" s="41">
        <f t="shared" si="1"/>
        <v>20</v>
      </c>
      <c r="B20" s="55" t="s">
        <v>109</v>
      </c>
      <c r="C20" s="54" t="s">
        <v>89</v>
      </c>
      <c r="D20" s="44"/>
      <c r="E20" s="49" t="s">
        <v>110</v>
      </c>
      <c r="F20" s="50"/>
      <c r="G20" s="50"/>
      <c r="H20" s="50"/>
      <c r="I20" s="51"/>
      <c r="J20" s="51"/>
      <c r="M20" s="40"/>
      <c r="S20" s="5"/>
    </row>
    <row r="21" ht="15.75" customHeight="1">
      <c r="A21" s="41">
        <f t="shared" si="1"/>
        <v>21</v>
      </c>
      <c r="B21" s="48" t="s">
        <v>111</v>
      </c>
      <c r="C21" s="43" t="s">
        <v>89</v>
      </c>
      <c r="D21" s="44"/>
      <c r="E21" s="56" t="s">
        <v>112</v>
      </c>
      <c r="M21" s="40"/>
      <c r="S21" s="5"/>
    </row>
    <row r="22" ht="18.0" customHeight="1">
      <c r="A22" s="41">
        <f t="shared" si="1"/>
        <v>22</v>
      </c>
      <c r="B22" s="48" t="s">
        <v>113</v>
      </c>
      <c r="C22" s="54" t="s">
        <v>89</v>
      </c>
      <c r="D22" s="44"/>
      <c r="E22" s="56" t="s">
        <v>114</v>
      </c>
      <c r="F22" s="50"/>
      <c r="G22" s="50"/>
      <c r="H22" s="50"/>
      <c r="I22" s="51"/>
      <c r="J22" s="51"/>
      <c r="M22" s="40"/>
      <c r="S22" s="5"/>
    </row>
    <row r="23" ht="32.25" customHeight="1">
      <c r="A23" s="41">
        <f t="shared" si="1"/>
        <v>23</v>
      </c>
      <c r="B23" s="48" t="s">
        <v>115</v>
      </c>
      <c r="C23" s="43" t="s">
        <v>89</v>
      </c>
      <c r="D23" s="44"/>
      <c r="E23" s="57" t="s">
        <v>116</v>
      </c>
      <c r="F23" s="58"/>
      <c r="G23" s="58"/>
      <c r="H23" s="58"/>
      <c r="I23" s="58"/>
      <c r="J23" s="58"/>
      <c r="M23" s="40"/>
      <c r="S23" s="5"/>
    </row>
    <row r="24" ht="18.0" customHeight="1">
      <c r="A24" s="41">
        <f t="shared" si="1"/>
        <v>24</v>
      </c>
      <c r="B24" s="48" t="s">
        <v>117</v>
      </c>
      <c r="C24" s="59" t="s">
        <v>118</v>
      </c>
      <c r="D24" s="59" t="s">
        <v>118</v>
      </c>
      <c r="E24" s="56" t="s">
        <v>119</v>
      </c>
      <c r="F24" s="50"/>
      <c r="G24" s="50"/>
      <c r="H24" s="50"/>
      <c r="I24" s="51"/>
      <c r="J24" s="51"/>
      <c r="M24" s="40"/>
      <c r="S24" s="5"/>
    </row>
    <row r="25" ht="18.0" customHeight="1">
      <c r="A25" s="41">
        <f t="shared" si="1"/>
        <v>25</v>
      </c>
      <c r="B25" s="48" t="s">
        <v>120</v>
      </c>
      <c r="C25" s="59" t="s">
        <v>118</v>
      </c>
      <c r="D25" s="59" t="s">
        <v>118</v>
      </c>
      <c r="E25" s="56" t="s">
        <v>121</v>
      </c>
      <c r="F25" s="50"/>
      <c r="G25" s="50"/>
      <c r="H25" s="50"/>
      <c r="I25" s="51"/>
      <c r="J25" s="51"/>
      <c r="M25" s="40"/>
      <c r="S25" s="5"/>
    </row>
    <row r="26" ht="18.0" customHeight="1">
      <c r="A26" s="41">
        <f t="shared" si="1"/>
        <v>26</v>
      </c>
      <c r="B26" s="48" t="s">
        <v>122</v>
      </c>
      <c r="C26" s="59" t="s">
        <v>118</v>
      </c>
      <c r="D26" s="59" t="s">
        <v>118</v>
      </c>
      <c r="E26" s="60" t="s">
        <v>123</v>
      </c>
      <c r="F26" s="30"/>
      <c r="G26" s="30"/>
      <c r="H26" s="30"/>
      <c r="M26" s="40"/>
      <c r="S26" s="5"/>
    </row>
    <row r="27" ht="18.0" customHeight="1">
      <c r="A27" s="41">
        <f t="shared" si="1"/>
        <v>27</v>
      </c>
      <c r="B27" s="61" t="s">
        <v>124</v>
      </c>
      <c r="C27" s="59" t="s">
        <v>118</v>
      </c>
      <c r="D27" s="59" t="s">
        <v>118</v>
      </c>
      <c r="E27" s="60" t="s">
        <v>125</v>
      </c>
      <c r="F27" s="30"/>
      <c r="G27" s="30"/>
      <c r="H27" s="30"/>
      <c r="M27" s="40"/>
      <c r="S27" s="5"/>
    </row>
    <row r="28" ht="18.0" customHeight="1">
      <c r="A28" s="41">
        <f t="shared" si="1"/>
        <v>28</v>
      </c>
      <c r="B28" s="62" t="s">
        <v>126</v>
      </c>
      <c r="C28" s="44"/>
      <c r="D28" s="44"/>
      <c r="E28" s="60" t="s">
        <v>127</v>
      </c>
      <c r="M28" s="25"/>
      <c r="S28" s="5"/>
    </row>
    <row r="29" ht="18.0" customHeight="1">
      <c r="A29" s="41">
        <f t="shared" si="1"/>
        <v>29</v>
      </c>
      <c r="B29" s="28"/>
      <c r="C29" s="28"/>
      <c r="D29" s="28"/>
      <c r="M29" s="25"/>
      <c r="S29" s="5"/>
    </row>
    <row r="30" ht="18.0" hidden="1" customHeight="1">
      <c r="A30" s="41">
        <f t="shared" si="1"/>
        <v>30</v>
      </c>
      <c r="B30" s="63" t="s">
        <v>128</v>
      </c>
      <c r="M30" s="25"/>
      <c r="S30" s="5"/>
    </row>
    <row r="31" ht="15.75" hidden="1" customHeight="1">
      <c r="A31" s="41">
        <f t="shared" si="1"/>
        <v>31</v>
      </c>
      <c r="B31" s="64"/>
      <c r="C31" s="65" t="s">
        <v>129</v>
      </c>
      <c r="M31" s="25"/>
      <c r="S31" s="5"/>
    </row>
    <row r="32" ht="15.75" hidden="1" customHeight="1">
      <c r="A32" s="41">
        <f t="shared" si="1"/>
        <v>32</v>
      </c>
      <c r="B32" s="66"/>
      <c r="C32" s="67" t="s">
        <v>130</v>
      </c>
      <c r="M32" s="25"/>
      <c r="S32" s="5"/>
    </row>
    <row r="33" ht="15.75" hidden="1" customHeight="1">
      <c r="A33" s="41">
        <f t="shared" si="1"/>
        <v>33</v>
      </c>
      <c r="B33" s="64"/>
      <c r="C33" s="30" t="s">
        <v>131</v>
      </c>
      <c r="M33" s="25"/>
      <c r="S33" s="5"/>
    </row>
    <row r="34" ht="15.75" hidden="1" customHeight="1">
      <c r="A34" s="41">
        <f t="shared" si="1"/>
        <v>34</v>
      </c>
      <c r="B34" s="66"/>
      <c r="M34" s="25"/>
      <c r="S34" s="5"/>
    </row>
    <row r="35" ht="15.75" hidden="1" customHeight="1">
      <c r="A35" s="41">
        <f t="shared" si="1"/>
        <v>35</v>
      </c>
      <c r="B35" s="64"/>
      <c r="C35" s="30" t="s">
        <v>132</v>
      </c>
      <c r="M35" s="25"/>
    </row>
    <row r="36" ht="15.75" hidden="1" customHeight="1">
      <c r="A36" s="28"/>
      <c r="B36" s="28"/>
      <c r="C36" s="28"/>
      <c r="D36" s="28"/>
      <c r="M36" s="25"/>
    </row>
    <row r="37" ht="15.75" hidden="1" customHeight="1">
      <c r="A37" s="28"/>
      <c r="B37" s="68"/>
      <c r="C37" s="28"/>
      <c r="D37" s="28"/>
      <c r="M37" s="25"/>
    </row>
    <row r="38" ht="15.75" customHeight="1">
      <c r="A38" s="28"/>
      <c r="B38" s="28"/>
      <c r="C38" s="28"/>
      <c r="D38" s="28"/>
      <c r="M38" s="25"/>
    </row>
    <row r="39" ht="15.75" customHeight="1">
      <c r="A39" s="28"/>
      <c r="B39" s="28"/>
      <c r="C39" s="28"/>
      <c r="D39" s="28"/>
      <c r="M39" s="25"/>
    </row>
    <row r="40" ht="15.75" customHeight="1">
      <c r="A40" s="28"/>
      <c r="B40" s="28"/>
      <c r="C40" s="28"/>
      <c r="D40" s="28"/>
      <c r="M40" s="25"/>
    </row>
    <row r="41" ht="15.75" customHeight="1">
      <c r="A41" s="28"/>
      <c r="B41" s="28"/>
      <c r="C41" s="28"/>
      <c r="D41" s="28"/>
      <c r="M41" s="25"/>
    </row>
    <row r="42" ht="15.75" customHeight="1">
      <c r="A42" s="28"/>
      <c r="B42" s="28"/>
      <c r="C42" s="28"/>
      <c r="D42" s="28"/>
      <c r="M42" s="25"/>
    </row>
    <row r="43" ht="15.75" customHeight="1">
      <c r="A43" s="28"/>
      <c r="B43" s="28"/>
      <c r="C43" s="28"/>
      <c r="D43" s="28"/>
      <c r="M43" s="25"/>
    </row>
    <row r="44" ht="15.75" customHeight="1">
      <c r="A44" s="28"/>
      <c r="B44" s="28"/>
      <c r="C44" s="28"/>
      <c r="D44" s="28"/>
      <c r="M44" s="25"/>
    </row>
    <row r="45" ht="15.75" customHeight="1">
      <c r="A45" s="28"/>
      <c r="B45" s="28"/>
      <c r="C45" s="28"/>
      <c r="D45" s="28"/>
      <c r="M45" s="25"/>
    </row>
    <row r="46" ht="15.75" customHeight="1">
      <c r="A46" s="28"/>
      <c r="B46" s="28"/>
      <c r="C46" s="28"/>
      <c r="D46" s="28"/>
      <c r="M46" s="25"/>
    </row>
    <row r="47" ht="15.75" customHeight="1">
      <c r="A47" s="28"/>
      <c r="B47" s="28"/>
      <c r="C47" s="28"/>
      <c r="D47" s="28"/>
      <c r="M47" s="25"/>
    </row>
    <row r="48" ht="15.75" customHeight="1">
      <c r="A48" s="28"/>
      <c r="B48" s="28"/>
      <c r="C48" s="28"/>
      <c r="D48" s="28"/>
      <c r="M48" s="25"/>
    </row>
    <row r="49" ht="15.75" customHeight="1">
      <c r="A49" s="28"/>
      <c r="B49" s="28"/>
      <c r="C49" s="28"/>
      <c r="D49" s="28"/>
      <c r="M49" s="25"/>
    </row>
    <row r="50" ht="15.75" customHeight="1">
      <c r="A50" s="28"/>
      <c r="B50" s="28"/>
      <c r="C50" s="28"/>
      <c r="D50" s="28"/>
      <c r="M50" s="25"/>
    </row>
    <row r="51" ht="15.75" customHeight="1">
      <c r="A51" s="28"/>
      <c r="B51" s="28"/>
      <c r="C51" s="28"/>
      <c r="D51" s="28"/>
      <c r="M51" s="25"/>
    </row>
    <row r="52" ht="15.75" customHeight="1">
      <c r="A52" s="28"/>
      <c r="B52" s="28"/>
      <c r="C52" s="28"/>
      <c r="D52" s="28"/>
      <c r="M52" s="25"/>
    </row>
    <row r="53" ht="15.75" customHeight="1">
      <c r="A53" s="28"/>
      <c r="B53" s="28"/>
      <c r="C53" s="28"/>
      <c r="D53" s="28"/>
      <c r="M53" s="25"/>
    </row>
    <row r="54" ht="15.75" customHeight="1">
      <c r="A54" s="28"/>
      <c r="B54" s="28"/>
      <c r="C54" s="28"/>
      <c r="D54" s="28"/>
      <c r="M54" s="25"/>
    </row>
    <row r="55" ht="15.75" customHeight="1">
      <c r="A55" s="28"/>
      <c r="B55" s="28"/>
      <c r="C55" s="28"/>
      <c r="D55" s="28"/>
      <c r="M55" s="25"/>
    </row>
    <row r="56" ht="15.75" customHeight="1">
      <c r="A56" s="28"/>
      <c r="B56" s="28"/>
      <c r="C56" s="28"/>
      <c r="D56" s="28"/>
      <c r="M56" s="25"/>
    </row>
    <row r="57" ht="15.75" customHeight="1">
      <c r="A57" s="28"/>
      <c r="B57" s="28"/>
      <c r="C57" s="28"/>
      <c r="D57" s="28"/>
      <c r="M57" s="25"/>
    </row>
    <row r="58" ht="15.75" customHeight="1">
      <c r="A58" s="28"/>
      <c r="B58" s="28"/>
      <c r="C58" s="28"/>
      <c r="D58" s="28"/>
      <c r="M58" s="25"/>
    </row>
    <row r="59" ht="15.75" customHeight="1">
      <c r="A59" s="28"/>
      <c r="B59" s="28"/>
      <c r="C59" s="28"/>
      <c r="D59" s="28"/>
      <c r="M59" s="25"/>
    </row>
    <row r="60" ht="15.75" customHeight="1">
      <c r="A60" s="28"/>
      <c r="B60" s="28"/>
      <c r="C60" s="28"/>
      <c r="D60" s="28"/>
      <c r="M60" s="25"/>
    </row>
    <row r="61" ht="15.75" customHeight="1">
      <c r="A61" s="28"/>
      <c r="B61" s="28"/>
      <c r="C61" s="28"/>
      <c r="D61" s="28"/>
      <c r="M61" s="25"/>
    </row>
    <row r="62" ht="15.75" customHeight="1">
      <c r="A62" s="28"/>
      <c r="B62" s="28"/>
      <c r="C62" s="28"/>
      <c r="D62" s="28"/>
      <c r="M62" s="25"/>
    </row>
    <row r="63" ht="15.75" customHeight="1">
      <c r="A63" s="28"/>
      <c r="B63" s="28"/>
      <c r="C63" s="28"/>
      <c r="D63" s="28"/>
      <c r="M63" s="25"/>
    </row>
    <row r="64" ht="15.75" customHeight="1">
      <c r="A64" s="28"/>
      <c r="B64" s="28"/>
      <c r="C64" s="28"/>
      <c r="D64" s="28"/>
      <c r="M64" s="25"/>
    </row>
    <row r="65" ht="15.75" customHeight="1">
      <c r="A65" s="28"/>
      <c r="B65" s="28"/>
      <c r="C65" s="28"/>
      <c r="D65" s="28"/>
      <c r="M65" s="25"/>
    </row>
    <row r="66" ht="15.75" customHeight="1">
      <c r="A66" s="28"/>
      <c r="B66" s="28"/>
      <c r="C66" s="28"/>
      <c r="D66" s="28"/>
      <c r="M66" s="25"/>
    </row>
    <row r="67" ht="15.75" customHeight="1">
      <c r="A67" s="28"/>
      <c r="B67" s="28"/>
      <c r="C67" s="28"/>
      <c r="D67" s="28"/>
      <c r="M67" s="25"/>
    </row>
    <row r="68" ht="15.75" customHeight="1">
      <c r="A68" s="28"/>
      <c r="B68" s="28"/>
      <c r="C68" s="28"/>
      <c r="D68" s="28"/>
      <c r="M68" s="25"/>
    </row>
    <row r="69" ht="15.75" customHeight="1">
      <c r="A69" s="28"/>
      <c r="B69" s="28"/>
      <c r="C69" s="28"/>
      <c r="D69" s="28"/>
      <c r="M69" s="25"/>
    </row>
    <row r="70" ht="15.75" customHeight="1">
      <c r="A70" s="28"/>
      <c r="B70" s="28"/>
      <c r="C70" s="28"/>
      <c r="D70" s="28"/>
      <c r="M70" s="25"/>
    </row>
    <row r="71" ht="15.75" customHeight="1">
      <c r="A71" s="28"/>
      <c r="B71" s="28"/>
      <c r="C71" s="28"/>
      <c r="D71" s="28"/>
      <c r="M71" s="25"/>
    </row>
    <row r="72" ht="15.75" customHeight="1">
      <c r="A72" s="28"/>
      <c r="B72" s="28"/>
      <c r="C72" s="28"/>
      <c r="D72" s="28"/>
      <c r="M72" s="25"/>
    </row>
    <row r="73" ht="15.75" customHeight="1">
      <c r="A73" s="28"/>
      <c r="B73" s="28"/>
      <c r="C73" s="28"/>
      <c r="D73" s="28"/>
      <c r="M73" s="25"/>
    </row>
    <row r="74" ht="15.75" customHeight="1">
      <c r="A74" s="28"/>
      <c r="B74" s="28"/>
      <c r="C74" s="28"/>
      <c r="D74" s="28"/>
      <c r="M74" s="25"/>
    </row>
    <row r="75" ht="15.75" customHeight="1">
      <c r="A75" s="28"/>
      <c r="B75" s="28"/>
      <c r="C75" s="28"/>
      <c r="D75" s="28"/>
      <c r="M75" s="25"/>
    </row>
    <row r="76" ht="15.75" customHeight="1">
      <c r="A76" s="28"/>
      <c r="B76" s="28"/>
      <c r="C76" s="28"/>
      <c r="D76" s="28"/>
      <c r="M76" s="25"/>
    </row>
    <row r="77" ht="15.75" customHeight="1">
      <c r="A77" s="28"/>
      <c r="B77" s="28"/>
      <c r="C77" s="28"/>
      <c r="D77" s="28"/>
      <c r="M77" s="25"/>
    </row>
    <row r="78" ht="15.75" customHeight="1">
      <c r="A78" s="28"/>
      <c r="B78" s="28"/>
      <c r="C78" s="28"/>
      <c r="D78" s="28"/>
      <c r="M78" s="25"/>
    </row>
    <row r="79" ht="15.75" customHeight="1">
      <c r="A79" s="28"/>
      <c r="B79" s="28"/>
      <c r="C79" s="28"/>
      <c r="D79" s="28"/>
      <c r="M79" s="25"/>
    </row>
    <row r="80" ht="15.75" customHeight="1">
      <c r="A80" s="28"/>
      <c r="B80" s="28"/>
      <c r="C80" s="28"/>
      <c r="D80" s="28"/>
      <c r="M80" s="25"/>
    </row>
    <row r="81" ht="15.75" customHeight="1">
      <c r="A81" s="28"/>
      <c r="B81" s="28"/>
      <c r="C81" s="28"/>
      <c r="D81" s="28"/>
      <c r="M81" s="25"/>
    </row>
    <row r="82" ht="15.75" customHeight="1">
      <c r="A82" s="28"/>
      <c r="B82" s="28"/>
      <c r="C82" s="28"/>
      <c r="D82" s="28"/>
      <c r="M82" s="25"/>
    </row>
    <row r="83" ht="15.75" customHeight="1">
      <c r="A83" s="28"/>
      <c r="B83" s="28"/>
      <c r="C83" s="28"/>
      <c r="D83" s="28"/>
      <c r="M83" s="25"/>
    </row>
    <row r="84" ht="15.75" customHeight="1">
      <c r="A84" s="28"/>
      <c r="B84" s="28"/>
      <c r="C84" s="28"/>
      <c r="D84" s="28"/>
      <c r="M84" s="25"/>
    </row>
    <row r="85" ht="15.75" customHeight="1">
      <c r="A85" s="28"/>
      <c r="B85" s="28"/>
      <c r="C85" s="28"/>
      <c r="D85" s="28"/>
      <c r="M85" s="25"/>
    </row>
    <row r="86" ht="15.75" customHeight="1">
      <c r="A86" s="28"/>
      <c r="B86" s="28"/>
      <c r="C86" s="28"/>
      <c r="D86" s="28"/>
      <c r="M86" s="25"/>
    </row>
    <row r="87" ht="15.75" customHeight="1">
      <c r="A87" s="28"/>
      <c r="B87" s="28"/>
      <c r="C87" s="28"/>
      <c r="D87" s="28"/>
      <c r="M87" s="25"/>
    </row>
    <row r="88" ht="15.75" customHeight="1">
      <c r="A88" s="28"/>
      <c r="B88" s="28"/>
      <c r="C88" s="28"/>
      <c r="D88" s="28"/>
      <c r="M88" s="25"/>
    </row>
    <row r="89" ht="15.75" customHeight="1">
      <c r="A89" s="28"/>
      <c r="B89" s="28"/>
      <c r="C89" s="28"/>
      <c r="D89" s="28"/>
      <c r="M89" s="25"/>
    </row>
    <row r="90" ht="15.75" customHeight="1">
      <c r="A90" s="28"/>
      <c r="B90" s="28"/>
      <c r="C90" s="28"/>
      <c r="D90" s="28"/>
      <c r="M90" s="25"/>
    </row>
    <row r="91" ht="15.75" customHeight="1">
      <c r="A91" s="28"/>
      <c r="B91" s="28"/>
      <c r="C91" s="28"/>
      <c r="D91" s="28"/>
      <c r="M91" s="25"/>
    </row>
    <row r="92" ht="15.75" customHeight="1">
      <c r="A92" s="28"/>
      <c r="B92" s="28"/>
      <c r="C92" s="28"/>
      <c r="D92" s="28"/>
      <c r="M92" s="25"/>
    </row>
    <row r="93" ht="15.75" customHeight="1">
      <c r="A93" s="28"/>
      <c r="B93" s="28"/>
      <c r="C93" s="28"/>
      <c r="D93" s="28"/>
      <c r="M93" s="25"/>
    </row>
    <row r="94" ht="15.75" customHeight="1">
      <c r="A94" s="28"/>
      <c r="B94" s="28"/>
      <c r="C94" s="28"/>
      <c r="D94" s="28"/>
      <c r="M94" s="25"/>
    </row>
    <row r="95" ht="15.75" customHeight="1">
      <c r="A95" s="28"/>
      <c r="B95" s="28"/>
      <c r="C95" s="28"/>
      <c r="D95" s="28"/>
      <c r="M95" s="25"/>
    </row>
    <row r="96" ht="15.75" customHeight="1">
      <c r="A96" s="28"/>
      <c r="B96" s="28"/>
      <c r="C96" s="28"/>
      <c r="D96" s="28"/>
      <c r="M96" s="25"/>
    </row>
    <row r="97" ht="15.75" customHeight="1">
      <c r="A97" s="28"/>
      <c r="B97" s="28"/>
      <c r="C97" s="28"/>
      <c r="D97" s="28"/>
      <c r="M97" s="25"/>
    </row>
    <row r="98" ht="15.75" customHeight="1">
      <c r="A98" s="28"/>
      <c r="B98" s="28"/>
      <c r="C98" s="28"/>
      <c r="D98" s="28"/>
      <c r="M98" s="25"/>
    </row>
    <row r="99" ht="15.75" customHeight="1">
      <c r="A99" s="28"/>
      <c r="B99" s="28"/>
      <c r="C99" s="28"/>
      <c r="D99" s="28"/>
      <c r="M99" s="25"/>
    </row>
    <row r="100" ht="15.75" customHeight="1">
      <c r="A100" s="28"/>
      <c r="B100" s="28"/>
      <c r="C100" s="28"/>
      <c r="D100" s="28"/>
      <c r="M100" s="25"/>
    </row>
    <row r="101" ht="15.75" customHeight="1">
      <c r="A101" s="28"/>
      <c r="B101" s="28"/>
      <c r="C101" s="28"/>
      <c r="D101" s="28"/>
      <c r="M101" s="25"/>
    </row>
    <row r="102" ht="15.75" customHeight="1">
      <c r="A102" s="28"/>
      <c r="B102" s="28"/>
      <c r="C102" s="28"/>
      <c r="D102" s="28"/>
      <c r="M102" s="25"/>
    </row>
    <row r="103" ht="15.75" customHeight="1">
      <c r="A103" s="28"/>
      <c r="B103" s="28"/>
      <c r="C103" s="28"/>
      <c r="D103" s="28"/>
      <c r="M103" s="25"/>
    </row>
    <row r="104" ht="15.75" customHeight="1">
      <c r="A104" s="28"/>
      <c r="B104" s="28"/>
      <c r="C104" s="28"/>
      <c r="D104" s="28"/>
      <c r="M104" s="25"/>
    </row>
    <row r="105" ht="15.75" customHeight="1">
      <c r="A105" s="28"/>
      <c r="B105" s="28"/>
      <c r="C105" s="28"/>
      <c r="D105" s="28"/>
      <c r="M105" s="25"/>
    </row>
    <row r="106" ht="15.75" customHeight="1">
      <c r="A106" s="28"/>
      <c r="B106" s="28"/>
      <c r="C106" s="28"/>
      <c r="D106" s="28"/>
      <c r="M106" s="25"/>
    </row>
    <row r="107" ht="15.75" customHeight="1">
      <c r="A107" s="28"/>
      <c r="B107" s="28"/>
      <c r="C107" s="28"/>
      <c r="D107" s="28"/>
      <c r="M107" s="25"/>
    </row>
    <row r="108" ht="15.75" customHeight="1">
      <c r="A108" s="28"/>
      <c r="B108" s="28"/>
      <c r="C108" s="28"/>
      <c r="D108" s="28"/>
      <c r="M108" s="25"/>
    </row>
    <row r="109" ht="15.75" customHeight="1">
      <c r="A109" s="28"/>
      <c r="B109" s="28"/>
      <c r="C109" s="28"/>
      <c r="D109" s="28"/>
      <c r="M109" s="25"/>
    </row>
    <row r="110" ht="15.75" customHeight="1">
      <c r="A110" s="28"/>
      <c r="B110" s="28"/>
      <c r="C110" s="28"/>
      <c r="D110" s="28"/>
      <c r="M110" s="25"/>
    </row>
    <row r="111" ht="15.75" customHeight="1">
      <c r="A111" s="28"/>
      <c r="B111" s="28"/>
      <c r="C111" s="28"/>
      <c r="D111" s="28"/>
      <c r="M111" s="25"/>
    </row>
    <row r="112" ht="15.75" customHeight="1">
      <c r="A112" s="28"/>
      <c r="B112" s="28"/>
      <c r="C112" s="28"/>
      <c r="D112" s="28"/>
      <c r="M112" s="25"/>
    </row>
    <row r="113" ht="15.75" customHeight="1">
      <c r="A113" s="28"/>
      <c r="B113" s="28"/>
      <c r="C113" s="28"/>
      <c r="D113" s="28"/>
      <c r="M113" s="25"/>
    </row>
    <row r="114" ht="15.75" customHeight="1">
      <c r="A114" s="28"/>
      <c r="B114" s="28"/>
      <c r="C114" s="28"/>
      <c r="D114" s="28"/>
      <c r="M114" s="25"/>
    </row>
    <row r="115" ht="15.75" customHeight="1">
      <c r="A115" s="28"/>
      <c r="B115" s="28"/>
      <c r="C115" s="28"/>
      <c r="D115" s="28"/>
      <c r="M115" s="25"/>
    </row>
    <row r="116" ht="15.75" customHeight="1">
      <c r="A116" s="28"/>
      <c r="B116" s="28"/>
      <c r="C116" s="28"/>
      <c r="D116" s="28"/>
      <c r="M116" s="25"/>
    </row>
    <row r="117" ht="15.75" customHeight="1">
      <c r="A117" s="28"/>
      <c r="B117" s="28"/>
      <c r="C117" s="28"/>
      <c r="D117" s="28"/>
      <c r="M117" s="25"/>
    </row>
    <row r="118" ht="15.75" customHeight="1">
      <c r="A118" s="28"/>
      <c r="B118" s="28"/>
      <c r="C118" s="28"/>
      <c r="D118" s="28"/>
      <c r="M118" s="25"/>
    </row>
    <row r="119" ht="15.75" customHeight="1">
      <c r="A119" s="28"/>
      <c r="B119" s="28"/>
      <c r="C119" s="28"/>
      <c r="D119" s="28"/>
      <c r="M119" s="25"/>
    </row>
    <row r="120" ht="15.75" customHeight="1">
      <c r="A120" s="28"/>
      <c r="B120" s="28"/>
      <c r="C120" s="28"/>
      <c r="D120" s="28"/>
      <c r="M120" s="25"/>
    </row>
    <row r="121" ht="15.75" customHeight="1">
      <c r="A121" s="28"/>
      <c r="B121" s="28"/>
      <c r="C121" s="28"/>
      <c r="D121" s="28"/>
      <c r="M121" s="25"/>
    </row>
    <row r="122" ht="15.75" customHeight="1">
      <c r="A122" s="28"/>
      <c r="B122" s="28"/>
      <c r="C122" s="28"/>
      <c r="D122" s="28"/>
      <c r="M122" s="25"/>
    </row>
    <row r="123" ht="15.75" customHeight="1">
      <c r="A123" s="28"/>
      <c r="B123" s="28"/>
      <c r="C123" s="28"/>
      <c r="D123" s="28"/>
      <c r="M123" s="25"/>
    </row>
    <row r="124" ht="15.75" customHeight="1">
      <c r="A124" s="28"/>
      <c r="B124" s="28"/>
      <c r="C124" s="28"/>
      <c r="D124" s="28"/>
      <c r="M124" s="25"/>
    </row>
    <row r="125" ht="15.75" customHeight="1">
      <c r="A125" s="28"/>
      <c r="B125" s="28"/>
      <c r="C125" s="28"/>
      <c r="D125" s="28"/>
      <c r="M125" s="25"/>
    </row>
    <row r="126" ht="15.75" customHeight="1">
      <c r="A126" s="28"/>
      <c r="B126" s="28"/>
      <c r="C126" s="28"/>
      <c r="D126" s="28"/>
      <c r="M126" s="25"/>
    </row>
    <row r="127" ht="15.75" customHeight="1">
      <c r="A127" s="28"/>
      <c r="B127" s="28"/>
      <c r="C127" s="28"/>
      <c r="D127" s="28"/>
      <c r="M127" s="25"/>
    </row>
    <row r="128" ht="15.75" customHeight="1">
      <c r="A128" s="28"/>
      <c r="B128" s="28"/>
      <c r="C128" s="28"/>
      <c r="D128" s="28"/>
      <c r="M128" s="25"/>
    </row>
    <row r="129" ht="15.75" customHeight="1">
      <c r="A129" s="28"/>
      <c r="B129" s="28"/>
      <c r="C129" s="28"/>
      <c r="D129" s="28"/>
      <c r="M129" s="25"/>
    </row>
    <row r="130" ht="15.75" customHeight="1">
      <c r="A130" s="28"/>
      <c r="B130" s="28"/>
      <c r="C130" s="28"/>
      <c r="D130" s="28"/>
      <c r="M130" s="25"/>
    </row>
    <row r="131" ht="15.75" customHeight="1">
      <c r="A131" s="28"/>
      <c r="B131" s="28"/>
      <c r="C131" s="28"/>
      <c r="D131" s="28"/>
      <c r="M131" s="25"/>
    </row>
    <row r="132" ht="15.75" customHeight="1">
      <c r="A132" s="28"/>
      <c r="B132" s="28"/>
      <c r="C132" s="28"/>
      <c r="D132" s="28"/>
      <c r="M132" s="25"/>
    </row>
    <row r="133" ht="15.75" customHeight="1">
      <c r="A133" s="28"/>
      <c r="B133" s="28"/>
      <c r="C133" s="28"/>
      <c r="D133" s="28"/>
      <c r="M133" s="25"/>
    </row>
    <row r="134" ht="15.75" customHeight="1">
      <c r="A134" s="28"/>
      <c r="B134" s="28"/>
      <c r="C134" s="28"/>
      <c r="D134" s="28"/>
      <c r="M134" s="25"/>
    </row>
    <row r="135" ht="15.75" customHeight="1">
      <c r="A135" s="28"/>
      <c r="B135" s="28"/>
      <c r="C135" s="28"/>
      <c r="D135" s="28"/>
      <c r="M135" s="25"/>
    </row>
    <row r="136" ht="15.75" customHeight="1">
      <c r="A136" s="28"/>
      <c r="B136" s="28"/>
      <c r="C136" s="28"/>
      <c r="D136" s="28"/>
      <c r="M136" s="25"/>
    </row>
    <row r="137" ht="15.75" customHeight="1">
      <c r="A137" s="28"/>
      <c r="B137" s="28"/>
      <c r="C137" s="28"/>
      <c r="D137" s="28"/>
      <c r="M137" s="25"/>
    </row>
    <row r="138" ht="15.75" customHeight="1">
      <c r="A138" s="28"/>
      <c r="B138" s="28"/>
      <c r="C138" s="28"/>
      <c r="D138" s="28"/>
      <c r="M138" s="25"/>
    </row>
    <row r="139" ht="15.75" customHeight="1">
      <c r="A139" s="28"/>
      <c r="B139" s="28"/>
      <c r="C139" s="28"/>
      <c r="D139" s="28"/>
      <c r="M139" s="25"/>
    </row>
    <row r="140" ht="15.75" customHeight="1">
      <c r="A140" s="28"/>
      <c r="B140" s="28"/>
      <c r="C140" s="28"/>
      <c r="D140" s="28"/>
      <c r="M140" s="25"/>
    </row>
    <row r="141" ht="15.75" customHeight="1">
      <c r="A141" s="28"/>
      <c r="B141" s="28"/>
      <c r="C141" s="28"/>
      <c r="D141" s="28"/>
      <c r="M141" s="25"/>
    </row>
    <row r="142" ht="15.75" customHeight="1">
      <c r="A142" s="28"/>
      <c r="B142" s="28"/>
      <c r="C142" s="28"/>
      <c r="D142" s="28"/>
      <c r="M142" s="25"/>
    </row>
    <row r="143" ht="15.75" customHeight="1">
      <c r="A143" s="28"/>
      <c r="B143" s="28"/>
      <c r="C143" s="28"/>
      <c r="D143" s="28"/>
      <c r="M143" s="25"/>
    </row>
    <row r="144" ht="15.75" customHeight="1">
      <c r="A144" s="28"/>
      <c r="B144" s="28"/>
      <c r="C144" s="28"/>
      <c r="D144" s="28"/>
      <c r="M144" s="25"/>
    </row>
    <row r="145" ht="15.75" customHeight="1">
      <c r="A145" s="28"/>
      <c r="B145" s="28"/>
      <c r="C145" s="28"/>
      <c r="D145" s="28"/>
      <c r="M145" s="25"/>
    </row>
    <row r="146" ht="15.75" customHeight="1">
      <c r="A146" s="28"/>
      <c r="B146" s="28"/>
      <c r="C146" s="28"/>
      <c r="D146" s="28"/>
      <c r="M146" s="25"/>
    </row>
    <row r="147" ht="15.75" customHeight="1">
      <c r="A147" s="28"/>
      <c r="B147" s="28"/>
      <c r="C147" s="28"/>
      <c r="D147" s="28"/>
      <c r="M147" s="25"/>
    </row>
    <row r="148" ht="15.75" customHeight="1">
      <c r="A148" s="28"/>
      <c r="B148" s="28"/>
      <c r="C148" s="28"/>
      <c r="D148" s="28"/>
      <c r="M148" s="25"/>
    </row>
    <row r="149" ht="15.75" customHeight="1">
      <c r="A149" s="28"/>
      <c r="B149" s="28"/>
      <c r="C149" s="28"/>
      <c r="D149" s="28"/>
      <c r="M149" s="25"/>
    </row>
    <row r="150" ht="15.75" customHeight="1">
      <c r="A150" s="28"/>
      <c r="B150" s="28"/>
      <c r="C150" s="28"/>
      <c r="D150" s="28"/>
      <c r="M150" s="25"/>
    </row>
    <row r="151" ht="15.75" customHeight="1">
      <c r="A151" s="28"/>
      <c r="B151" s="28"/>
      <c r="C151" s="28"/>
      <c r="D151" s="28"/>
      <c r="M151" s="25"/>
    </row>
    <row r="152" ht="15.75" customHeight="1">
      <c r="A152" s="28"/>
      <c r="B152" s="28"/>
      <c r="C152" s="28"/>
      <c r="D152" s="28"/>
      <c r="M152" s="25"/>
    </row>
    <row r="153" ht="15.75" customHeight="1">
      <c r="A153" s="28"/>
      <c r="B153" s="28"/>
      <c r="C153" s="28"/>
      <c r="D153" s="28"/>
      <c r="M153" s="25"/>
    </row>
    <row r="154" ht="15.75" customHeight="1">
      <c r="A154" s="28"/>
      <c r="B154" s="28"/>
      <c r="C154" s="28"/>
      <c r="D154" s="28"/>
      <c r="M154" s="25"/>
    </row>
    <row r="155" ht="15.75" customHeight="1">
      <c r="A155" s="28"/>
      <c r="B155" s="28"/>
      <c r="C155" s="28"/>
      <c r="D155" s="28"/>
      <c r="M155" s="25"/>
    </row>
    <row r="156" ht="15.75" customHeight="1">
      <c r="A156" s="28"/>
      <c r="B156" s="28"/>
      <c r="C156" s="28"/>
      <c r="D156" s="28"/>
      <c r="M156" s="25"/>
    </row>
    <row r="157" ht="15.75" customHeight="1">
      <c r="A157" s="28"/>
      <c r="B157" s="28"/>
      <c r="C157" s="28"/>
      <c r="D157" s="28"/>
      <c r="M157" s="25"/>
    </row>
    <row r="158" ht="15.75" customHeight="1">
      <c r="A158" s="28"/>
      <c r="B158" s="28"/>
      <c r="C158" s="28"/>
      <c r="D158" s="28"/>
      <c r="M158" s="25"/>
    </row>
    <row r="159" ht="15.75" customHeight="1">
      <c r="A159" s="28"/>
      <c r="B159" s="28"/>
      <c r="C159" s="28"/>
      <c r="D159" s="28"/>
      <c r="M159" s="25"/>
    </row>
    <row r="160" ht="15.75" customHeight="1">
      <c r="A160" s="28"/>
      <c r="B160" s="28"/>
      <c r="C160" s="28"/>
      <c r="D160" s="28"/>
      <c r="M160" s="25"/>
    </row>
    <row r="161" ht="15.75" customHeight="1">
      <c r="A161" s="28"/>
      <c r="B161" s="28"/>
      <c r="C161" s="28"/>
      <c r="D161" s="28"/>
      <c r="M161" s="25"/>
    </row>
    <row r="162" ht="15.75" customHeight="1">
      <c r="A162" s="28"/>
      <c r="B162" s="28"/>
      <c r="C162" s="28"/>
      <c r="D162" s="28"/>
      <c r="M162" s="25"/>
    </row>
    <row r="163" ht="15.75" customHeight="1">
      <c r="A163" s="28"/>
      <c r="B163" s="28"/>
      <c r="C163" s="28"/>
      <c r="D163" s="28"/>
      <c r="M163" s="25"/>
    </row>
    <row r="164" ht="15.75" customHeight="1">
      <c r="A164" s="28"/>
      <c r="B164" s="28"/>
      <c r="C164" s="28"/>
      <c r="D164" s="28"/>
      <c r="M164" s="25"/>
    </row>
    <row r="165" ht="15.75" customHeight="1">
      <c r="A165" s="28"/>
      <c r="B165" s="28"/>
      <c r="C165" s="28"/>
      <c r="D165" s="28"/>
      <c r="M165" s="25"/>
    </row>
    <row r="166" ht="15.75" customHeight="1">
      <c r="A166" s="28"/>
      <c r="B166" s="28"/>
      <c r="C166" s="28"/>
      <c r="D166" s="28"/>
      <c r="M166" s="25"/>
    </row>
    <row r="167" ht="15.75" customHeight="1">
      <c r="A167" s="28"/>
      <c r="B167" s="28"/>
      <c r="C167" s="28"/>
      <c r="D167" s="28"/>
      <c r="M167" s="25"/>
    </row>
    <row r="168" ht="15.75" customHeight="1">
      <c r="A168" s="28"/>
      <c r="B168" s="28"/>
      <c r="C168" s="28"/>
      <c r="D168" s="28"/>
      <c r="M168" s="25"/>
    </row>
    <row r="169" ht="15.75" customHeight="1">
      <c r="A169" s="28"/>
      <c r="B169" s="28"/>
      <c r="C169" s="28"/>
      <c r="D169" s="28"/>
      <c r="M169" s="25"/>
    </row>
    <row r="170" ht="15.75" customHeight="1">
      <c r="A170" s="28"/>
      <c r="B170" s="28"/>
      <c r="C170" s="28"/>
      <c r="D170" s="28"/>
      <c r="M170" s="25"/>
    </row>
    <row r="171" ht="15.75" customHeight="1">
      <c r="A171" s="28"/>
      <c r="B171" s="28"/>
      <c r="C171" s="28"/>
      <c r="D171" s="28"/>
      <c r="M171" s="25"/>
    </row>
    <row r="172" ht="15.75" customHeight="1">
      <c r="A172" s="28"/>
      <c r="B172" s="28"/>
      <c r="C172" s="28"/>
      <c r="D172" s="28"/>
      <c r="M172" s="25"/>
    </row>
    <row r="173" ht="15.75" customHeight="1">
      <c r="A173" s="28"/>
      <c r="B173" s="28"/>
      <c r="C173" s="28"/>
      <c r="D173" s="28"/>
      <c r="M173" s="25"/>
    </row>
    <row r="174" ht="15.75" customHeight="1">
      <c r="A174" s="28"/>
      <c r="B174" s="28"/>
      <c r="C174" s="28"/>
      <c r="D174" s="28"/>
      <c r="M174" s="25"/>
    </row>
    <row r="175" ht="15.75" customHeight="1">
      <c r="A175" s="28"/>
      <c r="B175" s="28"/>
      <c r="C175" s="28"/>
      <c r="D175" s="28"/>
      <c r="M175" s="25"/>
    </row>
    <row r="176" ht="15.75" customHeight="1">
      <c r="A176" s="28"/>
      <c r="B176" s="28"/>
      <c r="C176" s="28"/>
      <c r="D176" s="28"/>
      <c r="M176" s="25"/>
    </row>
    <row r="177" ht="15.75" customHeight="1">
      <c r="A177" s="28"/>
      <c r="B177" s="28"/>
      <c r="C177" s="28"/>
      <c r="D177" s="28"/>
      <c r="M177" s="25"/>
    </row>
    <row r="178" ht="15.75" customHeight="1">
      <c r="A178" s="28"/>
      <c r="B178" s="28"/>
      <c r="C178" s="28"/>
      <c r="D178" s="28"/>
      <c r="M178" s="25"/>
    </row>
    <row r="179" ht="15.75" customHeight="1">
      <c r="A179" s="28"/>
      <c r="B179" s="28"/>
      <c r="C179" s="28"/>
      <c r="D179" s="28"/>
      <c r="M179" s="25"/>
    </row>
    <row r="180" ht="15.75" customHeight="1">
      <c r="A180" s="28"/>
      <c r="B180" s="28"/>
      <c r="C180" s="28"/>
      <c r="D180" s="28"/>
      <c r="M180" s="25"/>
    </row>
    <row r="181" ht="15.75" customHeight="1">
      <c r="A181" s="28"/>
      <c r="B181" s="28"/>
      <c r="C181" s="28"/>
      <c r="D181" s="28"/>
      <c r="M181" s="25"/>
    </row>
    <row r="182" ht="15.75" customHeight="1">
      <c r="A182" s="28"/>
      <c r="B182" s="28"/>
      <c r="C182" s="28"/>
      <c r="D182" s="28"/>
      <c r="M182" s="25"/>
    </row>
    <row r="183" ht="15.75" customHeight="1">
      <c r="A183" s="28"/>
      <c r="B183" s="28"/>
      <c r="C183" s="28"/>
      <c r="D183" s="28"/>
      <c r="M183" s="25"/>
    </row>
    <row r="184" ht="15.75" customHeight="1">
      <c r="A184" s="28"/>
      <c r="B184" s="28"/>
      <c r="C184" s="28"/>
      <c r="D184" s="28"/>
      <c r="M184" s="25"/>
    </row>
    <row r="185" ht="15.75" customHeight="1">
      <c r="A185" s="28"/>
      <c r="B185" s="28"/>
      <c r="C185" s="28"/>
      <c r="D185" s="28"/>
      <c r="M185" s="25"/>
    </row>
    <row r="186" ht="15.75" customHeight="1">
      <c r="A186" s="28"/>
      <c r="B186" s="28"/>
      <c r="C186" s="28"/>
      <c r="D186" s="28"/>
      <c r="M186" s="25"/>
    </row>
    <row r="187" ht="15.75" customHeight="1">
      <c r="A187" s="28"/>
      <c r="B187" s="28"/>
      <c r="C187" s="28"/>
      <c r="D187" s="28"/>
      <c r="M187" s="25"/>
    </row>
    <row r="188" ht="15.75" customHeight="1">
      <c r="A188" s="28"/>
      <c r="B188" s="28"/>
      <c r="C188" s="28"/>
      <c r="D188" s="28"/>
      <c r="M188" s="25"/>
    </row>
    <row r="189" ht="15.75" customHeight="1">
      <c r="A189" s="28"/>
      <c r="B189" s="28"/>
      <c r="C189" s="28"/>
      <c r="D189" s="28"/>
      <c r="M189" s="25"/>
    </row>
    <row r="190" ht="15.75" customHeight="1">
      <c r="A190" s="28"/>
      <c r="B190" s="28"/>
      <c r="C190" s="28"/>
      <c r="D190" s="28"/>
      <c r="M190" s="25"/>
    </row>
    <row r="191" ht="15.75" customHeight="1">
      <c r="A191" s="28"/>
      <c r="B191" s="28"/>
      <c r="C191" s="28"/>
      <c r="D191" s="28"/>
      <c r="M191" s="25"/>
    </row>
    <row r="192" ht="15.75" customHeight="1">
      <c r="A192" s="28"/>
      <c r="B192" s="28"/>
      <c r="C192" s="28"/>
      <c r="D192" s="28"/>
      <c r="M192" s="25"/>
    </row>
    <row r="193" ht="15.75" customHeight="1">
      <c r="A193" s="28"/>
      <c r="B193" s="28"/>
      <c r="C193" s="28"/>
      <c r="D193" s="28"/>
      <c r="M193" s="25"/>
    </row>
    <row r="194" ht="15.75" customHeight="1">
      <c r="A194" s="28"/>
      <c r="B194" s="28"/>
      <c r="C194" s="28"/>
      <c r="D194" s="28"/>
      <c r="M194" s="25"/>
    </row>
    <row r="195" ht="15.75" customHeight="1">
      <c r="A195" s="28"/>
      <c r="B195" s="28"/>
      <c r="C195" s="28"/>
      <c r="D195" s="28"/>
      <c r="M195" s="25"/>
    </row>
    <row r="196" ht="15.75" customHeight="1">
      <c r="A196" s="28"/>
      <c r="B196" s="28"/>
      <c r="C196" s="28"/>
      <c r="D196" s="28"/>
      <c r="M196" s="25"/>
    </row>
    <row r="197" ht="15.75" customHeight="1">
      <c r="A197" s="28"/>
      <c r="B197" s="28"/>
      <c r="C197" s="28"/>
      <c r="D197" s="28"/>
      <c r="M197" s="25"/>
    </row>
    <row r="198" ht="15.75" customHeight="1">
      <c r="A198" s="28"/>
      <c r="B198" s="28"/>
      <c r="C198" s="28"/>
      <c r="D198" s="28"/>
      <c r="M198" s="25"/>
    </row>
    <row r="199" ht="15.75" customHeight="1">
      <c r="A199" s="28"/>
      <c r="B199" s="28"/>
      <c r="C199" s="28"/>
      <c r="D199" s="28"/>
      <c r="M199" s="25"/>
    </row>
    <row r="200" ht="15.75" customHeight="1">
      <c r="A200" s="28"/>
      <c r="B200" s="28"/>
      <c r="C200" s="28"/>
      <c r="D200" s="28"/>
      <c r="M200" s="25"/>
    </row>
    <row r="201" ht="15.75" customHeight="1">
      <c r="A201" s="28"/>
      <c r="B201" s="28"/>
      <c r="C201" s="28"/>
      <c r="D201" s="28"/>
      <c r="M201" s="25"/>
    </row>
    <row r="202" ht="15.75" customHeight="1">
      <c r="A202" s="28"/>
      <c r="B202" s="28"/>
      <c r="C202" s="28"/>
      <c r="D202" s="28"/>
      <c r="M202" s="25"/>
    </row>
    <row r="203" ht="15.75" customHeight="1">
      <c r="A203" s="28"/>
      <c r="B203" s="28"/>
      <c r="C203" s="28"/>
      <c r="D203" s="28"/>
      <c r="M203" s="25"/>
    </row>
    <row r="204" ht="15.75" customHeight="1">
      <c r="A204" s="28"/>
      <c r="B204" s="28"/>
      <c r="C204" s="28"/>
      <c r="D204" s="28"/>
      <c r="M204" s="25"/>
    </row>
    <row r="205" ht="15.75" customHeight="1">
      <c r="A205" s="28"/>
      <c r="B205" s="28"/>
      <c r="C205" s="28"/>
      <c r="D205" s="28"/>
      <c r="M205" s="25"/>
    </row>
    <row r="206" ht="15.75" customHeight="1">
      <c r="A206" s="28"/>
      <c r="B206" s="28"/>
      <c r="C206" s="28"/>
      <c r="D206" s="28"/>
      <c r="M206" s="25"/>
    </row>
    <row r="207" ht="15.75" customHeight="1">
      <c r="A207" s="28"/>
      <c r="B207" s="28"/>
      <c r="C207" s="28"/>
      <c r="D207" s="28"/>
      <c r="M207" s="25"/>
    </row>
    <row r="208" ht="15.75" customHeight="1">
      <c r="A208" s="28"/>
      <c r="B208" s="28"/>
      <c r="C208" s="28"/>
      <c r="D208" s="28"/>
      <c r="M208" s="25"/>
    </row>
    <row r="209" ht="15.75" customHeight="1">
      <c r="A209" s="28"/>
      <c r="B209" s="28"/>
      <c r="C209" s="28"/>
      <c r="D209" s="28"/>
      <c r="M209" s="25"/>
    </row>
    <row r="210" ht="15.75" customHeight="1">
      <c r="A210" s="28"/>
      <c r="B210" s="28"/>
      <c r="C210" s="28"/>
      <c r="D210" s="28"/>
      <c r="M210" s="25"/>
    </row>
    <row r="211" ht="15.75" customHeight="1">
      <c r="A211" s="28"/>
      <c r="B211" s="28"/>
      <c r="C211" s="28"/>
      <c r="D211" s="28"/>
      <c r="M211" s="25"/>
    </row>
    <row r="212" ht="15.75" customHeight="1">
      <c r="A212" s="28"/>
      <c r="B212" s="28"/>
      <c r="C212" s="28"/>
      <c r="D212" s="28"/>
      <c r="M212" s="25"/>
    </row>
    <row r="213" ht="15.75" customHeight="1">
      <c r="A213" s="28"/>
      <c r="B213" s="28"/>
      <c r="C213" s="28"/>
      <c r="D213" s="28"/>
      <c r="M213" s="25"/>
    </row>
    <row r="214" ht="15.75" customHeight="1">
      <c r="A214" s="28"/>
      <c r="B214" s="28"/>
      <c r="C214" s="28"/>
      <c r="D214" s="28"/>
      <c r="M214" s="25"/>
    </row>
    <row r="215" ht="15.75" customHeight="1">
      <c r="A215" s="28"/>
      <c r="B215" s="28"/>
      <c r="C215" s="28"/>
      <c r="D215" s="28"/>
      <c r="M215" s="25"/>
    </row>
    <row r="216" ht="15.75" customHeight="1">
      <c r="A216" s="28"/>
      <c r="B216" s="28"/>
      <c r="C216" s="28"/>
      <c r="D216" s="28"/>
      <c r="M216" s="25"/>
    </row>
    <row r="217" ht="15.75" customHeight="1">
      <c r="A217" s="28"/>
      <c r="B217" s="28"/>
      <c r="C217" s="28"/>
      <c r="D217" s="28"/>
      <c r="M217" s="25"/>
    </row>
    <row r="218" ht="15.75" customHeight="1">
      <c r="A218" s="28"/>
      <c r="B218" s="28"/>
      <c r="C218" s="28"/>
      <c r="D218" s="28"/>
      <c r="M218" s="25"/>
    </row>
    <row r="219" ht="15.75" customHeight="1">
      <c r="A219" s="28"/>
      <c r="B219" s="28"/>
      <c r="C219" s="28"/>
      <c r="D219" s="28"/>
      <c r="M219" s="25"/>
    </row>
    <row r="220" ht="15.75" customHeight="1">
      <c r="A220" s="28"/>
      <c r="B220" s="28"/>
      <c r="C220" s="28"/>
      <c r="D220" s="28"/>
      <c r="M220" s="25"/>
    </row>
    <row r="221" ht="15.75" customHeight="1">
      <c r="A221" s="28"/>
      <c r="B221" s="28"/>
      <c r="C221" s="28"/>
      <c r="D221" s="28"/>
      <c r="M221" s="25"/>
    </row>
    <row r="222" ht="15.75" customHeight="1">
      <c r="A222" s="28"/>
      <c r="B222" s="28"/>
      <c r="C222" s="28"/>
      <c r="D222" s="28"/>
      <c r="M222" s="25"/>
    </row>
    <row r="223" ht="15.75" customHeight="1">
      <c r="A223" s="28"/>
      <c r="B223" s="28"/>
      <c r="C223" s="28"/>
      <c r="D223" s="28"/>
      <c r="M223" s="25"/>
    </row>
    <row r="224" ht="15.75" customHeight="1">
      <c r="A224" s="28"/>
      <c r="B224" s="28"/>
      <c r="C224" s="28"/>
      <c r="D224" s="28"/>
      <c r="M224" s="25"/>
    </row>
    <row r="225" ht="15.75" customHeight="1">
      <c r="A225" s="28"/>
      <c r="B225" s="28"/>
      <c r="C225" s="28"/>
      <c r="D225" s="28"/>
      <c r="M225" s="25"/>
    </row>
    <row r="226" ht="15.75" customHeight="1">
      <c r="A226" s="28"/>
      <c r="B226" s="28"/>
      <c r="C226" s="28"/>
      <c r="D226" s="28"/>
      <c r="M226" s="25"/>
    </row>
    <row r="227" ht="15.75" customHeight="1">
      <c r="A227" s="28"/>
      <c r="B227" s="28"/>
      <c r="C227" s="28"/>
      <c r="D227" s="28"/>
      <c r="M227" s="25"/>
    </row>
    <row r="228" ht="15.75" customHeight="1">
      <c r="A228" s="28"/>
      <c r="B228" s="28"/>
      <c r="C228" s="28"/>
      <c r="D228" s="28"/>
      <c r="M228" s="25"/>
    </row>
    <row r="229" ht="15.75" customHeight="1">
      <c r="A229" s="28"/>
      <c r="B229" s="28"/>
      <c r="C229" s="28"/>
      <c r="D229" s="28"/>
      <c r="M229" s="25"/>
    </row>
    <row r="230" ht="15.75" customHeight="1">
      <c r="A230" s="28"/>
      <c r="B230" s="28"/>
      <c r="C230" s="28"/>
      <c r="D230" s="28"/>
      <c r="M230" s="25"/>
    </row>
    <row r="231" ht="15.75" customHeight="1">
      <c r="A231" s="28"/>
      <c r="B231" s="28"/>
      <c r="C231" s="28"/>
      <c r="D231" s="28"/>
      <c r="M231" s="25"/>
    </row>
    <row r="232" ht="15.75" customHeight="1">
      <c r="A232" s="28"/>
      <c r="B232" s="28"/>
      <c r="C232" s="28"/>
      <c r="D232" s="28"/>
      <c r="M232" s="25"/>
    </row>
    <row r="233" ht="15.75" customHeight="1">
      <c r="A233" s="28"/>
      <c r="B233" s="28"/>
      <c r="C233" s="28"/>
      <c r="D233" s="28"/>
      <c r="M233" s="25"/>
    </row>
    <row r="234" ht="15.75" customHeight="1">
      <c r="A234" s="28"/>
      <c r="B234" s="28"/>
      <c r="C234" s="28"/>
      <c r="D234" s="28"/>
      <c r="M234" s="25"/>
    </row>
    <row r="235" ht="15.75" customHeight="1">
      <c r="A235" s="28"/>
      <c r="B235" s="28"/>
      <c r="C235" s="28"/>
      <c r="D235" s="28"/>
      <c r="M235" s="25"/>
    </row>
    <row r="236" ht="15.75" customHeight="1">
      <c r="A236" s="28"/>
      <c r="B236" s="28"/>
      <c r="C236" s="28"/>
      <c r="D236" s="28"/>
      <c r="M236" s="25"/>
    </row>
    <row r="237" ht="15.75" customHeight="1">
      <c r="A237" s="28"/>
      <c r="B237" s="28"/>
      <c r="C237" s="28"/>
      <c r="D237" s="28"/>
      <c r="M237" s="25"/>
    </row>
    <row r="238" ht="15.75" customHeight="1">
      <c r="A238" s="28"/>
      <c r="B238" s="28"/>
      <c r="C238" s="28"/>
      <c r="D238" s="28"/>
      <c r="M238" s="25"/>
    </row>
    <row r="239" ht="15.75" customHeight="1">
      <c r="A239" s="28"/>
      <c r="B239" s="28"/>
      <c r="C239" s="28"/>
      <c r="D239" s="28"/>
      <c r="M239" s="25"/>
    </row>
    <row r="240" ht="15.75" customHeight="1">
      <c r="A240" s="28"/>
      <c r="B240" s="28"/>
      <c r="C240" s="28"/>
      <c r="D240" s="28"/>
      <c r="M240" s="25"/>
    </row>
    <row r="241" ht="15.75" customHeight="1">
      <c r="A241" s="28"/>
      <c r="B241" s="28"/>
      <c r="C241" s="28"/>
      <c r="D241" s="28"/>
      <c r="M241" s="25"/>
    </row>
    <row r="242" ht="15.75" customHeight="1">
      <c r="A242" s="28"/>
      <c r="B242" s="28"/>
      <c r="C242" s="28"/>
      <c r="D242" s="28"/>
      <c r="M242" s="25"/>
    </row>
    <row r="243" ht="15.75" customHeight="1">
      <c r="A243" s="28"/>
      <c r="B243" s="28"/>
      <c r="C243" s="28"/>
      <c r="D243" s="28"/>
      <c r="M243" s="25"/>
    </row>
    <row r="244" ht="15.75" customHeight="1">
      <c r="A244" s="28"/>
      <c r="B244" s="28"/>
      <c r="C244" s="28"/>
      <c r="D244" s="28"/>
      <c r="M244" s="25"/>
    </row>
    <row r="245" ht="15.75" customHeight="1">
      <c r="A245" s="28"/>
      <c r="B245" s="28"/>
      <c r="C245" s="28"/>
      <c r="D245" s="28"/>
      <c r="M245" s="25"/>
    </row>
    <row r="246" ht="15.75" customHeight="1">
      <c r="A246" s="28"/>
      <c r="B246" s="28"/>
      <c r="C246" s="28"/>
      <c r="D246" s="28"/>
      <c r="M246" s="25"/>
    </row>
    <row r="247" ht="15.75" customHeight="1">
      <c r="A247" s="28"/>
      <c r="B247" s="28"/>
      <c r="C247" s="28"/>
      <c r="D247" s="28"/>
      <c r="M247" s="25"/>
    </row>
    <row r="248" ht="15.75" customHeight="1">
      <c r="A248" s="28"/>
      <c r="B248" s="28"/>
      <c r="C248" s="28"/>
      <c r="D248" s="28"/>
      <c r="M248" s="25"/>
    </row>
    <row r="249" ht="15.75" customHeight="1">
      <c r="A249" s="28"/>
      <c r="B249" s="28"/>
      <c r="C249" s="28"/>
      <c r="D249" s="28"/>
      <c r="M249" s="25"/>
    </row>
    <row r="250" ht="15.75" customHeight="1">
      <c r="A250" s="28"/>
      <c r="B250" s="28"/>
      <c r="C250" s="28"/>
      <c r="D250" s="28"/>
      <c r="M250" s="25"/>
    </row>
    <row r="251" ht="15.75" customHeight="1">
      <c r="A251" s="28"/>
      <c r="B251" s="28"/>
      <c r="C251" s="28"/>
      <c r="D251" s="28"/>
      <c r="M251" s="25"/>
    </row>
    <row r="252" ht="15.75" customHeight="1">
      <c r="A252" s="28"/>
      <c r="B252" s="28"/>
      <c r="C252" s="28"/>
      <c r="D252" s="28"/>
      <c r="M252" s="25"/>
    </row>
    <row r="253" ht="15.75" customHeight="1">
      <c r="A253" s="28"/>
      <c r="B253" s="28"/>
      <c r="C253" s="28"/>
      <c r="D253" s="28"/>
      <c r="M253" s="25"/>
    </row>
    <row r="254" ht="15.75" customHeight="1">
      <c r="A254" s="28"/>
      <c r="B254" s="28"/>
      <c r="C254" s="28"/>
      <c r="D254" s="28"/>
      <c r="M254" s="25"/>
    </row>
    <row r="255" ht="15.75" customHeight="1">
      <c r="A255" s="28"/>
      <c r="B255" s="28"/>
      <c r="C255" s="28"/>
      <c r="D255" s="28"/>
      <c r="M255" s="25"/>
    </row>
    <row r="256" ht="15.75" customHeight="1">
      <c r="A256" s="28"/>
      <c r="B256" s="28"/>
      <c r="C256" s="28"/>
      <c r="D256" s="28"/>
      <c r="M256" s="25"/>
    </row>
    <row r="257" ht="15.75" customHeight="1">
      <c r="A257" s="28"/>
      <c r="B257" s="28"/>
      <c r="C257" s="28"/>
      <c r="D257" s="28"/>
      <c r="M257" s="25"/>
    </row>
    <row r="258" ht="15.75" customHeight="1">
      <c r="A258" s="28"/>
      <c r="B258" s="28"/>
      <c r="C258" s="28"/>
      <c r="D258" s="28"/>
      <c r="M258" s="25"/>
    </row>
    <row r="259" ht="15.75" customHeight="1">
      <c r="A259" s="28"/>
      <c r="B259" s="28"/>
      <c r="C259" s="28"/>
      <c r="D259" s="28"/>
      <c r="M259" s="25"/>
    </row>
    <row r="260" ht="15.75" customHeight="1">
      <c r="A260" s="28"/>
      <c r="B260" s="28"/>
      <c r="C260" s="28"/>
      <c r="D260" s="28"/>
      <c r="M260" s="25"/>
    </row>
    <row r="261" ht="15.75" customHeight="1">
      <c r="A261" s="28"/>
      <c r="B261" s="28"/>
      <c r="C261" s="28"/>
      <c r="D261" s="28"/>
      <c r="M261" s="25"/>
    </row>
    <row r="262" ht="15.75" customHeight="1">
      <c r="A262" s="28"/>
      <c r="B262" s="28"/>
      <c r="C262" s="28"/>
      <c r="D262" s="28"/>
      <c r="M262" s="25"/>
    </row>
    <row r="263" ht="15.75" customHeight="1">
      <c r="A263" s="28"/>
      <c r="B263" s="28"/>
      <c r="C263" s="28"/>
      <c r="D263" s="28"/>
      <c r="M263" s="25"/>
    </row>
    <row r="264" ht="15.75" customHeight="1">
      <c r="A264" s="28"/>
      <c r="B264" s="28"/>
      <c r="C264" s="28"/>
      <c r="D264" s="28"/>
      <c r="M264" s="25"/>
    </row>
    <row r="265" ht="15.75" customHeight="1">
      <c r="A265" s="28"/>
      <c r="B265" s="28"/>
      <c r="C265" s="28"/>
      <c r="D265" s="28"/>
      <c r="M265" s="25"/>
    </row>
    <row r="266" ht="15.75" customHeight="1">
      <c r="A266" s="28"/>
      <c r="B266" s="28"/>
      <c r="C266" s="28"/>
      <c r="D266" s="28"/>
      <c r="M266" s="25"/>
    </row>
    <row r="267" ht="15.75" customHeight="1">
      <c r="A267" s="28"/>
      <c r="B267" s="28"/>
      <c r="C267" s="28"/>
      <c r="D267" s="28"/>
      <c r="M267" s="25"/>
    </row>
    <row r="268" ht="15.75" customHeight="1">
      <c r="A268" s="28"/>
      <c r="B268" s="28"/>
      <c r="C268" s="28"/>
      <c r="D268" s="28"/>
      <c r="M268" s="25"/>
    </row>
    <row r="269" ht="15.75" customHeight="1">
      <c r="A269" s="28"/>
      <c r="B269" s="28"/>
      <c r="C269" s="28"/>
      <c r="D269" s="28"/>
      <c r="M269" s="25"/>
    </row>
    <row r="270" ht="15.75" customHeight="1">
      <c r="A270" s="28"/>
      <c r="B270" s="28"/>
      <c r="C270" s="28"/>
      <c r="D270" s="28"/>
      <c r="M270" s="25"/>
    </row>
    <row r="271" ht="15.75" customHeight="1">
      <c r="A271" s="28"/>
      <c r="B271" s="28"/>
      <c r="C271" s="28"/>
      <c r="D271" s="28"/>
      <c r="M271" s="25"/>
    </row>
    <row r="272" ht="15.75" customHeight="1">
      <c r="A272" s="28"/>
      <c r="B272" s="28"/>
      <c r="C272" s="28"/>
      <c r="D272" s="28"/>
      <c r="M272" s="25"/>
    </row>
    <row r="273" ht="15.75" customHeight="1">
      <c r="A273" s="28"/>
      <c r="B273" s="28"/>
      <c r="C273" s="28"/>
      <c r="D273" s="28"/>
      <c r="M273" s="25"/>
    </row>
    <row r="274" ht="15.75" customHeight="1">
      <c r="A274" s="28"/>
      <c r="B274" s="28"/>
      <c r="C274" s="28"/>
      <c r="D274" s="28"/>
      <c r="M274" s="25"/>
    </row>
    <row r="275" ht="15.75" customHeight="1">
      <c r="A275" s="28"/>
      <c r="B275" s="28"/>
      <c r="C275" s="28"/>
      <c r="D275" s="28"/>
      <c r="M275" s="25"/>
    </row>
    <row r="276" ht="15.75" customHeight="1">
      <c r="A276" s="28"/>
      <c r="B276" s="28"/>
      <c r="C276" s="28"/>
      <c r="D276" s="28"/>
      <c r="M276" s="25"/>
    </row>
    <row r="277" ht="15.75" customHeight="1">
      <c r="A277" s="28"/>
      <c r="B277" s="28"/>
      <c r="C277" s="28"/>
      <c r="D277" s="28"/>
      <c r="M277" s="25"/>
    </row>
    <row r="278" ht="15.75" customHeight="1">
      <c r="A278" s="28"/>
      <c r="B278" s="28"/>
      <c r="C278" s="28"/>
      <c r="D278" s="28"/>
      <c r="M278" s="25"/>
    </row>
    <row r="279" ht="15.75" customHeight="1">
      <c r="A279" s="28"/>
      <c r="B279" s="28"/>
      <c r="C279" s="28"/>
      <c r="D279" s="28"/>
      <c r="M279" s="25"/>
    </row>
    <row r="280" ht="15.75" customHeight="1">
      <c r="A280" s="28"/>
      <c r="B280" s="28"/>
      <c r="C280" s="28"/>
      <c r="D280" s="28"/>
      <c r="M280" s="25"/>
    </row>
    <row r="281" ht="15.75" customHeight="1">
      <c r="A281" s="28"/>
      <c r="B281" s="28"/>
      <c r="C281" s="28"/>
      <c r="D281" s="28"/>
      <c r="M281" s="25"/>
    </row>
    <row r="282" ht="15.75" customHeight="1">
      <c r="A282" s="28"/>
      <c r="B282" s="28"/>
      <c r="C282" s="28"/>
      <c r="D282" s="28"/>
      <c r="M282" s="25"/>
    </row>
    <row r="283" ht="15.75" customHeight="1">
      <c r="A283" s="28"/>
      <c r="B283" s="28"/>
      <c r="C283" s="28"/>
      <c r="D283" s="28"/>
      <c r="M283" s="25"/>
    </row>
    <row r="284" ht="15.75" customHeight="1">
      <c r="A284" s="28"/>
      <c r="B284" s="28"/>
      <c r="C284" s="28"/>
      <c r="D284" s="28"/>
      <c r="M284" s="25"/>
    </row>
    <row r="285" ht="15.75" customHeight="1">
      <c r="A285" s="28"/>
      <c r="B285" s="28"/>
      <c r="C285" s="28"/>
      <c r="D285" s="28"/>
      <c r="M285" s="25"/>
    </row>
    <row r="286" ht="15.75" customHeight="1">
      <c r="A286" s="28"/>
      <c r="B286" s="28"/>
      <c r="C286" s="28"/>
      <c r="D286" s="28"/>
      <c r="M286" s="25"/>
    </row>
    <row r="287" ht="15.75" customHeight="1">
      <c r="A287" s="28"/>
      <c r="B287" s="28"/>
      <c r="C287" s="28"/>
      <c r="D287" s="28"/>
      <c r="M287" s="25"/>
    </row>
    <row r="288" ht="15.75" customHeight="1">
      <c r="A288" s="28"/>
      <c r="B288" s="28"/>
      <c r="C288" s="28"/>
      <c r="D288" s="28"/>
      <c r="M288" s="25"/>
    </row>
    <row r="289" ht="15.75" customHeight="1">
      <c r="A289" s="28"/>
      <c r="B289" s="28"/>
      <c r="C289" s="28"/>
      <c r="D289" s="28"/>
      <c r="M289" s="25"/>
    </row>
    <row r="290" ht="15.75" customHeight="1">
      <c r="A290" s="28"/>
      <c r="B290" s="28"/>
      <c r="C290" s="28"/>
      <c r="D290" s="28"/>
      <c r="M290" s="25"/>
    </row>
    <row r="291" ht="15.75" customHeight="1">
      <c r="A291" s="28"/>
      <c r="B291" s="28"/>
      <c r="C291" s="28"/>
      <c r="D291" s="28"/>
      <c r="M291" s="25"/>
    </row>
    <row r="292" ht="15.75" customHeight="1">
      <c r="A292" s="28"/>
      <c r="B292" s="28"/>
      <c r="C292" s="28"/>
      <c r="D292" s="28"/>
      <c r="M292" s="25"/>
    </row>
    <row r="293" ht="15.75" customHeight="1">
      <c r="A293" s="28"/>
      <c r="B293" s="28"/>
      <c r="C293" s="28"/>
      <c r="D293" s="28"/>
      <c r="M293" s="25"/>
    </row>
    <row r="294" ht="15.75" customHeight="1">
      <c r="A294" s="28"/>
      <c r="B294" s="28"/>
      <c r="C294" s="28"/>
      <c r="D294" s="28"/>
      <c r="M294" s="25"/>
    </row>
    <row r="295" ht="15.75" customHeight="1">
      <c r="A295" s="28"/>
      <c r="B295" s="28"/>
      <c r="C295" s="28"/>
      <c r="D295" s="28"/>
      <c r="M295" s="25"/>
    </row>
    <row r="296" ht="15.75" customHeight="1">
      <c r="A296" s="28"/>
      <c r="B296" s="28"/>
      <c r="C296" s="28"/>
      <c r="D296" s="28"/>
      <c r="M296" s="25"/>
    </row>
    <row r="297" ht="15.75" customHeight="1">
      <c r="A297" s="28"/>
      <c r="B297" s="28"/>
      <c r="C297" s="28"/>
      <c r="D297" s="28"/>
      <c r="M297" s="25"/>
    </row>
    <row r="298" ht="15.75" customHeight="1">
      <c r="A298" s="28"/>
      <c r="B298" s="28"/>
      <c r="C298" s="28"/>
      <c r="D298" s="28"/>
      <c r="M298" s="25"/>
    </row>
    <row r="299" ht="15.75" customHeight="1">
      <c r="A299" s="28"/>
      <c r="B299" s="28"/>
      <c r="C299" s="28"/>
      <c r="D299" s="28"/>
      <c r="M299" s="25"/>
    </row>
    <row r="300" ht="15.75" customHeight="1">
      <c r="A300" s="28"/>
      <c r="B300" s="28"/>
      <c r="C300" s="28"/>
      <c r="D300" s="28"/>
      <c r="M300" s="25"/>
    </row>
    <row r="301" ht="15.75" customHeight="1">
      <c r="A301" s="28"/>
      <c r="B301" s="28"/>
      <c r="C301" s="28"/>
      <c r="D301" s="28"/>
      <c r="M301" s="25"/>
    </row>
    <row r="302" ht="15.75" customHeight="1">
      <c r="A302" s="28"/>
      <c r="B302" s="28"/>
      <c r="C302" s="28"/>
      <c r="D302" s="28"/>
      <c r="M302" s="25"/>
    </row>
    <row r="303" ht="15.75" customHeight="1">
      <c r="A303" s="28"/>
      <c r="B303" s="28"/>
      <c r="C303" s="28"/>
      <c r="D303" s="28"/>
      <c r="M303" s="25"/>
    </row>
    <row r="304" ht="15.75" customHeight="1">
      <c r="A304" s="28"/>
      <c r="B304" s="28"/>
      <c r="C304" s="28"/>
      <c r="D304" s="28"/>
      <c r="M304" s="25"/>
    </row>
    <row r="305" ht="15.75" customHeight="1">
      <c r="A305" s="28"/>
      <c r="B305" s="28"/>
      <c r="C305" s="28"/>
      <c r="D305" s="28"/>
      <c r="M305" s="25"/>
    </row>
    <row r="306" ht="15.75" customHeight="1">
      <c r="A306" s="28"/>
      <c r="B306" s="28"/>
      <c r="C306" s="28"/>
      <c r="D306" s="28"/>
      <c r="M306" s="25"/>
    </row>
    <row r="307" ht="15.75" customHeight="1">
      <c r="A307" s="28"/>
      <c r="B307" s="28"/>
      <c r="C307" s="28"/>
      <c r="D307" s="28"/>
      <c r="M307" s="25"/>
    </row>
    <row r="308" ht="15.75" customHeight="1">
      <c r="A308" s="28"/>
      <c r="B308" s="28"/>
      <c r="C308" s="28"/>
      <c r="D308" s="28"/>
      <c r="M308" s="25"/>
    </row>
    <row r="309" ht="15.75" customHeight="1">
      <c r="A309" s="28"/>
      <c r="B309" s="28"/>
      <c r="C309" s="28"/>
      <c r="D309" s="28"/>
      <c r="M309" s="25"/>
    </row>
    <row r="310" ht="15.75" customHeight="1">
      <c r="A310" s="28"/>
      <c r="B310" s="28"/>
      <c r="C310" s="28"/>
      <c r="D310" s="28"/>
      <c r="M310" s="25"/>
    </row>
    <row r="311" ht="15.75" customHeight="1">
      <c r="A311" s="28"/>
      <c r="B311" s="28"/>
      <c r="C311" s="28"/>
      <c r="D311" s="28"/>
      <c r="M311" s="25"/>
    </row>
    <row r="312" ht="15.75" customHeight="1">
      <c r="A312" s="28"/>
      <c r="B312" s="28"/>
      <c r="C312" s="28"/>
      <c r="D312" s="28"/>
      <c r="M312" s="25"/>
    </row>
    <row r="313" ht="15.75" customHeight="1">
      <c r="A313" s="28"/>
      <c r="B313" s="28"/>
      <c r="C313" s="28"/>
      <c r="D313" s="28"/>
      <c r="M313" s="25"/>
    </row>
    <row r="314" ht="15.75" customHeight="1">
      <c r="A314" s="28"/>
      <c r="B314" s="28"/>
      <c r="C314" s="28"/>
      <c r="D314" s="28"/>
      <c r="M314" s="25"/>
    </row>
    <row r="315" ht="15.75" customHeight="1">
      <c r="A315" s="28"/>
      <c r="B315" s="28"/>
      <c r="C315" s="28"/>
      <c r="D315" s="28"/>
      <c r="M315" s="25"/>
    </row>
    <row r="316" ht="15.75" customHeight="1">
      <c r="A316" s="28"/>
      <c r="B316" s="28"/>
      <c r="C316" s="28"/>
      <c r="D316" s="28"/>
      <c r="M316" s="25"/>
    </row>
    <row r="317" ht="15.75" customHeight="1">
      <c r="A317" s="28"/>
      <c r="B317" s="28"/>
      <c r="C317" s="28"/>
      <c r="D317" s="28"/>
      <c r="M317" s="25"/>
    </row>
    <row r="318" ht="15.75" customHeight="1">
      <c r="A318" s="28"/>
      <c r="B318" s="28"/>
      <c r="C318" s="28"/>
      <c r="D318" s="28"/>
      <c r="M318" s="25"/>
    </row>
    <row r="319" ht="15.75" customHeight="1">
      <c r="A319" s="28"/>
      <c r="B319" s="28"/>
      <c r="C319" s="28"/>
      <c r="D319" s="28"/>
      <c r="M319" s="25"/>
    </row>
    <row r="320" ht="15.75" customHeight="1">
      <c r="A320" s="28"/>
      <c r="B320" s="28"/>
      <c r="C320" s="28"/>
      <c r="D320" s="28"/>
      <c r="M320" s="25"/>
    </row>
    <row r="321" ht="15.75" customHeight="1">
      <c r="A321" s="28"/>
      <c r="B321" s="28"/>
      <c r="C321" s="28"/>
      <c r="D321" s="28"/>
      <c r="M321" s="25"/>
    </row>
    <row r="322" ht="15.75" customHeight="1">
      <c r="A322" s="28"/>
      <c r="B322" s="28"/>
      <c r="C322" s="28"/>
      <c r="D322" s="28"/>
      <c r="M322" s="25"/>
    </row>
    <row r="323" ht="15.75" customHeight="1">
      <c r="A323" s="28"/>
      <c r="B323" s="28"/>
      <c r="C323" s="28"/>
      <c r="D323" s="28"/>
      <c r="M323" s="25"/>
    </row>
    <row r="324" ht="15.75" customHeight="1">
      <c r="A324" s="28"/>
      <c r="B324" s="28"/>
      <c r="C324" s="28"/>
      <c r="D324" s="28"/>
      <c r="M324" s="25"/>
    </row>
    <row r="325" ht="15.75" customHeight="1">
      <c r="A325" s="28"/>
      <c r="B325" s="28"/>
      <c r="C325" s="28"/>
      <c r="D325" s="28"/>
      <c r="M325" s="25"/>
    </row>
    <row r="326" ht="15.75" customHeight="1">
      <c r="A326" s="28"/>
      <c r="B326" s="28"/>
      <c r="C326" s="28"/>
      <c r="D326" s="28"/>
      <c r="M326" s="25"/>
    </row>
    <row r="327" ht="15.75" customHeight="1">
      <c r="A327" s="28"/>
      <c r="B327" s="28"/>
      <c r="C327" s="28"/>
      <c r="D327" s="28"/>
      <c r="M327" s="25"/>
    </row>
    <row r="328" ht="15.75" customHeight="1">
      <c r="A328" s="28"/>
      <c r="B328" s="28"/>
      <c r="C328" s="28"/>
      <c r="D328" s="28"/>
      <c r="M328" s="25"/>
    </row>
    <row r="329" ht="15.75" customHeight="1">
      <c r="A329" s="28"/>
      <c r="B329" s="28"/>
      <c r="C329" s="28"/>
      <c r="D329" s="28"/>
      <c r="M329" s="25"/>
    </row>
    <row r="330" ht="15.75" customHeight="1">
      <c r="A330" s="28"/>
      <c r="B330" s="28"/>
      <c r="C330" s="28"/>
      <c r="D330" s="28"/>
      <c r="M330" s="25"/>
    </row>
    <row r="331" ht="15.75" customHeight="1">
      <c r="A331" s="28"/>
      <c r="B331" s="28"/>
      <c r="C331" s="28"/>
      <c r="D331" s="28"/>
      <c r="M331" s="25"/>
    </row>
    <row r="332" ht="15.75" customHeight="1">
      <c r="A332" s="28"/>
      <c r="B332" s="28"/>
      <c r="C332" s="28"/>
      <c r="D332" s="28"/>
      <c r="M332" s="25"/>
    </row>
    <row r="333" ht="15.75" customHeight="1">
      <c r="A333" s="28"/>
      <c r="B333" s="28"/>
      <c r="C333" s="28"/>
      <c r="D333" s="28"/>
      <c r="M333" s="25"/>
    </row>
    <row r="334" ht="15.75" customHeight="1">
      <c r="A334" s="28"/>
      <c r="B334" s="28"/>
      <c r="C334" s="28"/>
      <c r="D334" s="28"/>
      <c r="M334" s="25"/>
    </row>
    <row r="335" ht="15.75" customHeight="1">
      <c r="A335" s="28"/>
      <c r="B335" s="28"/>
      <c r="C335" s="28"/>
      <c r="D335" s="28"/>
      <c r="M335" s="25"/>
    </row>
    <row r="336" ht="15.75" customHeight="1">
      <c r="A336" s="28"/>
      <c r="B336" s="28"/>
      <c r="C336" s="28"/>
      <c r="D336" s="28"/>
      <c r="M336" s="25"/>
    </row>
    <row r="337" ht="15.75" customHeight="1">
      <c r="A337" s="28"/>
      <c r="B337" s="28"/>
      <c r="C337" s="28"/>
      <c r="D337" s="28"/>
      <c r="M337" s="25"/>
    </row>
    <row r="338" ht="15.75" customHeight="1">
      <c r="A338" s="28"/>
      <c r="B338" s="28"/>
      <c r="C338" s="28"/>
      <c r="D338" s="28"/>
      <c r="M338" s="25"/>
    </row>
    <row r="339" ht="15.75" customHeight="1">
      <c r="A339" s="28"/>
      <c r="B339" s="28"/>
      <c r="C339" s="28"/>
      <c r="D339" s="28"/>
      <c r="M339" s="25"/>
    </row>
    <row r="340" ht="15.75" customHeight="1">
      <c r="A340" s="28"/>
      <c r="B340" s="28"/>
      <c r="C340" s="28"/>
      <c r="D340" s="28"/>
      <c r="M340" s="25"/>
    </row>
    <row r="341" ht="15.75" customHeight="1">
      <c r="A341" s="28"/>
      <c r="B341" s="28"/>
      <c r="C341" s="28"/>
      <c r="D341" s="28"/>
      <c r="M341" s="25"/>
    </row>
    <row r="342" ht="15.75" customHeight="1">
      <c r="A342" s="28"/>
      <c r="B342" s="28"/>
      <c r="C342" s="28"/>
      <c r="D342" s="28"/>
      <c r="M342" s="25"/>
    </row>
    <row r="343" ht="15.75" customHeight="1">
      <c r="A343" s="28"/>
      <c r="B343" s="28"/>
      <c r="C343" s="28"/>
      <c r="D343" s="28"/>
      <c r="M343" s="25"/>
    </row>
    <row r="344" ht="15.75" customHeight="1">
      <c r="A344" s="28"/>
      <c r="B344" s="28"/>
      <c r="C344" s="28"/>
      <c r="D344" s="28"/>
      <c r="M344" s="25"/>
    </row>
    <row r="345" ht="15.75" customHeight="1">
      <c r="A345" s="28"/>
      <c r="B345" s="28"/>
      <c r="C345" s="28"/>
      <c r="D345" s="28"/>
      <c r="M345" s="25"/>
    </row>
    <row r="346" ht="15.75" customHeight="1">
      <c r="A346" s="28"/>
      <c r="B346" s="28"/>
      <c r="C346" s="28"/>
      <c r="D346" s="28"/>
      <c r="M346" s="25"/>
    </row>
    <row r="347" ht="15.75" customHeight="1">
      <c r="A347" s="28"/>
      <c r="B347" s="28"/>
      <c r="C347" s="28"/>
      <c r="D347" s="28"/>
      <c r="M347" s="25"/>
    </row>
    <row r="348" ht="15.75" customHeight="1">
      <c r="A348" s="28"/>
      <c r="B348" s="28"/>
      <c r="C348" s="28"/>
      <c r="D348" s="28"/>
      <c r="M348" s="25"/>
    </row>
    <row r="349" ht="15.75" customHeight="1">
      <c r="A349" s="28"/>
      <c r="B349" s="28"/>
      <c r="C349" s="28"/>
      <c r="D349" s="28"/>
      <c r="M349" s="25"/>
    </row>
    <row r="350" ht="15.75" customHeight="1">
      <c r="A350" s="28"/>
      <c r="B350" s="28"/>
      <c r="C350" s="28"/>
      <c r="D350" s="28"/>
      <c r="M350" s="25"/>
    </row>
    <row r="351" ht="15.75" customHeight="1">
      <c r="A351" s="28"/>
      <c r="B351" s="28"/>
      <c r="C351" s="28"/>
      <c r="D351" s="28"/>
      <c r="M351" s="25"/>
    </row>
    <row r="352" ht="15.75" customHeight="1">
      <c r="A352" s="28"/>
      <c r="B352" s="28"/>
      <c r="C352" s="28"/>
      <c r="D352" s="28"/>
      <c r="M352" s="25"/>
    </row>
    <row r="353" ht="15.75" customHeight="1">
      <c r="A353" s="28"/>
      <c r="B353" s="28"/>
      <c r="C353" s="28"/>
      <c r="D353" s="28"/>
      <c r="M353" s="25"/>
    </row>
    <row r="354" ht="15.75" customHeight="1">
      <c r="A354" s="28"/>
      <c r="B354" s="28"/>
      <c r="C354" s="28"/>
      <c r="D354" s="28"/>
      <c r="M354" s="25"/>
    </row>
    <row r="355" ht="15.75" customHeight="1">
      <c r="A355" s="28"/>
      <c r="B355" s="28"/>
      <c r="C355" s="28"/>
      <c r="D355" s="28"/>
      <c r="M355" s="25"/>
    </row>
    <row r="356" ht="15.75" customHeight="1">
      <c r="A356" s="28"/>
      <c r="B356" s="28"/>
      <c r="C356" s="28"/>
      <c r="D356" s="28"/>
      <c r="M356" s="25"/>
    </row>
    <row r="357" ht="15.75" customHeight="1">
      <c r="A357" s="28"/>
      <c r="B357" s="28"/>
      <c r="C357" s="28"/>
      <c r="D357" s="28"/>
      <c r="M357" s="25"/>
    </row>
    <row r="358" ht="15.75" customHeight="1">
      <c r="A358" s="28"/>
      <c r="B358" s="28"/>
      <c r="C358" s="28"/>
      <c r="D358" s="28"/>
      <c r="M358" s="25"/>
    </row>
    <row r="359" ht="15.75" customHeight="1">
      <c r="A359" s="28"/>
      <c r="B359" s="28"/>
      <c r="C359" s="28"/>
      <c r="D359" s="28"/>
      <c r="M359" s="25"/>
    </row>
    <row r="360" ht="15.75" customHeight="1">
      <c r="A360" s="28"/>
      <c r="B360" s="28"/>
      <c r="C360" s="28"/>
      <c r="D360" s="28"/>
      <c r="M360" s="25"/>
    </row>
    <row r="361" ht="15.75" customHeight="1">
      <c r="A361" s="28"/>
      <c r="B361" s="28"/>
      <c r="C361" s="28"/>
      <c r="D361" s="28"/>
      <c r="M361" s="25"/>
    </row>
    <row r="362" ht="15.75" customHeight="1">
      <c r="A362" s="28"/>
      <c r="B362" s="28"/>
      <c r="C362" s="28"/>
      <c r="D362" s="28"/>
      <c r="M362" s="25"/>
    </row>
    <row r="363" ht="15.75" customHeight="1">
      <c r="A363" s="28"/>
      <c r="B363" s="28"/>
      <c r="C363" s="28"/>
      <c r="D363" s="28"/>
      <c r="M363" s="25"/>
    </row>
    <row r="364" ht="15.75" customHeight="1">
      <c r="A364" s="28"/>
      <c r="B364" s="28"/>
      <c r="C364" s="28"/>
      <c r="D364" s="28"/>
      <c r="M364" s="25"/>
    </row>
    <row r="365" ht="15.75" customHeight="1">
      <c r="A365" s="28"/>
      <c r="B365" s="28"/>
      <c r="C365" s="28"/>
      <c r="D365" s="28"/>
      <c r="M365" s="25"/>
    </row>
    <row r="366" ht="15.75" customHeight="1">
      <c r="A366" s="28"/>
      <c r="B366" s="28"/>
      <c r="C366" s="28"/>
      <c r="D366" s="28"/>
      <c r="M366" s="25"/>
    </row>
    <row r="367" ht="15.75" customHeight="1">
      <c r="A367" s="28"/>
      <c r="B367" s="28"/>
      <c r="C367" s="28"/>
      <c r="D367" s="28"/>
      <c r="M367" s="25"/>
    </row>
    <row r="368" ht="15.75" customHeight="1">
      <c r="A368" s="28"/>
      <c r="B368" s="28"/>
      <c r="C368" s="28"/>
      <c r="D368" s="28"/>
      <c r="M368" s="25"/>
    </row>
    <row r="369" ht="15.75" customHeight="1">
      <c r="A369" s="28"/>
      <c r="B369" s="28"/>
      <c r="C369" s="28"/>
      <c r="D369" s="28"/>
      <c r="M369" s="25"/>
    </row>
    <row r="370" ht="15.75" customHeight="1">
      <c r="A370" s="28"/>
      <c r="B370" s="28"/>
      <c r="C370" s="28"/>
      <c r="D370" s="28"/>
      <c r="M370" s="25"/>
    </row>
    <row r="371" ht="15.75" customHeight="1">
      <c r="A371" s="28"/>
      <c r="B371" s="28"/>
      <c r="C371" s="28"/>
      <c r="D371" s="28"/>
      <c r="M371" s="25"/>
    </row>
    <row r="372" ht="15.75" customHeight="1">
      <c r="A372" s="28"/>
      <c r="B372" s="28"/>
      <c r="C372" s="28"/>
      <c r="D372" s="28"/>
      <c r="M372" s="25"/>
    </row>
    <row r="373" ht="15.75" customHeight="1">
      <c r="A373" s="28"/>
      <c r="B373" s="28"/>
      <c r="C373" s="28"/>
      <c r="D373" s="28"/>
      <c r="M373" s="25"/>
    </row>
    <row r="374" ht="15.75" customHeight="1">
      <c r="A374" s="28"/>
      <c r="B374" s="28"/>
      <c r="C374" s="28"/>
      <c r="D374" s="28"/>
      <c r="M374" s="25"/>
    </row>
    <row r="375" ht="15.75" customHeight="1">
      <c r="A375" s="28"/>
      <c r="B375" s="28"/>
      <c r="C375" s="28"/>
      <c r="D375" s="28"/>
      <c r="M375" s="25"/>
    </row>
    <row r="376" ht="15.75" customHeight="1">
      <c r="A376" s="28"/>
      <c r="B376" s="28"/>
      <c r="C376" s="28"/>
      <c r="D376" s="28"/>
      <c r="M376" s="25"/>
    </row>
    <row r="377" ht="15.75" customHeight="1">
      <c r="A377" s="28"/>
      <c r="B377" s="28"/>
      <c r="C377" s="28"/>
      <c r="D377" s="28"/>
      <c r="M377" s="25"/>
    </row>
    <row r="378" ht="15.75" customHeight="1">
      <c r="A378" s="28"/>
      <c r="B378" s="28"/>
      <c r="C378" s="28"/>
      <c r="D378" s="28"/>
      <c r="M378" s="25"/>
    </row>
    <row r="379" ht="15.75" customHeight="1">
      <c r="A379" s="28"/>
      <c r="B379" s="28"/>
      <c r="C379" s="28"/>
      <c r="D379" s="28"/>
      <c r="M379" s="25"/>
    </row>
    <row r="380" ht="15.75" customHeight="1">
      <c r="A380" s="28"/>
      <c r="B380" s="28"/>
      <c r="C380" s="28"/>
      <c r="D380" s="28"/>
      <c r="M380" s="25"/>
    </row>
    <row r="381" ht="15.75" customHeight="1">
      <c r="A381" s="28"/>
      <c r="B381" s="28"/>
      <c r="C381" s="28"/>
      <c r="D381" s="28"/>
      <c r="M381" s="25"/>
    </row>
    <row r="382" ht="15.75" customHeight="1">
      <c r="A382" s="28"/>
      <c r="B382" s="28"/>
      <c r="C382" s="28"/>
      <c r="D382" s="28"/>
      <c r="M382" s="25"/>
    </row>
    <row r="383" ht="15.75" customHeight="1">
      <c r="A383" s="28"/>
      <c r="B383" s="28"/>
      <c r="C383" s="28"/>
      <c r="D383" s="28"/>
      <c r="M383" s="25"/>
    </row>
    <row r="384" ht="15.75" customHeight="1">
      <c r="A384" s="28"/>
      <c r="B384" s="28"/>
      <c r="C384" s="28"/>
      <c r="D384" s="28"/>
      <c r="M384" s="25"/>
    </row>
    <row r="385" ht="15.75" customHeight="1">
      <c r="A385" s="28"/>
      <c r="B385" s="28"/>
      <c r="C385" s="28"/>
      <c r="D385" s="28"/>
      <c r="M385" s="25"/>
    </row>
    <row r="386" ht="15.75" customHeight="1">
      <c r="A386" s="28"/>
      <c r="B386" s="28"/>
      <c r="C386" s="28"/>
      <c r="D386" s="28"/>
      <c r="M386" s="25"/>
    </row>
    <row r="387" ht="15.75" customHeight="1">
      <c r="A387" s="28"/>
      <c r="B387" s="28"/>
      <c r="C387" s="28"/>
      <c r="D387" s="28"/>
      <c r="M387" s="25"/>
    </row>
    <row r="388" ht="15.75" customHeight="1">
      <c r="A388" s="28"/>
      <c r="B388" s="28"/>
      <c r="C388" s="28"/>
      <c r="D388" s="28"/>
      <c r="M388" s="25"/>
    </row>
    <row r="389" ht="15.75" customHeight="1">
      <c r="A389" s="28"/>
      <c r="B389" s="28"/>
      <c r="C389" s="28"/>
      <c r="D389" s="28"/>
      <c r="M389" s="25"/>
    </row>
    <row r="390" ht="15.75" customHeight="1">
      <c r="A390" s="28"/>
      <c r="B390" s="28"/>
      <c r="C390" s="28"/>
      <c r="D390" s="28"/>
      <c r="M390" s="25"/>
    </row>
    <row r="391" ht="15.75" customHeight="1">
      <c r="A391" s="28"/>
      <c r="B391" s="28"/>
      <c r="C391" s="28"/>
      <c r="D391" s="28"/>
      <c r="M391" s="25"/>
    </row>
    <row r="392" ht="15.75" customHeight="1">
      <c r="A392" s="28"/>
      <c r="B392" s="28"/>
      <c r="C392" s="28"/>
      <c r="D392" s="28"/>
      <c r="M392" s="25"/>
    </row>
    <row r="393" ht="15.75" customHeight="1">
      <c r="A393" s="28"/>
      <c r="B393" s="28"/>
      <c r="C393" s="28"/>
      <c r="D393" s="28"/>
      <c r="M393" s="25"/>
    </row>
    <row r="394" ht="15.75" customHeight="1">
      <c r="A394" s="28"/>
      <c r="B394" s="28"/>
      <c r="C394" s="28"/>
      <c r="D394" s="28"/>
      <c r="M394" s="25"/>
    </row>
    <row r="395" ht="15.75" customHeight="1">
      <c r="A395" s="28"/>
      <c r="B395" s="28"/>
      <c r="C395" s="28"/>
      <c r="D395" s="28"/>
      <c r="M395" s="25"/>
    </row>
    <row r="396" ht="15.75" customHeight="1">
      <c r="A396" s="28"/>
      <c r="B396" s="28"/>
      <c r="C396" s="28"/>
      <c r="D396" s="28"/>
      <c r="M396" s="25"/>
    </row>
    <row r="397" ht="15.75" customHeight="1">
      <c r="A397" s="28"/>
      <c r="B397" s="28"/>
      <c r="C397" s="28"/>
      <c r="D397" s="28"/>
      <c r="M397" s="25"/>
    </row>
    <row r="398" ht="15.75" customHeight="1">
      <c r="A398" s="28"/>
      <c r="B398" s="28"/>
      <c r="C398" s="28"/>
      <c r="D398" s="28"/>
      <c r="M398" s="25"/>
    </row>
    <row r="399" ht="15.75" customHeight="1">
      <c r="A399" s="28"/>
      <c r="B399" s="28"/>
      <c r="C399" s="28"/>
      <c r="D399" s="28"/>
      <c r="M399" s="25"/>
    </row>
    <row r="400" ht="15.75" customHeight="1">
      <c r="A400" s="28"/>
      <c r="B400" s="28"/>
      <c r="C400" s="28"/>
      <c r="D400" s="28"/>
      <c r="M400" s="25"/>
    </row>
    <row r="401" ht="15.75" customHeight="1">
      <c r="A401" s="28"/>
      <c r="B401" s="28"/>
      <c r="C401" s="28"/>
      <c r="D401" s="28"/>
      <c r="M401" s="25"/>
    </row>
    <row r="402" ht="15.75" customHeight="1">
      <c r="A402" s="28"/>
      <c r="B402" s="28"/>
      <c r="C402" s="28"/>
      <c r="D402" s="28"/>
      <c r="M402" s="25"/>
    </row>
    <row r="403" ht="15.75" customHeight="1">
      <c r="A403" s="28"/>
      <c r="B403" s="28"/>
      <c r="C403" s="28"/>
      <c r="D403" s="28"/>
      <c r="M403" s="25"/>
    </row>
    <row r="404" ht="15.75" customHeight="1">
      <c r="A404" s="28"/>
      <c r="B404" s="28"/>
      <c r="C404" s="28"/>
      <c r="D404" s="28"/>
      <c r="M404" s="25"/>
    </row>
    <row r="405" ht="15.75" customHeight="1">
      <c r="A405" s="28"/>
      <c r="B405" s="28"/>
      <c r="C405" s="28"/>
      <c r="D405" s="28"/>
      <c r="M405" s="25"/>
    </row>
    <row r="406" ht="15.75" customHeight="1">
      <c r="A406" s="28"/>
      <c r="B406" s="28"/>
      <c r="C406" s="28"/>
      <c r="D406" s="28"/>
      <c r="M406" s="25"/>
    </row>
    <row r="407" ht="15.75" customHeight="1">
      <c r="A407" s="28"/>
      <c r="B407" s="28"/>
      <c r="C407" s="28"/>
      <c r="D407" s="28"/>
      <c r="M407" s="25"/>
    </row>
    <row r="408" ht="15.75" customHeight="1">
      <c r="A408" s="28"/>
      <c r="B408" s="28"/>
      <c r="C408" s="28"/>
      <c r="D408" s="28"/>
      <c r="M408" s="25"/>
    </row>
    <row r="409" ht="15.75" customHeight="1">
      <c r="A409" s="28"/>
      <c r="B409" s="28"/>
      <c r="C409" s="28"/>
      <c r="D409" s="28"/>
      <c r="M409" s="25"/>
    </row>
    <row r="410" ht="15.75" customHeight="1">
      <c r="A410" s="28"/>
      <c r="B410" s="28"/>
      <c r="C410" s="28"/>
      <c r="D410" s="28"/>
      <c r="M410" s="25"/>
    </row>
    <row r="411" ht="15.75" customHeight="1">
      <c r="A411" s="28"/>
      <c r="B411" s="28"/>
      <c r="C411" s="28"/>
      <c r="D411" s="28"/>
      <c r="M411" s="25"/>
    </row>
    <row r="412" ht="15.75" customHeight="1">
      <c r="A412" s="28"/>
      <c r="B412" s="28"/>
      <c r="C412" s="28"/>
      <c r="D412" s="28"/>
      <c r="M412" s="25"/>
    </row>
    <row r="413" ht="15.75" customHeight="1">
      <c r="A413" s="28"/>
      <c r="B413" s="28"/>
      <c r="C413" s="28"/>
      <c r="D413" s="28"/>
      <c r="M413" s="25"/>
    </row>
    <row r="414" ht="15.75" customHeight="1">
      <c r="A414" s="28"/>
      <c r="B414" s="28"/>
      <c r="C414" s="28"/>
      <c r="D414" s="28"/>
      <c r="M414" s="25"/>
    </row>
    <row r="415" ht="15.75" customHeight="1">
      <c r="A415" s="28"/>
      <c r="B415" s="28"/>
      <c r="C415" s="28"/>
      <c r="D415" s="28"/>
      <c r="M415" s="25"/>
    </row>
    <row r="416" ht="15.75" customHeight="1">
      <c r="A416" s="28"/>
      <c r="B416" s="28"/>
      <c r="C416" s="28"/>
      <c r="D416" s="28"/>
      <c r="M416" s="25"/>
    </row>
    <row r="417" ht="15.75" customHeight="1">
      <c r="A417" s="28"/>
      <c r="B417" s="28"/>
      <c r="C417" s="28"/>
      <c r="D417" s="28"/>
      <c r="M417" s="25"/>
    </row>
    <row r="418" ht="15.75" customHeight="1">
      <c r="A418" s="28"/>
      <c r="B418" s="28"/>
      <c r="C418" s="28"/>
      <c r="D418" s="28"/>
      <c r="M418" s="25"/>
    </row>
    <row r="419" ht="15.75" customHeight="1">
      <c r="A419" s="28"/>
      <c r="B419" s="28"/>
      <c r="C419" s="28"/>
      <c r="D419" s="28"/>
      <c r="M419" s="25"/>
    </row>
    <row r="420" ht="15.75" customHeight="1">
      <c r="A420" s="28"/>
      <c r="B420" s="28"/>
      <c r="C420" s="28"/>
      <c r="D420" s="28"/>
      <c r="M420" s="25"/>
    </row>
    <row r="421" ht="15.75" customHeight="1">
      <c r="A421" s="28"/>
      <c r="B421" s="28"/>
      <c r="C421" s="28"/>
      <c r="D421" s="28"/>
      <c r="M421" s="25"/>
    </row>
    <row r="422" ht="15.75" customHeight="1">
      <c r="A422" s="28"/>
      <c r="B422" s="28"/>
      <c r="C422" s="28"/>
      <c r="D422" s="28"/>
      <c r="M422" s="25"/>
    </row>
    <row r="423" ht="15.75" customHeight="1">
      <c r="A423" s="28"/>
      <c r="B423" s="28"/>
      <c r="C423" s="28"/>
      <c r="D423" s="28"/>
      <c r="M423" s="25"/>
    </row>
    <row r="424" ht="15.75" customHeight="1">
      <c r="A424" s="28"/>
      <c r="B424" s="28"/>
      <c r="C424" s="28"/>
      <c r="D424" s="28"/>
      <c r="M424" s="25"/>
    </row>
    <row r="425" ht="15.75" customHeight="1">
      <c r="A425" s="28"/>
      <c r="B425" s="28"/>
      <c r="C425" s="28"/>
      <c r="D425" s="28"/>
      <c r="M425" s="25"/>
    </row>
    <row r="426" ht="15.75" customHeight="1">
      <c r="A426" s="28"/>
      <c r="B426" s="28"/>
      <c r="C426" s="28"/>
      <c r="D426" s="28"/>
      <c r="M426" s="25"/>
    </row>
    <row r="427" ht="15.75" customHeight="1">
      <c r="A427" s="28"/>
      <c r="B427" s="28"/>
      <c r="C427" s="28"/>
      <c r="D427" s="28"/>
      <c r="M427" s="25"/>
    </row>
    <row r="428" ht="15.75" customHeight="1">
      <c r="A428" s="28"/>
      <c r="B428" s="28"/>
      <c r="C428" s="28"/>
      <c r="D428" s="28"/>
      <c r="M428" s="25"/>
    </row>
    <row r="429" ht="15.75" customHeight="1">
      <c r="A429" s="28"/>
      <c r="B429" s="28"/>
      <c r="C429" s="28"/>
      <c r="D429" s="28"/>
      <c r="M429" s="25"/>
    </row>
    <row r="430" ht="15.75" customHeight="1">
      <c r="A430" s="28"/>
      <c r="B430" s="28"/>
      <c r="C430" s="28"/>
      <c r="D430" s="28"/>
      <c r="M430" s="25"/>
    </row>
    <row r="431" ht="15.75" customHeight="1">
      <c r="A431" s="28"/>
      <c r="B431" s="28"/>
      <c r="C431" s="28"/>
      <c r="D431" s="28"/>
      <c r="M431" s="25"/>
    </row>
    <row r="432" ht="15.75" customHeight="1">
      <c r="A432" s="28"/>
      <c r="B432" s="28"/>
      <c r="C432" s="28"/>
      <c r="D432" s="28"/>
      <c r="M432" s="25"/>
    </row>
    <row r="433" ht="15.75" customHeight="1">
      <c r="A433" s="28"/>
      <c r="B433" s="28"/>
      <c r="C433" s="28"/>
      <c r="D433" s="28"/>
      <c r="M433" s="25"/>
    </row>
    <row r="434" ht="15.75" customHeight="1">
      <c r="A434" s="28"/>
      <c r="B434" s="28"/>
      <c r="C434" s="28"/>
      <c r="D434" s="28"/>
      <c r="M434" s="25"/>
    </row>
    <row r="435" ht="15.75" customHeight="1">
      <c r="A435" s="28"/>
      <c r="B435" s="28"/>
      <c r="C435" s="28"/>
      <c r="D435" s="28"/>
      <c r="M435" s="25"/>
    </row>
    <row r="436" ht="15.75" customHeight="1">
      <c r="A436" s="28"/>
      <c r="B436" s="28"/>
      <c r="C436" s="28"/>
      <c r="D436" s="28"/>
      <c r="M436" s="25"/>
    </row>
    <row r="437" ht="15.75" customHeight="1">
      <c r="A437" s="28"/>
      <c r="B437" s="28"/>
      <c r="C437" s="28"/>
      <c r="D437" s="28"/>
      <c r="M437" s="25"/>
    </row>
    <row r="438" ht="15.75" customHeight="1">
      <c r="A438" s="28"/>
      <c r="B438" s="28"/>
      <c r="C438" s="28"/>
      <c r="D438" s="28"/>
      <c r="M438" s="25"/>
    </row>
    <row r="439" ht="15.75" customHeight="1">
      <c r="A439" s="28"/>
      <c r="B439" s="28"/>
      <c r="C439" s="28"/>
      <c r="D439" s="28"/>
      <c r="M439" s="25"/>
    </row>
    <row r="440" ht="15.75" customHeight="1">
      <c r="A440" s="28"/>
      <c r="B440" s="28"/>
      <c r="C440" s="28"/>
      <c r="D440" s="28"/>
      <c r="M440" s="25"/>
    </row>
    <row r="441" ht="15.75" customHeight="1">
      <c r="A441" s="28"/>
      <c r="B441" s="28"/>
      <c r="C441" s="28"/>
      <c r="D441" s="28"/>
      <c r="M441" s="25"/>
    </row>
    <row r="442" ht="15.75" customHeight="1">
      <c r="A442" s="28"/>
      <c r="B442" s="28"/>
      <c r="C442" s="28"/>
      <c r="D442" s="28"/>
      <c r="M442" s="25"/>
    </row>
    <row r="443" ht="15.75" customHeight="1">
      <c r="A443" s="28"/>
      <c r="B443" s="28"/>
      <c r="C443" s="28"/>
      <c r="D443" s="28"/>
      <c r="M443" s="25"/>
    </row>
    <row r="444" ht="15.75" customHeight="1">
      <c r="A444" s="28"/>
      <c r="B444" s="28"/>
      <c r="C444" s="28"/>
      <c r="D444" s="28"/>
      <c r="M444" s="25"/>
    </row>
    <row r="445" ht="15.75" customHeight="1">
      <c r="A445" s="28"/>
      <c r="B445" s="28"/>
      <c r="C445" s="28"/>
      <c r="D445" s="28"/>
      <c r="M445" s="25"/>
    </row>
    <row r="446" ht="15.75" customHeight="1">
      <c r="A446" s="28"/>
      <c r="B446" s="28"/>
      <c r="C446" s="28"/>
      <c r="D446" s="28"/>
      <c r="M446" s="25"/>
    </row>
    <row r="447" ht="15.75" customHeight="1">
      <c r="A447" s="28"/>
      <c r="B447" s="28"/>
      <c r="C447" s="28"/>
      <c r="D447" s="28"/>
      <c r="M447" s="25"/>
    </row>
    <row r="448" ht="15.75" customHeight="1">
      <c r="A448" s="28"/>
      <c r="B448" s="28"/>
      <c r="C448" s="28"/>
      <c r="D448" s="28"/>
      <c r="M448" s="25"/>
    </row>
    <row r="449" ht="15.75" customHeight="1">
      <c r="A449" s="28"/>
      <c r="B449" s="28"/>
      <c r="C449" s="28"/>
      <c r="D449" s="28"/>
      <c r="M449" s="25"/>
    </row>
    <row r="450" ht="15.75" customHeight="1">
      <c r="A450" s="28"/>
      <c r="B450" s="28"/>
      <c r="C450" s="28"/>
      <c r="D450" s="28"/>
      <c r="M450" s="25"/>
    </row>
    <row r="451" ht="15.75" customHeight="1">
      <c r="A451" s="28"/>
      <c r="B451" s="28"/>
      <c r="C451" s="28"/>
      <c r="D451" s="28"/>
      <c r="M451" s="25"/>
    </row>
    <row r="452" ht="15.75" customHeight="1">
      <c r="A452" s="28"/>
      <c r="B452" s="28"/>
      <c r="C452" s="28"/>
      <c r="D452" s="28"/>
      <c r="M452" s="25"/>
    </row>
    <row r="453" ht="15.75" customHeight="1">
      <c r="A453" s="28"/>
      <c r="B453" s="28"/>
      <c r="C453" s="28"/>
      <c r="D453" s="28"/>
      <c r="M453" s="25"/>
    </row>
    <row r="454" ht="15.75" customHeight="1">
      <c r="A454" s="28"/>
      <c r="B454" s="28"/>
      <c r="C454" s="28"/>
      <c r="D454" s="28"/>
      <c r="M454" s="25"/>
    </row>
    <row r="455" ht="15.75" customHeight="1">
      <c r="A455" s="28"/>
      <c r="B455" s="28"/>
      <c r="C455" s="28"/>
      <c r="D455" s="28"/>
      <c r="M455" s="25"/>
    </row>
    <row r="456" ht="15.75" customHeight="1">
      <c r="A456" s="28"/>
      <c r="B456" s="28"/>
      <c r="C456" s="28"/>
      <c r="D456" s="28"/>
      <c r="M456" s="25"/>
    </row>
    <row r="457" ht="15.75" customHeight="1">
      <c r="A457" s="28"/>
      <c r="B457" s="28"/>
      <c r="C457" s="28"/>
      <c r="D457" s="28"/>
      <c r="M457" s="25"/>
    </row>
    <row r="458" ht="15.75" customHeight="1">
      <c r="A458" s="28"/>
      <c r="B458" s="28"/>
      <c r="C458" s="28"/>
      <c r="D458" s="28"/>
      <c r="M458" s="25"/>
    </row>
    <row r="459" ht="15.75" customHeight="1">
      <c r="A459" s="28"/>
      <c r="B459" s="28"/>
      <c r="C459" s="28"/>
      <c r="D459" s="28"/>
      <c r="M459" s="25"/>
    </row>
    <row r="460" ht="15.75" customHeight="1">
      <c r="A460" s="28"/>
      <c r="B460" s="28"/>
      <c r="C460" s="28"/>
      <c r="D460" s="28"/>
      <c r="M460" s="25"/>
    </row>
    <row r="461" ht="15.75" customHeight="1">
      <c r="A461" s="28"/>
      <c r="B461" s="28"/>
      <c r="C461" s="28"/>
      <c r="D461" s="28"/>
      <c r="M461" s="25"/>
    </row>
    <row r="462" ht="15.75" customHeight="1">
      <c r="A462" s="28"/>
      <c r="B462" s="28"/>
      <c r="C462" s="28"/>
      <c r="D462" s="28"/>
      <c r="M462" s="25"/>
    </row>
    <row r="463" ht="15.75" customHeight="1">
      <c r="A463" s="28"/>
      <c r="B463" s="28"/>
      <c r="C463" s="28"/>
      <c r="D463" s="28"/>
      <c r="M463" s="25"/>
    </row>
    <row r="464" ht="15.75" customHeight="1">
      <c r="A464" s="28"/>
      <c r="B464" s="28"/>
      <c r="C464" s="28"/>
      <c r="D464" s="28"/>
      <c r="M464" s="25"/>
    </row>
    <row r="465" ht="15.75" customHeight="1">
      <c r="A465" s="28"/>
      <c r="B465" s="28"/>
      <c r="C465" s="28"/>
      <c r="D465" s="28"/>
      <c r="M465" s="25"/>
    </row>
    <row r="466" ht="15.75" customHeight="1">
      <c r="A466" s="28"/>
      <c r="B466" s="28"/>
      <c r="C466" s="28"/>
      <c r="D466" s="28"/>
      <c r="M466" s="25"/>
    </row>
    <row r="467" ht="15.75" customHeight="1">
      <c r="A467" s="28"/>
      <c r="B467" s="28"/>
      <c r="C467" s="28"/>
      <c r="D467" s="28"/>
      <c r="M467" s="25"/>
    </row>
    <row r="468" ht="15.75" customHeight="1">
      <c r="A468" s="28"/>
      <c r="B468" s="28"/>
      <c r="C468" s="28"/>
      <c r="D468" s="28"/>
      <c r="M468" s="25"/>
    </row>
    <row r="469" ht="15.75" customHeight="1">
      <c r="A469" s="28"/>
      <c r="B469" s="28"/>
      <c r="C469" s="28"/>
      <c r="D469" s="28"/>
      <c r="M469" s="25"/>
    </row>
    <row r="470" ht="15.75" customHeight="1">
      <c r="A470" s="28"/>
      <c r="B470" s="28"/>
      <c r="C470" s="28"/>
      <c r="D470" s="28"/>
      <c r="M470" s="25"/>
    </row>
    <row r="471" ht="15.75" customHeight="1">
      <c r="A471" s="28"/>
      <c r="B471" s="28"/>
      <c r="C471" s="28"/>
      <c r="D471" s="28"/>
      <c r="M471" s="25"/>
    </row>
    <row r="472" ht="15.75" customHeight="1">
      <c r="A472" s="28"/>
      <c r="B472" s="28"/>
      <c r="C472" s="28"/>
      <c r="D472" s="28"/>
      <c r="M472" s="25"/>
    </row>
    <row r="473" ht="15.75" customHeight="1">
      <c r="A473" s="28"/>
      <c r="B473" s="28"/>
      <c r="C473" s="28"/>
      <c r="D473" s="28"/>
      <c r="M473" s="25"/>
    </row>
    <row r="474" ht="15.75" customHeight="1">
      <c r="A474" s="28"/>
      <c r="B474" s="28"/>
      <c r="C474" s="28"/>
      <c r="D474" s="28"/>
      <c r="M474" s="25"/>
    </row>
    <row r="475" ht="15.75" customHeight="1">
      <c r="A475" s="28"/>
      <c r="B475" s="28"/>
      <c r="C475" s="28"/>
      <c r="D475" s="28"/>
      <c r="M475" s="25"/>
    </row>
    <row r="476" ht="15.75" customHeight="1">
      <c r="A476" s="28"/>
      <c r="B476" s="28"/>
      <c r="C476" s="28"/>
      <c r="D476" s="28"/>
      <c r="M476" s="25"/>
    </row>
    <row r="477" ht="15.75" customHeight="1">
      <c r="A477" s="28"/>
      <c r="B477" s="28"/>
      <c r="C477" s="28"/>
      <c r="D477" s="28"/>
      <c r="M477" s="25"/>
    </row>
    <row r="478" ht="15.75" customHeight="1">
      <c r="A478" s="28"/>
      <c r="B478" s="28"/>
      <c r="C478" s="28"/>
      <c r="D478" s="28"/>
      <c r="M478" s="25"/>
    </row>
    <row r="479" ht="15.75" customHeight="1">
      <c r="A479" s="28"/>
      <c r="B479" s="28"/>
      <c r="C479" s="28"/>
      <c r="D479" s="28"/>
      <c r="M479" s="25"/>
    </row>
    <row r="480" ht="15.75" customHeight="1">
      <c r="A480" s="28"/>
      <c r="B480" s="28"/>
      <c r="C480" s="28"/>
      <c r="D480" s="28"/>
      <c r="M480" s="25"/>
    </row>
    <row r="481" ht="15.75" customHeight="1">
      <c r="A481" s="28"/>
      <c r="B481" s="28"/>
      <c r="C481" s="28"/>
      <c r="D481" s="28"/>
      <c r="M481" s="25"/>
    </row>
    <row r="482" ht="15.75" customHeight="1">
      <c r="A482" s="28"/>
      <c r="B482" s="28"/>
      <c r="C482" s="28"/>
      <c r="D482" s="28"/>
      <c r="M482" s="25"/>
    </row>
    <row r="483" ht="15.75" customHeight="1">
      <c r="A483" s="28"/>
      <c r="B483" s="28"/>
      <c r="C483" s="28"/>
      <c r="D483" s="28"/>
      <c r="M483" s="25"/>
    </row>
    <row r="484" ht="15.75" customHeight="1">
      <c r="A484" s="28"/>
      <c r="B484" s="28"/>
      <c r="C484" s="28"/>
      <c r="D484" s="28"/>
      <c r="M484" s="25"/>
    </row>
    <row r="485" ht="15.75" customHeight="1">
      <c r="A485" s="28"/>
      <c r="B485" s="28"/>
      <c r="C485" s="28"/>
      <c r="D485" s="28"/>
      <c r="M485" s="25"/>
    </row>
    <row r="486" ht="15.75" customHeight="1">
      <c r="A486" s="28"/>
      <c r="B486" s="28"/>
      <c r="C486" s="28"/>
      <c r="D486" s="28"/>
      <c r="M486" s="25"/>
    </row>
    <row r="487" ht="15.75" customHeight="1">
      <c r="A487" s="28"/>
      <c r="B487" s="28"/>
      <c r="C487" s="28"/>
      <c r="D487" s="28"/>
      <c r="M487" s="25"/>
    </row>
    <row r="488" ht="15.75" customHeight="1">
      <c r="A488" s="28"/>
      <c r="B488" s="28"/>
      <c r="C488" s="28"/>
      <c r="D488" s="28"/>
      <c r="M488" s="25"/>
    </row>
    <row r="489" ht="15.75" customHeight="1">
      <c r="A489" s="28"/>
      <c r="B489" s="28"/>
      <c r="C489" s="28"/>
      <c r="D489" s="28"/>
      <c r="M489" s="25"/>
    </row>
    <row r="490" ht="15.75" customHeight="1">
      <c r="A490" s="28"/>
      <c r="B490" s="28"/>
      <c r="C490" s="28"/>
      <c r="D490" s="28"/>
      <c r="M490" s="25"/>
    </row>
    <row r="491" ht="15.75" customHeight="1">
      <c r="A491" s="28"/>
      <c r="B491" s="28"/>
      <c r="C491" s="28"/>
      <c r="D491" s="28"/>
      <c r="M491" s="25"/>
    </row>
    <row r="492" ht="15.75" customHeight="1">
      <c r="A492" s="28"/>
      <c r="B492" s="28"/>
      <c r="C492" s="28"/>
      <c r="D492" s="28"/>
      <c r="M492" s="25"/>
    </row>
    <row r="493" ht="15.75" customHeight="1">
      <c r="A493" s="28"/>
      <c r="B493" s="28"/>
      <c r="C493" s="28"/>
      <c r="D493" s="28"/>
      <c r="M493" s="25"/>
    </row>
    <row r="494" ht="15.75" customHeight="1">
      <c r="A494" s="28"/>
      <c r="B494" s="28"/>
      <c r="C494" s="28"/>
      <c r="D494" s="28"/>
      <c r="M494" s="25"/>
    </row>
    <row r="495" ht="15.75" customHeight="1">
      <c r="A495" s="28"/>
      <c r="B495" s="28"/>
      <c r="C495" s="28"/>
      <c r="D495" s="28"/>
      <c r="M495" s="25"/>
    </row>
    <row r="496" ht="15.75" customHeight="1">
      <c r="A496" s="28"/>
      <c r="B496" s="28"/>
      <c r="C496" s="28"/>
      <c r="D496" s="28"/>
      <c r="M496" s="25"/>
    </row>
    <row r="497" ht="15.75" customHeight="1">
      <c r="A497" s="28"/>
      <c r="B497" s="28"/>
      <c r="C497" s="28"/>
      <c r="D497" s="28"/>
      <c r="M497" s="25"/>
    </row>
    <row r="498" ht="15.75" customHeight="1">
      <c r="A498" s="28"/>
      <c r="B498" s="28"/>
      <c r="C498" s="28"/>
      <c r="D498" s="28"/>
      <c r="M498" s="25"/>
    </row>
    <row r="499" ht="15.75" customHeight="1">
      <c r="A499" s="28"/>
      <c r="B499" s="28"/>
      <c r="C499" s="28"/>
      <c r="D499" s="28"/>
      <c r="M499" s="25"/>
    </row>
    <row r="500" ht="15.75" customHeight="1">
      <c r="A500" s="28"/>
      <c r="B500" s="28"/>
      <c r="C500" s="28"/>
      <c r="D500" s="28"/>
      <c r="M500" s="25"/>
    </row>
    <row r="501" ht="15.75" customHeight="1">
      <c r="A501" s="28"/>
      <c r="B501" s="28"/>
      <c r="C501" s="28"/>
      <c r="D501" s="28"/>
      <c r="M501" s="25"/>
    </row>
    <row r="502" ht="15.75" customHeight="1">
      <c r="A502" s="28"/>
      <c r="B502" s="28"/>
      <c r="C502" s="28"/>
      <c r="D502" s="28"/>
      <c r="M502" s="25"/>
    </row>
    <row r="503" ht="15.75" customHeight="1">
      <c r="A503" s="28"/>
      <c r="B503" s="28"/>
      <c r="C503" s="28"/>
      <c r="D503" s="28"/>
      <c r="M503" s="25"/>
    </row>
    <row r="504" ht="15.75" customHeight="1">
      <c r="A504" s="28"/>
      <c r="B504" s="28"/>
      <c r="C504" s="28"/>
      <c r="D504" s="28"/>
      <c r="M504" s="25"/>
    </row>
    <row r="505" ht="15.75" customHeight="1">
      <c r="A505" s="28"/>
      <c r="B505" s="28"/>
      <c r="C505" s="28"/>
      <c r="D505" s="28"/>
      <c r="M505" s="25"/>
    </row>
    <row r="506" ht="15.75" customHeight="1">
      <c r="A506" s="28"/>
      <c r="B506" s="28"/>
      <c r="C506" s="28"/>
      <c r="D506" s="28"/>
      <c r="M506" s="25"/>
    </row>
    <row r="507" ht="15.75" customHeight="1">
      <c r="A507" s="28"/>
      <c r="B507" s="28"/>
      <c r="C507" s="28"/>
      <c r="D507" s="28"/>
      <c r="M507" s="25"/>
    </row>
    <row r="508" ht="15.75" customHeight="1">
      <c r="A508" s="28"/>
      <c r="B508" s="28"/>
      <c r="C508" s="28"/>
      <c r="D508" s="28"/>
      <c r="M508" s="25"/>
    </row>
    <row r="509" ht="15.75" customHeight="1">
      <c r="A509" s="28"/>
      <c r="B509" s="28"/>
      <c r="C509" s="28"/>
      <c r="D509" s="28"/>
      <c r="M509" s="25"/>
    </row>
    <row r="510" ht="15.75" customHeight="1">
      <c r="A510" s="28"/>
      <c r="B510" s="28"/>
      <c r="C510" s="28"/>
      <c r="D510" s="28"/>
      <c r="M510" s="25"/>
    </row>
    <row r="511" ht="15.75" customHeight="1">
      <c r="A511" s="28"/>
      <c r="B511" s="28"/>
      <c r="C511" s="28"/>
      <c r="D511" s="28"/>
      <c r="M511" s="25"/>
    </row>
    <row r="512" ht="15.75" customHeight="1">
      <c r="A512" s="28"/>
      <c r="B512" s="28"/>
      <c r="C512" s="28"/>
      <c r="D512" s="28"/>
      <c r="M512" s="25"/>
    </row>
    <row r="513" ht="15.75" customHeight="1">
      <c r="A513" s="28"/>
      <c r="B513" s="28"/>
      <c r="C513" s="28"/>
      <c r="D513" s="28"/>
      <c r="M513" s="25"/>
    </row>
    <row r="514" ht="15.75" customHeight="1">
      <c r="A514" s="28"/>
      <c r="B514" s="28"/>
      <c r="C514" s="28"/>
      <c r="D514" s="28"/>
      <c r="M514" s="25"/>
    </row>
    <row r="515" ht="15.75" customHeight="1">
      <c r="A515" s="28"/>
      <c r="B515" s="28"/>
      <c r="C515" s="28"/>
      <c r="D515" s="28"/>
      <c r="M515" s="25"/>
    </row>
    <row r="516" ht="15.75" customHeight="1">
      <c r="A516" s="28"/>
      <c r="B516" s="28"/>
      <c r="C516" s="28"/>
      <c r="D516" s="28"/>
      <c r="M516" s="25"/>
    </row>
    <row r="517" ht="15.75" customHeight="1">
      <c r="A517" s="28"/>
      <c r="B517" s="28"/>
      <c r="C517" s="28"/>
      <c r="D517" s="28"/>
      <c r="M517" s="25"/>
    </row>
    <row r="518" ht="15.75" customHeight="1">
      <c r="A518" s="28"/>
      <c r="B518" s="28"/>
      <c r="C518" s="28"/>
      <c r="D518" s="28"/>
      <c r="M518" s="25"/>
    </row>
    <row r="519" ht="15.75" customHeight="1">
      <c r="A519" s="28"/>
      <c r="B519" s="28"/>
      <c r="C519" s="28"/>
      <c r="D519" s="28"/>
      <c r="M519" s="25"/>
    </row>
    <row r="520" ht="15.75" customHeight="1">
      <c r="A520" s="28"/>
      <c r="B520" s="28"/>
      <c r="C520" s="28"/>
      <c r="D520" s="28"/>
      <c r="M520" s="25"/>
    </row>
    <row r="521" ht="15.75" customHeight="1">
      <c r="A521" s="28"/>
      <c r="B521" s="28"/>
      <c r="C521" s="28"/>
      <c r="D521" s="28"/>
      <c r="M521" s="25"/>
    </row>
    <row r="522" ht="15.75" customHeight="1">
      <c r="A522" s="28"/>
      <c r="B522" s="28"/>
      <c r="C522" s="28"/>
      <c r="D522" s="28"/>
      <c r="M522" s="25"/>
    </row>
    <row r="523" ht="15.75" customHeight="1">
      <c r="A523" s="28"/>
      <c r="B523" s="28"/>
      <c r="C523" s="28"/>
      <c r="D523" s="28"/>
      <c r="M523" s="25"/>
    </row>
    <row r="524" ht="15.75" customHeight="1">
      <c r="A524" s="28"/>
      <c r="B524" s="28"/>
      <c r="C524" s="28"/>
      <c r="D524" s="28"/>
      <c r="M524" s="25"/>
    </row>
    <row r="525" ht="15.75" customHeight="1">
      <c r="A525" s="28"/>
      <c r="B525" s="28"/>
      <c r="C525" s="28"/>
      <c r="D525" s="28"/>
      <c r="M525" s="25"/>
    </row>
    <row r="526" ht="15.75" customHeight="1">
      <c r="A526" s="28"/>
      <c r="B526" s="28"/>
      <c r="C526" s="28"/>
      <c r="D526" s="28"/>
      <c r="M526" s="25"/>
    </row>
    <row r="527" ht="15.75" customHeight="1">
      <c r="A527" s="28"/>
      <c r="B527" s="28"/>
      <c r="C527" s="28"/>
      <c r="D527" s="28"/>
      <c r="M527" s="25"/>
    </row>
    <row r="528" ht="15.75" customHeight="1">
      <c r="A528" s="28"/>
      <c r="B528" s="28"/>
      <c r="C528" s="28"/>
      <c r="D528" s="28"/>
      <c r="M528" s="25"/>
    </row>
    <row r="529" ht="15.75" customHeight="1">
      <c r="A529" s="28"/>
      <c r="B529" s="28"/>
      <c r="C529" s="28"/>
      <c r="D529" s="28"/>
      <c r="M529" s="25"/>
    </row>
    <row r="530" ht="15.75" customHeight="1">
      <c r="A530" s="28"/>
      <c r="B530" s="28"/>
      <c r="C530" s="28"/>
      <c r="D530" s="28"/>
      <c r="M530" s="25"/>
    </row>
    <row r="531" ht="15.75" customHeight="1">
      <c r="A531" s="28"/>
      <c r="B531" s="28"/>
      <c r="C531" s="28"/>
      <c r="D531" s="28"/>
      <c r="M531" s="25"/>
    </row>
    <row r="532" ht="15.75" customHeight="1">
      <c r="A532" s="28"/>
      <c r="B532" s="28"/>
      <c r="C532" s="28"/>
      <c r="D532" s="28"/>
      <c r="M532" s="25"/>
    </row>
    <row r="533" ht="15.75" customHeight="1">
      <c r="A533" s="28"/>
      <c r="B533" s="28"/>
      <c r="C533" s="28"/>
      <c r="D533" s="28"/>
      <c r="M533" s="25"/>
    </row>
    <row r="534" ht="15.75" customHeight="1">
      <c r="A534" s="28"/>
      <c r="B534" s="28"/>
      <c r="C534" s="28"/>
      <c r="D534" s="28"/>
      <c r="M534" s="25"/>
    </row>
    <row r="535" ht="15.75" customHeight="1">
      <c r="A535" s="28"/>
      <c r="B535" s="28"/>
      <c r="C535" s="28"/>
      <c r="D535" s="28"/>
      <c r="M535" s="25"/>
    </row>
    <row r="536" ht="15.75" customHeight="1">
      <c r="A536" s="28"/>
      <c r="B536" s="28"/>
      <c r="C536" s="28"/>
      <c r="D536" s="28"/>
      <c r="M536" s="25"/>
    </row>
    <row r="537" ht="15.75" customHeight="1">
      <c r="A537" s="28"/>
      <c r="B537" s="28"/>
      <c r="C537" s="28"/>
      <c r="D537" s="28"/>
      <c r="M537" s="25"/>
    </row>
    <row r="538" ht="15.75" customHeight="1">
      <c r="A538" s="28"/>
      <c r="B538" s="28"/>
      <c r="C538" s="28"/>
      <c r="D538" s="28"/>
      <c r="M538" s="25"/>
    </row>
    <row r="539" ht="15.75" customHeight="1">
      <c r="A539" s="28"/>
      <c r="B539" s="28"/>
      <c r="C539" s="28"/>
      <c r="D539" s="28"/>
      <c r="M539" s="25"/>
    </row>
    <row r="540" ht="15.75" customHeight="1">
      <c r="A540" s="28"/>
      <c r="B540" s="28"/>
      <c r="C540" s="28"/>
      <c r="D540" s="28"/>
      <c r="M540" s="25"/>
    </row>
    <row r="541" ht="15.75" customHeight="1">
      <c r="A541" s="28"/>
      <c r="B541" s="28"/>
      <c r="C541" s="28"/>
      <c r="D541" s="28"/>
      <c r="M541" s="25"/>
    </row>
    <row r="542" ht="15.75" customHeight="1">
      <c r="A542" s="28"/>
      <c r="B542" s="28"/>
      <c r="C542" s="28"/>
      <c r="D542" s="28"/>
      <c r="M542" s="25"/>
    </row>
    <row r="543" ht="15.75" customHeight="1">
      <c r="A543" s="28"/>
      <c r="B543" s="28"/>
      <c r="C543" s="28"/>
      <c r="D543" s="28"/>
      <c r="M543" s="25"/>
    </row>
    <row r="544" ht="15.75" customHeight="1">
      <c r="A544" s="28"/>
      <c r="B544" s="28"/>
      <c r="C544" s="28"/>
      <c r="D544" s="28"/>
      <c r="M544" s="25"/>
    </row>
    <row r="545" ht="15.75" customHeight="1">
      <c r="A545" s="28"/>
      <c r="B545" s="28"/>
      <c r="C545" s="28"/>
      <c r="D545" s="28"/>
      <c r="M545" s="25"/>
    </row>
    <row r="546" ht="15.75" customHeight="1">
      <c r="A546" s="28"/>
      <c r="B546" s="28"/>
      <c r="C546" s="28"/>
      <c r="D546" s="28"/>
      <c r="M546" s="25"/>
    </row>
    <row r="547" ht="15.75" customHeight="1">
      <c r="A547" s="28"/>
      <c r="B547" s="28"/>
      <c r="C547" s="28"/>
      <c r="D547" s="28"/>
      <c r="M547" s="25"/>
    </row>
    <row r="548" ht="15.75" customHeight="1">
      <c r="A548" s="28"/>
      <c r="B548" s="28"/>
      <c r="C548" s="28"/>
      <c r="D548" s="28"/>
      <c r="M548" s="25"/>
    </row>
    <row r="549" ht="15.75" customHeight="1">
      <c r="A549" s="28"/>
      <c r="B549" s="28"/>
      <c r="C549" s="28"/>
      <c r="D549" s="28"/>
      <c r="M549" s="25"/>
    </row>
    <row r="550" ht="15.75" customHeight="1">
      <c r="A550" s="28"/>
      <c r="B550" s="28"/>
      <c r="C550" s="28"/>
      <c r="D550" s="28"/>
      <c r="M550" s="25"/>
    </row>
    <row r="551" ht="15.75" customHeight="1">
      <c r="A551" s="28"/>
      <c r="B551" s="28"/>
      <c r="C551" s="28"/>
      <c r="D551" s="28"/>
      <c r="M551" s="25"/>
    </row>
    <row r="552" ht="15.75" customHeight="1">
      <c r="A552" s="28"/>
      <c r="B552" s="28"/>
      <c r="C552" s="28"/>
      <c r="D552" s="28"/>
      <c r="M552" s="25"/>
    </row>
    <row r="553" ht="15.75" customHeight="1">
      <c r="A553" s="28"/>
      <c r="B553" s="28"/>
      <c r="C553" s="28"/>
      <c r="D553" s="28"/>
      <c r="M553" s="25"/>
    </row>
    <row r="554" ht="15.75" customHeight="1">
      <c r="A554" s="28"/>
      <c r="B554" s="28"/>
      <c r="C554" s="28"/>
      <c r="D554" s="28"/>
      <c r="M554" s="25"/>
    </row>
    <row r="555" ht="15.75" customHeight="1">
      <c r="A555" s="28"/>
      <c r="B555" s="28"/>
      <c r="C555" s="28"/>
      <c r="D555" s="28"/>
      <c r="M555" s="25"/>
    </row>
    <row r="556" ht="15.75" customHeight="1">
      <c r="A556" s="28"/>
      <c r="B556" s="28"/>
      <c r="C556" s="28"/>
      <c r="D556" s="28"/>
      <c r="M556" s="25"/>
    </row>
    <row r="557" ht="15.75" customHeight="1">
      <c r="A557" s="28"/>
      <c r="B557" s="28"/>
      <c r="C557" s="28"/>
      <c r="D557" s="28"/>
      <c r="M557" s="25"/>
    </row>
    <row r="558" ht="15.75" customHeight="1">
      <c r="A558" s="28"/>
      <c r="B558" s="28"/>
      <c r="C558" s="28"/>
      <c r="D558" s="28"/>
      <c r="M558" s="25"/>
    </row>
    <row r="559" ht="15.75" customHeight="1">
      <c r="A559" s="28"/>
      <c r="B559" s="28"/>
      <c r="C559" s="28"/>
      <c r="D559" s="28"/>
      <c r="M559" s="25"/>
    </row>
    <row r="560" ht="15.75" customHeight="1">
      <c r="A560" s="28"/>
      <c r="B560" s="28"/>
      <c r="C560" s="28"/>
      <c r="D560" s="28"/>
      <c r="M560" s="25"/>
    </row>
    <row r="561" ht="15.75" customHeight="1">
      <c r="A561" s="28"/>
      <c r="B561" s="28"/>
      <c r="C561" s="28"/>
      <c r="D561" s="28"/>
      <c r="M561" s="25"/>
    </row>
    <row r="562" ht="15.75" customHeight="1">
      <c r="A562" s="28"/>
      <c r="B562" s="28"/>
      <c r="C562" s="28"/>
      <c r="D562" s="28"/>
      <c r="M562" s="25"/>
    </row>
    <row r="563" ht="15.75" customHeight="1">
      <c r="A563" s="28"/>
      <c r="B563" s="28"/>
      <c r="C563" s="28"/>
      <c r="D563" s="28"/>
      <c r="M563" s="25"/>
    </row>
    <row r="564" ht="15.75" customHeight="1">
      <c r="A564" s="28"/>
      <c r="B564" s="28"/>
      <c r="C564" s="28"/>
      <c r="D564" s="28"/>
      <c r="M564" s="25"/>
    </row>
    <row r="565" ht="15.75" customHeight="1">
      <c r="A565" s="28"/>
      <c r="B565" s="28"/>
      <c r="C565" s="28"/>
      <c r="D565" s="28"/>
      <c r="M565" s="25"/>
    </row>
    <row r="566" ht="15.75" customHeight="1">
      <c r="A566" s="28"/>
      <c r="B566" s="28"/>
      <c r="C566" s="28"/>
      <c r="D566" s="28"/>
      <c r="M566" s="25"/>
    </row>
    <row r="567" ht="15.75" customHeight="1">
      <c r="A567" s="28"/>
      <c r="B567" s="28"/>
      <c r="C567" s="28"/>
      <c r="D567" s="28"/>
      <c r="M567" s="25"/>
    </row>
    <row r="568" ht="15.75" customHeight="1">
      <c r="A568" s="28"/>
      <c r="B568" s="28"/>
      <c r="C568" s="28"/>
      <c r="D568" s="28"/>
      <c r="M568" s="25"/>
    </row>
    <row r="569" ht="15.75" customHeight="1">
      <c r="A569" s="28"/>
      <c r="B569" s="28"/>
      <c r="C569" s="28"/>
      <c r="D569" s="28"/>
      <c r="M569" s="25"/>
    </row>
    <row r="570" ht="15.75" customHeight="1">
      <c r="A570" s="28"/>
      <c r="B570" s="28"/>
      <c r="C570" s="28"/>
      <c r="D570" s="28"/>
      <c r="M570" s="25"/>
    </row>
    <row r="571" ht="15.75" customHeight="1">
      <c r="A571" s="28"/>
      <c r="B571" s="28"/>
      <c r="C571" s="28"/>
      <c r="D571" s="28"/>
      <c r="M571" s="25"/>
    </row>
    <row r="572" ht="15.75" customHeight="1">
      <c r="A572" s="28"/>
      <c r="B572" s="28"/>
      <c r="C572" s="28"/>
      <c r="D572" s="28"/>
      <c r="M572" s="25"/>
    </row>
    <row r="573" ht="15.75" customHeight="1">
      <c r="A573" s="28"/>
      <c r="B573" s="28"/>
      <c r="C573" s="28"/>
      <c r="D573" s="28"/>
      <c r="M573" s="25"/>
    </row>
    <row r="574" ht="15.75" customHeight="1">
      <c r="A574" s="28"/>
      <c r="B574" s="28"/>
      <c r="C574" s="28"/>
      <c r="D574" s="28"/>
      <c r="M574" s="25"/>
    </row>
    <row r="575" ht="15.75" customHeight="1">
      <c r="A575" s="28"/>
      <c r="B575" s="28"/>
      <c r="C575" s="28"/>
      <c r="D575" s="28"/>
      <c r="M575" s="25"/>
    </row>
    <row r="576" ht="15.75" customHeight="1">
      <c r="A576" s="28"/>
      <c r="B576" s="28"/>
      <c r="C576" s="28"/>
      <c r="D576" s="28"/>
      <c r="M576" s="25"/>
    </row>
    <row r="577" ht="15.75" customHeight="1">
      <c r="A577" s="28"/>
      <c r="B577" s="28"/>
      <c r="C577" s="28"/>
      <c r="D577" s="28"/>
      <c r="M577" s="25"/>
    </row>
    <row r="578" ht="15.75" customHeight="1">
      <c r="A578" s="28"/>
      <c r="B578" s="28"/>
      <c r="C578" s="28"/>
      <c r="D578" s="28"/>
      <c r="M578" s="25"/>
    </row>
    <row r="579" ht="15.75" customHeight="1">
      <c r="A579" s="28"/>
      <c r="B579" s="28"/>
      <c r="C579" s="28"/>
      <c r="D579" s="28"/>
      <c r="M579" s="25"/>
    </row>
    <row r="580" ht="15.75" customHeight="1">
      <c r="A580" s="28"/>
      <c r="B580" s="28"/>
      <c r="C580" s="28"/>
      <c r="D580" s="28"/>
      <c r="M580" s="25"/>
    </row>
    <row r="581" ht="15.75" customHeight="1">
      <c r="A581" s="28"/>
      <c r="B581" s="28"/>
      <c r="C581" s="28"/>
      <c r="D581" s="28"/>
      <c r="M581" s="25"/>
    </row>
    <row r="582" ht="15.75" customHeight="1">
      <c r="A582" s="28"/>
      <c r="B582" s="28"/>
      <c r="C582" s="28"/>
      <c r="D582" s="28"/>
      <c r="M582" s="25"/>
    </row>
    <row r="583" ht="15.75" customHeight="1">
      <c r="A583" s="28"/>
      <c r="B583" s="28"/>
      <c r="C583" s="28"/>
      <c r="D583" s="28"/>
      <c r="M583" s="25"/>
    </row>
    <row r="584" ht="15.75" customHeight="1">
      <c r="A584" s="28"/>
      <c r="B584" s="28"/>
      <c r="C584" s="28"/>
      <c r="D584" s="28"/>
      <c r="M584" s="25"/>
    </row>
    <row r="585" ht="15.75" customHeight="1">
      <c r="A585" s="28"/>
      <c r="B585" s="28"/>
      <c r="C585" s="28"/>
      <c r="D585" s="28"/>
      <c r="M585" s="25"/>
    </row>
    <row r="586" ht="15.75" customHeight="1">
      <c r="A586" s="28"/>
      <c r="B586" s="28"/>
      <c r="C586" s="28"/>
      <c r="D586" s="28"/>
      <c r="M586" s="25"/>
    </row>
    <row r="587" ht="15.75" customHeight="1">
      <c r="A587" s="28"/>
      <c r="B587" s="28"/>
      <c r="C587" s="28"/>
      <c r="D587" s="28"/>
      <c r="M587" s="25"/>
    </row>
    <row r="588" ht="15.75" customHeight="1">
      <c r="A588" s="28"/>
      <c r="B588" s="28"/>
      <c r="C588" s="28"/>
      <c r="D588" s="28"/>
      <c r="M588" s="25"/>
    </row>
    <row r="589" ht="15.75" customHeight="1">
      <c r="A589" s="28"/>
      <c r="B589" s="28"/>
      <c r="C589" s="28"/>
      <c r="D589" s="28"/>
      <c r="M589" s="25"/>
    </row>
    <row r="590" ht="15.75" customHeight="1">
      <c r="A590" s="28"/>
      <c r="B590" s="28"/>
      <c r="C590" s="28"/>
      <c r="D590" s="28"/>
      <c r="M590" s="25"/>
    </row>
    <row r="591" ht="15.75" customHeight="1">
      <c r="A591" s="28"/>
      <c r="B591" s="28"/>
      <c r="C591" s="28"/>
      <c r="D591" s="28"/>
      <c r="M591" s="25"/>
    </row>
    <row r="592" ht="15.75" customHeight="1">
      <c r="A592" s="28"/>
      <c r="B592" s="28"/>
      <c r="C592" s="28"/>
      <c r="D592" s="28"/>
      <c r="M592" s="25"/>
    </row>
    <row r="593" ht="15.75" customHeight="1">
      <c r="A593" s="28"/>
      <c r="B593" s="28"/>
      <c r="C593" s="28"/>
      <c r="D593" s="28"/>
      <c r="M593" s="25"/>
    </row>
    <row r="594" ht="15.75" customHeight="1">
      <c r="A594" s="28"/>
      <c r="B594" s="28"/>
      <c r="C594" s="28"/>
      <c r="D594" s="28"/>
      <c r="M594" s="25"/>
    </row>
    <row r="595" ht="15.75" customHeight="1">
      <c r="A595" s="28"/>
      <c r="B595" s="28"/>
      <c r="C595" s="28"/>
      <c r="D595" s="28"/>
      <c r="M595" s="25"/>
    </row>
    <row r="596" ht="15.75" customHeight="1">
      <c r="A596" s="28"/>
      <c r="B596" s="28"/>
      <c r="C596" s="28"/>
      <c r="D596" s="28"/>
      <c r="M596" s="25"/>
    </row>
    <row r="597" ht="15.75" customHeight="1">
      <c r="A597" s="28"/>
      <c r="B597" s="28"/>
      <c r="C597" s="28"/>
      <c r="D597" s="28"/>
      <c r="M597" s="25"/>
    </row>
    <row r="598" ht="15.75" customHeight="1">
      <c r="A598" s="28"/>
      <c r="B598" s="28"/>
      <c r="C598" s="28"/>
      <c r="D598" s="28"/>
      <c r="M598" s="25"/>
    </row>
    <row r="599" ht="15.75" customHeight="1">
      <c r="A599" s="28"/>
      <c r="B599" s="28"/>
      <c r="C599" s="28"/>
      <c r="D599" s="28"/>
      <c r="M599" s="25"/>
    </row>
    <row r="600" ht="15.75" customHeight="1">
      <c r="A600" s="28"/>
      <c r="B600" s="28"/>
      <c r="C600" s="28"/>
      <c r="D600" s="28"/>
      <c r="M600" s="25"/>
    </row>
    <row r="601" ht="15.75" customHeight="1">
      <c r="A601" s="28"/>
      <c r="B601" s="28"/>
      <c r="C601" s="28"/>
      <c r="D601" s="28"/>
      <c r="M601" s="25"/>
    </row>
    <row r="602" ht="15.75" customHeight="1">
      <c r="A602" s="28"/>
      <c r="B602" s="28"/>
      <c r="C602" s="28"/>
      <c r="D602" s="28"/>
      <c r="M602" s="25"/>
    </row>
    <row r="603" ht="15.75" customHeight="1">
      <c r="A603" s="28"/>
      <c r="B603" s="28"/>
      <c r="C603" s="28"/>
      <c r="D603" s="28"/>
      <c r="M603" s="25"/>
    </row>
    <row r="604" ht="15.75" customHeight="1">
      <c r="A604" s="28"/>
      <c r="B604" s="28"/>
      <c r="C604" s="28"/>
      <c r="D604" s="28"/>
      <c r="M604" s="25"/>
    </row>
    <row r="605" ht="15.75" customHeight="1">
      <c r="A605" s="28"/>
      <c r="B605" s="28"/>
      <c r="C605" s="28"/>
      <c r="D605" s="28"/>
      <c r="M605" s="25"/>
    </row>
    <row r="606" ht="15.75" customHeight="1">
      <c r="A606" s="28"/>
      <c r="B606" s="28"/>
      <c r="C606" s="28"/>
      <c r="D606" s="28"/>
      <c r="M606" s="25"/>
    </row>
    <row r="607" ht="15.75" customHeight="1">
      <c r="A607" s="28"/>
      <c r="B607" s="28"/>
      <c r="C607" s="28"/>
      <c r="D607" s="28"/>
      <c r="M607" s="25"/>
    </row>
    <row r="608" ht="15.75" customHeight="1">
      <c r="A608" s="28"/>
      <c r="B608" s="28"/>
      <c r="C608" s="28"/>
      <c r="D608" s="28"/>
      <c r="M608" s="25"/>
    </row>
    <row r="609" ht="15.75" customHeight="1">
      <c r="A609" s="28"/>
      <c r="B609" s="28"/>
      <c r="C609" s="28"/>
      <c r="D609" s="28"/>
      <c r="M609" s="25"/>
    </row>
    <row r="610" ht="15.75" customHeight="1">
      <c r="A610" s="28"/>
      <c r="B610" s="28"/>
      <c r="C610" s="28"/>
      <c r="D610" s="28"/>
      <c r="M610" s="25"/>
    </row>
    <row r="611" ht="15.75" customHeight="1">
      <c r="A611" s="28"/>
      <c r="B611" s="28"/>
      <c r="C611" s="28"/>
      <c r="D611" s="28"/>
      <c r="M611" s="25"/>
    </row>
    <row r="612" ht="15.75" customHeight="1">
      <c r="A612" s="28"/>
      <c r="B612" s="28"/>
      <c r="C612" s="28"/>
      <c r="D612" s="28"/>
      <c r="M612" s="25"/>
    </row>
    <row r="613" ht="15.75" customHeight="1">
      <c r="A613" s="28"/>
      <c r="B613" s="28"/>
      <c r="C613" s="28"/>
      <c r="D613" s="28"/>
      <c r="M613" s="25"/>
    </row>
    <row r="614" ht="15.75" customHeight="1">
      <c r="A614" s="28"/>
      <c r="B614" s="28"/>
      <c r="C614" s="28"/>
      <c r="D614" s="28"/>
      <c r="M614" s="25"/>
    </row>
    <row r="615" ht="15.75" customHeight="1">
      <c r="A615" s="28"/>
      <c r="B615" s="28"/>
      <c r="C615" s="28"/>
      <c r="D615" s="28"/>
      <c r="M615" s="25"/>
    </row>
    <row r="616" ht="15.75" customHeight="1">
      <c r="A616" s="28"/>
      <c r="B616" s="28"/>
      <c r="C616" s="28"/>
      <c r="D616" s="28"/>
      <c r="M616" s="25"/>
    </row>
    <row r="617" ht="15.75" customHeight="1">
      <c r="A617" s="28"/>
      <c r="B617" s="28"/>
      <c r="C617" s="28"/>
      <c r="D617" s="28"/>
      <c r="M617" s="25"/>
    </row>
    <row r="618" ht="15.75" customHeight="1">
      <c r="A618" s="28"/>
      <c r="B618" s="28"/>
      <c r="C618" s="28"/>
      <c r="D618" s="28"/>
      <c r="M618" s="25"/>
    </row>
    <row r="619" ht="15.75" customHeight="1">
      <c r="A619" s="28"/>
      <c r="B619" s="28"/>
      <c r="C619" s="28"/>
      <c r="D619" s="28"/>
      <c r="M619" s="25"/>
    </row>
    <row r="620" ht="15.75" customHeight="1">
      <c r="A620" s="28"/>
      <c r="B620" s="28"/>
      <c r="C620" s="28"/>
      <c r="D620" s="28"/>
      <c r="M620" s="25"/>
    </row>
    <row r="621" ht="15.75" customHeight="1">
      <c r="A621" s="28"/>
      <c r="B621" s="28"/>
      <c r="C621" s="28"/>
      <c r="D621" s="28"/>
      <c r="M621" s="25"/>
    </row>
    <row r="622" ht="15.75" customHeight="1">
      <c r="A622" s="28"/>
      <c r="B622" s="28"/>
      <c r="C622" s="28"/>
      <c r="D622" s="28"/>
      <c r="M622" s="25"/>
    </row>
    <row r="623" ht="15.75" customHeight="1">
      <c r="A623" s="28"/>
      <c r="B623" s="28"/>
      <c r="C623" s="28"/>
      <c r="D623" s="28"/>
      <c r="M623" s="25"/>
    </row>
    <row r="624" ht="15.75" customHeight="1">
      <c r="A624" s="28"/>
      <c r="B624" s="28"/>
      <c r="C624" s="28"/>
      <c r="D624" s="28"/>
      <c r="M624" s="25"/>
    </row>
    <row r="625" ht="15.75" customHeight="1">
      <c r="A625" s="28"/>
      <c r="B625" s="28"/>
      <c r="C625" s="28"/>
      <c r="D625" s="28"/>
      <c r="M625" s="25"/>
    </row>
    <row r="626" ht="15.75" customHeight="1">
      <c r="A626" s="28"/>
      <c r="B626" s="28"/>
      <c r="C626" s="28"/>
      <c r="D626" s="28"/>
      <c r="M626" s="25"/>
    </row>
    <row r="627" ht="15.75" customHeight="1">
      <c r="A627" s="28"/>
      <c r="B627" s="28"/>
      <c r="C627" s="28"/>
      <c r="D627" s="28"/>
      <c r="M627" s="25"/>
    </row>
    <row r="628" ht="15.75" customHeight="1">
      <c r="A628" s="28"/>
      <c r="B628" s="28"/>
      <c r="C628" s="28"/>
      <c r="D628" s="28"/>
      <c r="M628" s="25"/>
    </row>
    <row r="629" ht="15.75" customHeight="1">
      <c r="A629" s="28"/>
      <c r="B629" s="28"/>
      <c r="C629" s="28"/>
      <c r="D629" s="28"/>
      <c r="M629" s="25"/>
    </row>
    <row r="630" ht="15.75" customHeight="1">
      <c r="A630" s="28"/>
      <c r="B630" s="28"/>
      <c r="C630" s="28"/>
      <c r="D630" s="28"/>
      <c r="M630" s="25"/>
    </row>
    <row r="631" ht="15.75" customHeight="1">
      <c r="A631" s="28"/>
      <c r="B631" s="28"/>
      <c r="C631" s="28"/>
      <c r="D631" s="28"/>
      <c r="M631" s="25"/>
    </row>
    <row r="632" ht="15.75" customHeight="1">
      <c r="A632" s="28"/>
      <c r="B632" s="28"/>
      <c r="C632" s="28"/>
      <c r="D632" s="28"/>
      <c r="M632" s="25"/>
    </row>
    <row r="633" ht="15.75" customHeight="1">
      <c r="A633" s="28"/>
      <c r="B633" s="28"/>
      <c r="C633" s="28"/>
      <c r="D633" s="28"/>
      <c r="M633" s="25"/>
    </row>
    <row r="634" ht="15.75" customHeight="1">
      <c r="A634" s="28"/>
      <c r="B634" s="28"/>
      <c r="C634" s="28"/>
      <c r="D634" s="28"/>
      <c r="M634" s="25"/>
    </row>
    <row r="635" ht="15.75" customHeight="1">
      <c r="A635" s="28"/>
      <c r="B635" s="28"/>
      <c r="C635" s="28"/>
      <c r="D635" s="28"/>
      <c r="M635" s="25"/>
    </row>
    <row r="636" ht="15.75" customHeight="1">
      <c r="A636" s="28"/>
      <c r="B636" s="28"/>
      <c r="C636" s="28"/>
      <c r="D636" s="28"/>
      <c r="M636" s="25"/>
    </row>
    <row r="637" ht="15.75" customHeight="1">
      <c r="A637" s="28"/>
      <c r="B637" s="28"/>
      <c r="C637" s="28"/>
      <c r="D637" s="28"/>
      <c r="M637" s="25"/>
    </row>
    <row r="638" ht="15.75" customHeight="1">
      <c r="A638" s="28"/>
      <c r="B638" s="28"/>
      <c r="C638" s="28"/>
      <c r="D638" s="28"/>
      <c r="M638" s="25"/>
    </row>
    <row r="639" ht="15.75" customHeight="1">
      <c r="A639" s="28"/>
      <c r="B639" s="28"/>
      <c r="C639" s="28"/>
      <c r="D639" s="28"/>
      <c r="M639" s="25"/>
    </row>
    <row r="640" ht="15.75" customHeight="1">
      <c r="A640" s="28"/>
      <c r="B640" s="28"/>
      <c r="C640" s="28"/>
      <c r="D640" s="28"/>
      <c r="M640" s="25"/>
    </row>
    <row r="641" ht="15.75" customHeight="1">
      <c r="A641" s="28"/>
      <c r="B641" s="28"/>
      <c r="C641" s="28"/>
      <c r="D641" s="28"/>
      <c r="M641" s="25"/>
    </row>
    <row r="642" ht="15.75" customHeight="1">
      <c r="A642" s="28"/>
      <c r="B642" s="28"/>
      <c r="C642" s="28"/>
      <c r="D642" s="28"/>
      <c r="M642" s="25"/>
    </row>
    <row r="643" ht="15.75" customHeight="1">
      <c r="A643" s="28"/>
      <c r="B643" s="28"/>
      <c r="C643" s="28"/>
      <c r="D643" s="28"/>
      <c r="M643" s="25"/>
    </row>
    <row r="644" ht="15.75" customHeight="1">
      <c r="A644" s="28"/>
      <c r="B644" s="28"/>
      <c r="C644" s="28"/>
      <c r="D644" s="28"/>
      <c r="M644" s="25"/>
    </row>
    <row r="645" ht="15.75" customHeight="1">
      <c r="A645" s="28"/>
      <c r="B645" s="28"/>
      <c r="C645" s="28"/>
      <c r="D645" s="28"/>
      <c r="M645" s="25"/>
    </row>
    <row r="646" ht="15.75" customHeight="1">
      <c r="A646" s="28"/>
      <c r="B646" s="28"/>
      <c r="C646" s="28"/>
      <c r="D646" s="28"/>
      <c r="M646" s="25"/>
    </row>
    <row r="647" ht="15.75" customHeight="1">
      <c r="A647" s="28"/>
      <c r="B647" s="28"/>
      <c r="C647" s="28"/>
      <c r="D647" s="28"/>
      <c r="M647" s="25"/>
    </row>
    <row r="648" ht="15.75" customHeight="1">
      <c r="A648" s="28"/>
      <c r="B648" s="28"/>
      <c r="C648" s="28"/>
      <c r="D648" s="28"/>
      <c r="M648" s="25"/>
    </row>
    <row r="649" ht="15.75" customHeight="1">
      <c r="A649" s="28"/>
      <c r="B649" s="28"/>
      <c r="C649" s="28"/>
      <c r="D649" s="28"/>
      <c r="M649" s="25"/>
    </row>
    <row r="650" ht="15.75" customHeight="1">
      <c r="A650" s="28"/>
      <c r="B650" s="28"/>
      <c r="C650" s="28"/>
      <c r="D650" s="28"/>
      <c r="M650" s="25"/>
    </row>
    <row r="651" ht="15.75" customHeight="1">
      <c r="A651" s="28"/>
      <c r="B651" s="28"/>
      <c r="C651" s="28"/>
      <c r="D651" s="28"/>
      <c r="M651" s="25"/>
    </row>
    <row r="652" ht="15.75" customHeight="1">
      <c r="A652" s="28"/>
      <c r="B652" s="28"/>
      <c r="C652" s="28"/>
      <c r="D652" s="28"/>
      <c r="M652" s="25"/>
    </row>
    <row r="653" ht="15.75" customHeight="1">
      <c r="A653" s="28"/>
      <c r="B653" s="28"/>
      <c r="C653" s="28"/>
      <c r="D653" s="28"/>
      <c r="M653" s="25"/>
    </row>
    <row r="654" ht="15.75" customHeight="1">
      <c r="A654" s="28"/>
      <c r="B654" s="28"/>
      <c r="C654" s="28"/>
      <c r="D654" s="28"/>
      <c r="M654" s="25"/>
    </row>
    <row r="655" ht="15.75" customHeight="1">
      <c r="A655" s="28"/>
      <c r="B655" s="28"/>
      <c r="C655" s="28"/>
      <c r="D655" s="28"/>
      <c r="M655" s="25"/>
    </row>
    <row r="656" ht="15.75" customHeight="1">
      <c r="A656" s="28"/>
      <c r="B656" s="28"/>
      <c r="C656" s="28"/>
      <c r="D656" s="28"/>
      <c r="M656" s="25"/>
    </row>
    <row r="657" ht="15.75" customHeight="1">
      <c r="A657" s="28"/>
      <c r="B657" s="28"/>
      <c r="C657" s="28"/>
      <c r="D657" s="28"/>
      <c r="M657" s="25"/>
    </row>
    <row r="658" ht="15.75" customHeight="1">
      <c r="A658" s="28"/>
      <c r="B658" s="28"/>
      <c r="C658" s="28"/>
      <c r="D658" s="28"/>
      <c r="M658" s="25"/>
    </row>
    <row r="659" ht="15.75" customHeight="1">
      <c r="A659" s="28"/>
      <c r="B659" s="28"/>
      <c r="C659" s="28"/>
      <c r="D659" s="28"/>
      <c r="M659" s="25"/>
    </row>
    <row r="660" ht="15.75" customHeight="1">
      <c r="A660" s="28"/>
      <c r="B660" s="28"/>
      <c r="C660" s="28"/>
      <c r="D660" s="28"/>
      <c r="M660" s="25"/>
    </row>
    <row r="661" ht="15.75" customHeight="1">
      <c r="A661" s="28"/>
      <c r="B661" s="28"/>
      <c r="C661" s="28"/>
      <c r="D661" s="28"/>
      <c r="M661" s="25"/>
    </row>
    <row r="662" ht="15.75" customHeight="1">
      <c r="A662" s="28"/>
      <c r="B662" s="28"/>
      <c r="C662" s="28"/>
      <c r="D662" s="28"/>
      <c r="M662" s="25"/>
    </row>
    <row r="663" ht="15.75" customHeight="1">
      <c r="A663" s="28"/>
      <c r="B663" s="28"/>
      <c r="C663" s="28"/>
      <c r="D663" s="28"/>
      <c r="M663" s="25"/>
    </row>
    <row r="664" ht="15.75" customHeight="1">
      <c r="A664" s="28"/>
      <c r="B664" s="28"/>
      <c r="C664" s="28"/>
      <c r="D664" s="28"/>
      <c r="M664" s="25"/>
    </row>
    <row r="665" ht="15.75" customHeight="1">
      <c r="A665" s="28"/>
      <c r="B665" s="28"/>
      <c r="C665" s="28"/>
      <c r="D665" s="28"/>
      <c r="M665" s="25"/>
    </row>
    <row r="666" ht="15.75" customHeight="1">
      <c r="A666" s="28"/>
      <c r="B666" s="28"/>
      <c r="C666" s="28"/>
      <c r="D666" s="28"/>
      <c r="M666" s="25"/>
    </row>
    <row r="667" ht="15.75" customHeight="1">
      <c r="A667" s="28"/>
      <c r="B667" s="28"/>
      <c r="C667" s="28"/>
      <c r="D667" s="28"/>
      <c r="M667" s="25"/>
    </row>
    <row r="668" ht="15.75" customHeight="1">
      <c r="A668" s="28"/>
      <c r="B668" s="28"/>
      <c r="C668" s="28"/>
      <c r="D668" s="28"/>
      <c r="M668" s="25"/>
    </row>
    <row r="669" ht="15.75" customHeight="1">
      <c r="A669" s="28"/>
      <c r="B669" s="28"/>
      <c r="C669" s="28"/>
      <c r="D669" s="28"/>
      <c r="M669" s="25"/>
    </row>
    <row r="670" ht="15.75" customHeight="1">
      <c r="A670" s="28"/>
      <c r="B670" s="28"/>
      <c r="C670" s="28"/>
      <c r="D670" s="28"/>
      <c r="M670" s="25"/>
    </row>
    <row r="671" ht="15.75" customHeight="1">
      <c r="A671" s="28"/>
      <c r="B671" s="28"/>
      <c r="C671" s="28"/>
      <c r="D671" s="28"/>
      <c r="M671" s="25"/>
    </row>
    <row r="672" ht="15.75" customHeight="1">
      <c r="A672" s="28"/>
      <c r="B672" s="28"/>
      <c r="C672" s="28"/>
      <c r="D672" s="28"/>
      <c r="M672" s="25"/>
    </row>
    <row r="673" ht="15.75" customHeight="1">
      <c r="A673" s="28"/>
      <c r="B673" s="28"/>
      <c r="C673" s="28"/>
      <c r="D673" s="28"/>
      <c r="M673" s="25"/>
    </row>
    <row r="674" ht="15.75" customHeight="1">
      <c r="A674" s="28"/>
      <c r="B674" s="28"/>
      <c r="C674" s="28"/>
      <c r="D674" s="28"/>
      <c r="M674" s="25"/>
    </row>
    <row r="675" ht="15.75" customHeight="1">
      <c r="A675" s="28"/>
      <c r="B675" s="28"/>
      <c r="C675" s="28"/>
      <c r="D675" s="28"/>
      <c r="M675" s="25"/>
    </row>
    <row r="676" ht="15.75" customHeight="1">
      <c r="A676" s="28"/>
      <c r="B676" s="28"/>
      <c r="C676" s="28"/>
      <c r="D676" s="28"/>
      <c r="M676" s="25"/>
    </row>
    <row r="677" ht="15.75" customHeight="1">
      <c r="A677" s="28"/>
      <c r="B677" s="28"/>
      <c r="C677" s="28"/>
      <c r="D677" s="28"/>
      <c r="M677" s="25"/>
    </row>
    <row r="678" ht="15.75" customHeight="1">
      <c r="A678" s="28"/>
      <c r="B678" s="28"/>
      <c r="C678" s="28"/>
      <c r="D678" s="28"/>
      <c r="M678" s="25"/>
    </row>
    <row r="679" ht="15.75" customHeight="1">
      <c r="A679" s="28"/>
      <c r="B679" s="28"/>
      <c r="C679" s="28"/>
      <c r="D679" s="28"/>
      <c r="M679" s="25"/>
    </row>
    <row r="680" ht="15.75" customHeight="1">
      <c r="A680" s="28"/>
      <c r="B680" s="28"/>
      <c r="C680" s="28"/>
      <c r="D680" s="28"/>
      <c r="M680" s="25"/>
    </row>
    <row r="681" ht="15.75" customHeight="1">
      <c r="A681" s="28"/>
      <c r="B681" s="28"/>
      <c r="C681" s="28"/>
      <c r="D681" s="28"/>
      <c r="M681" s="25"/>
    </row>
    <row r="682" ht="15.75" customHeight="1">
      <c r="A682" s="28"/>
      <c r="B682" s="28"/>
      <c r="C682" s="28"/>
      <c r="D682" s="28"/>
      <c r="M682" s="25"/>
    </row>
    <row r="683" ht="15.75" customHeight="1">
      <c r="A683" s="28"/>
      <c r="B683" s="28"/>
      <c r="C683" s="28"/>
      <c r="D683" s="28"/>
      <c r="M683" s="25"/>
    </row>
    <row r="684" ht="15.75" customHeight="1">
      <c r="A684" s="28"/>
      <c r="B684" s="28"/>
      <c r="C684" s="28"/>
      <c r="D684" s="28"/>
      <c r="M684" s="25"/>
    </row>
    <row r="685" ht="15.75" customHeight="1">
      <c r="A685" s="28"/>
      <c r="B685" s="28"/>
      <c r="C685" s="28"/>
      <c r="D685" s="28"/>
      <c r="M685" s="25"/>
    </row>
    <row r="686" ht="15.75" customHeight="1">
      <c r="A686" s="28"/>
      <c r="B686" s="28"/>
      <c r="C686" s="28"/>
      <c r="D686" s="28"/>
      <c r="M686" s="25"/>
    </row>
    <row r="687" ht="15.75" customHeight="1">
      <c r="A687" s="28"/>
      <c r="B687" s="28"/>
      <c r="C687" s="28"/>
      <c r="D687" s="28"/>
      <c r="M687" s="25"/>
    </row>
    <row r="688" ht="15.75" customHeight="1">
      <c r="A688" s="28"/>
      <c r="B688" s="28"/>
      <c r="C688" s="28"/>
      <c r="D688" s="28"/>
      <c r="M688" s="25"/>
    </row>
    <row r="689" ht="15.75" customHeight="1">
      <c r="A689" s="28"/>
      <c r="B689" s="28"/>
      <c r="C689" s="28"/>
      <c r="D689" s="28"/>
      <c r="M689" s="25"/>
    </row>
    <row r="690" ht="15.75" customHeight="1">
      <c r="A690" s="28"/>
      <c r="B690" s="28"/>
      <c r="C690" s="28"/>
      <c r="D690" s="28"/>
      <c r="M690" s="25"/>
    </row>
    <row r="691" ht="15.75" customHeight="1">
      <c r="A691" s="28"/>
      <c r="B691" s="28"/>
      <c r="C691" s="28"/>
      <c r="D691" s="28"/>
      <c r="M691" s="25"/>
    </row>
    <row r="692" ht="15.75" customHeight="1">
      <c r="A692" s="28"/>
      <c r="B692" s="28"/>
      <c r="C692" s="28"/>
      <c r="D692" s="28"/>
      <c r="M692" s="25"/>
    </row>
    <row r="693" ht="15.75" customHeight="1">
      <c r="A693" s="28"/>
      <c r="B693" s="28"/>
      <c r="C693" s="28"/>
      <c r="D693" s="28"/>
      <c r="M693" s="25"/>
    </row>
    <row r="694" ht="15.75" customHeight="1">
      <c r="A694" s="28"/>
      <c r="B694" s="28"/>
      <c r="C694" s="28"/>
      <c r="D694" s="28"/>
      <c r="M694" s="25"/>
    </row>
    <row r="695" ht="15.75" customHeight="1">
      <c r="A695" s="28"/>
      <c r="B695" s="28"/>
      <c r="C695" s="28"/>
      <c r="D695" s="28"/>
      <c r="M695" s="25"/>
    </row>
    <row r="696" ht="15.75" customHeight="1">
      <c r="A696" s="28"/>
      <c r="B696" s="28"/>
      <c r="C696" s="28"/>
      <c r="D696" s="28"/>
      <c r="M696" s="25"/>
    </row>
    <row r="697" ht="15.75" customHeight="1">
      <c r="A697" s="28"/>
      <c r="B697" s="28"/>
      <c r="C697" s="28"/>
      <c r="D697" s="28"/>
      <c r="M697" s="25"/>
    </row>
    <row r="698" ht="15.75" customHeight="1">
      <c r="A698" s="28"/>
      <c r="B698" s="28"/>
      <c r="C698" s="28"/>
      <c r="D698" s="28"/>
      <c r="M698" s="25"/>
    </row>
    <row r="699" ht="15.75" customHeight="1">
      <c r="A699" s="28"/>
      <c r="B699" s="28"/>
      <c r="C699" s="28"/>
      <c r="D699" s="28"/>
      <c r="M699" s="25"/>
    </row>
    <row r="700" ht="15.75" customHeight="1">
      <c r="A700" s="28"/>
      <c r="B700" s="28"/>
      <c r="C700" s="28"/>
      <c r="D700" s="28"/>
      <c r="M700" s="25"/>
    </row>
    <row r="701" ht="15.75" customHeight="1">
      <c r="A701" s="28"/>
      <c r="B701" s="28"/>
      <c r="C701" s="28"/>
      <c r="D701" s="28"/>
      <c r="M701" s="25"/>
    </row>
    <row r="702" ht="15.75" customHeight="1">
      <c r="A702" s="28"/>
      <c r="B702" s="28"/>
      <c r="C702" s="28"/>
      <c r="D702" s="28"/>
      <c r="M702" s="25"/>
    </row>
    <row r="703" ht="15.75" customHeight="1">
      <c r="A703" s="28"/>
      <c r="B703" s="28"/>
      <c r="C703" s="28"/>
      <c r="D703" s="28"/>
      <c r="M703" s="25"/>
    </row>
    <row r="704" ht="15.75" customHeight="1">
      <c r="A704" s="28"/>
      <c r="B704" s="28"/>
      <c r="C704" s="28"/>
      <c r="D704" s="28"/>
      <c r="M704" s="25"/>
    </row>
    <row r="705" ht="15.75" customHeight="1">
      <c r="A705" s="28"/>
      <c r="B705" s="28"/>
      <c r="C705" s="28"/>
      <c r="D705" s="28"/>
      <c r="M705" s="25"/>
    </row>
    <row r="706" ht="15.75" customHeight="1">
      <c r="A706" s="28"/>
      <c r="B706" s="28"/>
      <c r="C706" s="28"/>
      <c r="D706" s="28"/>
      <c r="M706" s="25"/>
    </row>
    <row r="707" ht="15.75" customHeight="1">
      <c r="A707" s="28"/>
      <c r="B707" s="28"/>
      <c r="C707" s="28"/>
      <c r="D707" s="28"/>
      <c r="M707" s="25"/>
    </row>
    <row r="708" ht="15.75" customHeight="1">
      <c r="A708" s="28"/>
      <c r="B708" s="28"/>
      <c r="C708" s="28"/>
      <c r="D708" s="28"/>
      <c r="M708" s="25"/>
    </row>
    <row r="709" ht="15.75" customHeight="1">
      <c r="A709" s="28"/>
      <c r="B709" s="28"/>
      <c r="C709" s="28"/>
      <c r="D709" s="28"/>
      <c r="M709" s="25"/>
    </row>
    <row r="710" ht="15.75" customHeight="1">
      <c r="A710" s="28"/>
      <c r="B710" s="28"/>
      <c r="C710" s="28"/>
      <c r="D710" s="28"/>
      <c r="M710" s="25"/>
    </row>
    <row r="711" ht="15.75" customHeight="1">
      <c r="A711" s="28"/>
      <c r="B711" s="28"/>
      <c r="C711" s="28"/>
      <c r="D711" s="28"/>
      <c r="M711" s="25"/>
    </row>
    <row r="712" ht="15.75" customHeight="1">
      <c r="A712" s="28"/>
      <c r="B712" s="28"/>
      <c r="C712" s="28"/>
      <c r="D712" s="28"/>
      <c r="M712" s="25"/>
    </row>
    <row r="713" ht="15.75" customHeight="1">
      <c r="A713" s="28"/>
      <c r="B713" s="28"/>
      <c r="C713" s="28"/>
      <c r="D713" s="28"/>
      <c r="M713" s="25"/>
    </row>
    <row r="714" ht="15.75" customHeight="1">
      <c r="A714" s="28"/>
      <c r="B714" s="28"/>
      <c r="C714" s="28"/>
      <c r="D714" s="28"/>
      <c r="M714" s="25"/>
    </row>
    <row r="715" ht="15.75" customHeight="1">
      <c r="A715" s="28"/>
      <c r="B715" s="28"/>
      <c r="C715" s="28"/>
      <c r="D715" s="28"/>
      <c r="M715" s="25"/>
    </row>
    <row r="716" ht="15.75" customHeight="1">
      <c r="A716" s="28"/>
      <c r="B716" s="28"/>
      <c r="C716" s="28"/>
      <c r="D716" s="28"/>
      <c r="M716" s="25"/>
    </row>
    <row r="717" ht="15.75" customHeight="1">
      <c r="A717" s="28"/>
      <c r="B717" s="28"/>
      <c r="C717" s="28"/>
      <c r="D717" s="28"/>
      <c r="M717" s="25"/>
    </row>
    <row r="718" ht="15.75" customHeight="1">
      <c r="A718" s="28"/>
      <c r="B718" s="28"/>
      <c r="C718" s="28"/>
      <c r="D718" s="28"/>
      <c r="M718" s="25"/>
    </row>
    <row r="719" ht="15.75" customHeight="1">
      <c r="A719" s="28"/>
      <c r="B719" s="28"/>
      <c r="C719" s="28"/>
      <c r="D719" s="28"/>
      <c r="M719" s="25"/>
    </row>
    <row r="720" ht="15.75" customHeight="1">
      <c r="A720" s="28"/>
      <c r="B720" s="28"/>
      <c r="C720" s="28"/>
      <c r="D720" s="28"/>
      <c r="M720" s="25"/>
    </row>
    <row r="721" ht="15.75" customHeight="1">
      <c r="A721" s="28"/>
      <c r="B721" s="28"/>
      <c r="C721" s="28"/>
      <c r="D721" s="28"/>
      <c r="M721" s="25"/>
    </row>
    <row r="722" ht="15.75" customHeight="1">
      <c r="A722" s="28"/>
      <c r="B722" s="28"/>
      <c r="C722" s="28"/>
      <c r="D722" s="28"/>
      <c r="M722" s="25"/>
    </row>
    <row r="723" ht="15.75" customHeight="1">
      <c r="A723" s="28"/>
      <c r="B723" s="28"/>
      <c r="C723" s="28"/>
      <c r="D723" s="28"/>
      <c r="M723" s="25"/>
    </row>
    <row r="724" ht="15.75" customHeight="1">
      <c r="A724" s="28"/>
      <c r="B724" s="28"/>
      <c r="C724" s="28"/>
      <c r="D724" s="28"/>
      <c r="M724" s="25"/>
    </row>
    <row r="725" ht="15.75" customHeight="1">
      <c r="A725" s="28"/>
      <c r="B725" s="28"/>
      <c r="C725" s="28"/>
      <c r="D725" s="28"/>
      <c r="M725" s="25"/>
    </row>
    <row r="726" ht="15.75" customHeight="1">
      <c r="A726" s="28"/>
      <c r="B726" s="28"/>
      <c r="C726" s="28"/>
      <c r="D726" s="28"/>
      <c r="M726" s="25"/>
    </row>
    <row r="727" ht="15.75" customHeight="1">
      <c r="A727" s="28"/>
      <c r="B727" s="28"/>
      <c r="C727" s="28"/>
      <c r="D727" s="28"/>
      <c r="M727" s="25"/>
    </row>
    <row r="728" ht="15.75" customHeight="1">
      <c r="A728" s="28"/>
      <c r="B728" s="28"/>
      <c r="C728" s="28"/>
      <c r="D728" s="28"/>
      <c r="M728" s="25"/>
    </row>
    <row r="729" ht="15.75" customHeight="1">
      <c r="A729" s="28"/>
      <c r="B729" s="28"/>
      <c r="C729" s="28"/>
      <c r="D729" s="28"/>
      <c r="M729" s="25"/>
    </row>
    <row r="730" ht="15.75" customHeight="1">
      <c r="A730" s="28"/>
      <c r="B730" s="28"/>
      <c r="C730" s="28"/>
      <c r="D730" s="28"/>
      <c r="M730" s="25"/>
    </row>
    <row r="731" ht="15.75" customHeight="1">
      <c r="A731" s="28"/>
      <c r="B731" s="28"/>
      <c r="C731" s="28"/>
      <c r="D731" s="28"/>
      <c r="M731" s="25"/>
    </row>
    <row r="732" ht="15.75" customHeight="1">
      <c r="A732" s="28"/>
      <c r="B732" s="28"/>
      <c r="C732" s="28"/>
      <c r="D732" s="28"/>
      <c r="M732" s="25"/>
    </row>
    <row r="733" ht="15.75" customHeight="1">
      <c r="A733" s="28"/>
      <c r="B733" s="28"/>
      <c r="C733" s="28"/>
      <c r="D733" s="28"/>
      <c r="M733" s="25"/>
    </row>
    <row r="734" ht="15.75" customHeight="1">
      <c r="A734" s="28"/>
      <c r="B734" s="28"/>
      <c r="C734" s="28"/>
      <c r="D734" s="28"/>
      <c r="M734" s="25"/>
    </row>
    <row r="735" ht="15.75" customHeight="1">
      <c r="A735" s="28"/>
      <c r="B735" s="28"/>
      <c r="C735" s="28"/>
      <c r="D735" s="28"/>
      <c r="M735" s="25"/>
    </row>
    <row r="736" ht="15.75" customHeight="1">
      <c r="A736" s="28"/>
      <c r="B736" s="28"/>
      <c r="C736" s="28"/>
      <c r="D736" s="28"/>
      <c r="M736" s="25"/>
    </row>
    <row r="737" ht="15.75" customHeight="1">
      <c r="A737" s="28"/>
      <c r="B737" s="28"/>
      <c r="C737" s="28"/>
      <c r="D737" s="28"/>
      <c r="M737" s="25"/>
    </row>
    <row r="738" ht="15.75" customHeight="1">
      <c r="A738" s="28"/>
      <c r="B738" s="28"/>
      <c r="C738" s="28"/>
      <c r="D738" s="28"/>
      <c r="M738" s="25"/>
    </row>
    <row r="739" ht="15.75" customHeight="1">
      <c r="A739" s="28"/>
      <c r="B739" s="28"/>
      <c r="C739" s="28"/>
      <c r="D739" s="28"/>
      <c r="M739" s="25"/>
    </row>
    <row r="740" ht="15.75" customHeight="1">
      <c r="A740" s="28"/>
      <c r="B740" s="28"/>
      <c r="C740" s="28"/>
      <c r="D740" s="28"/>
      <c r="M740" s="25"/>
    </row>
    <row r="741" ht="15.75" customHeight="1">
      <c r="A741" s="28"/>
      <c r="B741" s="28"/>
      <c r="C741" s="28"/>
      <c r="D741" s="28"/>
      <c r="M741" s="25"/>
    </row>
    <row r="742" ht="15.75" customHeight="1">
      <c r="A742" s="28"/>
      <c r="B742" s="28"/>
      <c r="C742" s="28"/>
      <c r="D742" s="28"/>
      <c r="M742" s="25"/>
    </row>
    <row r="743" ht="15.75" customHeight="1">
      <c r="A743" s="28"/>
      <c r="B743" s="28"/>
      <c r="C743" s="28"/>
      <c r="D743" s="28"/>
      <c r="M743" s="25"/>
    </row>
    <row r="744" ht="15.75" customHeight="1">
      <c r="A744" s="28"/>
      <c r="B744" s="28"/>
      <c r="C744" s="28"/>
      <c r="D744" s="28"/>
      <c r="M744" s="25"/>
    </row>
    <row r="745" ht="15.75" customHeight="1">
      <c r="A745" s="28"/>
      <c r="B745" s="28"/>
      <c r="C745" s="28"/>
      <c r="D745" s="28"/>
      <c r="M745" s="25"/>
    </row>
    <row r="746" ht="15.75" customHeight="1">
      <c r="A746" s="28"/>
      <c r="B746" s="28"/>
      <c r="C746" s="28"/>
      <c r="D746" s="28"/>
      <c r="M746" s="25"/>
    </row>
    <row r="747" ht="15.75" customHeight="1">
      <c r="A747" s="28"/>
      <c r="B747" s="28"/>
      <c r="C747" s="28"/>
      <c r="D747" s="28"/>
      <c r="M747" s="25"/>
    </row>
    <row r="748" ht="15.75" customHeight="1">
      <c r="A748" s="28"/>
      <c r="B748" s="28"/>
      <c r="C748" s="28"/>
      <c r="D748" s="28"/>
      <c r="M748" s="25"/>
    </row>
    <row r="749" ht="15.75" customHeight="1">
      <c r="A749" s="28"/>
      <c r="B749" s="28"/>
      <c r="C749" s="28"/>
      <c r="D749" s="28"/>
      <c r="M749" s="25"/>
    </row>
    <row r="750" ht="15.75" customHeight="1">
      <c r="A750" s="28"/>
      <c r="B750" s="28"/>
      <c r="C750" s="28"/>
      <c r="D750" s="28"/>
      <c r="M750" s="25"/>
    </row>
    <row r="751" ht="15.75" customHeight="1">
      <c r="A751" s="28"/>
      <c r="B751" s="28"/>
      <c r="C751" s="28"/>
      <c r="D751" s="28"/>
      <c r="M751" s="25"/>
    </row>
    <row r="752" ht="15.75" customHeight="1">
      <c r="A752" s="28"/>
      <c r="B752" s="28"/>
      <c r="C752" s="28"/>
      <c r="D752" s="28"/>
      <c r="M752" s="25"/>
    </row>
    <row r="753" ht="15.75" customHeight="1">
      <c r="A753" s="28"/>
      <c r="B753" s="28"/>
      <c r="C753" s="28"/>
      <c r="D753" s="28"/>
      <c r="M753" s="25"/>
    </row>
    <row r="754" ht="15.75" customHeight="1">
      <c r="A754" s="28"/>
      <c r="B754" s="28"/>
      <c r="C754" s="28"/>
      <c r="D754" s="28"/>
      <c r="M754" s="25"/>
    </row>
    <row r="755" ht="15.75" customHeight="1">
      <c r="A755" s="28"/>
      <c r="B755" s="28"/>
      <c r="C755" s="28"/>
      <c r="D755" s="28"/>
      <c r="M755" s="25"/>
    </row>
    <row r="756" ht="15.75" customHeight="1">
      <c r="A756" s="28"/>
      <c r="B756" s="28"/>
      <c r="C756" s="28"/>
      <c r="D756" s="28"/>
      <c r="M756" s="25"/>
    </row>
    <row r="757" ht="15.75" customHeight="1">
      <c r="A757" s="28"/>
      <c r="B757" s="28"/>
      <c r="C757" s="28"/>
      <c r="D757" s="28"/>
      <c r="M757" s="25"/>
    </row>
    <row r="758" ht="15.75" customHeight="1">
      <c r="A758" s="28"/>
      <c r="B758" s="28"/>
      <c r="C758" s="28"/>
      <c r="D758" s="28"/>
      <c r="M758" s="25"/>
    </row>
    <row r="759" ht="15.75" customHeight="1">
      <c r="A759" s="28"/>
      <c r="B759" s="28"/>
      <c r="C759" s="28"/>
      <c r="D759" s="28"/>
      <c r="M759" s="25"/>
    </row>
    <row r="760" ht="15.75" customHeight="1">
      <c r="A760" s="28"/>
      <c r="B760" s="28"/>
      <c r="C760" s="28"/>
      <c r="D760" s="28"/>
      <c r="M760" s="25"/>
    </row>
    <row r="761" ht="15.75" customHeight="1">
      <c r="A761" s="28"/>
      <c r="B761" s="28"/>
      <c r="C761" s="28"/>
      <c r="D761" s="28"/>
      <c r="M761" s="25"/>
    </row>
    <row r="762" ht="15.75" customHeight="1">
      <c r="A762" s="28"/>
      <c r="B762" s="28"/>
      <c r="C762" s="28"/>
      <c r="D762" s="28"/>
      <c r="M762" s="25"/>
    </row>
    <row r="763" ht="15.75" customHeight="1">
      <c r="A763" s="28"/>
      <c r="B763" s="28"/>
      <c r="C763" s="28"/>
      <c r="D763" s="28"/>
      <c r="M763" s="25"/>
    </row>
    <row r="764" ht="15.75" customHeight="1">
      <c r="A764" s="28"/>
      <c r="B764" s="28"/>
      <c r="C764" s="28"/>
      <c r="D764" s="28"/>
      <c r="M764" s="25"/>
    </row>
    <row r="765" ht="15.75" customHeight="1">
      <c r="A765" s="28"/>
      <c r="B765" s="28"/>
      <c r="C765" s="28"/>
      <c r="D765" s="28"/>
      <c r="M765" s="25"/>
    </row>
    <row r="766" ht="15.75" customHeight="1">
      <c r="A766" s="28"/>
      <c r="B766" s="28"/>
      <c r="C766" s="28"/>
      <c r="D766" s="28"/>
      <c r="M766" s="25"/>
    </row>
    <row r="767" ht="15.75" customHeight="1">
      <c r="A767" s="28"/>
      <c r="B767" s="28"/>
      <c r="C767" s="28"/>
      <c r="D767" s="28"/>
      <c r="M767" s="25"/>
    </row>
    <row r="768" ht="15.75" customHeight="1">
      <c r="A768" s="28"/>
      <c r="B768" s="28"/>
      <c r="C768" s="28"/>
      <c r="D768" s="28"/>
      <c r="M768" s="25"/>
    </row>
    <row r="769" ht="15.75" customHeight="1">
      <c r="A769" s="28"/>
      <c r="B769" s="28"/>
      <c r="C769" s="28"/>
      <c r="D769" s="28"/>
      <c r="M769" s="25"/>
    </row>
    <row r="770" ht="15.75" customHeight="1">
      <c r="A770" s="28"/>
      <c r="B770" s="28"/>
      <c r="C770" s="28"/>
      <c r="D770" s="28"/>
      <c r="M770" s="25"/>
    </row>
    <row r="771" ht="15.75" customHeight="1">
      <c r="A771" s="28"/>
      <c r="B771" s="28"/>
      <c r="C771" s="28"/>
      <c r="D771" s="28"/>
      <c r="M771" s="25"/>
    </row>
    <row r="772" ht="15.75" customHeight="1">
      <c r="A772" s="28"/>
      <c r="B772" s="28"/>
      <c r="C772" s="28"/>
      <c r="D772" s="28"/>
      <c r="M772" s="25"/>
    </row>
    <row r="773" ht="15.75" customHeight="1">
      <c r="A773" s="28"/>
      <c r="B773" s="28"/>
      <c r="C773" s="28"/>
      <c r="D773" s="28"/>
      <c r="M773" s="25"/>
    </row>
    <row r="774" ht="15.75" customHeight="1">
      <c r="A774" s="28"/>
      <c r="B774" s="28"/>
      <c r="C774" s="28"/>
      <c r="D774" s="28"/>
      <c r="M774" s="25"/>
    </row>
    <row r="775" ht="15.75" customHeight="1">
      <c r="A775" s="28"/>
      <c r="B775" s="28"/>
      <c r="C775" s="28"/>
      <c r="D775" s="28"/>
      <c r="M775" s="25"/>
    </row>
    <row r="776" ht="15.75" customHeight="1">
      <c r="A776" s="28"/>
      <c r="B776" s="28"/>
      <c r="C776" s="28"/>
      <c r="D776" s="28"/>
      <c r="M776" s="25"/>
    </row>
    <row r="777" ht="15.75" customHeight="1">
      <c r="A777" s="28"/>
      <c r="B777" s="28"/>
      <c r="C777" s="28"/>
      <c r="D777" s="28"/>
      <c r="M777" s="25"/>
    </row>
    <row r="778" ht="15.75" customHeight="1">
      <c r="A778" s="28"/>
      <c r="B778" s="28"/>
      <c r="C778" s="28"/>
      <c r="D778" s="28"/>
      <c r="M778" s="25"/>
    </row>
    <row r="779" ht="15.75" customHeight="1">
      <c r="A779" s="28"/>
      <c r="B779" s="28"/>
      <c r="C779" s="28"/>
      <c r="D779" s="28"/>
      <c r="M779" s="25"/>
    </row>
    <row r="780" ht="15.75" customHeight="1">
      <c r="A780" s="28"/>
      <c r="B780" s="28"/>
      <c r="C780" s="28"/>
      <c r="D780" s="28"/>
      <c r="M780" s="25"/>
    </row>
    <row r="781" ht="15.75" customHeight="1">
      <c r="A781" s="28"/>
      <c r="B781" s="28"/>
      <c r="C781" s="28"/>
      <c r="D781" s="28"/>
      <c r="M781" s="25"/>
    </row>
    <row r="782" ht="15.75" customHeight="1">
      <c r="A782" s="28"/>
      <c r="B782" s="28"/>
      <c r="C782" s="28"/>
      <c r="D782" s="28"/>
      <c r="M782" s="25"/>
    </row>
    <row r="783" ht="15.75" customHeight="1">
      <c r="A783" s="28"/>
      <c r="B783" s="28"/>
      <c r="C783" s="28"/>
      <c r="D783" s="28"/>
      <c r="M783" s="25"/>
    </row>
    <row r="784" ht="15.75" customHeight="1">
      <c r="A784" s="28"/>
      <c r="B784" s="28"/>
      <c r="C784" s="28"/>
      <c r="D784" s="28"/>
      <c r="M784" s="25"/>
    </row>
    <row r="785" ht="15.75" customHeight="1">
      <c r="A785" s="28"/>
      <c r="B785" s="28"/>
      <c r="C785" s="28"/>
      <c r="D785" s="28"/>
      <c r="M785" s="25"/>
    </row>
    <row r="786" ht="15.75" customHeight="1">
      <c r="A786" s="28"/>
      <c r="B786" s="28"/>
      <c r="C786" s="28"/>
      <c r="D786" s="28"/>
      <c r="M786" s="25"/>
    </row>
    <row r="787" ht="15.75" customHeight="1">
      <c r="A787" s="28"/>
      <c r="B787" s="28"/>
      <c r="C787" s="28"/>
      <c r="D787" s="28"/>
      <c r="M787" s="25"/>
    </row>
    <row r="788" ht="15.75" customHeight="1">
      <c r="A788" s="28"/>
      <c r="B788" s="28"/>
      <c r="C788" s="28"/>
      <c r="D788" s="28"/>
      <c r="M788" s="25"/>
    </row>
    <row r="789" ht="15.75" customHeight="1">
      <c r="A789" s="28"/>
      <c r="B789" s="28"/>
      <c r="C789" s="28"/>
      <c r="D789" s="28"/>
      <c r="M789" s="25"/>
    </row>
    <row r="790" ht="15.75" customHeight="1">
      <c r="A790" s="28"/>
      <c r="B790" s="28"/>
      <c r="C790" s="28"/>
      <c r="D790" s="28"/>
      <c r="M790" s="25"/>
    </row>
    <row r="791" ht="15.75" customHeight="1">
      <c r="A791" s="28"/>
      <c r="B791" s="28"/>
      <c r="C791" s="28"/>
      <c r="D791" s="28"/>
      <c r="M791" s="25"/>
    </row>
    <row r="792" ht="15.75" customHeight="1">
      <c r="A792" s="28"/>
      <c r="B792" s="28"/>
      <c r="C792" s="28"/>
      <c r="D792" s="28"/>
      <c r="M792" s="25"/>
    </row>
    <row r="793" ht="15.75" customHeight="1">
      <c r="A793" s="28"/>
      <c r="B793" s="28"/>
      <c r="C793" s="28"/>
      <c r="D793" s="28"/>
      <c r="M793" s="25"/>
    </row>
    <row r="794" ht="15.75" customHeight="1">
      <c r="A794" s="28"/>
      <c r="B794" s="28"/>
      <c r="C794" s="28"/>
      <c r="D794" s="28"/>
      <c r="M794" s="25"/>
    </row>
    <row r="795" ht="15.75" customHeight="1">
      <c r="A795" s="28"/>
      <c r="B795" s="28"/>
      <c r="C795" s="28"/>
      <c r="D795" s="28"/>
      <c r="M795" s="25"/>
    </row>
    <row r="796" ht="15.75" customHeight="1">
      <c r="A796" s="28"/>
      <c r="B796" s="28"/>
      <c r="C796" s="28"/>
      <c r="D796" s="28"/>
      <c r="M796" s="25"/>
    </row>
    <row r="797" ht="15.75" customHeight="1">
      <c r="A797" s="28"/>
      <c r="B797" s="28"/>
      <c r="C797" s="28"/>
      <c r="D797" s="28"/>
      <c r="M797" s="25"/>
    </row>
    <row r="798" ht="15.75" customHeight="1">
      <c r="A798" s="28"/>
      <c r="B798" s="28"/>
      <c r="C798" s="28"/>
      <c r="D798" s="28"/>
      <c r="M798" s="25"/>
    </row>
    <row r="799" ht="15.75" customHeight="1">
      <c r="A799" s="28"/>
      <c r="B799" s="28"/>
      <c r="C799" s="28"/>
      <c r="D799" s="28"/>
      <c r="M799" s="25"/>
    </row>
    <row r="800" ht="15.75" customHeight="1">
      <c r="A800" s="28"/>
      <c r="B800" s="28"/>
      <c r="C800" s="28"/>
      <c r="D800" s="28"/>
      <c r="M800" s="25"/>
    </row>
    <row r="801" ht="15.75" customHeight="1">
      <c r="A801" s="28"/>
      <c r="B801" s="28"/>
      <c r="C801" s="28"/>
      <c r="D801" s="28"/>
      <c r="M801" s="25"/>
    </row>
    <row r="802" ht="15.75" customHeight="1">
      <c r="A802" s="28"/>
      <c r="B802" s="28"/>
      <c r="C802" s="28"/>
      <c r="D802" s="28"/>
      <c r="M802" s="25"/>
    </row>
    <row r="803" ht="15.75" customHeight="1">
      <c r="A803" s="28"/>
      <c r="B803" s="28"/>
      <c r="C803" s="28"/>
      <c r="D803" s="28"/>
      <c r="M803" s="25"/>
    </row>
    <row r="804" ht="15.75" customHeight="1">
      <c r="A804" s="28"/>
      <c r="B804" s="28"/>
      <c r="C804" s="28"/>
      <c r="D804" s="28"/>
      <c r="M804" s="25"/>
    </row>
    <row r="805" ht="15.75" customHeight="1">
      <c r="A805" s="28"/>
      <c r="B805" s="28"/>
      <c r="C805" s="28"/>
      <c r="D805" s="28"/>
      <c r="M805" s="25"/>
    </row>
    <row r="806" ht="15.75" customHeight="1">
      <c r="A806" s="28"/>
      <c r="B806" s="28"/>
      <c r="C806" s="28"/>
      <c r="D806" s="28"/>
      <c r="M806" s="25"/>
    </row>
    <row r="807" ht="15.75" customHeight="1">
      <c r="A807" s="28"/>
      <c r="B807" s="28"/>
      <c r="C807" s="28"/>
      <c r="D807" s="28"/>
      <c r="M807" s="25"/>
    </row>
    <row r="808" ht="15.75" customHeight="1">
      <c r="A808" s="28"/>
      <c r="B808" s="28"/>
      <c r="C808" s="28"/>
      <c r="D808" s="28"/>
      <c r="M808" s="25"/>
    </row>
    <row r="809" ht="15.75" customHeight="1">
      <c r="A809" s="28"/>
      <c r="B809" s="28"/>
      <c r="C809" s="28"/>
      <c r="D809" s="28"/>
      <c r="M809" s="25"/>
    </row>
    <row r="810" ht="15.75" customHeight="1">
      <c r="A810" s="28"/>
      <c r="B810" s="28"/>
      <c r="C810" s="28"/>
      <c r="D810" s="28"/>
      <c r="M810" s="25"/>
    </row>
    <row r="811" ht="15.75" customHeight="1">
      <c r="A811" s="28"/>
      <c r="B811" s="28"/>
      <c r="C811" s="28"/>
      <c r="D811" s="28"/>
      <c r="M811" s="25"/>
    </row>
    <row r="812" ht="15.75" customHeight="1">
      <c r="A812" s="28"/>
      <c r="B812" s="28"/>
      <c r="C812" s="28"/>
      <c r="D812" s="28"/>
      <c r="M812" s="25"/>
    </row>
    <row r="813" ht="15.75" customHeight="1">
      <c r="A813" s="28"/>
      <c r="B813" s="28"/>
      <c r="C813" s="28"/>
      <c r="D813" s="28"/>
      <c r="M813" s="25"/>
    </row>
    <row r="814" ht="15.75" customHeight="1">
      <c r="A814" s="28"/>
      <c r="B814" s="28"/>
      <c r="C814" s="28"/>
      <c r="D814" s="28"/>
      <c r="M814" s="25"/>
    </row>
    <row r="815" ht="15.75" customHeight="1">
      <c r="A815" s="28"/>
      <c r="B815" s="28"/>
      <c r="C815" s="28"/>
      <c r="D815" s="28"/>
      <c r="M815" s="25"/>
    </row>
    <row r="816" ht="15.75" customHeight="1">
      <c r="A816" s="28"/>
      <c r="B816" s="28"/>
      <c r="C816" s="28"/>
      <c r="D816" s="28"/>
      <c r="M816" s="25"/>
    </row>
    <row r="817" ht="15.75" customHeight="1">
      <c r="A817" s="28"/>
      <c r="B817" s="28"/>
      <c r="C817" s="28"/>
      <c r="D817" s="28"/>
      <c r="M817" s="25"/>
    </row>
    <row r="818" ht="15.75" customHeight="1">
      <c r="A818" s="28"/>
      <c r="B818" s="28"/>
      <c r="C818" s="28"/>
      <c r="D818" s="28"/>
      <c r="M818" s="25"/>
    </row>
    <row r="819" ht="15.75" customHeight="1">
      <c r="A819" s="28"/>
      <c r="B819" s="28"/>
      <c r="C819" s="28"/>
      <c r="D819" s="28"/>
      <c r="M819" s="25"/>
    </row>
    <row r="820" ht="15.75" customHeight="1">
      <c r="A820" s="28"/>
      <c r="B820" s="28"/>
      <c r="C820" s="28"/>
      <c r="D820" s="28"/>
      <c r="M820" s="25"/>
    </row>
    <row r="821" ht="15.75" customHeight="1">
      <c r="A821" s="28"/>
      <c r="B821" s="28"/>
      <c r="C821" s="28"/>
      <c r="D821" s="28"/>
      <c r="M821" s="25"/>
    </row>
    <row r="822" ht="15.75" customHeight="1">
      <c r="A822" s="28"/>
      <c r="B822" s="28"/>
      <c r="C822" s="28"/>
      <c r="D822" s="28"/>
      <c r="M822" s="25"/>
    </row>
    <row r="823" ht="15.75" customHeight="1">
      <c r="A823" s="28"/>
      <c r="B823" s="28"/>
      <c r="C823" s="28"/>
      <c r="D823" s="28"/>
      <c r="M823" s="25"/>
    </row>
    <row r="824" ht="15.75" customHeight="1">
      <c r="A824" s="28"/>
      <c r="B824" s="28"/>
      <c r="C824" s="28"/>
      <c r="D824" s="28"/>
      <c r="M824" s="25"/>
    </row>
    <row r="825" ht="15.75" customHeight="1">
      <c r="A825" s="28"/>
      <c r="B825" s="28"/>
      <c r="C825" s="28"/>
      <c r="D825" s="28"/>
      <c r="M825" s="25"/>
    </row>
    <row r="826" ht="15.75" customHeight="1">
      <c r="A826" s="28"/>
      <c r="B826" s="28"/>
      <c r="C826" s="28"/>
      <c r="D826" s="28"/>
      <c r="M826" s="25"/>
    </row>
    <row r="827" ht="15.75" customHeight="1">
      <c r="A827" s="28"/>
      <c r="B827" s="28"/>
      <c r="C827" s="28"/>
      <c r="D827" s="28"/>
      <c r="M827" s="25"/>
    </row>
    <row r="828" ht="15.75" customHeight="1">
      <c r="A828" s="28"/>
      <c r="B828" s="28"/>
      <c r="C828" s="28"/>
      <c r="D828" s="28"/>
      <c r="M828" s="25"/>
    </row>
    <row r="829" ht="15.75" customHeight="1">
      <c r="A829" s="28"/>
      <c r="B829" s="28"/>
      <c r="C829" s="28"/>
      <c r="D829" s="28"/>
      <c r="M829" s="25"/>
    </row>
    <row r="830" ht="15.75" customHeight="1">
      <c r="A830" s="28"/>
      <c r="B830" s="28"/>
      <c r="C830" s="28"/>
      <c r="D830" s="28"/>
      <c r="M830" s="25"/>
    </row>
    <row r="831" ht="15.75" customHeight="1">
      <c r="A831" s="28"/>
      <c r="B831" s="28"/>
      <c r="C831" s="28"/>
      <c r="D831" s="28"/>
      <c r="M831" s="25"/>
    </row>
    <row r="832" ht="15.75" customHeight="1">
      <c r="A832" s="28"/>
      <c r="B832" s="28"/>
      <c r="C832" s="28"/>
      <c r="D832" s="28"/>
      <c r="M832" s="25"/>
    </row>
    <row r="833" ht="15.75" customHeight="1">
      <c r="A833" s="28"/>
      <c r="B833" s="28"/>
      <c r="C833" s="28"/>
      <c r="D833" s="28"/>
      <c r="M833" s="25"/>
    </row>
    <row r="834" ht="15.75" customHeight="1">
      <c r="A834" s="28"/>
      <c r="B834" s="28"/>
      <c r="C834" s="28"/>
      <c r="D834" s="28"/>
      <c r="M834" s="25"/>
    </row>
    <row r="835" ht="15.75" customHeight="1">
      <c r="A835" s="28"/>
      <c r="B835" s="28"/>
      <c r="C835" s="28"/>
      <c r="D835" s="28"/>
      <c r="M835" s="25"/>
    </row>
    <row r="836" ht="15.75" customHeight="1">
      <c r="A836" s="28"/>
      <c r="B836" s="28"/>
      <c r="C836" s="28"/>
      <c r="D836" s="28"/>
      <c r="M836" s="25"/>
    </row>
    <row r="837" ht="15.75" customHeight="1">
      <c r="A837" s="28"/>
      <c r="B837" s="28"/>
      <c r="C837" s="28"/>
      <c r="D837" s="28"/>
      <c r="M837" s="25"/>
    </row>
    <row r="838" ht="15.75" customHeight="1">
      <c r="A838" s="28"/>
      <c r="B838" s="28"/>
      <c r="C838" s="28"/>
      <c r="D838" s="28"/>
      <c r="M838" s="25"/>
    </row>
    <row r="839" ht="15.75" customHeight="1">
      <c r="A839" s="28"/>
      <c r="B839" s="28"/>
      <c r="C839" s="28"/>
      <c r="D839" s="28"/>
      <c r="M839" s="25"/>
    </row>
    <row r="840" ht="15.75" customHeight="1">
      <c r="A840" s="28"/>
      <c r="B840" s="28"/>
      <c r="C840" s="28"/>
      <c r="D840" s="28"/>
      <c r="M840" s="25"/>
    </row>
    <row r="841" ht="15.75" customHeight="1">
      <c r="A841" s="28"/>
      <c r="B841" s="28"/>
      <c r="C841" s="28"/>
      <c r="D841" s="28"/>
      <c r="M841" s="25"/>
    </row>
    <row r="842" ht="15.75" customHeight="1">
      <c r="A842" s="28"/>
      <c r="B842" s="28"/>
      <c r="C842" s="28"/>
      <c r="D842" s="28"/>
      <c r="M842" s="25"/>
    </row>
    <row r="843" ht="15.75" customHeight="1">
      <c r="A843" s="28"/>
      <c r="B843" s="28"/>
      <c r="C843" s="28"/>
      <c r="D843" s="28"/>
      <c r="M843" s="25"/>
    </row>
    <row r="844" ht="15.75" customHeight="1">
      <c r="A844" s="28"/>
      <c r="B844" s="28"/>
      <c r="C844" s="28"/>
      <c r="D844" s="28"/>
      <c r="M844" s="25"/>
    </row>
    <row r="845" ht="15.75" customHeight="1">
      <c r="A845" s="28"/>
      <c r="B845" s="28"/>
      <c r="C845" s="28"/>
      <c r="D845" s="28"/>
      <c r="M845" s="25"/>
    </row>
    <row r="846" ht="15.75" customHeight="1">
      <c r="A846" s="28"/>
      <c r="B846" s="28"/>
      <c r="C846" s="28"/>
      <c r="D846" s="28"/>
      <c r="M846" s="25"/>
    </row>
    <row r="847" ht="15.75" customHeight="1">
      <c r="A847" s="28"/>
      <c r="B847" s="28"/>
      <c r="C847" s="28"/>
      <c r="D847" s="28"/>
      <c r="M847" s="25"/>
    </row>
    <row r="848" ht="15.75" customHeight="1">
      <c r="A848" s="28"/>
      <c r="B848" s="28"/>
      <c r="C848" s="28"/>
      <c r="D848" s="28"/>
      <c r="M848" s="25"/>
    </row>
    <row r="849" ht="15.75" customHeight="1">
      <c r="A849" s="28"/>
      <c r="B849" s="28"/>
      <c r="C849" s="28"/>
      <c r="D849" s="28"/>
      <c r="M849" s="25"/>
    </row>
    <row r="850" ht="15.75" customHeight="1">
      <c r="A850" s="28"/>
      <c r="B850" s="28"/>
      <c r="C850" s="28"/>
      <c r="D850" s="28"/>
      <c r="M850" s="25"/>
    </row>
    <row r="851" ht="15.75" customHeight="1">
      <c r="A851" s="28"/>
      <c r="B851" s="28"/>
      <c r="C851" s="28"/>
      <c r="D851" s="28"/>
      <c r="M851" s="25"/>
    </row>
    <row r="852" ht="15.75" customHeight="1">
      <c r="A852" s="28"/>
      <c r="B852" s="28"/>
      <c r="C852" s="28"/>
      <c r="D852" s="28"/>
      <c r="M852" s="25"/>
    </row>
    <row r="853" ht="15.75" customHeight="1">
      <c r="A853" s="28"/>
      <c r="B853" s="28"/>
      <c r="C853" s="28"/>
      <c r="D853" s="28"/>
      <c r="M853" s="25"/>
    </row>
    <row r="854" ht="15.75" customHeight="1">
      <c r="A854" s="28"/>
      <c r="B854" s="28"/>
      <c r="C854" s="28"/>
      <c r="D854" s="28"/>
      <c r="M854" s="25"/>
    </row>
    <row r="855" ht="15.75" customHeight="1">
      <c r="A855" s="28"/>
      <c r="B855" s="28"/>
      <c r="C855" s="28"/>
      <c r="D855" s="28"/>
      <c r="M855" s="25"/>
    </row>
    <row r="856" ht="15.75" customHeight="1">
      <c r="A856" s="28"/>
      <c r="B856" s="28"/>
      <c r="C856" s="28"/>
      <c r="D856" s="28"/>
      <c r="M856" s="25"/>
    </row>
    <row r="857" ht="15.75" customHeight="1">
      <c r="A857" s="28"/>
      <c r="B857" s="28"/>
      <c r="C857" s="28"/>
      <c r="D857" s="28"/>
      <c r="M857" s="25"/>
    </row>
    <row r="858" ht="15.75" customHeight="1">
      <c r="A858" s="28"/>
      <c r="B858" s="28"/>
      <c r="C858" s="28"/>
      <c r="D858" s="28"/>
      <c r="M858" s="25"/>
    </row>
    <row r="859" ht="15.75" customHeight="1">
      <c r="A859" s="28"/>
      <c r="B859" s="28"/>
      <c r="C859" s="28"/>
      <c r="D859" s="28"/>
      <c r="M859" s="25"/>
    </row>
    <row r="860" ht="15.75" customHeight="1">
      <c r="A860" s="28"/>
      <c r="B860" s="28"/>
      <c r="C860" s="28"/>
      <c r="D860" s="28"/>
      <c r="M860" s="25"/>
    </row>
    <row r="861" ht="15.75" customHeight="1">
      <c r="A861" s="28"/>
      <c r="B861" s="28"/>
      <c r="C861" s="28"/>
      <c r="D861" s="28"/>
      <c r="M861" s="25"/>
    </row>
    <row r="862" ht="15.75" customHeight="1">
      <c r="A862" s="28"/>
      <c r="B862" s="28"/>
      <c r="C862" s="28"/>
      <c r="D862" s="28"/>
      <c r="M862" s="25"/>
    </row>
    <row r="863" ht="15.75" customHeight="1">
      <c r="A863" s="28"/>
      <c r="B863" s="28"/>
      <c r="C863" s="28"/>
      <c r="D863" s="28"/>
      <c r="M863" s="25"/>
    </row>
    <row r="864" ht="15.75" customHeight="1">
      <c r="A864" s="28"/>
      <c r="B864" s="28"/>
      <c r="C864" s="28"/>
      <c r="D864" s="28"/>
      <c r="M864" s="25"/>
    </row>
    <row r="865" ht="15.75" customHeight="1">
      <c r="A865" s="28"/>
      <c r="B865" s="28"/>
      <c r="C865" s="28"/>
      <c r="D865" s="28"/>
      <c r="M865" s="25"/>
    </row>
    <row r="866" ht="15.75" customHeight="1">
      <c r="A866" s="28"/>
      <c r="B866" s="28"/>
      <c r="C866" s="28"/>
      <c r="D866" s="28"/>
      <c r="M866" s="25"/>
    </row>
    <row r="867" ht="15.75" customHeight="1">
      <c r="A867" s="28"/>
      <c r="B867" s="28"/>
      <c r="C867" s="28"/>
      <c r="D867" s="28"/>
      <c r="M867" s="25"/>
    </row>
    <row r="868" ht="15.75" customHeight="1">
      <c r="A868" s="28"/>
      <c r="B868" s="28"/>
      <c r="C868" s="28"/>
      <c r="D868" s="28"/>
      <c r="M868" s="25"/>
    </row>
    <row r="869" ht="15.75" customHeight="1">
      <c r="A869" s="28"/>
      <c r="B869" s="28"/>
      <c r="C869" s="28"/>
      <c r="D869" s="28"/>
      <c r="M869" s="25"/>
    </row>
    <row r="870" ht="15.75" customHeight="1">
      <c r="A870" s="28"/>
      <c r="B870" s="28"/>
      <c r="C870" s="28"/>
      <c r="D870" s="28"/>
      <c r="M870" s="25"/>
    </row>
    <row r="871" ht="15.75" customHeight="1">
      <c r="A871" s="28"/>
      <c r="B871" s="28"/>
      <c r="C871" s="28"/>
      <c r="D871" s="28"/>
      <c r="M871" s="25"/>
    </row>
    <row r="872" ht="15.75" customHeight="1">
      <c r="A872" s="28"/>
      <c r="B872" s="28"/>
      <c r="C872" s="28"/>
      <c r="D872" s="28"/>
      <c r="M872" s="25"/>
    </row>
    <row r="873" ht="15.75" customHeight="1">
      <c r="A873" s="28"/>
      <c r="B873" s="28"/>
      <c r="C873" s="28"/>
      <c r="D873" s="28"/>
      <c r="M873" s="25"/>
    </row>
    <row r="874" ht="15.75" customHeight="1">
      <c r="A874" s="28"/>
      <c r="B874" s="28"/>
      <c r="C874" s="28"/>
      <c r="D874" s="28"/>
      <c r="M874" s="25"/>
    </row>
    <row r="875" ht="15.75" customHeight="1">
      <c r="A875" s="28"/>
      <c r="B875" s="28"/>
      <c r="C875" s="28"/>
      <c r="D875" s="28"/>
      <c r="M875" s="25"/>
    </row>
    <row r="876" ht="15.75" customHeight="1">
      <c r="A876" s="28"/>
      <c r="B876" s="28"/>
      <c r="C876" s="28"/>
      <c r="D876" s="28"/>
      <c r="M876" s="25"/>
    </row>
    <row r="877" ht="15.75" customHeight="1">
      <c r="A877" s="28"/>
      <c r="B877" s="28"/>
      <c r="C877" s="28"/>
      <c r="D877" s="28"/>
      <c r="M877" s="25"/>
    </row>
    <row r="878" ht="15.75" customHeight="1">
      <c r="A878" s="28"/>
      <c r="B878" s="28"/>
      <c r="C878" s="28"/>
      <c r="D878" s="28"/>
      <c r="M878" s="25"/>
    </row>
    <row r="879" ht="15.75" customHeight="1">
      <c r="A879" s="28"/>
      <c r="B879" s="28"/>
      <c r="C879" s="28"/>
      <c r="D879" s="28"/>
      <c r="M879" s="25"/>
    </row>
    <row r="880" ht="15.75" customHeight="1">
      <c r="A880" s="28"/>
      <c r="B880" s="28"/>
      <c r="C880" s="28"/>
      <c r="D880" s="28"/>
      <c r="M880" s="25"/>
    </row>
    <row r="881" ht="15.75" customHeight="1">
      <c r="A881" s="28"/>
      <c r="B881" s="28"/>
      <c r="C881" s="28"/>
      <c r="D881" s="28"/>
      <c r="M881" s="25"/>
    </row>
    <row r="882" ht="15.75" customHeight="1">
      <c r="A882" s="28"/>
      <c r="B882" s="28"/>
      <c r="C882" s="28"/>
      <c r="D882" s="28"/>
      <c r="M882" s="25"/>
    </row>
    <row r="883" ht="15.75" customHeight="1">
      <c r="A883" s="28"/>
      <c r="B883" s="28"/>
      <c r="C883" s="28"/>
      <c r="D883" s="28"/>
      <c r="M883" s="25"/>
    </row>
    <row r="884" ht="15.75" customHeight="1">
      <c r="A884" s="28"/>
      <c r="B884" s="28"/>
      <c r="C884" s="28"/>
      <c r="D884" s="28"/>
      <c r="M884" s="25"/>
    </row>
    <row r="885" ht="15.75" customHeight="1">
      <c r="A885" s="28"/>
      <c r="B885" s="28"/>
      <c r="C885" s="28"/>
      <c r="D885" s="28"/>
      <c r="M885" s="25"/>
    </row>
    <row r="886" ht="15.75" customHeight="1">
      <c r="A886" s="28"/>
      <c r="B886" s="28"/>
      <c r="C886" s="28"/>
      <c r="D886" s="28"/>
      <c r="M886" s="25"/>
    </row>
    <row r="887" ht="15.75" customHeight="1">
      <c r="A887" s="28"/>
      <c r="B887" s="28"/>
      <c r="C887" s="28"/>
      <c r="D887" s="28"/>
      <c r="M887" s="25"/>
    </row>
    <row r="888" ht="15.75" customHeight="1">
      <c r="A888" s="28"/>
      <c r="B888" s="28"/>
      <c r="C888" s="28"/>
      <c r="D888" s="28"/>
      <c r="M888" s="25"/>
    </row>
    <row r="889" ht="15.75" customHeight="1">
      <c r="A889" s="28"/>
      <c r="B889" s="28"/>
      <c r="C889" s="28"/>
      <c r="D889" s="28"/>
      <c r="M889" s="25"/>
    </row>
    <row r="890" ht="15.75" customHeight="1">
      <c r="A890" s="28"/>
      <c r="B890" s="28"/>
      <c r="C890" s="28"/>
      <c r="D890" s="28"/>
      <c r="M890" s="25"/>
    </row>
    <row r="891" ht="15.75" customHeight="1">
      <c r="A891" s="28"/>
      <c r="B891" s="28"/>
      <c r="C891" s="28"/>
      <c r="D891" s="28"/>
      <c r="M891" s="25"/>
    </row>
    <row r="892" ht="15.75" customHeight="1">
      <c r="A892" s="28"/>
      <c r="B892" s="28"/>
      <c r="C892" s="28"/>
      <c r="D892" s="28"/>
      <c r="M892" s="25"/>
    </row>
    <row r="893" ht="15.75" customHeight="1">
      <c r="A893" s="28"/>
      <c r="B893" s="28"/>
      <c r="C893" s="28"/>
      <c r="D893" s="28"/>
      <c r="M893" s="25"/>
    </row>
    <row r="894" ht="15.75" customHeight="1">
      <c r="A894" s="28"/>
      <c r="B894" s="28"/>
      <c r="C894" s="28"/>
      <c r="D894" s="28"/>
      <c r="M894" s="25"/>
    </row>
    <row r="895" ht="15.75" customHeight="1">
      <c r="A895" s="28"/>
      <c r="B895" s="28"/>
      <c r="C895" s="28"/>
      <c r="D895" s="28"/>
      <c r="M895" s="25"/>
    </row>
    <row r="896" ht="15.75" customHeight="1">
      <c r="A896" s="28"/>
      <c r="B896" s="28"/>
      <c r="C896" s="28"/>
      <c r="D896" s="28"/>
      <c r="M896" s="25"/>
    </row>
    <row r="897" ht="15.75" customHeight="1">
      <c r="A897" s="28"/>
      <c r="B897" s="28"/>
      <c r="C897" s="28"/>
      <c r="D897" s="28"/>
      <c r="M897" s="25"/>
    </row>
    <row r="898" ht="15.75" customHeight="1">
      <c r="A898" s="28"/>
      <c r="B898" s="28"/>
      <c r="C898" s="28"/>
      <c r="D898" s="28"/>
      <c r="M898" s="25"/>
    </row>
    <row r="899" ht="15.75" customHeight="1">
      <c r="A899" s="28"/>
      <c r="B899" s="28"/>
      <c r="C899" s="28"/>
      <c r="D899" s="28"/>
      <c r="M899" s="25"/>
    </row>
    <row r="900" ht="15.75" customHeight="1">
      <c r="A900" s="28"/>
      <c r="B900" s="28"/>
      <c r="C900" s="28"/>
      <c r="D900" s="28"/>
      <c r="M900" s="25"/>
    </row>
    <row r="901" ht="15.75" customHeight="1">
      <c r="A901" s="28"/>
      <c r="B901" s="28"/>
      <c r="C901" s="28"/>
      <c r="D901" s="28"/>
      <c r="M901" s="25"/>
    </row>
    <row r="902" ht="15.75" customHeight="1">
      <c r="A902" s="28"/>
      <c r="B902" s="28"/>
      <c r="C902" s="28"/>
      <c r="D902" s="28"/>
      <c r="M902" s="25"/>
    </row>
    <row r="903" ht="15.75" customHeight="1">
      <c r="A903" s="28"/>
      <c r="B903" s="28"/>
      <c r="C903" s="28"/>
      <c r="D903" s="28"/>
      <c r="M903" s="25"/>
    </row>
    <row r="904" ht="15.75" customHeight="1">
      <c r="A904" s="28"/>
      <c r="B904" s="28"/>
      <c r="C904" s="28"/>
      <c r="D904" s="28"/>
      <c r="M904" s="25"/>
    </row>
    <row r="905" ht="15.75" customHeight="1">
      <c r="A905" s="28"/>
      <c r="B905" s="28"/>
      <c r="C905" s="28"/>
      <c r="D905" s="28"/>
      <c r="M905" s="25"/>
    </row>
    <row r="906" ht="15.75" customHeight="1">
      <c r="A906" s="28"/>
      <c r="B906" s="28"/>
      <c r="C906" s="28"/>
      <c r="D906" s="28"/>
      <c r="M906" s="25"/>
    </row>
    <row r="907" ht="15.75" customHeight="1">
      <c r="A907" s="28"/>
      <c r="B907" s="28"/>
      <c r="C907" s="28"/>
      <c r="D907" s="28"/>
      <c r="M907" s="25"/>
    </row>
    <row r="908" ht="15.75" customHeight="1">
      <c r="A908" s="28"/>
      <c r="B908" s="28"/>
      <c r="C908" s="28"/>
      <c r="D908" s="28"/>
      <c r="M908" s="25"/>
    </row>
    <row r="909" ht="15.75" customHeight="1">
      <c r="A909" s="28"/>
      <c r="B909" s="28"/>
      <c r="C909" s="28"/>
      <c r="D909" s="28"/>
      <c r="M909" s="25"/>
    </row>
    <row r="910" ht="15.75" customHeight="1">
      <c r="A910" s="28"/>
      <c r="B910" s="28"/>
      <c r="C910" s="28"/>
      <c r="D910" s="28"/>
      <c r="M910" s="25"/>
    </row>
    <row r="911" ht="15.75" customHeight="1">
      <c r="A911" s="28"/>
      <c r="B911" s="28"/>
      <c r="C911" s="28"/>
      <c r="D911" s="28"/>
      <c r="M911" s="25"/>
    </row>
    <row r="912" ht="15.75" customHeight="1">
      <c r="A912" s="28"/>
      <c r="B912" s="28"/>
      <c r="C912" s="28"/>
      <c r="D912" s="28"/>
      <c r="M912" s="25"/>
    </row>
    <row r="913" ht="15.75" customHeight="1">
      <c r="A913" s="28"/>
      <c r="B913" s="28"/>
      <c r="C913" s="28"/>
      <c r="D913" s="28"/>
      <c r="M913" s="25"/>
    </row>
    <row r="914" ht="15.75" customHeight="1">
      <c r="A914" s="28"/>
      <c r="B914" s="28"/>
      <c r="C914" s="28"/>
      <c r="D914" s="28"/>
      <c r="M914" s="25"/>
    </row>
    <row r="915" ht="15.75" customHeight="1">
      <c r="A915" s="28"/>
      <c r="B915" s="28"/>
      <c r="C915" s="28"/>
      <c r="D915" s="28"/>
      <c r="M915" s="25"/>
    </row>
    <row r="916" ht="15.75" customHeight="1">
      <c r="A916" s="28"/>
      <c r="B916" s="28"/>
      <c r="C916" s="28"/>
      <c r="D916" s="28"/>
      <c r="M916" s="25"/>
    </row>
    <row r="917" ht="15.75" customHeight="1">
      <c r="A917" s="28"/>
      <c r="B917" s="28"/>
      <c r="C917" s="28"/>
      <c r="D917" s="28"/>
      <c r="M917" s="25"/>
    </row>
    <row r="918" ht="15.75" customHeight="1">
      <c r="A918" s="28"/>
      <c r="B918" s="28"/>
      <c r="C918" s="28"/>
      <c r="D918" s="28"/>
      <c r="M918" s="25"/>
    </row>
    <row r="919" ht="15.75" customHeight="1">
      <c r="A919" s="28"/>
      <c r="B919" s="28"/>
      <c r="C919" s="28"/>
      <c r="D919" s="28"/>
      <c r="M919" s="25"/>
    </row>
    <row r="920" ht="15.75" customHeight="1">
      <c r="A920" s="28"/>
      <c r="B920" s="28"/>
      <c r="C920" s="28"/>
      <c r="D920" s="28"/>
      <c r="M920" s="25"/>
    </row>
    <row r="921" ht="15.75" customHeight="1">
      <c r="A921" s="28"/>
      <c r="B921" s="28"/>
      <c r="C921" s="28"/>
      <c r="D921" s="28"/>
      <c r="M921" s="25"/>
    </row>
    <row r="922" ht="15.75" customHeight="1">
      <c r="A922" s="28"/>
      <c r="B922" s="28"/>
      <c r="C922" s="28"/>
      <c r="D922" s="28"/>
      <c r="M922" s="25"/>
    </row>
    <row r="923" ht="15.75" customHeight="1">
      <c r="A923" s="28"/>
      <c r="B923" s="28"/>
      <c r="C923" s="28"/>
      <c r="D923" s="28"/>
      <c r="M923" s="25"/>
    </row>
    <row r="924" ht="15.75" customHeight="1">
      <c r="A924" s="28"/>
      <c r="B924" s="28"/>
      <c r="C924" s="28"/>
      <c r="D924" s="28"/>
      <c r="M924" s="25"/>
    </row>
    <row r="925" ht="15.75" customHeight="1">
      <c r="A925" s="28"/>
      <c r="B925" s="28"/>
      <c r="C925" s="28"/>
      <c r="D925" s="28"/>
      <c r="M925" s="25"/>
    </row>
    <row r="926" ht="15.75" customHeight="1">
      <c r="A926" s="28"/>
      <c r="B926" s="28"/>
      <c r="C926" s="28"/>
      <c r="D926" s="28"/>
      <c r="M926" s="25"/>
    </row>
    <row r="927" ht="15.75" customHeight="1">
      <c r="A927" s="28"/>
      <c r="B927" s="28"/>
      <c r="C927" s="28"/>
      <c r="D927" s="28"/>
      <c r="M927" s="25"/>
    </row>
    <row r="928" ht="15.75" customHeight="1">
      <c r="A928" s="28"/>
      <c r="B928" s="28"/>
      <c r="C928" s="28"/>
      <c r="D928" s="28"/>
      <c r="M928" s="25"/>
    </row>
    <row r="929" ht="15.75" customHeight="1">
      <c r="A929" s="28"/>
      <c r="B929" s="28"/>
      <c r="C929" s="28"/>
      <c r="D929" s="28"/>
      <c r="M929" s="25"/>
    </row>
    <row r="930" ht="15.75" customHeight="1">
      <c r="A930" s="28"/>
      <c r="B930" s="28"/>
      <c r="C930" s="28"/>
      <c r="D930" s="28"/>
      <c r="M930" s="25"/>
    </row>
    <row r="931" ht="15.75" customHeight="1">
      <c r="A931" s="28"/>
      <c r="B931" s="28"/>
      <c r="C931" s="28"/>
      <c r="D931" s="28"/>
      <c r="M931" s="25"/>
    </row>
    <row r="932" ht="15.75" customHeight="1">
      <c r="A932" s="28"/>
      <c r="B932" s="28"/>
      <c r="C932" s="28"/>
      <c r="D932" s="28"/>
      <c r="M932" s="25"/>
    </row>
    <row r="933" ht="15.75" customHeight="1">
      <c r="A933" s="28"/>
      <c r="B933" s="28"/>
      <c r="C933" s="28"/>
      <c r="D933" s="28"/>
      <c r="M933" s="25"/>
    </row>
    <row r="934" ht="15.75" customHeight="1">
      <c r="A934" s="28"/>
      <c r="B934" s="28"/>
      <c r="C934" s="28"/>
      <c r="D934" s="28"/>
      <c r="M934" s="25"/>
    </row>
    <row r="935" ht="15.75" customHeight="1">
      <c r="A935" s="28"/>
      <c r="B935" s="28"/>
      <c r="C935" s="28"/>
      <c r="D935" s="28"/>
      <c r="M935" s="25"/>
    </row>
    <row r="936" ht="15.75" customHeight="1">
      <c r="A936" s="28"/>
      <c r="B936" s="28"/>
      <c r="C936" s="28"/>
      <c r="D936" s="28"/>
      <c r="M936" s="25"/>
    </row>
    <row r="937" ht="15.75" customHeight="1">
      <c r="A937" s="28"/>
      <c r="B937" s="28"/>
      <c r="C937" s="28"/>
      <c r="D937" s="28"/>
      <c r="M937" s="25"/>
    </row>
    <row r="938" ht="15.75" customHeight="1">
      <c r="A938" s="28"/>
      <c r="B938" s="28"/>
      <c r="C938" s="28"/>
      <c r="D938" s="28"/>
      <c r="M938" s="25"/>
    </row>
    <row r="939" ht="15.75" customHeight="1">
      <c r="A939" s="28"/>
      <c r="B939" s="28"/>
      <c r="C939" s="28"/>
      <c r="D939" s="28"/>
      <c r="M939" s="25"/>
    </row>
    <row r="940" ht="15.75" customHeight="1">
      <c r="A940" s="28"/>
      <c r="B940" s="28"/>
      <c r="C940" s="28"/>
      <c r="D940" s="28"/>
      <c r="M940" s="25"/>
    </row>
    <row r="941" ht="15.75" customHeight="1">
      <c r="A941" s="28"/>
      <c r="B941" s="28"/>
      <c r="C941" s="28"/>
      <c r="D941" s="28"/>
      <c r="M941" s="25"/>
    </row>
    <row r="942" ht="15.75" customHeight="1">
      <c r="A942" s="28"/>
      <c r="B942" s="28"/>
      <c r="C942" s="28"/>
      <c r="D942" s="28"/>
      <c r="M942" s="25"/>
    </row>
    <row r="943" ht="15.75" customHeight="1">
      <c r="A943" s="28"/>
      <c r="B943" s="28"/>
      <c r="C943" s="28"/>
      <c r="D943" s="28"/>
      <c r="M943" s="25"/>
    </row>
    <row r="944" ht="15.75" customHeight="1">
      <c r="A944" s="28"/>
      <c r="B944" s="28"/>
      <c r="C944" s="28"/>
      <c r="D944" s="28"/>
      <c r="M944" s="25"/>
    </row>
    <row r="945" ht="15.75" customHeight="1">
      <c r="A945" s="28"/>
      <c r="B945" s="28"/>
      <c r="C945" s="28"/>
      <c r="D945" s="28"/>
      <c r="M945" s="25"/>
    </row>
    <row r="946" ht="15.75" customHeight="1">
      <c r="A946" s="28"/>
      <c r="B946" s="28"/>
      <c r="C946" s="28"/>
      <c r="D946" s="28"/>
      <c r="M946" s="25"/>
    </row>
    <row r="947" ht="15.75" customHeight="1">
      <c r="A947" s="28"/>
      <c r="B947" s="28"/>
      <c r="C947" s="28"/>
      <c r="D947" s="28"/>
      <c r="M947" s="25"/>
    </row>
    <row r="948" ht="15.75" customHeight="1">
      <c r="A948" s="28"/>
      <c r="B948" s="28"/>
      <c r="C948" s="28"/>
      <c r="D948" s="28"/>
      <c r="M948" s="25"/>
    </row>
    <row r="949" ht="15.75" customHeight="1">
      <c r="A949" s="28"/>
      <c r="B949" s="28"/>
      <c r="C949" s="28"/>
      <c r="D949" s="28"/>
      <c r="M949" s="25"/>
    </row>
    <row r="950" ht="15.75" customHeight="1">
      <c r="A950" s="28"/>
      <c r="B950" s="28"/>
      <c r="C950" s="28"/>
      <c r="D950" s="28"/>
      <c r="M950" s="25"/>
    </row>
    <row r="951" ht="15.75" customHeight="1">
      <c r="A951" s="28"/>
      <c r="B951" s="28"/>
      <c r="C951" s="28"/>
      <c r="D951" s="28"/>
      <c r="M951" s="25"/>
    </row>
    <row r="952" ht="15.75" customHeight="1">
      <c r="A952" s="28"/>
      <c r="B952" s="28"/>
      <c r="C952" s="28"/>
      <c r="D952" s="28"/>
      <c r="M952" s="25"/>
    </row>
    <row r="953" ht="15.75" customHeight="1">
      <c r="A953" s="28"/>
      <c r="B953" s="28"/>
      <c r="C953" s="28"/>
      <c r="D953" s="28"/>
      <c r="M953" s="25"/>
    </row>
    <row r="954" ht="15.75" customHeight="1">
      <c r="A954" s="28"/>
      <c r="B954" s="28"/>
      <c r="C954" s="28"/>
      <c r="D954" s="28"/>
      <c r="M954" s="25"/>
    </row>
    <row r="955" ht="15.75" customHeight="1">
      <c r="A955" s="28"/>
      <c r="B955" s="28"/>
      <c r="C955" s="28"/>
      <c r="D955" s="28"/>
      <c r="M955" s="25"/>
    </row>
    <row r="956" ht="15.75" customHeight="1">
      <c r="A956" s="28"/>
      <c r="B956" s="28"/>
      <c r="C956" s="28"/>
      <c r="D956" s="28"/>
      <c r="M956" s="25"/>
    </row>
    <row r="957" ht="15.75" customHeight="1">
      <c r="A957" s="28"/>
      <c r="B957" s="28"/>
      <c r="C957" s="28"/>
      <c r="D957" s="28"/>
      <c r="M957" s="25"/>
    </row>
    <row r="958" ht="15.75" customHeight="1">
      <c r="A958" s="28"/>
      <c r="B958" s="28"/>
      <c r="C958" s="28"/>
      <c r="D958" s="28"/>
      <c r="M958" s="25"/>
    </row>
    <row r="959" ht="15.75" customHeight="1">
      <c r="A959" s="28"/>
      <c r="B959" s="28"/>
      <c r="C959" s="28"/>
      <c r="D959" s="28"/>
      <c r="M959" s="25"/>
    </row>
    <row r="960" ht="15.75" customHeight="1">
      <c r="A960" s="28"/>
      <c r="B960" s="28"/>
      <c r="C960" s="28"/>
      <c r="D960" s="28"/>
      <c r="M960" s="25"/>
    </row>
    <row r="961" ht="15.75" customHeight="1">
      <c r="A961" s="28"/>
      <c r="B961" s="28"/>
      <c r="C961" s="28"/>
      <c r="D961" s="28"/>
      <c r="M961" s="25"/>
    </row>
    <row r="962" ht="15.75" customHeight="1">
      <c r="A962" s="28"/>
      <c r="B962" s="28"/>
      <c r="C962" s="28"/>
      <c r="D962" s="28"/>
      <c r="M962" s="25"/>
    </row>
    <row r="963" ht="15.75" customHeight="1">
      <c r="A963" s="28"/>
      <c r="B963" s="28"/>
      <c r="C963" s="28"/>
      <c r="D963" s="28"/>
      <c r="M963" s="25"/>
    </row>
    <row r="964" ht="15.75" customHeight="1">
      <c r="A964" s="28"/>
      <c r="B964" s="28"/>
      <c r="C964" s="28"/>
      <c r="D964" s="28"/>
      <c r="M964" s="25"/>
    </row>
    <row r="965" ht="15.75" customHeight="1">
      <c r="A965" s="28"/>
      <c r="B965" s="28"/>
      <c r="C965" s="28"/>
      <c r="D965" s="28"/>
      <c r="M965" s="25"/>
    </row>
    <row r="966" ht="15.75" customHeight="1">
      <c r="A966" s="28"/>
      <c r="B966" s="28"/>
      <c r="C966" s="28"/>
      <c r="D966" s="28"/>
      <c r="M966" s="25"/>
    </row>
    <row r="967" ht="15.75" customHeight="1">
      <c r="A967" s="28"/>
      <c r="B967" s="28"/>
      <c r="C967" s="28"/>
      <c r="D967" s="28"/>
      <c r="M967" s="25"/>
    </row>
    <row r="968" ht="15.75" customHeight="1">
      <c r="A968" s="28"/>
      <c r="B968" s="28"/>
      <c r="C968" s="28"/>
      <c r="D968" s="28"/>
      <c r="M968" s="25"/>
    </row>
    <row r="969" ht="15.75" customHeight="1">
      <c r="A969" s="28"/>
      <c r="B969" s="28"/>
      <c r="C969" s="28"/>
      <c r="D969" s="28"/>
      <c r="M969" s="25"/>
    </row>
    <row r="970" ht="15.75" customHeight="1">
      <c r="A970" s="28"/>
      <c r="B970" s="28"/>
      <c r="C970" s="28"/>
      <c r="D970" s="28"/>
      <c r="M970" s="25"/>
    </row>
    <row r="971" ht="15.75" customHeight="1">
      <c r="A971" s="28"/>
      <c r="B971" s="28"/>
      <c r="C971" s="28"/>
      <c r="D971" s="28"/>
      <c r="M971" s="25"/>
    </row>
    <row r="972" ht="15.75" customHeight="1">
      <c r="A972" s="28"/>
      <c r="B972" s="28"/>
      <c r="C972" s="28"/>
      <c r="D972" s="28"/>
      <c r="M972" s="25"/>
    </row>
    <row r="973" ht="15.75" customHeight="1">
      <c r="A973" s="28"/>
      <c r="B973" s="28"/>
      <c r="C973" s="28"/>
      <c r="D973" s="28"/>
      <c r="M973" s="25"/>
    </row>
    <row r="974" ht="15.75" customHeight="1">
      <c r="A974" s="28"/>
      <c r="B974" s="28"/>
      <c r="C974" s="28"/>
      <c r="D974" s="28"/>
      <c r="M974" s="25"/>
    </row>
    <row r="975" ht="15.75" customHeight="1">
      <c r="A975" s="28"/>
      <c r="B975" s="28"/>
      <c r="C975" s="28"/>
      <c r="D975" s="28"/>
      <c r="M975" s="25"/>
    </row>
    <row r="976" ht="15.75" customHeight="1">
      <c r="A976" s="28"/>
      <c r="B976" s="28"/>
      <c r="C976" s="28"/>
      <c r="D976" s="28"/>
      <c r="M976" s="25"/>
    </row>
    <row r="977" ht="15.75" customHeight="1">
      <c r="A977" s="28"/>
      <c r="B977" s="28"/>
      <c r="C977" s="28"/>
      <c r="D977" s="28"/>
      <c r="M977" s="25"/>
    </row>
    <row r="978" ht="15.75" customHeight="1">
      <c r="A978" s="28"/>
      <c r="B978" s="28"/>
      <c r="C978" s="28"/>
      <c r="D978" s="28"/>
      <c r="M978" s="25"/>
    </row>
    <row r="979" ht="15.75" customHeight="1">
      <c r="A979" s="28"/>
      <c r="B979" s="28"/>
      <c r="C979" s="28"/>
      <c r="D979" s="28"/>
      <c r="M979" s="25"/>
    </row>
    <row r="980" ht="15.75" customHeight="1">
      <c r="A980" s="28"/>
      <c r="B980" s="28"/>
      <c r="C980" s="28"/>
      <c r="D980" s="28"/>
      <c r="M980" s="25"/>
    </row>
    <row r="981" ht="15.75" customHeight="1">
      <c r="A981" s="28"/>
      <c r="B981" s="28"/>
      <c r="C981" s="28"/>
      <c r="D981" s="28"/>
      <c r="M981" s="25"/>
    </row>
    <row r="982" ht="15.75" customHeight="1">
      <c r="A982" s="28"/>
      <c r="B982" s="28"/>
      <c r="C982" s="28"/>
      <c r="D982" s="28"/>
      <c r="M982" s="25"/>
    </row>
    <row r="983" ht="15.75" customHeight="1">
      <c r="A983" s="28"/>
      <c r="B983" s="28"/>
      <c r="C983" s="28"/>
      <c r="D983" s="28"/>
      <c r="M983" s="25"/>
    </row>
    <row r="984" ht="15.75" customHeight="1">
      <c r="A984" s="28"/>
      <c r="B984" s="28"/>
      <c r="C984" s="28"/>
      <c r="D984" s="28"/>
      <c r="M984" s="25"/>
    </row>
    <row r="985" ht="15.75" customHeight="1">
      <c r="A985" s="28"/>
      <c r="B985" s="28"/>
      <c r="C985" s="28"/>
      <c r="D985" s="28"/>
      <c r="M985" s="25"/>
    </row>
    <row r="986" ht="15.75" customHeight="1">
      <c r="A986" s="28"/>
      <c r="B986" s="28"/>
      <c r="C986" s="28"/>
      <c r="D986" s="28"/>
      <c r="M986" s="25"/>
    </row>
    <row r="987" ht="15.75" customHeight="1">
      <c r="A987" s="28"/>
      <c r="B987" s="28"/>
      <c r="C987" s="28"/>
      <c r="D987" s="28"/>
      <c r="M987" s="25"/>
    </row>
    <row r="988" ht="15.75" customHeight="1">
      <c r="A988" s="28"/>
      <c r="B988" s="28"/>
      <c r="C988" s="28"/>
      <c r="D988" s="28"/>
      <c r="M988" s="25"/>
    </row>
    <row r="989" ht="15.75" customHeight="1">
      <c r="A989" s="28"/>
      <c r="B989" s="28"/>
      <c r="C989" s="28"/>
      <c r="D989" s="28"/>
      <c r="M989" s="25"/>
    </row>
    <row r="990" ht="15.75" customHeight="1">
      <c r="A990" s="28"/>
      <c r="B990" s="28"/>
      <c r="C990" s="28"/>
      <c r="D990" s="28"/>
      <c r="M990" s="25"/>
    </row>
    <row r="991" ht="15.75" customHeight="1">
      <c r="A991" s="28"/>
      <c r="B991" s="28"/>
      <c r="C991" s="28"/>
      <c r="D991" s="28"/>
      <c r="M991" s="25"/>
    </row>
    <row r="992" ht="15.75" customHeight="1">
      <c r="A992" s="28"/>
      <c r="B992" s="28"/>
      <c r="C992" s="28"/>
      <c r="D992" s="28"/>
      <c r="M992" s="25"/>
    </row>
    <row r="993" ht="15.75" customHeight="1">
      <c r="A993" s="28"/>
      <c r="B993" s="28"/>
      <c r="C993" s="28"/>
      <c r="D993" s="28"/>
      <c r="M993" s="25"/>
    </row>
    <row r="994" ht="15.75" customHeight="1">
      <c r="A994" s="28"/>
      <c r="B994" s="28"/>
      <c r="C994" s="28"/>
      <c r="D994" s="28"/>
      <c r="M994" s="25"/>
    </row>
    <row r="995" ht="15.75" customHeight="1">
      <c r="A995" s="28"/>
      <c r="B995" s="28"/>
      <c r="C995" s="28"/>
      <c r="D995" s="28"/>
      <c r="M995" s="25"/>
    </row>
    <row r="996" ht="15.75" customHeight="1">
      <c r="A996" s="28"/>
      <c r="B996" s="28"/>
      <c r="C996" s="28"/>
      <c r="D996" s="28"/>
      <c r="M996" s="25"/>
    </row>
    <row r="997" ht="15.75" customHeight="1">
      <c r="A997" s="28"/>
      <c r="B997" s="28"/>
      <c r="C997" s="28"/>
      <c r="D997" s="28"/>
      <c r="M997" s="25"/>
    </row>
    <row r="998" ht="15.75" customHeight="1">
      <c r="A998" s="28"/>
      <c r="B998" s="28"/>
      <c r="C998" s="28"/>
      <c r="D998" s="28"/>
      <c r="M998" s="25"/>
    </row>
    <row r="999" ht="15.75" customHeight="1">
      <c r="A999" s="28"/>
      <c r="B999" s="28"/>
      <c r="C999" s="28"/>
      <c r="D999" s="28"/>
      <c r="M999" s="25"/>
    </row>
    <row r="1000" ht="15.75" customHeight="1">
      <c r="A1000" s="28"/>
      <c r="B1000" s="28"/>
      <c r="C1000" s="28"/>
      <c r="D1000" s="28"/>
      <c r="M1000" s="25"/>
    </row>
  </sheetData>
  <mergeCells count="1">
    <mergeCell ref="E23:J23"/>
  </mergeCells>
  <conditionalFormatting sqref="C31">
    <cfRule type="cellIs" dxfId="0" priority="1" stopIfTrue="1" operator="equal">
      <formula>0</formula>
    </cfRule>
  </conditionalFormatting>
  <conditionalFormatting sqref="C24:D27">
    <cfRule type="cellIs" dxfId="1" priority="2" stopIfTrue="1" operator="equal">
      <formula>0</formula>
    </cfRule>
  </conditionalFormatting>
  <hyperlinks>
    <hyperlink display="HypLink2" location="HypLink2" ref="B9"/>
    <hyperlink display="HypLink3" location="HypLink3" ref="B10"/>
    <hyperlink display="HypLink4" location="HypLink4" ref="B11"/>
    <hyperlink display="HypLink5" location="HypLink5" ref="B12"/>
    <hyperlink display="HypLink6" location="HypLink6" ref="B13"/>
    <hyperlink display="HypLink7" location="HypLink7" ref="B14"/>
    <hyperlink display="HypLink8" location="HypLink8" ref="B15"/>
    <hyperlink display="HypLink10" location="HypLink10" ref="B16"/>
    <hyperlink display="HypLink11" location="HypLink11" ref="B17"/>
    <hyperlink display="HypLink12" location="HypLink12" ref="B18"/>
    <hyperlink display="HypLink13" location="HypLink13" ref="B19"/>
    <hyperlink display="HypLink14" location="HypLink14" ref="B20"/>
    <hyperlink display="HypLink15" location="HypLink15" ref="B21"/>
    <hyperlink display="HypLink16" location="HypLink16" ref="B22"/>
    <hyperlink display="HypLink17" location="HypLink17" ref="B23"/>
    <hyperlink display="HypLink18" location="HypLink18" ref="B24"/>
    <hyperlink display="HypLink19" location="HypLink19" ref="B25"/>
    <hyperlink display="HypLink25" location="HypLink25" ref="B26"/>
    <hyperlink display="HypLink26" location="HypLink26" ref="B27"/>
  </hyperlinks>
  <printOptions/>
  <pageMargins bottom="0.44999999999999996" footer="0.0" header="0.0" left="0.25" right="0.25" top="0.5"/>
  <pageSetup scale="98" orientation="landscape"/>
  <headerFooter>
    <oddHeader>&amp;L &amp;C &amp;R </oddHeader>
    <oddFooter>&amp;L&amp;D  at &amp;T Mike 702.486.8879&amp;C&amp;F  &amp;A&amp;RPage &amp;P of </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1" width="30.0"/>
    <col customWidth="1" min="2" max="2" width="30.71"/>
    <col customWidth="1" min="3" max="4" width="9.0"/>
    <col customWidth="1" min="5" max="5" width="7.43"/>
    <col customWidth="1" min="6" max="6" width="7.0"/>
    <col customWidth="1" min="7" max="7" width="12.0"/>
    <col customWidth="1" min="8" max="8" width="8.29"/>
    <col customWidth="1" min="9" max="9" width="12.43"/>
    <col customWidth="1" min="10" max="10" width="8.43"/>
    <col customWidth="1" min="11" max="11" width="12.71"/>
    <col customWidth="1" min="12" max="12" width="11.43"/>
    <col customWidth="1" min="13" max="13" width="10.43"/>
    <col customWidth="1" min="14" max="14" width="2.71"/>
    <col customWidth="1" min="15" max="26" width="9.29"/>
  </cols>
  <sheetData>
    <row r="1" ht="12.75" customHeight="1">
      <c r="A1" s="1593" t="s">
        <v>1335</v>
      </c>
      <c r="B1" s="1593"/>
      <c r="C1" s="1594"/>
      <c r="D1" s="219" t="s">
        <v>3</v>
      </c>
      <c r="E1" s="1594"/>
      <c r="F1" s="1594"/>
      <c r="G1" s="1594"/>
      <c r="H1" s="1172" t="s">
        <v>637</v>
      </c>
      <c r="I1" s="1172" t="s">
        <v>638</v>
      </c>
      <c r="J1" s="1172" t="s">
        <v>639</v>
      </c>
      <c r="K1" s="1172" t="s">
        <v>640</v>
      </c>
      <c r="L1" s="1172" t="s">
        <v>641</v>
      </c>
      <c r="M1" s="1173" t="s">
        <v>642</v>
      </c>
      <c r="N1" s="1594"/>
      <c r="O1" s="1594"/>
      <c r="P1" s="1594"/>
      <c r="Q1" s="1594"/>
      <c r="R1" s="1594"/>
      <c r="S1" s="1594"/>
      <c r="T1" s="1594"/>
      <c r="U1" s="1594"/>
      <c r="V1" s="1594"/>
      <c r="W1" s="1594"/>
      <c r="X1" s="1594"/>
      <c r="Y1" s="1594"/>
      <c r="Z1" s="1594"/>
    </row>
    <row r="2" ht="12.75" customHeight="1">
      <c r="A2" s="1595" t="str">
        <f>SchoolName</f>
        <v>Explore Knowledge Academy</v>
      </c>
      <c r="B2" s="1595"/>
      <c r="C2" s="1594"/>
      <c r="D2" s="1594"/>
      <c r="E2" s="1594"/>
      <c r="F2" s="1594"/>
      <c r="G2" s="1594"/>
      <c r="H2" s="1596">
        <f>+' Enrol &amp; Rev'!G10</f>
        <v>2025</v>
      </c>
      <c r="I2" s="1597">
        <f t="shared" ref="I2:M2" si="1">+H3</f>
        <v>2026</v>
      </c>
      <c r="J2" s="1597">
        <f t="shared" si="1"/>
        <v>2027</v>
      </c>
      <c r="K2" s="1597">
        <f t="shared" si="1"/>
        <v>2028</v>
      </c>
      <c r="L2" s="1597">
        <f t="shared" si="1"/>
        <v>2029</v>
      </c>
      <c r="M2" s="1598">
        <f t="shared" si="1"/>
        <v>2030</v>
      </c>
      <c r="N2" s="1594"/>
      <c r="O2" s="1594"/>
      <c r="P2" s="1594"/>
      <c r="Q2" s="1594"/>
      <c r="R2" s="1594"/>
      <c r="S2" s="1594"/>
      <c r="T2" s="1594"/>
      <c r="U2" s="1594"/>
      <c r="V2" s="1594"/>
      <c r="W2" s="1594"/>
      <c r="X2" s="1594"/>
      <c r="Y2" s="1594"/>
      <c r="Z2" s="1594"/>
    </row>
    <row r="3" ht="12.75" customHeight="1">
      <c r="A3" s="1599" t="s">
        <v>134</v>
      </c>
      <c r="B3" s="1594"/>
      <c r="C3" s="1594"/>
      <c r="D3" s="1594"/>
      <c r="E3" s="1594"/>
      <c r="F3" s="1594"/>
      <c r="G3" s="1594"/>
      <c r="H3" s="1272">
        <f t="shared" ref="H3:M3" si="2">+H2+1</f>
        <v>2026</v>
      </c>
      <c r="I3" s="1273">
        <f t="shared" si="2"/>
        <v>2027</v>
      </c>
      <c r="J3" s="1273">
        <f t="shared" si="2"/>
        <v>2028</v>
      </c>
      <c r="K3" s="1273">
        <f t="shared" si="2"/>
        <v>2029</v>
      </c>
      <c r="L3" s="1273">
        <f t="shared" si="2"/>
        <v>2030</v>
      </c>
      <c r="M3" s="1274">
        <f t="shared" si="2"/>
        <v>2031</v>
      </c>
      <c r="N3" s="1594"/>
      <c r="O3" s="1594"/>
      <c r="P3" s="1594"/>
      <c r="Q3" s="1594"/>
      <c r="R3" s="1594"/>
      <c r="S3" s="1594"/>
      <c r="T3" s="1594"/>
      <c r="U3" s="1594"/>
      <c r="V3" s="1594"/>
      <c r="W3" s="1594"/>
      <c r="X3" s="1594"/>
      <c r="Y3" s="1594"/>
      <c r="Z3" s="1594"/>
    </row>
    <row r="4" ht="12.75" customHeight="1">
      <c r="A4" s="1600" t="s">
        <v>135</v>
      </c>
      <c r="B4" s="1594"/>
      <c r="C4" s="1594"/>
      <c r="D4" s="1594"/>
      <c r="E4" s="1594"/>
      <c r="F4" s="1594" t="s">
        <v>1336</v>
      </c>
      <c r="G4" s="1594"/>
      <c r="H4" s="468">
        <f>+' Enrol &amp; Rev'!G36</f>
        <v>632</v>
      </c>
      <c r="I4" s="468">
        <f>+' Enrol &amp; Rev'!H36</f>
        <v>645</v>
      </c>
      <c r="J4" s="468">
        <f>+' Enrol &amp; Rev'!I36</f>
        <v>667</v>
      </c>
      <c r="K4" s="468">
        <f>+' Enrol &amp; Rev'!J36</f>
        <v>673</v>
      </c>
      <c r="L4" s="468">
        <f>+' Enrol &amp; Rev'!K36</f>
        <v>676</v>
      </c>
      <c r="M4" s="468">
        <f>+' Enrol &amp; Rev'!L36</f>
        <v>685</v>
      </c>
      <c r="N4" s="1594"/>
      <c r="O4" s="1594"/>
      <c r="P4" s="1594"/>
      <c r="Q4" s="1594"/>
      <c r="R4" s="1594"/>
      <c r="S4" s="1594"/>
      <c r="T4" s="1594"/>
      <c r="U4" s="1594"/>
      <c r="V4" s="1594"/>
      <c r="W4" s="1594"/>
      <c r="X4" s="1594"/>
      <c r="Y4" s="1594"/>
      <c r="Z4" s="1594"/>
    </row>
    <row r="5" ht="12.75" customHeight="1">
      <c r="A5" s="1601" t="str">
        <f>CELL("filename")</f>
        <v>#N/A</v>
      </c>
      <c r="B5" s="1594"/>
      <c r="C5" s="1594"/>
      <c r="D5" s="1594"/>
      <c r="E5" s="1594"/>
      <c r="F5" s="1594" t="s">
        <v>1337</v>
      </c>
      <c r="G5" s="1594"/>
      <c r="H5" s="468">
        <f>+' Enrol &amp; Rev'!G19</f>
        <v>24.30769231</v>
      </c>
      <c r="I5" s="468">
        <f>+' Enrol &amp; Rev'!H19</f>
        <v>24.80769231</v>
      </c>
      <c r="J5" s="468">
        <f>+' Enrol &amp; Rev'!I19</f>
        <v>25.65384615</v>
      </c>
      <c r="K5" s="468">
        <f>+' Enrol &amp; Rev'!J19</f>
        <v>25.88461538</v>
      </c>
      <c r="L5" s="468">
        <f>+' Enrol &amp; Rev'!K19</f>
        <v>26</v>
      </c>
      <c r="M5" s="468">
        <f>+' Enrol &amp; Rev'!L19</f>
        <v>26.34615385</v>
      </c>
      <c r="N5" s="1594"/>
      <c r="O5" s="1594"/>
      <c r="P5" s="1594"/>
      <c r="Q5" s="1594"/>
      <c r="R5" s="1594"/>
      <c r="S5" s="1594"/>
      <c r="T5" s="1594"/>
      <c r="U5" s="1594"/>
      <c r="V5" s="1594"/>
      <c r="W5" s="1594"/>
      <c r="X5" s="1594"/>
      <c r="Y5" s="1594"/>
      <c r="Z5" s="1594"/>
    </row>
    <row r="6" ht="12.75" customHeight="1">
      <c r="A6" s="1594"/>
      <c r="B6" s="1594"/>
      <c r="C6" s="1594"/>
      <c r="D6" s="1594"/>
      <c r="E6" s="1594"/>
      <c r="F6" s="1594" t="s">
        <v>1338</v>
      </c>
      <c r="G6" s="1594"/>
      <c r="H6" s="468">
        <f t="shared" ref="H6:M6" si="3">IFERROR(H4/H5,0)</f>
        <v>26</v>
      </c>
      <c r="I6" s="468">
        <f t="shared" si="3"/>
        <v>26</v>
      </c>
      <c r="J6" s="468">
        <f t="shared" si="3"/>
        <v>26</v>
      </c>
      <c r="K6" s="468">
        <f t="shared" si="3"/>
        <v>26</v>
      </c>
      <c r="L6" s="468">
        <f t="shared" si="3"/>
        <v>26</v>
      </c>
      <c r="M6" s="468">
        <f t="shared" si="3"/>
        <v>26</v>
      </c>
      <c r="N6" s="1594"/>
      <c r="O6" s="1594"/>
      <c r="P6" s="1594"/>
      <c r="Q6" s="1594"/>
      <c r="R6" s="1594"/>
      <c r="S6" s="1594"/>
      <c r="T6" s="1594"/>
      <c r="U6" s="1594"/>
      <c r="V6" s="1594"/>
      <c r="W6" s="1594"/>
      <c r="X6" s="1594"/>
      <c r="Y6" s="1594"/>
      <c r="Z6" s="1594"/>
    </row>
    <row r="7" ht="17.25" customHeight="1">
      <c r="A7" s="1602" t="s">
        <v>1339</v>
      </c>
      <c r="B7" s="1603"/>
      <c r="C7" s="1603"/>
      <c r="D7" s="1603"/>
      <c r="E7" s="1603"/>
      <c r="F7" s="1603"/>
      <c r="G7" s="1603"/>
      <c r="H7" s="1603"/>
      <c r="I7" s="1603"/>
      <c r="J7" s="1603"/>
      <c r="K7" s="1603"/>
      <c r="L7" s="1603"/>
      <c r="M7" s="1603"/>
      <c r="N7" s="1604"/>
      <c r="O7" s="1594"/>
      <c r="P7" s="1594"/>
      <c r="Q7" s="1594"/>
      <c r="R7" s="1594"/>
      <c r="S7" s="1594"/>
      <c r="T7" s="1594"/>
      <c r="U7" s="1594"/>
      <c r="V7" s="1594"/>
      <c r="W7" s="1594"/>
      <c r="X7" s="1594"/>
      <c r="Y7" s="1594"/>
      <c r="Z7" s="1594"/>
    </row>
    <row r="8" ht="19.5" customHeight="1">
      <c r="A8" s="1605" t="s">
        <v>1340</v>
      </c>
      <c r="B8" s="1606" t="s">
        <v>1341</v>
      </c>
      <c r="C8" s="1607" t="s">
        <v>1342</v>
      </c>
      <c r="D8" s="1607" t="s">
        <v>1343</v>
      </c>
      <c r="E8" s="1608" t="s">
        <v>1344</v>
      </c>
      <c r="F8" s="1609" t="s">
        <v>1345</v>
      </c>
      <c r="G8" s="1610"/>
      <c r="H8" s="1609" t="s">
        <v>1346</v>
      </c>
      <c r="I8" s="1610"/>
      <c r="J8" s="1609" t="s">
        <v>1347</v>
      </c>
      <c r="K8" s="1610"/>
      <c r="L8" s="1609" t="s">
        <v>1348</v>
      </c>
      <c r="M8" s="1610"/>
      <c r="N8" s="1594"/>
      <c r="O8" s="1594"/>
      <c r="P8" s="1594"/>
      <c r="Q8" s="1594"/>
      <c r="R8" s="1594"/>
      <c r="S8" s="1594"/>
      <c r="T8" s="1594"/>
      <c r="U8" s="1594"/>
      <c r="V8" s="1594"/>
      <c r="W8" s="1594"/>
      <c r="X8" s="1594"/>
      <c r="Y8" s="1594"/>
      <c r="Z8" s="1594"/>
    </row>
    <row r="9" ht="12.75" customHeight="1">
      <c r="A9" s="1611" t="s">
        <v>565</v>
      </c>
      <c r="B9" s="1612" t="s">
        <v>1349</v>
      </c>
      <c r="C9" s="1613"/>
      <c r="D9" s="1613"/>
      <c r="E9" s="1614"/>
      <c r="F9" s="1615">
        <v>500.0</v>
      </c>
      <c r="G9" s="1616"/>
      <c r="H9" s="1615">
        <v>400.0</v>
      </c>
      <c r="I9" s="1617"/>
      <c r="J9" s="1618">
        <f>+H4</f>
        <v>632</v>
      </c>
      <c r="K9" s="1617"/>
      <c r="L9" s="1618">
        <f>+K4</f>
        <v>673</v>
      </c>
      <c r="M9" s="1617"/>
      <c r="N9" s="1594"/>
      <c r="O9" s="1594"/>
      <c r="P9" s="1594"/>
      <c r="Q9" s="1594"/>
      <c r="R9" s="1594"/>
      <c r="S9" s="1594"/>
      <c r="T9" s="1594"/>
      <c r="U9" s="1594"/>
      <c r="V9" s="1594"/>
      <c r="W9" s="1594"/>
      <c r="X9" s="1594"/>
      <c r="Y9" s="1594"/>
      <c r="Z9" s="1594"/>
    </row>
    <row r="10" ht="12.75" customHeight="1">
      <c r="A10" s="1619" t="s">
        <v>1350</v>
      </c>
      <c r="B10" s="1620" t="s">
        <v>1351</v>
      </c>
      <c r="C10" s="1621"/>
      <c r="D10" s="1621"/>
      <c r="E10" s="1622"/>
      <c r="F10" s="1623"/>
      <c r="G10" s="1624"/>
      <c r="H10" s="1625"/>
      <c r="I10" s="1626"/>
      <c r="J10" s="1625"/>
      <c r="K10" s="1626"/>
      <c r="L10" s="1625"/>
      <c r="M10" s="1617"/>
      <c r="N10" s="1594"/>
      <c r="O10" s="1594"/>
      <c r="P10" s="1594"/>
      <c r="Q10" s="1594"/>
      <c r="R10" s="1594"/>
      <c r="S10" s="1594"/>
      <c r="T10" s="1594"/>
      <c r="U10" s="1594"/>
      <c r="V10" s="1594"/>
      <c r="W10" s="1594"/>
      <c r="X10" s="1594"/>
      <c r="Y10" s="1594"/>
      <c r="Z10" s="1594"/>
    </row>
    <row r="11" ht="12.75" customHeight="1">
      <c r="A11" s="1619" t="s">
        <v>1352</v>
      </c>
      <c r="B11" s="1620" t="s">
        <v>1353</v>
      </c>
      <c r="C11" s="1621"/>
      <c r="D11" s="1621"/>
      <c r="E11" s="1622"/>
      <c r="F11" s="1615">
        <v>25.0</v>
      </c>
      <c r="G11" s="1624"/>
      <c r="H11" s="1627">
        <v>25.0</v>
      </c>
      <c r="I11" s="1626"/>
      <c r="J11" s="1628">
        <v>25.0</v>
      </c>
      <c r="K11" s="1626"/>
      <c r="L11" s="1628">
        <f>+K6</f>
        <v>26</v>
      </c>
      <c r="M11" s="1617"/>
      <c r="N11" s="1594"/>
      <c r="O11" s="1594"/>
      <c r="P11" s="1594"/>
      <c r="Q11" s="1594"/>
      <c r="R11" s="1594"/>
      <c r="S11" s="1594"/>
      <c r="T11" s="1594"/>
      <c r="U11" s="1594"/>
      <c r="V11" s="1594"/>
      <c r="W11" s="1594"/>
      <c r="X11" s="1594"/>
      <c r="Y11" s="1594"/>
      <c r="Z11" s="1594"/>
    </row>
    <row r="12" ht="12.75" customHeight="1">
      <c r="A12" s="1619" t="s">
        <v>1354</v>
      </c>
      <c r="B12" s="1620" t="s">
        <v>1355</v>
      </c>
      <c r="C12" s="1629">
        <v>55.0</v>
      </c>
      <c r="D12" s="1629">
        <v>100.0</v>
      </c>
      <c r="E12" s="1630">
        <f>AVERAGE(C12:D12)</f>
        <v>77.5</v>
      </c>
      <c r="F12" s="1631">
        <v>600.0</v>
      </c>
      <c r="G12" s="1632">
        <f>+F12*$E$12</f>
        <v>46500</v>
      </c>
      <c r="H12" s="1633">
        <v>800.0</v>
      </c>
      <c r="I12" s="1632">
        <f>+H12*$E$12</f>
        <v>62000</v>
      </c>
      <c r="J12" s="1633">
        <v>45000.0</v>
      </c>
      <c r="K12" s="1632">
        <f>+J12*$E$12</f>
        <v>3487500</v>
      </c>
      <c r="L12" s="1633">
        <v>700.0</v>
      </c>
      <c r="M12" s="1632">
        <f>+L12*$E$12</f>
        <v>54250</v>
      </c>
      <c r="N12" s="1594"/>
      <c r="O12" s="1594"/>
      <c r="P12" s="1594"/>
      <c r="Q12" s="1594"/>
      <c r="R12" s="1594"/>
      <c r="S12" s="1594"/>
      <c r="T12" s="1594"/>
      <c r="U12" s="1594"/>
      <c r="V12" s="1594"/>
      <c r="W12" s="1594"/>
      <c r="X12" s="1594"/>
      <c r="Y12" s="1594"/>
      <c r="Z12" s="1594"/>
    </row>
    <row r="13" ht="12.75" customHeight="1">
      <c r="A13" s="1619"/>
      <c r="B13" s="1620"/>
      <c r="C13" s="1621"/>
      <c r="D13" s="1621"/>
      <c r="E13" s="1634"/>
      <c r="F13" s="1635"/>
      <c r="G13" s="1616"/>
      <c r="H13" s="1635"/>
      <c r="I13" s="1617"/>
      <c r="J13" s="1635"/>
      <c r="K13" s="1617"/>
      <c r="L13" s="1635"/>
      <c r="M13" s="1617"/>
      <c r="N13" s="1594"/>
      <c r="O13" s="1594"/>
      <c r="P13" s="1594"/>
      <c r="Q13" s="1594"/>
      <c r="R13" s="1594"/>
      <c r="S13" s="1594"/>
      <c r="T13" s="1594"/>
      <c r="U13" s="1594"/>
      <c r="V13" s="1594"/>
      <c r="W13" s="1594"/>
      <c r="X13" s="1594"/>
      <c r="Y13" s="1594"/>
      <c r="Z13" s="1594"/>
    </row>
    <row r="14" ht="12.75" customHeight="1">
      <c r="A14" s="1611" t="s">
        <v>1356</v>
      </c>
      <c r="B14" s="1620"/>
      <c r="C14" s="1621"/>
      <c r="D14" s="1621"/>
      <c r="E14" s="1634"/>
      <c r="F14" s="1623"/>
      <c r="G14" s="1616"/>
      <c r="H14" s="1623"/>
      <c r="I14" s="1617"/>
      <c r="J14" s="1623"/>
      <c r="K14" s="1617"/>
      <c r="L14" s="1623"/>
      <c r="M14" s="1617"/>
      <c r="N14" s="1594"/>
      <c r="O14" s="1594"/>
      <c r="P14" s="1594"/>
      <c r="Q14" s="1594"/>
      <c r="R14" s="1594"/>
      <c r="S14" s="1594"/>
      <c r="T14" s="1594"/>
      <c r="U14" s="1594"/>
      <c r="V14" s="1594"/>
      <c r="W14" s="1594"/>
      <c r="X14" s="1594"/>
      <c r="Y14" s="1594"/>
      <c r="Z14" s="1594"/>
    </row>
    <row r="15" ht="24.0" customHeight="1">
      <c r="A15" s="1619" t="s">
        <v>1357</v>
      </c>
      <c r="B15" s="1620" t="s">
        <v>1358</v>
      </c>
      <c r="C15" s="1636">
        <v>750.0</v>
      </c>
      <c r="D15" s="1636">
        <v>1000.0</v>
      </c>
      <c r="E15" s="1637">
        <v>850.0</v>
      </c>
      <c r="F15" s="1623">
        <f>+F9/F11</f>
        <v>20</v>
      </c>
      <c r="G15" s="1638">
        <f>+F15*$E15</f>
        <v>17000</v>
      </c>
      <c r="H15" s="1623">
        <f>+H9/H11</f>
        <v>16</v>
      </c>
      <c r="I15" s="1638">
        <f>+H15*$E15</f>
        <v>13600</v>
      </c>
      <c r="J15" s="1639">
        <f>IFERROR(J9/J11,0)</f>
        <v>25.28</v>
      </c>
      <c r="K15" s="1638">
        <f>+J15*$E15</f>
        <v>21488</v>
      </c>
      <c r="L15" s="1639">
        <f>IFERROR(L9/L11,0)</f>
        <v>25.88461538</v>
      </c>
      <c r="M15" s="1638">
        <f>+L15*$E15</f>
        <v>22001.92308</v>
      </c>
      <c r="N15" s="1594"/>
      <c r="O15" s="1594"/>
      <c r="P15" s="1594"/>
      <c r="Q15" s="1594"/>
      <c r="R15" s="1594"/>
      <c r="S15" s="1594"/>
      <c r="T15" s="1594"/>
      <c r="U15" s="1594"/>
      <c r="V15" s="1594"/>
      <c r="W15" s="1594"/>
      <c r="X15" s="1594"/>
      <c r="Y15" s="1594"/>
      <c r="Z15" s="1594"/>
    </row>
    <row r="16" ht="12.75" customHeight="1">
      <c r="A16" s="1619" t="s">
        <v>1359</v>
      </c>
      <c r="B16" s="1620" t="s">
        <v>1360</v>
      </c>
      <c r="C16" s="1636">
        <v>850.0</v>
      </c>
      <c r="D16" s="1636">
        <v>1200.0</v>
      </c>
      <c r="E16" s="1637">
        <v>1000.0</v>
      </c>
      <c r="F16" s="1618">
        <v>2.0</v>
      </c>
      <c r="G16" s="1640">
        <f t="shared" ref="G16:G28" si="4">+$E16*F16</f>
        <v>2000</v>
      </c>
      <c r="H16" s="1615">
        <v>2.0</v>
      </c>
      <c r="I16" s="1640">
        <f t="shared" ref="I16:I28" si="5">+$E16*H16</f>
        <v>2000</v>
      </c>
      <c r="J16" s="1641">
        <v>2.0</v>
      </c>
      <c r="K16" s="1640">
        <f t="shared" ref="K16:K28" si="6">+$E16*J16</f>
        <v>2000</v>
      </c>
      <c r="L16" s="1641">
        <v>2.0</v>
      </c>
      <c r="M16" s="1640">
        <f t="shared" ref="M16:M28" si="7">+$E16*L16</f>
        <v>2000</v>
      </c>
      <c r="N16" s="1594"/>
      <c r="O16" s="1594"/>
      <c r="P16" s="1594"/>
      <c r="Q16" s="1594"/>
      <c r="R16" s="1594"/>
      <c r="S16" s="1594"/>
      <c r="T16" s="1594"/>
      <c r="U16" s="1594"/>
      <c r="V16" s="1594"/>
      <c r="W16" s="1594"/>
      <c r="X16" s="1594"/>
      <c r="Y16" s="1594"/>
      <c r="Z16" s="1594"/>
    </row>
    <row r="17" ht="12.75" customHeight="1">
      <c r="A17" s="1619" t="s">
        <v>1361</v>
      </c>
      <c r="B17" s="1620" t="s">
        <v>1362</v>
      </c>
      <c r="C17" s="1636">
        <v>850.0</v>
      </c>
      <c r="D17" s="1636">
        <v>1200.0</v>
      </c>
      <c r="E17" s="1637">
        <v>1000.0</v>
      </c>
      <c r="F17" s="1642">
        <v>1.0</v>
      </c>
      <c r="G17" s="1640">
        <f t="shared" si="4"/>
        <v>1000</v>
      </c>
      <c r="H17" s="1615">
        <v>1.0</v>
      </c>
      <c r="I17" s="1640">
        <f t="shared" si="5"/>
        <v>1000</v>
      </c>
      <c r="J17" s="1641">
        <v>1.0</v>
      </c>
      <c r="K17" s="1640">
        <f t="shared" si="6"/>
        <v>1000</v>
      </c>
      <c r="L17" s="1641">
        <v>1.0</v>
      </c>
      <c r="M17" s="1640">
        <f t="shared" si="7"/>
        <v>1000</v>
      </c>
      <c r="N17" s="1594"/>
      <c r="O17" s="1594"/>
      <c r="P17" s="1594"/>
      <c r="Q17" s="1594"/>
      <c r="R17" s="1594"/>
      <c r="S17" s="1594"/>
      <c r="T17" s="1594"/>
      <c r="U17" s="1594"/>
      <c r="V17" s="1594"/>
      <c r="W17" s="1594"/>
      <c r="X17" s="1594"/>
      <c r="Y17" s="1594"/>
      <c r="Z17" s="1594"/>
    </row>
    <row r="18" ht="31.5" customHeight="1">
      <c r="A18" s="1619" t="s">
        <v>1363</v>
      </c>
      <c r="B18" s="1620" t="s">
        <v>1364</v>
      </c>
      <c r="C18" s="1636"/>
      <c r="D18" s="1636"/>
      <c r="E18" s="1637">
        <v>400.0</v>
      </c>
      <c r="F18" s="1642">
        <v>2.0</v>
      </c>
      <c r="G18" s="1640">
        <f t="shared" si="4"/>
        <v>800</v>
      </c>
      <c r="H18" s="1615">
        <v>2.0</v>
      </c>
      <c r="I18" s="1640">
        <f t="shared" si="5"/>
        <v>800</v>
      </c>
      <c r="J18" s="1641">
        <v>2.0</v>
      </c>
      <c r="K18" s="1640">
        <f t="shared" si="6"/>
        <v>800</v>
      </c>
      <c r="L18" s="1641">
        <v>2.0</v>
      </c>
      <c r="M18" s="1640">
        <f t="shared" si="7"/>
        <v>800</v>
      </c>
      <c r="N18" s="1594"/>
      <c r="O18" s="1594"/>
      <c r="P18" s="1594"/>
      <c r="Q18" s="1594"/>
      <c r="R18" s="1594"/>
      <c r="S18" s="1594"/>
      <c r="T18" s="1594"/>
      <c r="U18" s="1594"/>
      <c r="V18" s="1594"/>
      <c r="W18" s="1594"/>
      <c r="X18" s="1594"/>
      <c r="Y18" s="1594"/>
      <c r="Z18" s="1594"/>
    </row>
    <row r="19" ht="27.75" customHeight="1">
      <c r="A19" s="1619" t="s">
        <v>1365</v>
      </c>
      <c r="B19" s="1620" t="s">
        <v>1366</v>
      </c>
      <c r="C19" s="1636"/>
      <c r="D19" s="1636"/>
      <c r="E19" s="1637">
        <v>100.0</v>
      </c>
      <c r="F19" s="1642">
        <v>4.0</v>
      </c>
      <c r="G19" s="1640">
        <f t="shared" si="4"/>
        <v>400</v>
      </c>
      <c r="H19" s="1615">
        <v>4.0</v>
      </c>
      <c r="I19" s="1640">
        <f t="shared" si="5"/>
        <v>400</v>
      </c>
      <c r="J19" s="1641">
        <v>4.0</v>
      </c>
      <c r="K19" s="1640">
        <f t="shared" si="6"/>
        <v>400</v>
      </c>
      <c r="L19" s="1641">
        <v>4.0</v>
      </c>
      <c r="M19" s="1640">
        <f t="shared" si="7"/>
        <v>400</v>
      </c>
      <c r="N19" s="1594"/>
      <c r="O19" s="1594"/>
      <c r="P19" s="1594"/>
      <c r="Q19" s="1594"/>
      <c r="R19" s="1594"/>
      <c r="S19" s="1594"/>
      <c r="T19" s="1594"/>
      <c r="U19" s="1594"/>
      <c r="V19" s="1594"/>
      <c r="W19" s="1594"/>
      <c r="X19" s="1594"/>
      <c r="Y19" s="1594"/>
      <c r="Z19" s="1594"/>
    </row>
    <row r="20" ht="12.75" customHeight="1">
      <c r="A20" s="1619" t="s">
        <v>1367</v>
      </c>
      <c r="B20" s="1620" t="s">
        <v>1368</v>
      </c>
      <c r="C20" s="1636"/>
      <c r="D20" s="1636"/>
      <c r="E20" s="1637">
        <v>400.0</v>
      </c>
      <c r="F20" s="1642">
        <v>1.0</v>
      </c>
      <c r="G20" s="1640">
        <f t="shared" si="4"/>
        <v>400</v>
      </c>
      <c r="H20" s="1615">
        <v>1.0</v>
      </c>
      <c r="I20" s="1640">
        <f t="shared" si="5"/>
        <v>400</v>
      </c>
      <c r="J20" s="1641">
        <v>0.25</v>
      </c>
      <c r="K20" s="1640">
        <f t="shared" si="6"/>
        <v>100</v>
      </c>
      <c r="L20" s="1641">
        <v>1.0</v>
      </c>
      <c r="M20" s="1640">
        <f t="shared" si="7"/>
        <v>400</v>
      </c>
      <c r="N20" s="1594"/>
      <c r="O20" s="1594"/>
      <c r="P20" s="1594"/>
      <c r="Q20" s="1594"/>
      <c r="R20" s="1594"/>
      <c r="S20" s="1594"/>
      <c r="T20" s="1594"/>
      <c r="U20" s="1594"/>
      <c r="V20" s="1594"/>
      <c r="W20" s="1594"/>
      <c r="X20" s="1594"/>
      <c r="Y20" s="1594"/>
      <c r="Z20" s="1594"/>
    </row>
    <row r="21" ht="12.75" customHeight="1">
      <c r="A21" s="1619" t="s">
        <v>1369</v>
      </c>
      <c r="B21" s="1620" t="s">
        <v>1370</v>
      </c>
      <c r="C21" s="1636">
        <v>70.0</v>
      </c>
      <c r="D21" s="1636">
        <v>100.0</v>
      </c>
      <c r="E21" s="1637">
        <v>100.0</v>
      </c>
      <c r="F21" s="1642">
        <v>4.0</v>
      </c>
      <c r="G21" s="1640">
        <f t="shared" si="4"/>
        <v>400</v>
      </c>
      <c r="H21" s="1615">
        <v>4.0</v>
      </c>
      <c r="I21" s="1640">
        <f t="shared" si="5"/>
        <v>400</v>
      </c>
      <c r="J21" s="1641">
        <v>2.0</v>
      </c>
      <c r="K21" s="1640">
        <f t="shared" si="6"/>
        <v>200</v>
      </c>
      <c r="L21" s="1641">
        <v>4.0</v>
      </c>
      <c r="M21" s="1640">
        <f t="shared" si="7"/>
        <v>400</v>
      </c>
      <c r="N21" s="1594"/>
      <c r="O21" s="1594"/>
      <c r="P21" s="1594"/>
      <c r="Q21" s="1594"/>
      <c r="R21" s="1594"/>
      <c r="S21" s="1594"/>
      <c r="T21" s="1594"/>
      <c r="U21" s="1594"/>
      <c r="V21" s="1594"/>
      <c r="W21" s="1594"/>
      <c r="X21" s="1594"/>
      <c r="Y21" s="1594"/>
      <c r="Z21" s="1594"/>
    </row>
    <row r="22" ht="12.75" customHeight="1">
      <c r="A22" s="1619" t="s">
        <v>1371</v>
      </c>
      <c r="B22" s="1620" t="s">
        <v>1372</v>
      </c>
      <c r="C22" s="1636"/>
      <c r="D22" s="1636"/>
      <c r="E22" s="1637">
        <v>400.0</v>
      </c>
      <c r="F22" s="1642">
        <v>1.0</v>
      </c>
      <c r="G22" s="1640">
        <f t="shared" si="4"/>
        <v>400</v>
      </c>
      <c r="H22" s="1615">
        <v>1.0</v>
      </c>
      <c r="I22" s="1640">
        <f t="shared" si="5"/>
        <v>400</v>
      </c>
      <c r="J22" s="1641">
        <v>1.0</v>
      </c>
      <c r="K22" s="1640">
        <f t="shared" si="6"/>
        <v>400</v>
      </c>
      <c r="L22" s="1641">
        <v>1.0</v>
      </c>
      <c r="M22" s="1640">
        <f t="shared" si="7"/>
        <v>400</v>
      </c>
      <c r="N22" s="1594"/>
      <c r="O22" s="1594"/>
      <c r="P22" s="1594"/>
      <c r="Q22" s="1594"/>
      <c r="R22" s="1594"/>
      <c r="S22" s="1594"/>
      <c r="T22" s="1594"/>
      <c r="U22" s="1594"/>
      <c r="V22" s="1594"/>
      <c r="W22" s="1594"/>
      <c r="X22" s="1594"/>
      <c r="Y22" s="1594"/>
      <c r="Z22" s="1594"/>
    </row>
    <row r="23" ht="12.75" customHeight="1">
      <c r="A23" s="1619" t="s">
        <v>1373</v>
      </c>
      <c r="B23" s="1620" t="s">
        <v>1374</v>
      </c>
      <c r="C23" s="1636"/>
      <c r="D23" s="1636"/>
      <c r="E23" s="1637">
        <v>600.0</v>
      </c>
      <c r="F23" s="1642">
        <v>1.0</v>
      </c>
      <c r="G23" s="1640">
        <f t="shared" si="4"/>
        <v>600</v>
      </c>
      <c r="H23" s="1615">
        <v>1.0</v>
      </c>
      <c r="I23" s="1640">
        <f t="shared" si="5"/>
        <v>600</v>
      </c>
      <c r="J23" s="1641">
        <v>0.0</v>
      </c>
      <c r="K23" s="1640">
        <f t="shared" si="6"/>
        <v>0</v>
      </c>
      <c r="L23" s="1641">
        <v>1.0</v>
      </c>
      <c r="M23" s="1640">
        <f t="shared" si="7"/>
        <v>600</v>
      </c>
      <c r="N23" s="1594"/>
      <c r="O23" s="1594"/>
      <c r="P23" s="1594"/>
      <c r="Q23" s="1594"/>
      <c r="R23" s="1594"/>
      <c r="S23" s="1594"/>
      <c r="T23" s="1594"/>
      <c r="U23" s="1594"/>
      <c r="V23" s="1594"/>
      <c r="W23" s="1594"/>
      <c r="X23" s="1594"/>
      <c r="Y23" s="1594"/>
      <c r="Z23" s="1594"/>
    </row>
    <row r="24" ht="12.75" customHeight="1">
      <c r="A24" s="1619" t="s">
        <v>1375</v>
      </c>
      <c r="B24" s="1620" t="s">
        <v>1376</v>
      </c>
      <c r="C24" s="1636"/>
      <c r="D24" s="1636"/>
      <c r="E24" s="1637">
        <v>1500.0</v>
      </c>
      <c r="F24" s="1642">
        <v>1.0</v>
      </c>
      <c r="G24" s="1640">
        <f t="shared" si="4"/>
        <v>1500</v>
      </c>
      <c r="H24" s="1615">
        <v>1.0</v>
      </c>
      <c r="I24" s="1640">
        <f t="shared" si="5"/>
        <v>1500</v>
      </c>
      <c r="J24" s="1641">
        <v>1.0</v>
      </c>
      <c r="K24" s="1640">
        <f t="shared" si="6"/>
        <v>1500</v>
      </c>
      <c r="L24" s="1641">
        <v>1.0</v>
      </c>
      <c r="M24" s="1640">
        <f t="shared" si="7"/>
        <v>1500</v>
      </c>
      <c r="N24" s="1594"/>
      <c r="O24" s="1594"/>
      <c r="P24" s="1594"/>
      <c r="Q24" s="1594"/>
      <c r="R24" s="1594"/>
      <c r="S24" s="1594"/>
      <c r="T24" s="1594"/>
      <c r="U24" s="1594"/>
      <c r="V24" s="1594"/>
      <c r="W24" s="1594"/>
      <c r="X24" s="1594"/>
      <c r="Y24" s="1594"/>
      <c r="Z24" s="1594"/>
    </row>
    <row r="25" ht="12.75" customHeight="1">
      <c r="A25" s="1619" t="s">
        <v>1377</v>
      </c>
      <c r="B25" s="1620" t="s">
        <v>1378</v>
      </c>
      <c r="C25" s="1636"/>
      <c r="D25" s="1636"/>
      <c r="E25" s="1637">
        <v>200.0</v>
      </c>
      <c r="F25" s="1642">
        <v>1.0</v>
      </c>
      <c r="G25" s="1640">
        <f t="shared" si="4"/>
        <v>200</v>
      </c>
      <c r="H25" s="1615">
        <v>1.0</v>
      </c>
      <c r="I25" s="1640">
        <f t="shared" si="5"/>
        <v>200</v>
      </c>
      <c r="J25" s="1641">
        <v>0.5</v>
      </c>
      <c r="K25" s="1640">
        <f t="shared" si="6"/>
        <v>100</v>
      </c>
      <c r="L25" s="1641">
        <v>1.0</v>
      </c>
      <c r="M25" s="1640">
        <f t="shared" si="7"/>
        <v>200</v>
      </c>
      <c r="N25" s="1594"/>
      <c r="O25" s="1594"/>
      <c r="P25" s="1594"/>
      <c r="Q25" s="1594"/>
      <c r="R25" s="1594"/>
      <c r="S25" s="1594"/>
      <c r="T25" s="1594"/>
      <c r="U25" s="1594"/>
      <c r="V25" s="1594"/>
      <c r="W25" s="1594"/>
      <c r="X25" s="1594"/>
      <c r="Y25" s="1594"/>
      <c r="Z25" s="1594"/>
    </row>
    <row r="26" ht="12.75" customHeight="1">
      <c r="A26" s="1619" t="s">
        <v>1379</v>
      </c>
      <c r="B26" s="1620" t="s">
        <v>1380</v>
      </c>
      <c r="C26" s="1636"/>
      <c r="D26" s="1636"/>
      <c r="E26" s="1637">
        <v>400.0</v>
      </c>
      <c r="F26" s="1642">
        <v>2.0</v>
      </c>
      <c r="G26" s="1640">
        <f t="shared" si="4"/>
        <v>800</v>
      </c>
      <c r="H26" s="1615">
        <v>2.0</v>
      </c>
      <c r="I26" s="1640">
        <f t="shared" si="5"/>
        <v>800</v>
      </c>
      <c r="J26" s="1641">
        <v>2.0</v>
      </c>
      <c r="K26" s="1640">
        <f t="shared" si="6"/>
        <v>800</v>
      </c>
      <c r="L26" s="1641">
        <v>2.0</v>
      </c>
      <c r="M26" s="1640">
        <f t="shared" si="7"/>
        <v>800</v>
      </c>
      <c r="N26" s="1594"/>
      <c r="O26" s="1594"/>
      <c r="P26" s="1594"/>
      <c r="Q26" s="1594"/>
      <c r="R26" s="1594"/>
      <c r="S26" s="1594"/>
      <c r="T26" s="1594"/>
      <c r="U26" s="1594"/>
      <c r="V26" s="1594"/>
      <c r="W26" s="1594"/>
      <c r="X26" s="1594"/>
      <c r="Y26" s="1594"/>
      <c r="Z26" s="1594"/>
    </row>
    <row r="27" ht="12.75" customHeight="1">
      <c r="A27" s="1619" t="s">
        <v>1381</v>
      </c>
      <c r="B27" s="1620" t="s">
        <v>1382</v>
      </c>
      <c r="C27" s="1636"/>
      <c r="D27" s="1636"/>
      <c r="E27" s="1637">
        <v>100.0</v>
      </c>
      <c r="F27" s="1642">
        <v>3.0</v>
      </c>
      <c r="G27" s="1640">
        <f t="shared" si="4"/>
        <v>300</v>
      </c>
      <c r="H27" s="1615">
        <v>3.0</v>
      </c>
      <c r="I27" s="1640">
        <f t="shared" si="5"/>
        <v>300</v>
      </c>
      <c r="J27" s="1641">
        <v>3.0</v>
      </c>
      <c r="K27" s="1640">
        <f t="shared" si="6"/>
        <v>300</v>
      </c>
      <c r="L27" s="1641">
        <v>3.0</v>
      </c>
      <c r="M27" s="1640">
        <f t="shared" si="7"/>
        <v>300</v>
      </c>
      <c r="N27" s="1594"/>
      <c r="O27" s="1594"/>
      <c r="P27" s="1594"/>
      <c r="Q27" s="1594"/>
      <c r="R27" s="1594"/>
      <c r="S27" s="1594"/>
      <c r="T27" s="1594"/>
      <c r="U27" s="1594"/>
      <c r="V27" s="1594"/>
      <c r="W27" s="1594"/>
      <c r="X27" s="1594"/>
      <c r="Y27" s="1594"/>
      <c r="Z27" s="1594"/>
    </row>
    <row r="28" ht="12.75" customHeight="1">
      <c r="A28" s="1619" t="s">
        <v>1383</v>
      </c>
      <c r="B28" s="1620" t="s">
        <v>1384</v>
      </c>
      <c r="C28" s="1636"/>
      <c r="D28" s="1636"/>
      <c r="E28" s="1637">
        <v>4000.0</v>
      </c>
      <c r="F28" s="1642">
        <v>1.0</v>
      </c>
      <c r="G28" s="1640">
        <f t="shared" si="4"/>
        <v>4000</v>
      </c>
      <c r="H28" s="1615">
        <v>0.0</v>
      </c>
      <c r="I28" s="1640">
        <f t="shared" si="5"/>
        <v>0</v>
      </c>
      <c r="J28" s="1641">
        <v>0.0</v>
      </c>
      <c r="K28" s="1640">
        <f t="shared" si="6"/>
        <v>0</v>
      </c>
      <c r="L28" s="1641">
        <v>0.0</v>
      </c>
      <c r="M28" s="1640">
        <f t="shared" si="7"/>
        <v>0</v>
      </c>
      <c r="N28" s="1594"/>
      <c r="O28" s="1594"/>
      <c r="P28" s="1594"/>
      <c r="Q28" s="1594"/>
      <c r="R28" s="1594"/>
      <c r="S28" s="1594"/>
      <c r="T28" s="1594"/>
      <c r="U28" s="1594"/>
      <c r="V28" s="1594"/>
      <c r="W28" s="1594"/>
      <c r="X28" s="1594"/>
      <c r="Y28" s="1594"/>
      <c r="Z28" s="1594"/>
    </row>
    <row r="29" ht="12.75" customHeight="1">
      <c r="A29" s="1619" t="s">
        <v>1385</v>
      </c>
      <c r="B29" s="1620" t="s">
        <v>1386</v>
      </c>
      <c r="C29" s="1636">
        <v>7.0</v>
      </c>
      <c r="D29" s="1636">
        <v>10.0</v>
      </c>
      <c r="E29" s="1643" t="s">
        <v>1387</v>
      </c>
      <c r="F29" s="1644">
        <v>0.0</v>
      </c>
      <c r="G29" s="1640">
        <f>+F29*F9</f>
        <v>0</v>
      </c>
      <c r="H29" s="1644">
        <v>7.0</v>
      </c>
      <c r="I29" s="1640">
        <f>+H29*H9</f>
        <v>2800</v>
      </c>
      <c r="J29" s="1644">
        <v>7.0</v>
      </c>
      <c r="K29" s="1640">
        <f>+J29*J9</f>
        <v>4424</v>
      </c>
      <c r="L29" s="1644">
        <v>7.0</v>
      </c>
      <c r="M29" s="1640">
        <f>+L29*L9</f>
        <v>4711</v>
      </c>
      <c r="N29" s="1594"/>
      <c r="O29" s="1594"/>
      <c r="P29" s="1594"/>
      <c r="Q29" s="1594"/>
      <c r="R29" s="1594"/>
      <c r="S29" s="1594"/>
      <c r="T29" s="1594"/>
      <c r="U29" s="1594"/>
      <c r="V29" s="1594"/>
      <c r="W29" s="1594"/>
      <c r="X29" s="1594"/>
      <c r="Y29" s="1594"/>
      <c r="Z29" s="1594"/>
    </row>
    <row r="30" ht="12.75" customHeight="1">
      <c r="A30" s="1619" t="s">
        <v>1388</v>
      </c>
      <c r="B30" s="1620" t="s">
        <v>1389</v>
      </c>
      <c r="C30" s="1636"/>
      <c r="D30" s="1636"/>
      <c r="E30" s="1637">
        <v>1000.0</v>
      </c>
      <c r="F30" s="1642">
        <v>1.0</v>
      </c>
      <c r="G30" s="1640">
        <f t="shared" ref="G30:G34" si="8">+$E30*F30</f>
        <v>1000</v>
      </c>
      <c r="H30" s="1615">
        <v>1.0</v>
      </c>
      <c r="I30" s="1640">
        <f t="shared" ref="I30:I34" si="9">+$E30*H30</f>
        <v>1000</v>
      </c>
      <c r="J30" s="1641">
        <v>1.0</v>
      </c>
      <c r="K30" s="1640">
        <f t="shared" ref="K30:K34" si="10">+$E30*J30</f>
        <v>1000</v>
      </c>
      <c r="L30" s="1641">
        <v>1.0</v>
      </c>
      <c r="M30" s="1640">
        <f t="shared" ref="M30:M34" si="11">+$E30*L30</f>
        <v>1000</v>
      </c>
      <c r="N30" s="1594"/>
      <c r="O30" s="1594"/>
      <c r="P30" s="1594"/>
      <c r="Q30" s="1594"/>
      <c r="R30" s="1594"/>
      <c r="S30" s="1594"/>
      <c r="T30" s="1594"/>
      <c r="U30" s="1594"/>
      <c r="V30" s="1594"/>
      <c r="W30" s="1594"/>
      <c r="X30" s="1594"/>
      <c r="Y30" s="1594"/>
      <c r="Z30" s="1594"/>
    </row>
    <row r="31" ht="12.75" customHeight="1">
      <c r="A31" s="1619" t="s">
        <v>1390</v>
      </c>
      <c r="B31" s="1620" t="s">
        <v>1391</v>
      </c>
      <c r="C31" s="1636"/>
      <c r="D31" s="1636"/>
      <c r="E31" s="1637">
        <v>300.0</v>
      </c>
      <c r="F31" s="1642">
        <v>2.0</v>
      </c>
      <c r="G31" s="1640">
        <f t="shared" si="8"/>
        <v>600</v>
      </c>
      <c r="H31" s="1615">
        <v>2.0</v>
      </c>
      <c r="I31" s="1640">
        <f t="shared" si="9"/>
        <v>600</v>
      </c>
      <c r="J31" s="1641">
        <v>1.0</v>
      </c>
      <c r="K31" s="1640">
        <f t="shared" si="10"/>
        <v>300</v>
      </c>
      <c r="L31" s="1641">
        <v>2.0</v>
      </c>
      <c r="M31" s="1640">
        <f t="shared" si="11"/>
        <v>600</v>
      </c>
      <c r="N31" s="1594"/>
      <c r="O31" s="1594"/>
      <c r="P31" s="1594"/>
      <c r="Q31" s="1594"/>
      <c r="R31" s="1594"/>
      <c r="S31" s="1594"/>
      <c r="T31" s="1594"/>
      <c r="U31" s="1594"/>
      <c r="V31" s="1594"/>
      <c r="W31" s="1594"/>
      <c r="X31" s="1594"/>
      <c r="Y31" s="1594"/>
      <c r="Z31" s="1594"/>
    </row>
    <row r="32" ht="12.75" customHeight="1">
      <c r="A32" s="1619" t="s">
        <v>1392</v>
      </c>
      <c r="B32" s="1620" t="s">
        <v>1393</v>
      </c>
      <c r="C32" s="1636"/>
      <c r="D32" s="1636"/>
      <c r="E32" s="1637">
        <v>150.0</v>
      </c>
      <c r="F32" s="1642">
        <v>1.0</v>
      </c>
      <c r="G32" s="1640">
        <f t="shared" si="8"/>
        <v>150</v>
      </c>
      <c r="H32" s="1615">
        <v>1.0</v>
      </c>
      <c r="I32" s="1640">
        <f t="shared" si="9"/>
        <v>150</v>
      </c>
      <c r="J32" s="1641">
        <v>0.2</v>
      </c>
      <c r="K32" s="1640">
        <f t="shared" si="10"/>
        <v>30</v>
      </c>
      <c r="L32" s="1641">
        <v>1.0</v>
      </c>
      <c r="M32" s="1640">
        <f t="shared" si="11"/>
        <v>150</v>
      </c>
      <c r="N32" s="1594"/>
      <c r="O32" s="1594"/>
      <c r="P32" s="1594"/>
      <c r="Q32" s="1594"/>
      <c r="R32" s="1594"/>
      <c r="S32" s="1594"/>
      <c r="T32" s="1594"/>
      <c r="U32" s="1594"/>
      <c r="V32" s="1594"/>
      <c r="W32" s="1594"/>
      <c r="X32" s="1594"/>
      <c r="Y32" s="1594"/>
      <c r="Z32" s="1594"/>
    </row>
    <row r="33" ht="12.75" customHeight="1">
      <c r="A33" s="1619" t="s">
        <v>1394</v>
      </c>
      <c r="B33" s="1620" t="s">
        <v>1395</v>
      </c>
      <c r="C33" s="1636"/>
      <c r="D33" s="1636"/>
      <c r="E33" s="1637">
        <v>250.0</v>
      </c>
      <c r="F33" s="1642">
        <v>1.0</v>
      </c>
      <c r="G33" s="1640">
        <f t="shared" si="8"/>
        <v>250</v>
      </c>
      <c r="H33" s="1615">
        <v>1.0</v>
      </c>
      <c r="I33" s="1640">
        <f t="shared" si="9"/>
        <v>250</v>
      </c>
      <c r="J33" s="1641">
        <v>0.2</v>
      </c>
      <c r="K33" s="1640">
        <f t="shared" si="10"/>
        <v>50</v>
      </c>
      <c r="L33" s="1641">
        <v>1.0</v>
      </c>
      <c r="M33" s="1640">
        <f t="shared" si="11"/>
        <v>250</v>
      </c>
      <c r="N33" s="1594"/>
      <c r="O33" s="1594"/>
      <c r="P33" s="1594"/>
      <c r="Q33" s="1594"/>
      <c r="R33" s="1594"/>
      <c r="S33" s="1594"/>
      <c r="T33" s="1594"/>
      <c r="U33" s="1594"/>
      <c r="V33" s="1594"/>
      <c r="W33" s="1594"/>
      <c r="X33" s="1594"/>
      <c r="Y33" s="1594"/>
      <c r="Z33" s="1594"/>
    </row>
    <row r="34" ht="12.75" customHeight="1">
      <c r="A34" s="1645" t="s">
        <v>1396</v>
      </c>
      <c r="B34" s="1646" t="s">
        <v>1397</v>
      </c>
      <c r="C34" s="1647"/>
      <c r="D34" s="1647"/>
      <c r="E34" s="1648">
        <v>200.0</v>
      </c>
      <c r="F34" s="1649">
        <v>1.0</v>
      </c>
      <c r="G34" s="1650">
        <f t="shared" si="8"/>
        <v>200</v>
      </c>
      <c r="H34" s="1651">
        <v>1.0</v>
      </c>
      <c r="I34" s="1650">
        <f t="shared" si="9"/>
        <v>200</v>
      </c>
      <c r="J34" s="1652">
        <v>0.5</v>
      </c>
      <c r="K34" s="1650">
        <f t="shared" si="10"/>
        <v>100</v>
      </c>
      <c r="L34" s="1652">
        <v>1.0</v>
      </c>
      <c r="M34" s="1650">
        <f t="shared" si="11"/>
        <v>200</v>
      </c>
      <c r="N34" s="1594"/>
      <c r="O34" s="1594"/>
      <c r="P34" s="1594"/>
      <c r="Q34" s="1594"/>
      <c r="R34" s="1594"/>
      <c r="S34" s="1594"/>
      <c r="T34" s="1594"/>
      <c r="U34" s="1594"/>
      <c r="V34" s="1594"/>
      <c r="W34" s="1594"/>
      <c r="X34" s="1594"/>
      <c r="Y34" s="1594"/>
      <c r="Z34" s="1594"/>
    </row>
    <row r="35" ht="12.75" customHeight="1">
      <c r="A35" s="1653" t="s">
        <v>1398</v>
      </c>
      <c r="B35" s="1654"/>
      <c r="C35" s="1655"/>
      <c r="D35" s="1655"/>
      <c r="E35" s="1656"/>
      <c r="F35" s="1657"/>
      <c r="G35" s="1658">
        <f>SUM(G15:G34)</f>
        <v>32000</v>
      </c>
      <c r="H35" s="1659"/>
      <c r="I35" s="1658">
        <f>SUM(I15:I34)</f>
        <v>27400</v>
      </c>
      <c r="J35" s="1659"/>
      <c r="K35" s="1658">
        <f>SUM(K15:K34)</f>
        <v>34992</v>
      </c>
      <c r="L35" s="1659"/>
      <c r="M35" s="1658">
        <f>SUM(M15:M34)</f>
        <v>37712.92308</v>
      </c>
      <c r="N35" s="1594"/>
      <c r="O35" s="1594"/>
      <c r="P35" s="1594"/>
      <c r="Q35" s="1594"/>
      <c r="R35" s="1594"/>
      <c r="S35" s="1594"/>
      <c r="T35" s="1594"/>
      <c r="U35" s="1594"/>
      <c r="V35" s="1594"/>
      <c r="W35" s="1594"/>
      <c r="X35" s="1594"/>
      <c r="Y35" s="1594"/>
      <c r="Z35" s="1594"/>
    </row>
    <row r="36" ht="12.75" customHeight="1">
      <c r="A36" s="1660" t="s">
        <v>1399</v>
      </c>
      <c r="B36" s="1661" t="s">
        <v>1400</v>
      </c>
      <c r="C36" s="1662"/>
      <c r="D36" s="1662"/>
      <c r="E36" s="1663">
        <v>0.15</v>
      </c>
      <c r="F36" s="1664"/>
      <c r="G36" s="1665">
        <f>+G35*$E36</f>
        <v>4800</v>
      </c>
      <c r="H36" s="1666"/>
      <c r="I36" s="1665">
        <f>+I35*$E36</f>
        <v>4110</v>
      </c>
      <c r="J36" s="1666"/>
      <c r="K36" s="1665">
        <f>+K35*$E36</f>
        <v>5248.8</v>
      </c>
      <c r="L36" s="1666"/>
      <c r="M36" s="1665">
        <f>+M35*$E36</f>
        <v>5656.938462</v>
      </c>
      <c r="N36" s="1594"/>
      <c r="O36" s="1594"/>
      <c r="P36" s="1594"/>
      <c r="Q36" s="1594"/>
      <c r="R36" s="1594"/>
      <c r="S36" s="1594"/>
      <c r="T36" s="1594"/>
      <c r="U36" s="1594"/>
      <c r="V36" s="1594"/>
      <c r="W36" s="1594"/>
      <c r="X36" s="1594"/>
      <c r="Y36" s="1594"/>
      <c r="Z36" s="1594"/>
    </row>
    <row r="37" ht="12.75" customHeight="1">
      <c r="A37" s="1667" t="s">
        <v>1401</v>
      </c>
      <c r="B37" s="1668" t="s">
        <v>1402</v>
      </c>
      <c r="C37" s="1669"/>
      <c r="D37" s="1669"/>
      <c r="E37" s="1669"/>
      <c r="F37" s="1669"/>
      <c r="G37" s="1670">
        <f>+G35+G36</f>
        <v>36800</v>
      </c>
      <c r="H37" s="1671"/>
      <c r="I37" s="1670">
        <f>+I35+I36</f>
        <v>31510</v>
      </c>
      <c r="J37" s="1671"/>
      <c r="K37" s="1670">
        <f>+K35+K36</f>
        <v>40240.8</v>
      </c>
      <c r="L37" s="1671"/>
      <c r="M37" s="1670">
        <f>+M35+M36</f>
        <v>43369.86154</v>
      </c>
      <c r="N37" s="1594"/>
      <c r="O37" s="1594"/>
      <c r="P37" s="1594"/>
      <c r="Q37" s="1594"/>
      <c r="R37" s="1594"/>
      <c r="S37" s="1594"/>
      <c r="T37" s="1594"/>
      <c r="U37" s="1594"/>
      <c r="V37" s="1594"/>
      <c r="W37" s="1594"/>
      <c r="X37" s="1594"/>
      <c r="Y37" s="1594"/>
      <c r="Z37" s="1594"/>
    </row>
    <row r="38" ht="12.75" customHeight="1">
      <c r="A38" s="1672" t="s">
        <v>1403</v>
      </c>
      <c r="B38" s="1673" t="s">
        <v>1404</v>
      </c>
      <c r="C38" s="1669"/>
      <c r="D38" s="1669"/>
      <c r="E38" s="1669"/>
      <c r="F38" s="1669"/>
      <c r="G38" s="1674">
        <f>+G37/F9</f>
        <v>73.6</v>
      </c>
      <c r="H38" s="1675"/>
      <c r="I38" s="1674">
        <f>+I37/H9</f>
        <v>78.775</v>
      </c>
      <c r="J38" s="1675"/>
      <c r="K38" s="1674">
        <f>+K37/J9</f>
        <v>63.6721519</v>
      </c>
      <c r="L38" s="1675"/>
      <c r="M38" s="1674">
        <f>+M37/L9</f>
        <v>64.44258772</v>
      </c>
      <c r="N38" s="1594"/>
      <c r="O38" s="1594"/>
      <c r="P38" s="1594"/>
      <c r="Q38" s="1594"/>
      <c r="R38" s="1594"/>
      <c r="S38" s="1594"/>
      <c r="T38" s="1594"/>
      <c r="U38" s="1594"/>
      <c r="V38" s="1594"/>
      <c r="W38" s="1594"/>
      <c r="X38" s="1594"/>
      <c r="Y38" s="1594"/>
      <c r="Z38" s="1594"/>
    </row>
    <row r="39" ht="12.75" customHeight="1">
      <c r="A39" s="1594"/>
      <c r="B39" s="1594"/>
      <c r="C39" s="810" t="s">
        <v>1405</v>
      </c>
      <c r="D39" s="810"/>
      <c r="E39" s="1676">
        <v>1.2</v>
      </c>
      <c r="F39" s="810"/>
      <c r="G39" s="1677">
        <f t="shared" ref="G39:G40" si="12">+$E39*G$37*12</f>
        <v>529920</v>
      </c>
      <c r="H39" s="1678" t="s">
        <v>583</v>
      </c>
      <c r="I39" s="1677">
        <f t="shared" ref="I39:I40" si="13">+$E39*I$37*12</f>
        <v>453744</v>
      </c>
      <c r="J39" s="1678" t="s">
        <v>583</v>
      </c>
      <c r="K39" s="1679">
        <f t="shared" ref="K39:K40" si="14">+$E39*K$37</f>
        <v>48288.96</v>
      </c>
      <c r="L39" s="1594"/>
      <c r="M39" s="1679">
        <f t="shared" ref="M39:M40" si="15">+$E39*M$37</f>
        <v>52043.83385</v>
      </c>
      <c r="N39" s="1594"/>
      <c r="O39" s="1594"/>
      <c r="P39" s="1594"/>
      <c r="Q39" s="1594"/>
      <c r="R39" s="1594"/>
      <c r="S39" s="1594"/>
      <c r="T39" s="1594"/>
      <c r="U39" s="1594"/>
      <c r="V39" s="1594"/>
      <c r="W39" s="1594"/>
      <c r="X39" s="1594"/>
      <c r="Y39" s="1594"/>
      <c r="Z39" s="1594"/>
    </row>
    <row r="40" ht="12.75" customHeight="1">
      <c r="A40" s="1680" t="s">
        <v>1406</v>
      </c>
      <c r="B40" s="1594"/>
      <c r="C40" s="810" t="s">
        <v>1407</v>
      </c>
      <c r="D40" s="810"/>
      <c r="E40" s="1676">
        <v>1.5</v>
      </c>
      <c r="F40" s="810"/>
      <c r="G40" s="1677">
        <f t="shared" si="12"/>
        <v>662400</v>
      </c>
      <c r="H40" s="1678" t="s">
        <v>583</v>
      </c>
      <c r="I40" s="1677">
        <f t="shared" si="13"/>
        <v>567180</v>
      </c>
      <c r="J40" s="1678" t="s">
        <v>583</v>
      </c>
      <c r="K40" s="1679">
        <f t="shared" si="14"/>
        <v>60361.2</v>
      </c>
      <c r="L40" s="1594"/>
      <c r="M40" s="1679">
        <f t="shared" si="15"/>
        <v>65054.79231</v>
      </c>
      <c r="N40" s="1594"/>
      <c r="O40" s="1594"/>
      <c r="P40" s="1594"/>
      <c r="Q40" s="1594"/>
      <c r="R40" s="1594"/>
      <c r="S40" s="1594"/>
      <c r="T40" s="1594"/>
      <c r="U40" s="1594"/>
      <c r="V40" s="1594"/>
      <c r="W40" s="1594"/>
      <c r="X40" s="1594"/>
      <c r="Y40" s="1594"/>
      <c r="Z40" s="1594"/>
    </row>
    <row r="41" ht="12.75" customHeight="1">
      <c r="A41" s="1594" t="s">
        <v>1408</v>
      </c>
      <c r="B41" s="1594"/>
      <c r="C41" s="1594"/>
      <c r="D41" s="1594"/>
      <c r="E41" s="1594"/>
      <c r="F41" s="1594"/>
      <c r="G41" s="1594"/>
      <c r="H41" s="1594"/>
      <c r="I41" s="1594"/>
      <c r="J41" s="1594"/>
      <c r="K41" s="1594"/>
      <c r="L41" s="1594"/>
      <c r="M41" s="1594"/>
      <c r="N41" s="1594"/>
      <c r="O41" s="1594"/>
      <c r="P41" s="1594"/>
      <c r="Q41" s="1594"/>
      <c r="R41" s="1594"/>
      <c r="S41" s="1594"/>
      <c r="T41" s="1594"/>
      <c r="U41" s="1594"/>
      <c r="V41" s="1594"/>
      <c r="W41" s="1594"/>
      <c r="X41" s="1594"/>
      <c r="Y41" s="1594"/>
      <c r="Z41" s="1594"/>
    </row>
    <row r="42" ht="12.75" customHeight="1">
      <c r="A42" s="1594" t="s">
        <v>1409</v>
      </c>
      <c r="B42" s="1594"/>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row>
    <row r="43" ht="12.75" customHeight="1">
      <c r="A43" s="1594" t="s">
        <v>1410</v>
      </c>
      <c r="B43" s="1594"/>
      <c r="C43" s="1594"/>
      <c r="D43" s="1594"/>
      <c r="E43" s="1594"/>
      <c r="F43" s="1594"/>
      <c r="G43" s="1594"/>
      <c r="H43" s="1594"/>
      <c r="I43" s="1594"/>
      <c r="J43" s="1594"/>
      <c r="K43" s="1594"/>
      <c r="L43" s="1594"/>
      <c r="M43" s="1594"/>
      <c r="N43" s="1594"/>
      <c r="O43" s="1594"/>
      <c r="P43" s="1594"/>
      <c r="Q43" s="1594"/>
      <c r="R43" s="1594"/>
      <c r="S43" s="1594"/>
      <c r="T43" s="1594"/>
      <c r="U43" s="1594"/>
      <c r="V43" s="1594"/>
      <c r="W43" s="1594"/>
      <c r="X43" s="1594"/>
      <c r="Y43" s="1594"/>
      <c r="Z43" s="1594"/>
    </row>
    <row r="44" ht="12.75" customHeight="1">
      <c r="A44" s="1594"/>
      <c r="B44" s="1594"/>
      <c r="C44" s="1594"/>
      <c r="D44" s="1594"/>
      <c r="E44" s="1594"/>
      <c r="F44" s="1594"/>
      <c r="G44" s="1594"/>
      <c r="H44" s="1594"/>
      <c r="I44" s="1594"/>
      <c r="J44" s="1594"/>
      <c r="K44" s="1594"/>
      <c r="L44" s="1594"/>
      <c r="M44" s="1594"/>
      <c r="N44" s="1594"/>
      <c r="O44" s="1594"/>
      <c r="P44" s="1594"/>
      <c r="Q44" s="1594"/>
      <c r="R44" s="1594"/>
      <c r="S44" s="1594"/>
      <c r="T44" s="1594"/>
      <c r="U44" s="1594"/>
      <c r="V44" s="1594"/>
      <c r="W44" s="1594"/>
      <c r="X44" s="1594"/>
      <c r="Y44" s="1594"/>
      <c r="Z44" s="1594"/>
    </row>
    <row r="45" ht="12.75" customHeight="1">
      <c r="A45" s="1594"/>
      <c r="B45" s="1594"/>
      <c r="C45" s="1594"/>
      <c r="D45" s="1594"/>
      <c r="E45" s="1594"/>
      <c r="F45" s="1594"/>
      <c r="G45" s="1594"/>
      <c r="H45" s="1594"/>
      <c r="I45" s="1594"/>
      <c r="J45" s="1594"/>
      <c r="K45" s="1594"/>
      <c r="L45" s="1594"/>
      <c r="M45" s="1594"/>
      <c r="N45" s="1594"/>
      <c r="O45" s="1594"/>
      <c r="P45" s="1594"/>
      <c r="Q45" s="1594"/>
      <c r="R45" s="1594"/>
      <c r="S45" s="1594"/>
      <c r="T45" s="1594"/>
      <c r="U45" s="1594"/>
      <c r="V45" s="1594"/>
      <c r="W45" s="1594"/>
      <c r="X45" s="1594"/>
      <c r="Y45" s="1594"/>
      <c r="Z45" s="1594"/>
    </row>
    <row r="46" ht="12.75" customHeight="1">
      <c r="A46" s="1594"/>
      <c r="B46" s="1594"/>
      <c r="C46" s="1594"/>
      <c r="D46" s="1594"/>
      <c r="E46" s="1594"/>
      <c r="F46" s="1594"/>
      <c r="G46" s="1594"/>
      <c r="H46" s="1594"/>
      <c r="I46" s="1594"/>
      <c r="J46" s="1594"/>
      <c r="K46" s="1594"/>
      <c r="L46" s="1594"/>
      <c r="M46" s="1594"/>
      <c r="N46" s="1594"/>
      <c r="O46" s="1594"/>
      <c r="P46" s="1594"/>
      <c r="Q46" s="1594"/>
      <c r="R46" s="1594"/>
      <c r="S46" s="1594"/>
      <c r="T46" s="1594"/>
      <c r="U46" s="1594"/>
      <c r="V46" s="1594"/>
      <c r="W46" s="1594"/>
      <c r="X46" s="1594"/>
      <c r="Y46" s="1594"/>
      <c r="Z46" s="1594"/>
    </row>
    <row r="47" ht="12.75" customHeight="1">
      <c r="A47" s="1594"/>
      <c r="B47" s="1594"/>
      <c r="C47" s="1594"/>
      <c r="D47" s="1594"/>
      <c r="E47" s="1594"/>
      <c r="F47" s="1594"/>
      <c r="G47" s="1594"/>
      <c r="H47" s="1594"/>
      <c r="I47" s="1594"/>
      <c r="J47" s="1594"/>
      <c r="K47" s="1594"/>
      <c r="L47" s="1594"/>
      <c r="M47" s="1594"/>
      <c r="N47" s="1594"/>
      <c r="O47" s="1594"/>
      <c r="P47" s="1594"/>
      <c r="Q47" s="1594"/>
      <c r="R47" s="1594"/>
      <c r="S47" s="1594"/>
      <c r="T47" s="1594"/>
      <c r="U47" s="1594"/>
      <c r="V47" s="1594"/>
      <c r="W47" s="1594"/>
      <c r="X47" s="1594"/>
      <c r="Y47" s="1594"/>
      <c r="Z47" s="1594"/>
    </row>
    <row r="48" ht="12.75" customHeight="1">
      <c r="A48" s="1594"/>
      <c r="B48" s="1594"/>
      <c r="C48" s="1594"/>
      <c r="D48" s="1594"/>
      <c r="E48" s="1594"/>
      <c r="F48" s="1594"/>
      <c r="G48" s="1594"/>
      <c r="H48" s="1594"/>
      <c r="I48" s="1594"/>
      <c r="J48" s="1594"/>
      <c r="K48" s="1594"/>
      <c r="L48" s="1594"/>
      <c r="M48" s="1594"/>
      <c r="N48" s="1594"/>
      <c r="O48" s="1594"/>
      <c r="P48" s="1594"/>
      <c r="Q48" s="1594"/>
      <c r="R48" s="1594"/>
      <c r="S48" s="1594"/>
      <c r="T48" s="1594"/>
      <c r="U48" s="1594"/>
      <c r="V48" s="1594"/>
      <c r="W48" s="1594"/>
      <c r="X48" s="1594"/>
      <c r="Y48" s="1594"/>
      <c r="Z48" s="1594"/>
    </row>
    <row r="49" ht="12.75" customHeight="1">
      <c r="A49" s="1594"/>
      <c r="B49" s="1594"/>
      <c r="C49" s="1594"/>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row>
    <row r="50" ht="12.75" customHeight="1">
      <c r="A50" s="1594"/>
      <c r="B50" s="1594"/>
      <c r="C50" s="1594"/>
      <c r="D50" s="1594"/>
      <c r="E50" s="1594"/>
      <c r="F50" s="1594"/>
      <c r="G50" s="1594"/>
      <c r="H50" s="1594"/>
      <c r="I50" s="1594"/>
      <c r="J50" s="1594"/>
      <c r="K50" s="1594"/>
      <c r="L50" s="1594"/>
      <c r="M50" s="1594"/>
      <c r="N50" s="1594"/>
      <c r="O50" s="1594"/>
      <c r="P50" s="1594"/>
      <c r="Q50" s="1594"/>
      <c r="R50" s="1594"/>
      <c r="S50" s="1594"/>
      <c r="T50" s="1594"/>
      <c r="U50" s="1594"/>
      <c r="V50" s="1594"/>
      <c r="W50" s="1594"/>
      <c r="X50" s="1594"/>
      <c r="Y50" s="1594"/>
      <c r="Z50" s="1594"/>
    </row>
    <row r="51" ht="12.75" customHeight="1">
      <c r="A51" s="1594"/>
      <c r="B51" s="1594"/>
      <c r="C51" s="1594"/>
      <c r="D51" s="1594"/>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row>
    <row r="52" ht="12.75" customHeight="1">
      <c r="A52" s="1594"/>
      <c r="B52" s="1594"/>
      <c r="C52" s="1594"/>
      <c r="D52" s="1594"/>
      <c r="E52" s="1594"/>
      <c r="F52" s="1594"/>
      <c r="G52" s="1594"/>
      <c r="H52" s="1594"/>
      <c r="I52" s="1594"/>
      <c r="J52" s="1594"/>
      <c r="K52" s="1594"/>
      <c r="L52" s="1594"/>
      <c r="M52" s="1594"/>
      <c r="N52" s="1594"/>
      <c r="O52" s="1594"/>
      <c r="P52" s="1594"/>
      <c r="Q52" s="1594"/>
      <c r="R52" s="1594"/>
      <c r="S52" s="1594"/>
      <c r="T52" s="1594"/>
      <c r="U52" s="1594"/>
      <c r="V52" s="1594"/>
      <c r="W52" s="1594"/>
      <c r="X52" s="1594"/>
      <c r="Y52" s="1594"/>
      <c r="Z52" s="1594"/>
    </row>
    <row r="53" ht="12.75" customHeight="1">
      <c r="A53" s="1594"/>
      <c r="B53" s="1594"/>
      <c r="C53" s="1594"/>
      <c r="D53" s="1594"/>
      <c r="E53" s="1594"/>
      <c r="F53" s="1594"/>
      <c r="G53" s="1594"/>
      <c r="H53" s="1594"/>
      <c r="I53" s="1594"/>
      <c r="J53" s="1594"/>
      <c r="K53" s="1594"/>
      <c r="L53" s="1594"/>
      <c r="M53" s="1594"/>
      <c r="N53" s="1594"/>
      <c r="O53" s="1594"/>
      <c r="P53" s="1594"/>
      <c r="Q53" s="1594"/>
      <c r="R53" s="1594"/>
      <c r="S53" s="1594"/>
      <c r="T53" s="1594"/>
      <c r="U53" s="1594"/>
      <c r="V53" s="1594"/>
      <c r="W53" s="1594"/>
      <c r="X53" s="1594"/>
      <c r="Y53" s="1594"/>
      <c r="Z53" s="1594"/>
    </row>
    <row r="54" ht="12.75" customHeight="1">
      <c r="A54" s="1594"/>
      <c r="B54" s="1594"/>
      <c r="C54" s="1594"/>
      <c r="D54" s="1594"/>
      <c r="E54" s="1594"/>
      <c r="F54" s="1594"/>
      <c r="G54" s="1594"/>
      <c r="H54" s="1594"/>
      <c r="I54" s="1594"/>
      <c r="J54" s="1594"/>
      <c r="K54" s="1594"/>
      <c r="L54" s="1594"/>
      <c r="M54" s="1594"/>
      <c r="N54" s="1594"/>
      <c r="O54" s="1594"/>
      <c r="P54" s="1594"/>
      <c r="Q54" s="1594"/>
      <c r="R54" s="1594"/>
      <c r="S54" s="1594"/>
      <c r="T54" s="1594"/>
      <c r="U54" s="1594"/>
      <c r="V54" s="1594"/>
      <c r="W54" s="1594"/>
      <c r="X54" s="1594"/>
      <c r="Y54" s="1594"/>
      <c r="Z54" s="1594"/>
    </row>
    <row r="55" ht="12.75" customHeight="1">
      <c r="A55" s="1594"/>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row>
    <row r="56" ht="12.75" customHeight="1">
      <c r="A56" s="1594"/>
      <c r="B56" s="1594"/>
      <c r="C56" s="1594"/>
      <c r="D56" s="1594"/>
      <c r="E56" s="1594"/>
      <c r="F56" s="1594"/>
      <c r="G56" s="1594"/>
      <c r="H56" s="1594"/>
      <c r="I56" s="1594"/>
      <c r="J56" s="1594"/>
      <c r="K56" s="1594"/>
      <c r="L56" s="1594"/>
      <c r="M56" s="1594"/>
      <c r="N56" s="1594"/>
      <c r="O56" s="1594"/>
      <c r="P56" s="1594"/>
      <c r="Q56" s="1594"/>
      <c r="R56" s="1594"/>
      <c r="S56" s="1594"/>
      <c r="T56" s="1594"/>
      <c r="U56" s="1594"/>
      <c r="V56" s="1594"/>
      <c r="W56" s="1594"/>
      <c r="X56" s="1594"/>
      <c r="Y56" s="1594"/>
      <c r="Z56" s="1594"/>
    </row>
    <row r="57" ht="12.75" customHeight="1">
      <c r="A57" s="1594"/>
      <c r="B57" s="1594"/>
      <c r="C57" s="1594"/>
      <c r="D57" s="1594"/>
      <c r="E57" s="1594"/>
      <c r="F57" s="1594"/>
      <c r="G57" s="1594"/>
      <c r="H57" s="1594"/>
      <c r="I57" s="1594"/>
      <c r="J57" s="1594"/>
      <c r="K57" s="1594"/>
      <c r="L57" s="1594"/>
      <c r="M57" s="1594"/>
      <c r="N57" s="1594"/>
      <c r="O57" s="1594"/>
      <c r="P57" s="1594"/>
      <c r="Q57" s="1594"/>
      <c r="R57" s="1594"/>
      <c r="S57" s="1594"/>
      <c r="T57" s="1594"/>
      <c r="U57" s="1594"/>
      <c r="V57" s="1594"/>
      <c r="W57" s="1594"/>
      <c r="X57" s="1594"/>
      <c r="Y57" s="1594"/>
      <c r="Z57" s="1594"/>
    </row>
    <row r="58" ht="12.75" customHeight="1">
      <c r="A58" s="1594"/>
      <c r="B58" s="1594"/>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c r="Z58" s="1594"/>
    </row>
    <row r="59" ht="12.75" customHeight="1">
      <c r="A59" s="1594"/>
      <c r="B59" s="1594"/>
      <c r="C59" s="1594"/>
      <c r="D59" s="1594"/>
      <c r="E59" s="1594"/>
      <c r="F59" s="1594"/>
      <c r="G59" s="1594"/>
      <c r="H59" s="1594"/>
      <c r="I59" s="1594"/>
      <c r="J59" s="1594"/>
      <c r="K59" s="1594"/>
      <c r="L59" s="1594"/>
      <c r="M59" s="1594"/>
      <c r="N59" s="1594"/>
      <c r="O59" s="1594"/>
      <c r="P59" s="1594"/>
      <c r="Q59" s="1594"/>
      <c r="R59" s="1594"/>
      <c r="S59" s="1594"/>
      <c r="T59" s="1594"/>
      <c r="U59" s="1594"/>
      <c r="V59" s="1594"/>
      <c r="W59" s="1594"/>
      <c r="X59" s="1594"/>
      <c r="Y59" s="1594"/>
      <c r="Z59" s="1594"/>
    </row>
    <row r="60" ht="12.75" customHeight="1">
      <c r="A60" s="1594"/>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row>
    <row r="61" ht="12.75" customHeight="1">
      <c r="A61" s="1594"/>
      <c r="B61" s="1594"/>
      <c r="C61" s="1594"/>
      <c r="D61" s="1594"/>
      <c r="E61" s="1594"/>
      <c r="F61" s="1594"/>
      <c r="G61" s="1594"/>
      <c r="H61" s="1594"/>
      <c r="I61" s="1594"/>
      <c r="J61" s="1594"/>
      <c r="K61" s="1594"/>
      <c r="L61" s="1594"/>
      <c r="M61" s="1594"/>
      <c r="N61" s="1594"/>
      <c r="O61" s="1594"/>
      <c r="P61" s="1594"/>
      <c r="Q61" s="1594"/>
      <c r="R61" s="1594"/>
      <c r="S61" s="1594"/>
      <c r="T61" s="1594"/>
      <c r="U61" s="1594"/>
      <c r="V61" s="1594"/>
      <c r="W61" s="1594"/>
      <c r="X61" s="1594"/>
      <c r="Y61" s="1594"/>
      <c r="Z61" s="1594"/>
    </row>
    <row r="62" ht="12.75" customHeight="1">
      <c r="A62" s="1594"/>
      <c r="B62" s="1594"/>
      <c r="C62" s="1594"/>
      <c r="D62" s="1594"/>
      <c r="E62" s="1594"/>
      <c r="F62" s="1594"/>
      <c r="G62" s="1594"/>
      <c r="H62" s="1594"/>
      <c r="I62" s="1594"/>
      <c r="J62" s="1594"/>
      <c r="K62" s="1594"/>
      <c r="L62" s="1594"/>
      <c r="M62" s="1594"/>
      <c r="N62" s="1594"/>
      <c r="O62" s="1594"/>
      <c r="P62" s="1594"/>
      <c r="Q62" s="1594"/>
      <c r="R62" s="1594"/>
      <c r="S62" s="1594"/>
      <c r="T62" s="1594"/>
      <c r="U62" s="1594"/>
      <c r="V62" s="1594"/>
      <c r="W62" s="1594"/>
      <c r="X62" s="1594"/>
      <c r="Y62" s="1594"/>
      <c r="Z62" s="1594"/>
    </row>
    <row r="63" ht="12.75" customHeight="1">
      <c r="A63" s="1594"/>
      <c r="B63" s="1594"/>
      <c r="C63" s="1594"/>
      <c r="D63" s="1594"/>
      <c r="E63" s="1594"/>
      <c r="F63" s="1594"/>
      <c r="G63" s="1594"/>
      <c r="H63" s="1594"/>
      <c r="I63" s="1594"/>
      <c r="J63" s="1594"/>
      <c r="K63" s="1594"/>
      <c r="L63" s="1594"/>
      <c r="M63" s="1594"/>
      <c r="N63" s="1594"/>
      <c r="O63" s="1594"/>
      <c r="P63" s="1594"/>
      <c r="Q63" s="1594"/>
      <c r="R63" s="1594"/>
      <c r="S63" s="1594"/>
      <c r="T63" s="1594"/>
      <c r="U63" s="1594"/>
      <c r="V63" s="1594"/>
      <c r="W63" s="1594"/>
      <c r="X63" s="1594"/>
      <c r="Y63" s="1594"/>
      <c r="Z63" s="1594"/>
    </row>
    <row r="64" ht="12.75" customHeight="1">
      <c r="A64" s="1594"/>
      <c r="B64" s="1594"/>
      <c r="C64" s="1594"/>
      <c r="D64" s="1594"/>
      <c r="E64" s="1594"/>
      <c r="F64" s="1594"/>
      <c r="G64" s="1594"/>
      <c r="H64" s="1594"/>
      <c r="I64" s="1594"/>
      <c r="J64" s="1594"/>
      <c r="K64" s="1594"/>
      <c r="L64" s="1594"/>
      <c r="M64" s="1594"/>
      <c r="N64" s="1594"/>
      <c r="O64" s="1594"/>
      <c r="P64" s="1594"/>
      <c r="Q64" s="1594"/>
      <c r="R64" s="1594"/>
      <c r="S64" s="1594"/>
      <c r="T64" s="1594"/>
      <c r="U64" s="1594"/>
      <c r="V64" s="1594"/>
      <c r="W64" s="1594"/>
      <c r="X64" s="1594"/>
      <c r="Y64" s="1594"/>
      <c r="Z64" s="1594"/>
    </row>
    <row r="65" ht="12.75" customHeight="1">
      <c r="A65" s="1594"/>
      <c r="B65" s="1594"/>
      <c r="C65" s="1594"/>
      <c r="D65" s="1594"/>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row>
    <row r="66" ht="12.75" customHeight="1">
      <c r="A66" s="1594"/>
      <c r="B66" s="1594"/>
      <c r="C66" s="1594"/>
      <c r="D66" s="1594"/>
      <c r="E66" s="1594"/>
      <c r="F66" s="1594"/>
      <c r="G66" s="1594"/>
      <c r="H66" s="1594"/>
      <c r="I66" s="1594"/>
      <c r="J66" s="1594"/>
      <c r="K66" s="1594"/>
      <c r="L66" s="1594"/>
      <c r="M66" s="1594"/>
      <c r="N66" s="1594"/>
      <c r="O66" s="1594"/>
      <c r="P66" s="1594"/>
      <c r="Q66" s="1594"/>
      <c r="R66" s="1594"/>
      <c r="S66" s="1594"/>
      <c r="T66" s="1594"/>
      <c r="U66" s="1594"/>
      <c r="V66" s="1594"/>
      <c r="W66" s="1594"/>
      <c r="X66" s="1594"/>
      <c r="Y66" s="1594"/>
      <c r="Z66" s="1594"/>
    </row>
    <row r="67" ht="12.75" customHeight="1">
      <c r="A67" s="1594"/>
      <c r="B67" s="1594"/>
      <c r="C67" s="1594"/>
      <c r="D67" s="1594"/>
      <c r="E67" s="1594"/>
      <c r="F67" s="1594"/>
      <c r="G67" s="1594"/>
      <c r="H67" s="1594"/>
      <c r="I67" s="1594"/>
      <c r="J67" s="1594"/>
      <c r="K67" s="1594"/>
      <c r="L67" s="1594"/>
      <c r="M67" s="1594"/>
      <c r="N67" s="1594"/>
      <c r="O67" s="1594"/>
      <c r="P67" s="1594"/>
      <c r="Q67" s="1594"/>
      <c r="R67" s="1594"/>
      <c r="S67" s="1594"/>
      <c r="T67" s="1594"/>
      <c r="U67" s="1594"/>
      <c r="V67" s="1594"/>
      <c r="W67" s="1594"/>
      <c r="X67" s="1594"/>
      <c r="Y67" s="1594"/>
      <c r="Z67" s="1594"/>
    </row>
    <row r="68" ht="12.75" customHeight="1">
      <c r="A68" s="1594"/>
      <c r="B68" s="1594"/>
      <c r="C68" s="1594"/>
      <c r="D68" s="1594"/>
      <c r="E68" s="1594"/>
      <c r="F68" s="1594"/>
      <c r="G68" s="1594"/>
      <c r="H68" s="1594"/>
      <c r="I68" s="1594"/>
      <c r="J68" s="1594"/>
      <c r="K68" s="1594"/>
      <c r="L68" s="1594"/>
      <c r="M68" s="1594"/>
      <c r="N68" s="1594"/>
      <c r="O68" s="1594"/>
      <c r="P68" s="1594"/>
      <c r="Q68" s="1594"/>
      <c r="R68" s="1594"/>
      <c r="S68" s="1594"/>
      <c r="T68" s="1594"/>
      <c r="U68" s="1594"/>
      <c r="V68" s="1594"/>
      <c r="W68" s="1594"/>
      <c r="X68" s="1594"/>
      <c r="Y68" s="1594"/>
      <c r="Z68" s="1594"/>
    </row>
    <row r="69" ht="12.75" customHeight="1">
      <c r="A69" s="1594"/>
      <c r="B69" s="1594"/>
      <c r="C69" s="1594"/>
      <c r="D69" s="1594"/>
      <c r="E69" s="1594"/>
      <c r="F69" s="1594"/>
      <c r="G69" s="1594"/>
      <c r="H69" s="1594"/>
      <c r="I69" s="1594"/>
      <c r="J69" s="1594"/>
      <c r="K69" s="1594"/>
      <c r="L69" s="1594"/>
      <c r="M69" s="1594"/>
      <c r="N69" s="1594"/>
      <c r="O69" s="1594"/>
      <c r="P69" s="1594"/>
      <c r="Q69" s="1594"/>
      <c r="R69" s="1594"/>
      <c r="S69" s="1594"/>
      <c r="T69" s="1594"/>
      <c r="U69" s="1594"/>
      <c r="V69" s="1594"/>
      <c r="W69" s="1594"/>
      <c r="X69" s="1594"/>
      <c r="Y69" s="1594"/>
      <c r="Z69" s="1594"/>
    </row>
    <row r="70" ht="12.75" customHeight="1">
      <c r="A70" s="1594"/>
      <c r="B70" s="1594"/>
      <c r="C70" s="1594"/>
      <c r="D70" s="1594"/>
      <c r="E70" s="1594"/>
      <c r="F70" s="1594"/>
      <c r="G70" s="1594"/>
      <c r="H70" s="1594"/>
      <c r="I70" s="1594"/>
      <c r="J70" s="1594"/>
      <c r="K70" s="1594"/>
      <c r="L70" s="1594"/>
      <c r="M70" s="1594"/>
      <c r="N70" s="1594"/>
      <c r="O70" s="1594"/>
      <c r="P70" s="1594"/>
      <c r="Q70" s="1594"/>
      <c r="R70" s="1594"/>
      <c r="S70" s="1594"/>
      <c r="T70" s="1594"/>
      <c r="U70" s="1594"/>
      <c r="V70" s="1594"/>
      <c r="W70" s="1594"/>
      <c r="X70" s="1594"/>
      <c r="Y70" s="1594"/>
      <c r="Z70" s="1594"/>
    </row>
    <row r="71" ht="12.75" customHeight="1">
      <c r="A71" s="1594"/>
      <c r="B71" s="1594"/>
      <c r="C71" s="1594"/>
      <c r="D71" s="1594"/>
      <c r="E71" s="1594"/>
      <c r="F71" s="1594"/>
      <c r="G71" s="1594"/>
      <c r="H71" s="1594"/>
      <c r="I71" s="1594"/>
      <c r="J71" s="1594"/>
      <c r="K71" s="1594"/>
      <c r="L71" s="1594"/>
      <c r="M71" s="1594"/>
      <c r="N71" s="1594"/>
      <c r="O71" s="1594"/>
      <c r="P71" s="1594"/>
      <c r="Q71" s="1594"/>
      <c r="R71" s="1594"/>
      <c r="S71" s="1594"/>
      <c r="T71" s="1594"/>
      <c r="U71" s="1594"/>
      <c r="V71" s="1594"/>
      <c r="W71" s="1594"/>
      <c r="X71" s="1594"/>
      <c r="Y71" s="1594"/>
      <c r="Z71" s="1594"/>
    </row>
    <row r="72" ht="12.75" customHeight="1">
      <c r="A72" s="1594"/>
      <c r="B72" s="1594"/>
      <c r="C72" s="1594"/>
      <c r="D72" s="1594"/>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row>
    <row r="73" ht="12.75" customHeight="1">
      <c r="A73" s="1594"/>
      <c r="B73" s="1594"/>
      <c r="C73" s="1594"/>
      <c r="D73" s="1594"/>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row>
    <row r="74" ht="12.75" customHeight="1">
      <c r="A74" s="1594"/>
      <c r="B74" s="1594"/>
      <c r="C74" s="1594"/>
      <c r="D74" s="1594"/>
      <c r="E74" s="1594"/>
      <c r="F74" s="1594"/>
      <c r="G74" s="1594"/>
      <c r="H74" s="1594"/>
      <c r="I74" s="1594"/>
      <c r="J74" s="1594"/>
      <c r="K74" s="1594"/>
      <c r="L74" s="1594"/>
      <c r="M74" s="1594"/>
      <c r="N74" s="1594"/>
      <c r="O74" s="1594"/>
      <c r="P74" s="1594"/>
      <c r="Q74" s="1594"/>
      <c r="R74" s="1594"/>
      <c r="S74" s="1594"/>
      <c r="T74" s="1594"/>
      <c r="U74" s="1594"/>
      <c r="V74" s="1594"/>
      <c r="W74" s="1594"/>
      <c r="X74" s="1594"/>
      <c r="Y74" s="1594"/>
      <c r="Z74" s="1594"/>
    </row>
    <row r="75" ht="12.75" customHeight="1">
      <c r="A75" s="1594"/>
      <c r="B75" s="1594"/>
      <c r="C75" s="1594"/>
      <c r="D75" s="1594"/>
      <c r="E75" s="1594"/>
      <c r="F75" s="1594"/>
      <c r="G75" s="1594"/>
      <c r="H75" s="1594"/>
      <c r="I75" s="1594"/>
      <c r="J75" s="1594"/>
      <c r="K75" s="1594"/>
      <c r="L75" s="1594"/>
      <c r="M75" s="1594"/>
      <c r="N75" s="1594"/>
      <c r="O75" s="1594"/>
      <c r="P75" s="1594"/>
      <c r="Q75" s="1594"/>
      <c r="R75" s="1594"/>
      <c r="S75" s="1594"/>
      <c r="T75" s="1594"/>
      <c r="U75" s="1594"/>
      <c r="V75" s="1594"/>
      <c r="W75" s="1594"/>
      <c r="X75" s="1594"/>
      <c r="Y75" s="1594"/>
      <c r="Z75" s="1594"/>
    </row>
    <row r="76" ht="12.75" customHeight="1">
      <c r="A76" s="1594"/>
      <c r="B76" s="1594"/>
      <c r="C76" s="1594"/>
      <c r="D76" s="1594"/>
      <c r="E76" s="1594"/>
      <c r="F76" s="1594"/>
      <c r="G76" s="1594"/>
      <c r="H76" s="1594"/>
      <c r="I76" s="1594"/>
      <c r="J76" s="1594"/>
      <c r="K76" s="1594"/>
      <c r="L76" s="1594"/>
      <c r="M76" s="1594"/>
      <c r="N76" s="1594"/>
      <c r="O76" s="1594"/>
      <c r="P76" s="1594"/>
      <c r="Q76" s="1594"/>
      <c r="R76" s="1594"/>
      <c r="S76" s="1594"/>
      <c r="T76" s="1594"/>
      <c r="U76" s="1594"/>
      <c r="V76" s="1594"/>
      <c r="W76" s="1594"/>
      <c r="X76" s="1594"/>
      <c r="Y76" s="1594"/>
      <c r="Z76" s="1594"/>
    </row>
    <row r="77" ht="12.75" customHeight="1">
      <c r="A77" s="1594"/>
      <c r="B77" s="1594"/>
      <c r="C77" s="1594"/>
      <c r="D77" s="1594"/>
      <c r="E77" s="1594"/>
      <c r="F77" s="1594"/>
      <c r="G77" s="1594"/>
      <c r="H77" s="1594"/>
      <c r="I77" s="1594"/>
      <c r="J77" s="1594"/>
      <c r="K77" s="1594"/>
      <c r="L77" s="1594"/>
      <c r="M77" s="1594"/>
      <c r="N77" s="1594"/>
      <c r="O77" s="1594"/>
      <c r="P77" s="1594"/>
      <c r="Q77" s="1594"/>
      <c r="R77" s="1594"/>
      <c r="S77" s="1594"/>
      <c r="T77" s="1594"/>
      <c r="U77" s="1594"/>
      <c r="V77" s="1594"/>
      <c r="W77" s="1594"/>
      <c r="X77" s="1594"/>
      <c r="Y77" s="1594"/>
      <c r="Z77" s="1594"/>
    </row>
    <row r="78" ht="12.75" customHeight="1">
      <c r="A78" s="1594"/>
      <c r="B78" s="1594"/>
      <c r="C78" s="1594"/>
      <c r="D78" s="1594"/>
      <c r="E78" s="1594"/>
      <c r="F78" s="1594"/>
      <c r="G78" s="1594"/>
      <c r="H78" s="1594"/>
      <c r="I78" s="1594"/>
      <c r="J78" s="1594"/>
      <c r="K78" s="1594"/>
      <c r="L78" s="1594"/>
      <c r="M78" s="1594"/>
      <c r="N78" s="1594"/>
      <c r="O78" s="1594"/>
      <c r="P78" s="1594"/>
      <c r="Q78" s="1594"/>
      <c r="R78" s="1594"/>
      <c r="S78" s="1594"/>
      <c r="T78" s="1594"/>
      <c r="U78" s="1594"/>
      <c r="V78" s="1594"/>
      <c r="W78" s="1594"/>
      <c r="X78" s="1594"/>
      <c r="Y78" s="1594"/>
      <c r="Z78" s="1594"/>
    </row>
    <row r="79" ht="12.75" customHeight="1">
      <c r="A79" s="1594"/>
      <c r="B79" s="1594"/>
      <c r="C79" s="1594"/>
      <c r="D79" s="1594"/>
      <c r="E79" s="1594"/>
      <c r="F79" s="1594"/>
      <c r="G79" s="1594"/>
      <c r="H79" s="1594"/>
      <c r="I79" s="1594"/>
      <c r="J79" s="1594"/>
      <c r="K79" s="1594"/>
      <c r="L79" s="1594"/>
      <c r="M79" s="1594"/>
      <c r="N79" s="1594"/>
      <c r="O79" s="1594"/>
      <c r="P79" s="1594"/>
      <c r="Q79" s="1594"/>
      <c r="R79" s="1594"/>
      <c r="S79" s="1594"/>
      <c r="T79" s="1594"/>
      <c r="U79" s="1594"/>
      <c r="V79" s="1594"/>
      <c r="W79" s="1594"/>
      <c r="X79" s="1594"/>
      <c r="Y79" s="1594"/>
      <c r="Z79" s="1594"/>
    </row>
    <row r="80" ht="12.75" customHeight="1">
      <c r="A80" s="1594"/>
      <c r="B80" s="1594"/>
      <c r="C80" s="1594"/>
      <c r="D80" s="1594"/>
      <c r="E80" s="1594"/>
      <c r="F80" s="1594"/>
      <c r="G80" s="1594"/>
      <c r="H80" s="1594"/>
      <c r="I80" s="1594"/>
      <c r="J80" s="1594"/>
      <c r="K80" s="1594"/>
      <c r="L80" s="1594"/>
      <c r="M80" s="1594"/>
      <c r="N80" s="1594"/>
      <c r="O80" s="1594"/>
      <c r="P80" s="1594"/>
      <c r="Q80" s="1594"/>
      <c r="R80" s="1594"/>
      <c r="S80" s="1594"/>
      <c r="T80" s="1594"/>
      <c r="U80" s="1594"/>
      <c r="V80" s="1594"/>
      <c r="W80" s="1594"/>
      <c r="X80" s="1594"/>
      <c r="Y80" s="1594"/>
      <c r="Z80" s="1594"/>
    </row>
    <row r="81" ht="12.75" customHeight="1">
      <c r="A81" s="1594"/>
      <c r="B81" s="1594"/>
      <c r="C81" s="1594"/>
      <c r="D81" s="1594"/>
      <c r="E81" s="1594"/>
      <c r="F81" s="1594"/>
      <c r="G81" s="1594"/>
      <c r="H81" s="1594"/>
      <c r="I81" s="1594"/>
      <c r="J81" s="1594"/>
      <c r="K81" s="1594"/>
      <c r="L81" s="1594"/>
      <c r="M81" s="1594"/>
      <c r="N81" s="1594"/>
      <c r="O81" s="1594"/>
      <c r="P81" s="1594"/>
      <c r="Q81" s="1594"/>
      <c r="R81" s="1594"/>
      <c r="S81" s="1594"/>
      <c r="T81" s="1594"/>
      <c r="U81" s="1594"/>
      <c r="V81" s="1594"/>
      <c r="W81" s="1594"/>
      <c r="X81" s="1594"/>
      <c r="Y81" s="1594"/>
      <c r="Z81" s="1594"/>
    </row>
    <row r="82" ht="12.75" customHeight="1">
      <c r="A82" s="1594"/>
      <c r="B82" s="1594"/>
      <c r="C82" s="1594"/>
      <c r="D82" s="1594"/>
      <c r="E82" s="1594"/>
      <c r="F82" s="1594"/>
      <c r="G82" s="1594"/>
      <c r="H82" s="1594"/>
      <c r="I82" s="1594"/>
      <c r="J82" s="1594"/>
      <c r="K82" s="1594"/>
      <c r="L82" s="1594"/>
      <c r="M82" s="1594"/>
      <c r="N82" s="1594"/>
      <c r="O82" s="1594"/>
      <c r="P82" s="1594"/>
      <c r="Q82" s="1594"/>
      <c r="R82" s="1594"/>
      <c r="S82" s="1594"/>
      <c r="T82" s="1594"/>
      <c r="U82" s="1594"/>
      <c r="V82" s="1594"/>
      <c r="W82" s="1594"/>
      <c r="X82" s="1594"/>
      <c r="Y82" s="1594"/>
      <c r="Z82" s="1594"/>
    </row>
    <row r="83" ht="12.75" customHeight="1">
      <c r="A83" s="1594"/>
      <c r="B83" s="1594"/>
      <c r="C83" s="1594"/>
      <c r="D83" s="1594"/>
      <c r="E83" s="1594"/>
      <c r="F83" s="1594"/>
      <c r="G83" s="1594"/>
      <c r="H83" s="1594"/>
      <c r="I83" s="1594"/>
      <c r="J83" s="1594"/>
      <c r="K83" s="1594"/>
      <c r="L83" s="1594"/>
      <c r="M83" s="1594"/>
      <c r="N83" s="1594"/>
      <c r="O83" s="1594"/>
      <c r="P83" s="1594"/>
      <c r="Q83" s="1594"/>
      <c r="R83" s="1594"/>
      <c r="S83" s="1594"/>
      <c r="T83" s="1594"/>
      <c r="U83" s="1594"/>
      <c r="V83" s="1594"/>
      <c r="W83" s="1594"/>
      <c r="X83" s="1594"/>
      <c r="Y83" s="1594"/>
      <c r="Z83" s="1594"/>
    </row>
    <row r="84" ht="12.75" customHeight="1">
      <c r="A84" s="1594"/>
      <c r="B84" s="1594"/>
      <c r="C84" s="1594"/>
      <c r="D84" s="1594"/>
      <c r="E84" s="1594"/>
      <c r="F84" s="1594"/>
      <c r="G84" s="1594"/>
      <c r="H84" s="1594"/>
      <c r="I84" s="1594"/>
      <c r="J84" s="1594"/>
      <c r="K84" s="1594"/>
      <c r="L84" s="1594"/>
      <c r="M84" s="1594"/>
      <c r="N84" s="1594"/>
      <c r="O84" s="1594"/>
      <c r="P84" s="1594"/>
      <c r="Q84" s="1594"/>
      <c r="R84" s="1594"/>
      <c r="S84" s="1594"/>
      <c r="T84" s="1594"/>
      <c r="U84" s="1594"/>
      <c r="V84" s="1594"/>
      <c r="W84" s="1594"/>
      <c r="X84" s="1594"/>
      <c r="Y84" s="1594"/>
      <c r="Z84" s="1594"/>
    </row>
    <row r="85" ht="12.75" customHeight="1">
      <c r="A85" s="1594"/>
      <c r="B85" s="1594"/>
      <c r="C85" s="1594"/>
      <c r="D85" s="1594"/>
      <c r="E85" s="1594"/>
      <c r="F85" s="1594"/>
      <c r="G85" s="1594"/>
      <c r="H85" s="1594"/>
      <c r="I85" s="1594"/>
      <c r="J85" s="1594"/>
      <c r="K85" s="1594"/>
      <c r="L85" s="1594"/>
      <c r="M85" s="1594"/>
      <c r="N85" s="1594"/>
      <c r="O85" s="1594"/>
      <c r="P85" s="1594"/>
      <c r="Q85" s="1594"/>
      <c r="R85" s="1594"/>
      <c r="S85" s="1594"/>
      <c r="T85" s="1594"/>
      <c r="U85" s="1594"/>
      <c r="V85" s="1594"/>
      <c r="W85" s="1594"/>
      <c r="X85" s="1594"/>
      <c r="Y85" s="1594"/>
      <c r="Z85" s="1594"/>
    </row>
    <row r="86" ht="12.75" customHeight="1">
      <c r="A86" s="1594"/>
      <c r="B86" s="1594"/>
      <c r="C86" s="1594"/>
      <c r="D86" s="1594"/>
      <c r="E86" s="1594"/>
      <c r="F86" s="1594"/>
      <c r="G86" s="1594"/>
      <c r="H86" s="1594"/>
      <c r="I86" s="1594"/>
      <c r="J86" s="1594"/>
      <c r="K86" s="1594"/>
      <c r="L86" s="1594"/>
      <c r="M86" s="1594"/>
      <c r="N86" s="1594"/>
      <c r="O86" s="1594"/>
      <c r="P86" s="1594"/>
      <c r="Q86" s="1594"/>
      <c r="R86" s="1594"/>
      <c r="S86" s="1594"/>
      <c r="T86" s="1594"/>
      <c r="U86" s="1594"/>
      <c r="V86" s="1594"/>
      <c r="W86" s="1594"/>
      <c r="X86" s="1594"/>
      <c r="Y86" s="1594"/>
      <c r="Z86" s="1594"/>
    </row>
    <row r="87" ht="12.75" customHeight="1">
      <c r="A87" s="1594"/>
      <c r="B87" s="1594"/>
      <c r="C87" s="1594"/>
      <c r="D87" s="1594"/>
      <c r="E87" s="1594"/>
      <c r="F87" s="1594"/>
      <c r="G87" s="1594"/>
      <c r="H87" s="1594"/>
      <c r="I87" s="1594"/>
      <c r="J87" s="1594"/>
      <c r="K87" s="1594"/>
      <c r="L87" s="1594"/>
      <c r="M87" s="1594"/>
      <c r="N87" s="1594"/>
      <c r="O87" s="1594"/>
      <c r="P87" s="1594"/>
      <c r="Q87" s="1594"/>
      <c r="R87" s="1594"/>
      <c r="S87" s="1594"/>
      <c r="T87" s="1594"/>
      <c r="U87" s="1594"/>
      <c r="V87" s="1594"/>
      <c r="W87" s="1594"/>
      <c r="X87" s="1594"/>
      <c r="Y87" s="1594"/>
      <c r="Z87" s="1594"/>
    </row>
    <row r="88" ht="12.75" customHeight="1">
      <c r="A88" s="1594"/>
      <c r="B88" s="1594"/>
      <c r="C88" s="1594"/>
      <c r="D88" s="1594"/>
      <c r="E88" s="1594"/>
      <c r="F88" s="1594"/>
      <c r="G88" s="1594"/>
      <c r="H88" s="1594"/>
      <c r="I88" s="1594"/>
      <c r="J88" s="1594"/>
      <c r="K88" s="1594"/>
      <c r="L88" s="1594"/>
      <c r="M88" s="1594"/>
      <c r="N88" s="1594"/>
      <c r="O88" s="1594"/>
      <c r="P88" s="1594"/>
      <c r="Q88" s="1594"/>
      <c r="R88" s="1594"/>
      <c r="S88" s="1594"/>
      <c r="T88" s="1594"/>
      <c r="U88" s="1594"/>
      <c r="V88" s="1594"/>
      <c r="W88" s="1594"/>
      <c r="X88" s="1594"/>
      <c r="Y88" s="1594"/>
      <c r="Z88" s="1594"/>
    </row>
    <row r="89" ht="12.75" customHeight="1">
      <c r="A89" s="1594"/>
      <c r="B89" s="1594"/>
      <c r="C89" s="1594"/>
      <c r="D89" s="1594"/>
      <c r="E89" s="1594"/>
      <c r="F89" s="1594"/>
      <c r="G89" s="1594"/>
      <c r="H89" s="1594"/>
      <c r="I89" s="1594"/>
      <c r="J89" s="1594"/>
      <c r="K89" s="1594"/>
      <c r="L89" s="1594"/>
      <c r="M89" s="1594"/>
      <c r="N89" s="1594"/>
      <c r="O89" s="1594"/>
      <c r="P89" s="1594"/>
      <c r="Q89" s="1594"/>
      <c r="R89" s="1594"/>
      <c r="S89" s="1594"/>
      <c r="T89" s="1594"/>
      <c r="U89" s="1594"/>
      <c r="V89" s="1594"/>
      <c r="W89" s="1594"/>
      <c r="X89" s="1594"/>
      <c r="Y89" s="1594"/>
      <c r="Z89" s="1594"/>
    </row>
    <row r="90" ht="12.75" customHeight="1">
      <c r="A90" s="1594"/>
      <c r="B90" s="1594"/>
      <c r="C90" s="1594"/>
      <c r="D90" s="1594"/>
      <c r="E90" s="1594"/>
      <c r="F90" s="1594"/>
      <c r="G90" s="1594"/>
      <c r="H90" s="1594"/>
      <c r="I90" s="1594"/>
      <c r="J90" s="1594"/>
      <c r="K90" s="1594"/>
      <c r="L90" s="1594"/>
      <c r="M90" s="1594"/>
      <c r="N90" s="1594"/>
      <c r="O90" s="1594"/>
      <c r="P90" s="1594"/>
      <c r="Q90" s="1594"/>
      <c r="R90" s="1594"/>
      <c r="S90" s="1594"/>
      <c r="T90" s="1594"/>
      <c r="U90" s="1594"/>
      <c r="V90" s="1594"/>
      <c r="W90" s="1594"/>
      <c r="X90" s="1594"/>
      <c r="Y90" s="1594"/>
      <c r="Z90" s="1594"/>
    </row>
    <row r="91" ht="12.75" customHeight="1">
      <c r="A91" s="1594"/>
      <c r="B91" s="1594"/>
      <c r="C91" s="1594"/>
      <c r="D91" s="1594"/>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row>
    <row r="92" ht="12.75" customHeight="1">
      <c r="A92" s="1594"/>
      <c r="B92" s="1594"/>
      <c r="C92" s="1594"/>
      <c r="D92" s="1594"/>
      <c r="E92" s="1594"/>
      <c r="F92" s="1594"/>
      <c r="G92" s="1594"/>
      <c r="H92" s="1594"/>
      <c r="I92" s="1594"/>
      <c r="J92" s="1594"/>
      <c r="K92" s="1594"/>
      <c r="L92" s="1594"/>
      <c r="M92" s="1594"/>
      <c r="N92" s="1594"/>
      <c r="O92" s="1594"/>
      <c r="P92" s="1594"/>
      <c r="Q92" s="1594"/>
      <c r="R92" s="1594"/>
      <c r="S92" s="1594"/>
      <c r="T92" s="1594"/>
      <c r="U92" s="1594"/>
      <c r="V92" s="1594"/>
      <c r="W92" s="1594"/>
      <c r="X92" s="1594"/>
      <c r="Y92" s="1594"/>
      <c r="Z92" s="1594"/>
    </row>
    <row r="93" ht="12.75" customHeight="1">
      <c r="A93" s="1594"/>
      <c r="B93" s="1594"/>
      <c r="C93" s="1594"/>
      <c r="D93" s="1594"/>
      <c r="E93" s="1594"/>
      <c r="F93" s="1594"/>
      <c r="G93" s="1594"/>
      <c r="H93" s="1594"/>
      <c r="I93" s="1594"/>
      <c r="J93" s="1594"/>
      <c r="K93" s="1594"/>
      <c r="L93" s="1594"/>
      <c r="M93" s="1594"/>
      <c r="N93" s="1594"/>
      <c r="O93" s="1594"/>
      <c r="P93" s="1594"/>
      <c r="Q93" s="1594"/>
      <c r="R93" s="1594"/>
      <c r="S93" s="1594"/>
      <c r="T93" s="1594"/>
      <c r="U93" s="1594"/>
      <c r="V93" s="1594"/>
      <c r="W93" s="1594"/>
      <c r="X93" s="1594"/>
      <c r="Y93" s="1594"/>
      <c r="Z93" s="1594"/>
    </row>
    <row r="94" ht="12.75" customHeight="1">
      <c r="A94" s="1594"/>
      <c r="B94" s="1594"/>
      <c r="C94" s="1594"/>
      <c r="D94" s="1594"/>
      <c r="E94" s="1594"/>
      <c r="F94" s="1594"/>
      <c r="G94" s="1594"/>
      <c r="H94" s="1594"/>
      <c r="I94" s="1594"/>
      <c r="J94" s="1594"/>
      <c r="K94" s="1594"/>
      <c r="L94" s="1594"/>
      <c r="M94" s="1594"/>
      <c r="N94" s="1594"/>
      <c r="O94" s="1594"/>
      <c r="P94" s="1594"/>
      <c r="Q94" s="1594"/>
      <c r="R94" s="1594"/>
      <c r="S94" s="1594"/>
      <c r="T94" s="1594"/>
      <c r="U94" s="1594"/>
      <c r="V94" s="1594"/>
      <c r="W94" s="1594"/>
      <c r="X94" s="1594"/>
      <c r="Y94" s="1594"/>
      <c r="Z94" s="1594"/>
    </row>
    <row r="95" ht="12.75" customHeight="1">
      <c r="A95" s="1594"/>
      <c r="B95" s="1594"/>
      <c r="C95" s="1594"/>
      <c r="D95" s="1594"/>
      <c r="E95" s="1594"/>
      <c r="F95" s="1594"/>
      <c r="G95" s="1594"/>
      <c r="H95" s="1594"/>
      <c r="I95" s="1594"/>
      <c r="J95" s="1594"/>
      <c r="K95" s="1594"/>
      <c r="L95" s="1594"/>
      <c r="M95" s="1594"/>
      <c r="N95" s="1594"/>
      <c r="O95" s="1594"/>
      <c r="P95" s="1594"/>
      <c r="Q95" s="1594"/>
      <c r="R95" s="1594"/>
      <c r="S95" s="1594"/>
      <c r="T95" s="1594"/>
      <c r="U95" s="1594"/>
      <c r="V95" s="1594"/>
      <c r="W95" s="1594"/>
      <c r="X95" s="1594"/>
      <c r="Y95" s="1594"/>
      <c r="Z95" s="1594"/>
    </row>
    <row r="96" ht="12.75" customHeight="1">
      <c r="A96" s="1594"/>
      <c r="B96" s="1594"/>
      <c r="C96" s="1594"/>
      <c r="D96" s="1594"/>
      <c r="E96" s="1594"/>
      <c r="F96" s="1594"/>
      <c r="G96" s="1594"/>
      <c r="H96" s="1594"/>
      <c r="I96" s="1594"/>
      <c r="J96" s="1594"/>
      <c r="K96" s="1594"/>
      <c r="L96" s="1594"/>
      <c r="M96" s="1594"/>
      <c r="N96" s="1594"/>
      <c r="O96" s="1594"/>
      <c r="P96" s="1594"/>
      <c r="Q96" s="1594"/>
      <c r="R96" s="1594"/>
      <c r="S96" s="1594"/>
      <c r="T96" s="1594"/>
      <c r="U96" s="1594"/>
      <c r="V96" s="1594"/>
      <c r="W96" s="1594"/>
      <c r="X96" s="1594"/>
      <c r="Y96" s="1594"/>
      <c r="Z96" s="1594"/>
    </row>
    <row r="97" ht="12.75" customHeight="1">
      <c r="A97" s="1594"/>
      <c r="B97" s="1594"/>
      <c r="C97" s="1594"/>
      <c r="D97" s="1594"/>
      <c r="E97" s="1594"/>
      <c r="F97" s="1594"/>
      <c r="G97" s="1594"/>
      <c r="H97" s="1594"/>
      <c r="I97" s="1594"/>
      <c r="J97" s="1594"/>
      <c r="K97" s="1594"/>
      <c r="L97" s="1594"/>
      <c r="M97" s="1594"/>
      <c r="N97" s="1594"/>
      <c r="O97" s="1594"/>
      <c r="P97" s="1594"/>
      <c r="Q97" s="1594"/>
      <c r="R97" s="1594"/>
      <c r="S97" s="1594"/>
      <c r="T97" s="1594"/>
      <c r="U97" s="1594"/>
      <c r="V97" s="1594"/>
      <c r="W97" s="1594"/>
      <c r="X97" s="1594"/>
      <c r="Y97" s="1594"/>
      <c r="Z97" s="1594"/>
    </row>
    <row r="98" ht="12.75" customHeight="1">
      <c r="A98" s="1594"/>
      <c r="B98" s="1594"/>
      <c r="C98" s="1594"/>
      <c r="D98" s="1594"/>
      <c r="E98" s="1594"/>
      <c r="F98" s="1594"/>
      <c r="G98" s="1594"/>
      <c r="H98" s="1594"/>
      <c r="I98" s="1594"/>
      <c r="J98" s="1594"/>
      <c r="K98" s="1594"/>
      <c r="L98" s="1594"/>
      <c r="M98" s="1594"/>
      <c r="N98" s="1594"/>
      <c r="O98" s="1594"/>
      <c r="P98" s="1594"/>
      <c r="Q98" s="1594"/>
      <c r="R98" s="1594"/>
      <c r="S98" s="1594"/>
      <c r="T98" s="1594"/>
      <c r="U98" s="1594"/>
      <c r="V98" s="1594"/>
      <c r="W98" s="1594"/>
      <c r="X98" s="1594"/>
      <c r="Y98" s="1594"/>
      <c r="Z98" s="1594"/>
    </row>
    <row r="99" ht="12.75" customHeight="1">
      <c r="A99" s="1594"/>
      <c r="B99" s="1594"/>
      <c r="C99" s="1594"/>
      <c r="D99" s="1594"/>
      <c r="E99" s="1594"/>
      <c r="F99" s="1594"/>
      <c r="G99" s="1594"/>
      <c r="H99" s="1594"/>
      <c r="I99" s="1594"/>
      <c r="J99" s="1594"/>
      <c r="K99" s="1594"/>
      <c r="L99" s="1594"/>
      <c r="M99" s="1594"/>
      <c r="N99" s="1594"/>
      <c r="O99" s="1594"/>
      <c r="P99" s="1594"/>
      <c r="Q99" s="1594"/>
      <c r="R99" s="1594"/>
      <c r="S99" s="1594"/>
      <c r="T99" s="1594"/>
      <c r="U99" s="1594"/>
      <c r="V99" s="1594"/>
      <c r="W99" s="1594"/>
      <c r="X99" s="1594"/>
      <c r="Y99" s="1594"/>
      <c r="Z99" s="1594"/>
    </row>
    <row r="100" ht="12.75" customHeight="1">
      <c r="A100" s="1594"/>
      <c r="B100" s="1594"/>
      <c r="C100" s="1594"/>
      <c r="D100" s="1594"/>
      <c r="E100" s="1594"/>
      <c r="F100" s="1594"/>
      <c r="G100" s="1594"/>
      <c r="H100" s="1594"/>
      <c r="I100" s="1594"/>
      <c r="J100" s="1594"/>
      <c r="K100" s="1594"/>
      <c r="L100" s="1594"/>
      <c r="M100" s="1594"/>
      <c r="N100" s="1594"/>
      <c r="O100" s="1594"/>
      <c r="P100" s="1594"/>
      <c r="Q100" s="1594"/>
      <c r="R100" s="1594"/>
      <c r="S100" s="1594"/>
      <c r="T100" s="1594"/>
      <c r="U100" s="1594"/>
      <c r="V100" s="1594"/>
      <c r="W100" s="1594"/>
      <c r="X100" s="1594"/>
      <c r="Y100" s="1594"/>
      <c r="Z100" s="1594"/>
    </row>
    <row r="101" ht="12.75" customHeight="1">
      <c r="A101" s="1594"/>
      <c r="B101" s="1594"/>
      <c r="C101" s="1594"/>
      <c r="D101" s="1594"/>
      <c r="E101" s="1594"/>
      <c r="F101" s="1594"/>
      <c r="G101" s="1594"/>
      <c r="H101" s="1594"/>
      <c r="I101" s="1594"/>
      <c r="J101" s="1594"/>
      <c r="K101" s="1594"/>
      <c r="L101" s="1594"/>
      <c r="M101" s="1594"/>
      <c r="N101" s="1594"/>
      <c r="O101" s="1594"/>
      <c r="P101" s="1594"/>
      <c r="Q101" s="1594"/>
      <c r="R101" s="1594"/>
      <c r="S101" s="1594"/>
      <c r="T101" s="1594"/>
      <c r="U101" s="1594"/>
      <c r="V101" s="1594"/>
      <c r="W101" s="1594"/>
      <c r="X101" s="1594"/>
      <c r="Y101" s="1594"/>
      <c r="Z101" s="1594"/>
    </row>
    <row r="102" ht="12.75" customHeight="1">
      <c r="A102" s="1594"/>
      <c r="B102" s="1594"/>
      <c r="C102" s="1594"/>
      <c r="D102" s="1594"/>
      <c r="E102" s="1594"/>
      <c r="F102" s="1594"/>
      <c r="G102" s="1594"/>
      <c r="H102" s="1594"/>
      <c r="I102" s="1594"/>
      <c r="J102" s="1594"/>
      <c r="K102" s="1594"/>
      <c r="L102" s="1594"/>
      <c r="M102" s="1594"/>
      <c r="N102" s="1594"/>
      <c r="O102" s="1594"/>
      <c r="P102" s="1594"/>
      <c r="Q102" s="1594"/>
      <c r="R102" s="1594"/>
      <c r="S102" s="1594"/>
      <c r="T102" s="1594"/>
      <c r="U102" s="1594"/>
      <c r="V102" s="1594"/>
      <c r="W102" s="1594"/>
      <c r="X102" s="1594"/>
      <c r="Y102" s="1594"/>
      <c r="Z102" s="1594"/>
    </row>
    <row r="103" ht="12.75" customHeight="1">
      <c r="A103" s="1594"/>
      <c r="B103" s="1594"/>
      <c r="C103" s="1594"/>
      <c r="D103" s="1594"/>
      <c r="E103" s="1594"/>
      <c r="F103" s="1594"/>
      <c r="G103" s="1594"/>
      <c r="H103" s="1594"/>
      <c r="I103" s="1594"/>
      <c r="J103" s="1594"/>
      <c r="K103" s="1594"/>
      <c r="L103" s="1594"/>
      <c r="M103" s="1594"/>
      <c r="N103" s="1594"/>
      <c r="O103" s="1594"/>
      <c r="P103" s="1594"/>
      <c r="Q103" s="1594"/>
      <c r="R103" s="1594"/>
      <c r="S103" s="1594"/>
      <c r="T103" s="1594"/>
      <c r="U103" s="1594"/>
      <c r="V103" s="1594"/>
      <c r="W103" s="1594"/>
      <c r="X103" s="1594"/>
      <c r="Y103" s="1594"/>
      <c r="Z103" s="1594"/>
    </row>
    <row r="104" ht="12.75" customHeight="1">
      <c r="A104" s="1594"/>
      <c r="B104" s="1594"/>
      <c r="C104" s="1594"/>
      <c r="D104" s="1594"/>
      <c r="E104" s="1594"/>
      <c r="F104" s="1594"/>
      <c r="G104" s="1594"/>
      <c r="H104" s="1594"/>
      <c r="I104" s="1594"/>
      <c r="J104" s="1594"/>
      <c r="K104" s="1594"/>
      <c r="L104" s="1594"/>
      <c r="M104" s="1594"/>
      <c r="N104" s="1594"/>
      <c r="O104" s="1594"/>
      <c r="P104" s="1594"/>
      <c r="Q104" s="1594"/>
      <c r="R104" s="1594"/>
      <c r="S104" s="1594"/>
      <c r="T104" s="1594"/>
      <c r="U104" s="1594"/>
      <c r="V104" s="1594"/>
      <c r="W104" s="1594"/>
      <c r="X104" s="1594"/>
      <c r="Y104" s="1594"/>
      <c r="Z104" s="1594"/>
    </row>
    <row r="105" ht="12.75" customHeight="1">
      <c r="A105" s="1594"/>
      <c r="B105" s="1594"/>
      <c r="C105" s="1594"/>
      <c r="D105" s="1594"/>
      <c r="E105" s="1594"/>
      <c r="F105" s="1594"/>
      <c r="G105" s="1594"/>
      <c r="H105" s="1594"/>
      <c r="I105" s="1594"/>
      <c r="J105" s="1594"/>
      <c r="K105" s="1594"/>
      <c r="L105" s="1594"/>
      <c r="M105" s="1594"/>
      <c r="N105" s="1594"/>
      <c r="O105" s="1594"/>
      <c r="P105" s="1594"/>
      <c r="Q105" s="1594"/>
      <c r="R105" s="1594"/>
      <c r="S105" s="1594"/>
      <c r="T105" s="1594"/>
      <c r="U105" s="1594"/>
      <c r="V105" s="1594"/>
      <c r="W105" s="1594"/>
      <c r="X105" s="1594"/>
      <c r="Y105" s="1594"/>
      <c r="Z105" s="1594"/>
    </row>
    <row r="106" ht="12.75" customHeight="1">
      <c r="A106" s="1594"/>
      <c r="B106" s="1594"/>
      <c r="C106" s="1594"/>
      <c r="D106" s="1594"/>
      <c r="E106" s="1594"/>
      <c r="F106" s="1594"/>
      <c r="G106" s="1594"/>
      <c r="H106" s="1594"/>
      <c r="I106" s="1594"/>
      <c r="J106" s="1594"/>
      <c r="K106" s="1594"/>
      <c r="L106" s="1594"/>
      <c r="M106" s="1594"/>
      <c r="N106" s="1594"/>
      <c r="O106" s="1594"/>
      <c r="P106" s="1594"/>
      <c r="Q106" s="1594"/>
      <c r="R106" s="1594"/>
      <c r="S106" s="1594"/>
      <c r="T106" s="1594"/>
      <c r="U106" s="1594"/>
      <c r="V106" s="1594"/>
      <c r="W106" s="1594"/>
      <c r="X106" s="1594"/>
      <c r="Y106" s="1594"/>
      <c r="Z106" s="1594"/>
    </row>
    <row r="107" ht="12.75" customHeight="1">
      <c r="A107" s="1594"/>
      <c r="B107" s="1594"/>
      <c r="C107" s="1594"/>
      <c r="D107" s="1594"/>
      <c r="E107" s="1594"/>
      <c r="F107" s="1594"/>
      <c r="G107" s="1594"/>
      <c r="H107" s="1594"/>
      <c r="I107" s="1594"/>
      <c r="J107" s="1594"/>
      <c r="K107" s="1594"/>
      <c r="L107" s="1594"/>
      <c r="M107" s="1594"/>
      <c r="N107" s="1594"/>
      <c r="O107" s="1594"/>
      <c r="P107" s="1594"/>
      <c r="Q107" s="1594"/>
      <c r="R107" s="1594"/>
      <c r="S107" s="1594"/>
      <c r="T107" s="1594"/>
      <c r="U107" s="1594"/>
      <c r="V107" s="1594"/>
      <c r="W107" s="1594"/>
      <c r="X107" s="1594"/>
      <c r="Y107" s="1594"/>
      <c r="Z107" s="1594"/>
    </row>
    <row r="108" ht="12.75" customHeight="1">
      <c r="A108" s="1594"/>
      <c r="B108" s="1594"/>
      <c r="C108" s="1594"/>
      <c r="D108" s="1594"/>
      <c r="E108" s="1594"/>
      <c r="F108" s="1594"/>
      <c r="G108" s="1594"/>
      <c r="H108" s="1594"/>
      <c r="I108" s="1594"/>
      <c r="J108" s="1594"/>
      <c r="K108" s="1594"/>
      <c r="L108" s="1594"/>
      <c r="M108" s="1594"/>
      <c r="N108" s="1594"/>
      <c r="O108" s="1594"/>
      <c r="P108" s="1594"/>
      <c r="Q108" s="1594"/>
      <c r="R108" s="1594"/>
      <c r="S108" s="1594"/>
      <c r="T108" s="1594"/>
      <c r="U108" s="1594"/>
      <c r="V108" s="1594"/>
      <c r="W108" s="1594"/>
      <c r="X108" s="1594"/>
      <c r="Y108" s="1594"/>
      <c r="Z108" s="1594"/>
    </row>
    <row r="109" ht="12.75" customHeight="1">
      <c r="A109" s="1594"/>
      <c r="B109" s="1594"/>
      <c r="C109" s="1594"/>
      <c r="D109" s="1594"/>
      <c r="E109" s="1594"/>
      <c r="F109" s="1594"/>
      <c r="G109" s="1594"/>
      <c r="H109" s="1594"/>
      <c r="I109" s="1594"/>
      <c r="J109" s="1594"/>
      <c r="K109" s="1594"/>
      <c r="L109" s="1594"/>
      <c r="M109" s="1594"/>
      <c r="N109" s="1594"/>
      <c r="O109" s="1594"/>
      <c r="P109" s="1594"/>
      <c r="Q109" s="1594"/>
      <c r="R109" s="1594"/>
      <c r="S109" s="1594"/>
      <c r="T109" s="1594"/>
      <c r="U109" s="1594"/>
      <c r="V109" s="1594"/>
      <c r="W109" s="1594"/>
      <c r="X109" s="1594"/>
      <c r="Y109" s="1594"/>
      <c r="Z109" s="1594"/>
    </row>
    <row r="110" ht="12.75" customHeight="1">
      <c r="A110" s="1594"/>
      <c r="B110" s="1594"/>
      <c r="C110" s="1594"/>
      <c r="D110" s="1594"/>
      <c r="E110" s="1594"/>
      <c r="F110" s="1594"/>
      <c r="G110" s="1594"/>
      <c r="H110" s="1594"/>
      <c r="I110" s="1594"/>
      <c r="J110" s="1594"/>
      <c r="K110" s="1594"/>
      <c r="L110" s="1594"/>
      <c r="M110" s="1594"/>
      <c r="N110" s="1594"/>
      <c r="O110" s="1594"/>
      <c r="P110" s="1594"/>
      <c r="Q110" s="1594"/>
      <c r="R110" s="1594"/>
      <c r="S110" s="1594"/>
      <c r="T110" s="1594"/>
      <c r="U110" s="1594"/>
      <c r="V110" s="1594"/>
      <c r="W110" s="1594"/>
      <c r="X110" s="1594"/>
      <c r="Y110" s="1594"/>
      <c r="Z110" s="1594"/>
    </row>
    <row r="111" ht="12.75" customHeight="1">
      <c r="A111" s="1594"/>
      <c r="B111" s="1594"/>
      <c r="C111" s="1594"/>
      <c r="D111" s="1594"/>
      <c r="E111" s="1594"/>
      <c r="F111" s="1594"/>
      <c r="G111" s="1594"/>
      <c r="H111" s="1594"/>
      <c r="I111" s="1594"/>
      <c r="J111" s="1594"/>
      <c r="K111" s="1594"/>
      <c r="L111" s="1594"/>
      <c r="M111" s="1594"/>
      <c r="N111" s="1594"/>
      <c r="O111" s="1594"/>
      <c r="P111" s="1594"/>
      <c r="Q111" s="1594"/>
      <c r="R111" s="1594"/>
      <c r="S111" s="1594"/>
      <c r="T111" s="1594"/>
      <c r="U111" s="1594"/>
      <c r="V111" s="1594"/>
      <c r="W111" s="1594"/>
      <c r="X111" s="1594"/>
      <c r="Y111" s="1594"/>
      <c r="Z111" s="1594"/>
    </row>
    <row r="112" ht="12.75" customHeight="1">
      <c r="A112" s="1594"/>
      <c r="B112" s="1594"/>
      <c r="C112" s="1594"/>
      <c r="D112" s="1594"/>
      <c r="E112" s="1594"/>
      <c r="F112" s="1594"/>
      <c r="G112" s="1594"/>
      <c r="H112" s="1594"/>
      <c r="I112" s="1594"/>
      <c r="J112" s="1594"/>
      <c r="K112" s="1594"/>
      <c r="L112" s="1594"/>
      <c r="M112" s="1594"/>
      <c r="N112" s="1594"/>
      <c r="O112" s="1594"/>
      <c r="P112" s="1594"/>
      <c r="Q112" s="1594"/>
      <c r="R112" s="1594"/>
      <c r="S112" s="1594"/>
      <c r="T112" s="1594"/>
      <c r="U112" s="1594"/>
      <c r="V112" s="1594"/>
      <c r="W112" s="1594"/>
      <c r="X112" s="1594"/>
      <c r="Y112" s="1594"/>
      <c r="Z112" s="1594"/>
    </row>
    <row r="113" ht="12.75" customHeight="1">
      <c r="A113" s="1594"/>
      <c r="B113" s="1594"/>
      <c r="C113" s="1594"/>
      <c r="D113" s="1594"/>
      <c r="E113" s="1594"/>
      <c r="F113" s="1594"/>
      <c r="G113" s="1594"/>
      <c r="H113" s="1594"/>
      <c r="I113" s="1594"/>
      <c r="J113" s="1594"/>
      <c r="K113" s="1594"/>
      <c r="L113" s="1594"/>
      <c r="M113" s="1594"/>
      <c r="N113" s="1594"/>
      <c r="O113" s="1594"/>
      <c r="P113" s="1594"/>
      <c r="Q113" s="1594"/>
      <c r="R113" s="1594"/>
      <c r="S113" s="1594"/>
      <c r="T113" s="1594"/>
      <c r="U113" s="1594"/>
      <c r="V113" s="1594"/>
      <c r="W113" s="1594"/>
      <c r="X113" s="1594"/>
      <c r="Y113" s="1594"/>
      <c r="Z113" s="1594"/>
    </row>
    <row r="114" ht="12.75" customHeight="1">
      <c r="A114" s="1594"/>
      <c r="B114" s="1594"/>
      <c r="C114" s="1594"/>
      <c r="D114" s="1594"/>
      <c r="E114" s="1594"/>
      <c r="F114" s="1594"/>
      <c r="G114" s="1594"/>
      <c r="H114" s="1594"/>
      <c r="I114" s="1594"/>
      <c r="J114" s="1594"/>
      <c r="K114" s="1594"/>
      <c r="L114" s="1594"/>
      <c r="M114" s="1594"/>
      <c r="N114" s="1594"/>
      <c r="O114" s="1594"/>
      <c r="P114" s="1594"/>
      <c r="Q114" s="1594"/>
      <c r="R114" s="1594"/>
      <c r="S114" s="1594"/>
      <c r="T114" s="1594"/>
      <c r="U114" s="1594"/>
      <c r="V114" s="1594"/>
      <c r="W114" s="1594"/>
      <c r="X114" s="1594"/>
      <c r="Y114" s="1594"/>
      <c r="Z114" s="1594"/>
    </row>
    <row r="115" ht="12.75" customHeight="1">
      <c r="A115" s="1594"/>
      <c r="B115" s="1594"/>
      <c r="C115" s="1594"/>
      <c r="D115" s="1594"/>
      <c r="E115" s="1594"/>
      <c r="F115" s="1594"/>
      <c r="G115" s="1594"/>
      <c r="H115" s="1594"/>
      <c r="I115" s="1594"/>
      <c r="J115" s="1594"/>
      <c r="K115" s="1594"/>
      <c r="L115" s="1594"/>
      <c r="M115" s="1594"/>
      <c r="N115" s="1594"/>
      <c r="O115" s="1594"/>
      <c r="P115" s="1594"/>
      <c r="Q115" s="1594"/>
      <c r="R115" s="1594"/>
      <c r="S115" s="1594"/>
      <c r="T115" s="1594"/>
      <c r="U115" s="1594"/>
      <c r="V115" s="1594"/>
      <c r="W115" s="1594"/>
      <c r="X115" s="1594"/>
      <c r="Y115" s="1594"/>
      <c r="Z115" s="1594"/>
    </row>
    <row r="116" ht="12.75" customHeight="1">
      <c r="A116" s="1594"/>
      <c r="B116" s="1594"/>
      <c r="C116" s="1594"/>
      <c r="D116" s="1594"/>
      <c r="E116" s="1594"/>
      <c r="F116" s="1594"/>
      <c r="G116" s="1594"/>
      <c r="H116" s="1594"/>
      <c r="I116" s="1594"/>
      <c r="J116" s="1594"/>
      <c r="K116" s="1594"/>
      <c r="L116" s="1594"/>
      <c r="M116" s="1594"/>
      <c r="N116" s="1594"/>
      <c r="O116" s="1594"/>
      <c r="P116" s="1594"/>
      <c r="Q116" s="1594"/>
      <c r="R116" s="1594"/>
      <c r="S116" s="1594"/>
      <c r="T116" s="1594"/>
      <c r="U116" s="1594"/>
      <c r="V116" s="1594"/>
      <c r="W116" s="1594"/>
      <c r="X116" s="1594"/>
      <c r="Y116" s="1594"/>
      <c r="Z116" s="1594"/>
    </row>
    <row r="117" ht="12.75" customHeight="1">
      <c r="A117" s="1594"/>
      <c r="B117" s="1594"/>
      <c r="C117" s="1594"/>
      <c r="D117" s="1594"/>
      <c r="E117" s="1594"/>
      <c r="F117" s="1594"/>
      <c r="G117" s="1594"/>
      <c r="H117" s="1594"/>
      <c r="I117" s="1594"/>
      <c r="J117" s="1594"/>
      <c r="K117" s="1594"/>
      <c r="L117" s="1594"/>
      <c r="M117" s="1594"/>
      <c r="N117" s="1594"/>
      <c r="O117" s="1594"/>
      <c r="P117" s="1594"/>
      <c r="Q117" s="1594"/>
      <c r="R117" s="1594"/>
      <c r="S117" s="1594"/>
      <c r="T117" s="1594"/>
      <c r="U117" s="1594"/>
      <c r="V117" s="1594"/>
      <c r="W117" s="1594"/>
      <c r="X117" s="1594"/>
      <c r="Y117" s="1594"/>
      <c r="Z117" s="1594"/>
    </row>
    <row r="118" ht="12.75" customHeight="1">
      <c r="A118" s="1594"/>
      <c r="B118" s="1594"/>
      <c r="C118" s="1594"/>
      <c r="D118" s="1594"/>
      <c r="E118" s="1594"/>
      <c r="F118" s="1594"/>
      <c r="G118" s="1594"/>
      <c r="H118" s="1594"/>
      <c r="I118" s="1594"/>
      <c r="J118" s="1594"/>
      <c r="K118" s="1594"/>
      <c r="L118" s="1594"/>
      <c r="M118" s="1594"/>
      <c r="N118" s="1594"/>
      <c r="O118" s="1594"/>
      <c r="P118" s="1594"/>
      <c r="Q118" s="1594"/>
      <c r="R118" s="1594"/>
      <c r="S118" s="1594"/>
      <c r="T118" s="1594"/>
      <c r="U118" s="1594"/>
      <c r="V118" s="1594"/>
      <c r="W118" s="1594"/>
      <c r="X118" s="1594"/>
      <c r="Y118" s="1594"/>
      <c r="Z118" s="1594"/>
    </row>
    <row r="119" ht="12.75" customHeight="1">
      <c r="A119" s="1594"/>
      <c r="B119" s="1594"/>
      <c r="C119" s="1594"/>
      <c r="D119" s="1594"/>
      <c r="E119" s="1594"/>
      <c r="F119" s="1594"/>
      <c r="G119" s="1594"/>
      <c r="H119" s="1594"/>
      <c r="I119" s="1594"/>
      <c r="J119" s="1594"/>
      <c r="K119" s="1594"/>
      <c r="L119" s="1594"/>
      <c r="M119" s="1594"/>
      <c r="N119" s="1594"/>
      <c r="O119" s="1594"/>
      <c r="P119" s="1594"/>
      <c r="Q119" s="1594"/>
      <c r="R119" s="1594"/>
      <c r="S119" s="1594"/>
      <c r="T119" s="1594"/>
      <c r="U119" s="1594"/>
      <c r="V119" s="1594"/>
      <c r="W119" s="1594"/>
      <c r="X119" s="1594"/>
      <c r="Y119" s="1594"/>
      <c r="Z119" s="1594"/>
    </row>
    <row r="120" ht="12.75" customHeight="1">
      <c r="A120" s="1594"/>
      <c r="B120" s="1594"/>
      <c r="C120" s="1594"/>
      <c r="D120" s="1594"/>
      <c r="E120" s="1594"/>
      <c r="F120" s="1594"/>
      <c r="G120" s="1594"/>
      <c r="H120" s="1594"/>
      <c r="I120" s="1594"/>
      <c r="J120" s="1594"/>
      <c r="K120" s="1594"/>
      <c r="L120" s="1594"/>
      <c r="M120" s="1594"/>
      <c r="N120" s="1594"/>
      <c r="O120" s="1594"/>
      <c r="P120" s="1594"/>
      <c r="Q120" s="1594"/>
      <c r="R120" s="1594"/>
      <c r="S120" s="1594"/>
      <c r="T120" s="1594"/>
      <c r="U120" s="1594"/>
      <c r="V120" s="1594"/>
      <c r="W120" s="1594"/>
      <c r="X120" s="1594"/>
      <c r="Y120" s="1594"/>
      <c r="Z120" s="1594"/>
    </row>
    <row r="121" ht="12.75" customHeight="1">
      <c r="A121" s="1594"/>
      <c r="B121" s="1594"/>
      <c r="C121" s="1594"/>
      <c r="D121" s="1594"/>
      <c r="E121" s="1594"/>
      <c r="F121" s="1594"/>
      <c r="G121" s="1594"/>
      <c r="H121" s="1594"/>
      <c r="I121" s="1594"/>
      <c r="J121" s="1594"/>
      <c r="K121" s="1594"/>
      <c r="L121" s="1594"/>
      <c r="M121" s="1594"/>
      <c r="N121" s="1594"/>
      <c r="O121" s="1594"/>
      <c r="P121" s="1594"/>
      <c r="Q121" s="1594"/>
      <c r="R121" s="1594"/>
      <c r="S121" s="1594"/>
      <c r="T121" s="1594"/>
      <c r="U121" s="1594"/>
      <c r="V121" s="1594"/>
      <c r="W121" s="1594"/>
      <c r="X121" s="1594"/>
      <c r="Y121" s="1594"/>
      <c r="Z121" s="1594"/>
    </row>
    <row r="122" ht="12.75" customHeight="1">
      <c r="A122" s="1594"/>
      <c r="B122" s="1594"/>
      <c r="C122" s="1594"/>
      <c r="D122" s="1594"/>
      <c r="E122" s="1594"/>
      <c r="F122" s="1594"/>
      <c r="G122" s="1594"/>
      <c r="H122" s="1594"/>
      <c r="I122" s="1594"/>
      <c r="J122" s="1594"/>
      <c r="K122" s="1594"/>
      <c r="L122" s="1594"/>
      <c r="M122" s="1594"/>
      <c r="N122" s="1594"/>
      <c r="O122" s="1594"/>
      <c r="P122" s="1594"/>
      <c r="Q122" s="1594"/>
      <c r="R122" s="1594"/>
      <c r="S122" s="1594"/>
      <c r="T122" s="1594"/>
      <c r="U122" s="1594"/>
      <c r="V122" s="1594"/>
      <c r="W122" s="1594"/>
      <c r="X122" s="1594"/>
      <c r="Y122" s="1594"/>
      <c r="Z122" s="1594"/>
    </row>
    <row r="123" ht="12.75" customHeight="1">
      <c r="A123" s="1594"/>
      <c r="B123" s="1594"/>
      <c r="C123" s="1594"/>
      <c r="D123" s="1594"/>
      <c r="E123" s="1594"/>
      <c r="F123" s="1594"/>
      <c r="G123" s="1594"/>
      <c r="H123" s="1594"/>
      <c r="I123" s="1594"/>
      <c r="J123" s="1594"/>
      <c r="K123" s="1594"/>
      <c r="L123" s="1594"/>
      <c r="M123" s="1594"/>
      <c r="N123" s="1594"/>
      <c r="O123" s="1594"/>
      <c r="P123" s="1594"/>
      <c r="Q123" s="1594"/>
      <c r="R123" s="1594"/>
      <c r="S123" s="1594"/>
      <c r="T123" s="1594"/>
      <c r="U123" s="1594"/>
      <c r="V123" s="1594"/>
      <c r="W123" s="1594"/>
      <c r="X123" s="1594"/>
      <c r="Y123" s="1594"/>
      <c r="Z123" s="1594"/>
    </row>
    <row r="124" ht="12.75" customHeight="1">
      <c r="A124" s="1594"/>
      <c r="B124" s="1594"/>
      <c r="C124" s="1594"/>
      <c r="D124" s="1594"/>
      <c r="E124" s="1594"/>
      <c r="F124" s="1594"/>
      <c r="G124" s="1594"/>
      <c r="H124" s="1594"/>
      <c r="I124" s="1594"/>
      <c r="J124" s="1594"/>
      <c r="K124" s="1594"/>
      <c r="L124" s="1594"/>
      <c r="M124" s="1594"/>
      <c r="N124" s="1594"/>
      <c r="O124" s="1594"/>
      <c r="P124" s="1594"/>
      <c r="Q124" s="1594"/>
      <c r="R124" s="1594"/>
      <c r="S124" s="1594"/>
      <c r="T124" s="1594"/>
      <c r="U124" s="1594"/>
      <c r="V124" s="1594"/>
      <c r="W124" s="1594"/>
      <c r="X124" s="1594"/>
      <c r="Y124" s="1594"/>
      <c r="Z124" s="1594"/>
    </row>
    <row r="125" ht="12.75" customHeight="1">
      <c r="A125" s="1594"/>
      <c r="B125" s="1594"/>
      <c r="C125" s="1594"/>
      <c r="D125" s="1594"/>
      <c r="E125" s="1594"/>
      <c r="F125" s="1594"/>
      <c r="G125" s="1594"/>
      <c r="H125" s="1594"/>
      <c r="I125" s="1594"/>
      <c r="J125" s="1594"/>
      <c r="K125" s="1594"/>
      <c r="L125" s="1594"/>
      <c r="M125" s="1594"/>
      <c r="N125" s="1594"/>
      <c r="O125" s="1594"/>
      <c r="P125" s="1594"/>
      <c r="Q125" s="1594"/>
      <c r="R125" s="1594"/>
      <c r="S125" s="1594"/>
      <c r="T125" s="1594"/>
      <c r="U125" s="1594"/>
      <c r="V125" s="1594"/>
      <c r="W125" s="1594"/>
      <c r="X125" s="1594"/>
      <c r="Y125" s="1594"/>
      <c r="Z125" s="1594"/>
    </row>
    <row r="126" ht="12.75" customHeight="1">
      <c r="A126" s="1594"/>
      <c r="B126" s="1594"/>
      <c r="C126" s="1594"/>
      <c r="D126" s="1594"/>
      <c r="E126" s="1594"/>
      <c r="F126" s="1594"/>
      <c r="G126" s="1594"/>
      <c r="H126" s="1594"/>
      <c r="I126" s="1594"/>
      <c r="J126" s="1594"/>
      <c r="K126" s="1594"/>
      <c r="L126" s="1594"/>
      <c r="M126" s="1594"/>
      <c r="N126" s="1594"/>
      <c r="O126" s="1594"/>
      <c r="P126" s="1594"/>
      <c r="Q126" s="1594"/>
      <c r="R126" s="1594"/>
      <c r="S126" s="1594"/>
      <c r="T126" s="1594"/>
      <c r="U126" s="1594"/>
      <c r="V126" s="1594"/>
      <c r="W126" s="1594"/>
      <c r="X126" s="1594"/>
      <c r="Y126" s="1594"/>
      <c r="Z126" s="1594"/>
    </row>
    <row r="127" ht="12.75" customHeight="1">
      <c r="A127" s="1594"/>
      <c r="B127" s="1594"/>
      <c r="C127" s="1594"/>
      <c r="D127" s="1594"/>
      <c r="E127" s="1594"/>
      <c r="F127" s="1594"/>
      <c r="G127" s="1594"/>
      <c r="H127" s="1594"/>
      <c r="I127" s="1594"/>
      <c r="J127" s="1594"/>
      <c r="K127" s="1594"/>
      <c r="L127" s="1594"/>
      <c r="M127" s="1594"/>
      <c r="N127" s="1594"/>
      <c r="O127" s="1594"/>
      <c r="P127" s="1594"/>
      <c r="Q127" s="1594"/>
      <c r="R127" s="1594"/>
      <c r="S127" s="1594"/>
      <c r="T127" s="1594"/>
      <c r="U127" s="1594"/>
      <c r="V127" s="1594"/>
      <c r="W127" s="1594"/>
      <c r="X127" s="1594"/>
      <c r="Y127" s="1594"/>
      <c r="Z127" s="1594"/>
    </row>
    <row r="128" ht="12.75" customHeight="1">
      <c r="A128" s="1594"/>
      <c r="B128" s="1594"/>
      <c r="C128" s="1594"/>
      <c r="D128" s="1594"/>
      <c r="E128" s="1594"/>
      <c r="F128" s="1594"/>
      <c r="G128" s="1594"/>
      <c r="H128" s="1594"/>
      <c r="I128" s="1594"/>
      <c r="J128" s="1594"/>
      <c r="K128" s="1594"/>
      <c r="L128" s="1594"/>
      <c r="M128" s="1594"/>
      <c r="N128" s="1594"/>
      <c r="O128" s="1594"/>
      <c r="P128" s="1594"/>
      <c r="Q128" s="1594"/>
      <c r="R128" s="1594"/>
      <c r="S128" s="1594"/>
      <c r="T128" s="1594"/>
      <c r="U128" s="1594"/>
      <c r="V128" s="1594"/>
      <c r="W128" s="1594"/>
      <c r="X128" s="1594"/>
      <c r="Y128" s="1594"/>
      <c r="Z128" s="1594"/>
    </row>
    <row r="129" ht="12.75" customHeight="1">
      <c r="A129" s="1594"/>
      <c r="B129" s="1594"/>
      <c r="C129" s="1594"/>
      <c r="D129" s="1594"/>
      <c r="E129" s="1594"/>
      <c r="F129" s="1594"/>
      <c r="G129" s="1594"/>
      <c r="H129" s="1594"/>
      <c r="I129" s="1594"/>
      <c r="J129" s="1594"/>
      <c r="K129" s="1594"/>
      <c r="L129" s="1594"/>
      <c r="M129" s="1594"/>
      <c r="N129" s="1594"/>
      <c r="O129" s="1594"/>
      <c r="P129" s="1594"/>
      <c r="Q129" s="1594"/>
      <c r="R129" s="1594"/>
      <c r="S129" s="1594"/>
      <c r="T129" s="1594"/>
      <c r="U129" s="1594"/>
      <c r="V129" s="1594"/>
      <c r="W129" s="1594"/>
      <c r="X129" s="1594"/>
      <c r="Y129" s="1594"/>
      <c r="Z129" s="1594"/>
    </row>
    <row r="130" ht="12.75" customHeight="1">
      <c r="A130" s="1594"/>
      <c r="B130" s="1594"/>
      <c r="C130" s="1594"/>
      <c r="D130" s="1594"/>
      <c r="E130" s="1594"/>
      <c r="F130" s="1594"/>
      <c r="G130" s="1594"/>
      <c r="H130" s="1594"/>
      <c r="I130" s="1594"/>
      <c r="J130" s="1594"/>
      <c r="K130" s="1594"/>
      <c r="L130" s="1594"/>
      <c r="M130" s="1594"/>
      <c r="N130" s="1594"/>
      <c r="O130" s="1594"/>
      <c r="P130" s="1594"/>
      <c r="Q130" s="1594"/>
      <c r="R130" s="1594"/>
      <c r="S130" s="1594"/>
      <c r="T130" s="1594"/>
      <c r="U130" s="1594"/>
      <c r="V130" s="1594"/>
      <c r="W130" s="1594"/>
      <c r="X130" s="1594"/>
      <c r="Y130" s="1594"/>
      <c r="Z130" s="1594"/>
    </row>
    <row r="131" ht="12.75" customHeight="1">
      <c r="A131" s="1594"/>
      <c r="B131" s="1594"/>
      <c r="C131" s="1594"/>
      <c r="D131" s="1594"/>
      <c r="E131" s="1594"/>
      <c r="F131" s="1594"/>
      <c r="G131" s="1594"/>
      <c r="H131" s="1594"/>
      <c r="I131" s="1594"/>
      <c r="J131" s="1594"/>
      <c r="K131" s="1594"/>
      <c r="L131" s="1594"/>
      <c r="M131" s="1594"/>
      <c r="N131" s="1594"/>
      <c r="O131" s="1594"/>
      <c r="P131" s="1594"/>
      <c r="Q131" s="1594"/>
      <c r="R131" s="1594"/>
      <c r="S131" s="1594"/>
      <c r="T131" s="1594"/>
      <c r="U131" s="1594"/>
      <c r="V131" s="1594"/>
      <c r="W131" s="1594"/>
      <c r="X131" s="1594"/>
      <c r="Y131" s="1594"/>
      <c r="Z131" s="1594"/>
    </row>
    <row r="132" ht="12.75" customHeight="1">
      <c r="A132" s="1594"/>
      <c r="B132" s="1594"/>
      <c r="C132" s="1594"/>
      <c r="D132" s="1594"/>
      <c r="E132" s="1594"/>
      <c r="F132" s="1594"/>
      <c r="G132" s="1594"/>
      <c r="H132" s="1594"/>
      <c r="I132" s="1594"/>
      <c r="J132" s="1594"/>
      <c r="K132" s="1594"/>
      <c r="L132" s="1594"/>
      <c r="M132" s="1594"/>
      <c r="N132" s="1594"/>
      <c r="O132" s="1594"/>
      <c r="P132" s="1594"/>
      <c r="Q132" s="1594"/>
      <c r="R132" s="1594"/>
      <c r="S132" s="1594"/>
      <c r="T132" s="1594"/>
      <c r="U132" s="1594"/>
      <c r="V132" s="1594"/>
      <c r="W132" s="1594"/>
      <c r="X132" s="1594"/>
      <c r="Y132" s="1594"/>
      <c r="Z132" s="1594"/>
    </row>
    <row r="133" ht="12.75" customHeight="1">
      <c r="A133" s="1594"/>
      <c r="B133" s="1594"/>
      <c r="C133" s="1594"/>
      <c r="D133" s="1594"/>
      <c r="E133" s="1594"/>
      <c r="F133" s="1594"/>
      <c r="G133" s="1594"/>
      <c r="H133" s="1594"/>
      <c r="I133" s="1594"/>
      <c r="J133" s="1594"/>
      <c r="K133" s="1594"/>
      <c r="L133" s="1594"/>
      <c r="M133" s="1594"/>
      <c r="N133" s="1594"/>
      <c r="O133" s="1594"/>
      <c r="P133" s="1594"/>
      <c r="Q133" s="1594"/>
      <c r="R133" s="1594"/>
      <c r="S133" s="1594"/>
      <c r="T133" s="1594"/>
      <c r="U133" s="1594"/>
      <c r="V133" s="1594"/>
      <c r="W133" s="1594"/>
      <c r="X133" s="1594"/>
      <c r="Y133" s="1594"/>
      <c r="Z133" s="1594"/>
    </row>
    <row r="134" ht="12.75" customHeight="1">
      <c r="A134" s="1594"/>
      <c r="B134" s="1594"/>
      <c r="C134" s="1594"/>
      <c r="D134" s="1594"/>
      <c r="E134" s="1594"/>
      <c r="F134" s="1594"/>
      <c r="G134" s="1594"/>
      <c r="H134" s="1594"/>
      <c r="I134" s="1594"/>
      <c r="J134" s="1594"/>
      <c r="K134" s="1594"/>
      <c r="L134" s="1594"/>
      <c r="M134" s="1594"/>
      <c r="N134" s="1594"/>
      <c r="O134" s="1594"/>
      <c r="P134" s="1594"/>
      <c r="Q134" s="1594"/>
      <c r="R134" s="1594"/>
      <c r="S134" s="1594"/>
      <c r="T134" s="1594"/>
      <c r="U134" s="1594"/>
      <c r="V134" s="1594"/>
      <c r="W134" s="1594"/>
      <c r="X134" s="1594"/>
      <c r="Y134" s="1594"/>
      <c r="Z134" s="1594"/>
    </row>
    <row r="135" ht="12.75" customHeight="1">
      <c r="A135" s="1594"/>
      <c r="B135" s="1594"/>
      <c r="C135" s="1594"/>
      <c r="D135" s="1594"/>
      <c r="E135" s="1594"/>
      <c r="F135" s="1594"/>
      <c r="G135" s="1594"/>
      <c r="H135" s="1594"/>
      <c r="I135" s="1594"/>
      <c r="J135" s="1594"/>
      <c r="K135" s="1594"/>
      <c r="L135" s="1594"/>
      <c r="M135" s="1594"/>
      <c r="N135" s="1594"/>
      <c r="O135" s="1594"/>
      <c r="P135" s="1594"/>
      <c r="Q135" s="1594"/>
      <c r="R135" s="1594"/>
      <c r="S135" s="1594"/>
      <c r="T135" s="1594"/>
      <c r="U135" s="1594"/>
      <c r="V135" s="1594"/>
      <c r="W135" s="1594"/>
      <c r="X135" s="1594"/>
      <c r="Y135" s="1594"/>
      <c r="Z135" s="1594"/>
    </row>
    <row r="136" ht="12.75" customHeight="1">
      <c r="A136" s="1594"/>
      <c r="B136" s="1594"/>
      <c r="C136" s="1594"/>
      <c r="D136" s="1594"/>
      <c r="E136" s="1594"/>
      <c r="F136" s="1594"/>
      <c r="G136" s="1594"/>
      <c r="H136" s="1594"/>
      <c r="I136" s="1594"/>
      <c r="J136" s="1594"/>
      <c r="K136" s="1594"/>
      <c r="L136" s="1594"/>
      <c r="M136" s="1594"/>
      <c r="N136" s="1594"/>
      <c r="O136" s="1594"/>
      <c r="P136" s="1594"/>
      <c r="Q136" s="1594"/>
      <c r="R136" s="1594"/>
      <c r="S136" s="1594"/>
      <c r="T136" s="1594"/>
      <c r="U136" s="1594"/>
      <c r="V136" s="1594"/>
      <c r="W136" s="1594"/>
      <c r="X136" s="1594"/>
      <c r="Y136" s="1594"/>
      <c r="Z136" s="1594"/>
    </row>
    <row r="137" ht="12.75" customHeight="1">
      <c r="A137" s="1594"/>
      <c r="B137" s="1594"/>
      <c r="C137" s="1594"/>
      <c r="D137" s="1594"/>
      <c r="E137" s="1594"/>
      <c r="F137" s="1594"/>
      <c r="G137" s="1594"/>
      <c r="H137" s="1594"/>
      <c r="I137" s="1594"/>
      <c r="J137" s="1594"/>
      <c r="K137" s="1594"/>
      <c r="L137" s="1594"/>
      <c r="M137" s="1594"/>
      <c r="N137" s="1594"/>
      <c r="O137" s="1594"/>
      <c r="P137" s="1594"/>
      <c r="Q137" s="1594"/>
      <c r="R137" s="1594"/>
      <c r="S137" s="1594"/>
      <c r="T137" s="1594"/>
      <c r="U137" s="1594"/>
      <c r="V137" s="1594"/>
      <c r="W137" s="1594"/>
      <c r="X137" s="1594"/>
      <c r="Y137" s="1594"/>
      <c r="Z137" s="1594"/>
    </row>
    <row r="138" ht="12.75" customHeight="1">
      <c r="A138" s="1594"/>
      <c r="B138" s="1594"/>
      <c r="C138" s="1594"/>
      <c r="D138" s="1594"/>
      <c r="E138" s="1594"/>
      <c r="F138" s="1594"/>
      <c r="G138" s="1594"/>
      <c r="H138" s="1594"/>
      <c r="I138" s="1594"/>
      <c r="J138" s="1594"/>
      <c r="K138" s="1594"/>
      <c r="L138" s="1594"/>
      <c r="M138" s="1594"/>
      <c r="N138" s="1594"/>
      <c r="O138" s="1594"/>
      <c r="P138" s="1594"/>
      <c r="Q138" s="1594"/>
      <c r="R138" s="1594"/>
      <c r="S138" s="1594"/>
      <c r="T138" s="1594"/>
      <c r="U138" s="1594"/>
      <c r="V138" s="1594"/>
      <c r="W138" s="1594"/>
      <c r="X138" s="1594"/>
      <c r="Y138" s="1594"/>
      <c r="Z138" s="1594"/>
    </row>
    <row r="139" ht="12.75" customHeight="1">
      <c r="A139" s="1594"/>
      <c r="B139" s="1594"/>
      <c r="C139" s="1594"/>
      <c r="D139" s="1594"/>
      <c r="E139" s="1594"/>
      <c r="F139" s="1594"/>
      <c r="G139" s="1594"/>
      <c r="H139" s="1594"/>
      <c r="I139" s="1594"/>
      <c r="J139" s="1594"/>
      <c r="K139" s="1594"/>
      <c r="L139" s="1594"/>
      <c r="M139" s="1594"/>
      <c r="N139" s="1594"/>
      <c r="O139" s="1594"/>
      <c r="P139" s="1594"/>
      <c r="Q139" s="1594"/>
      <c r="R139" s="1594"/>
      <c r="S139" s="1594"/>
      <c r="T139" s="1594"/>
      <c r="U139" s="1594"/>
      <c r="V139" s="1594"/>
      <c r="W139" s="1594"/>
      <c r="X139" s="1594"/>
      <c r="Y139" s="1594"/>
      <c r="Z139" s="1594"/>
    </row>
    <row r="140" ht="12.75" customHeight="1">
      <c r="A140" s="1594"/>
      <c r="B140" s="1594"/>
      <c r="C140" s="1594"/>
      <c r="D140" s="1594"/>
      <c r="E140" s="1594"/>
      <c r="F140" s="1594"/>
      <c r="G140" s="1594"/>
      <c r="H140" s="1594"/>
      <c r="I140" s="1594"/>
      <c r="J140" s="1594"/>
      <c r="K140" s="1594"/>
      <c r="L140" s="1594"/>
      <c r="M140" s="1594"/>
      <c r="N140" s="1594"/>
      <c r="O140" s="1594"/>
      <c r="P140" s="1594"/>
      <c r="Q140" s="1594"/>
      <c r="R140" s="1594"/>
      <c r="S140" s="1594"/>
      <c r="T140" s="1594"/>
      <c r="U140" s="1594"/>
      <c r="V140" s="1594"/>
      <c r="W140" s="1594"/>
      <c r="X140" s="1594"/>
      <c r="Y140" s="1594"/>
      <c r="Z140" s="1594"/>
    </row>
    <row r="141" ht="12.75" customHeight="1">
      <c r="A141" s="1594"/>
      <c r="B141" s="1594"/>
      <c r="C141" s="1594"/>
      <c r="D141" s="1594"/>
      <c r="E141" s="1594"/>
      <c r="F141" s="1594"/>
      <c r="G141" s="1594"/>
      <c r="H141" s="1594"/>
      <c r="I141" s="1594"/>
      <c r="J141" s="1594"/>
      <c r="K141" s="1594"/>
      <c r="L141" s="1594"/>
      <c r="M141" s="1594"/>
      <c r="N141" s="1594"/>
      <c r="O141" s="1594"/>
      <c r="P141" s="1594"/>
      <c r="Q141" s="1594"/>
      <c r="R141" s="1594"/>
      <c r="S141" s="1594"/>
      <c r="T141" s="1594"/>
      <c r="U141" s="1594"/>
      <c r="V141" s="1594"/>
      <c r="W141" s="1594"/>
      <c r="X141" s="1594"/>
      <c r="Y141" s="1594"/>
      <c r="Z141" s="1594"/>
    </row>
    <row r="142" ht="12.75" customHeight="1">
      <c r="A142" s="1594"/>
      <c r="B142" s="1594"/>
      <c r="C142" s="1594"/>
      <c r="D142" s="1594"/>
      <c r="E142" s="1594"/>
      <c r="F142" s="1594"/>
      <c r="G142" s="1594"/>
      <c r="H142" s="1594"/>
      <c r="I142" s="1594"/>
      <c r="J142" s="1594"/>
      <c r="K142" s="1594"/>
      <c r="L142" s="1594"/>
      <c r="M142" s="1594"/>
      <c r="N142" s="1594"/>
      <c r="O142" s="1594"/>
      <c r="P142" s="1594"/>
      <c r="Q142" s="1594"/>
      <c r="R142" s="1594"/>
      <c r="S142" s="1594"/>
      <c r="T142" s="1594"/>
      <c r="U142" s="1594"/>
      <c r="V142" s="1594"/>
      <c r="W142" s="1594"/>
      <c r="X142" s="1594"/>
      <c r="Y142" s="1594"/>
      <c r="Z142" s="1594"/>
    </row>
    <row r="143" ht="12.75" customHeight="1">
      <c r="A143" s="1594"/>
      <c r="B143" s="1594"/>
      <c r="C143" s="1594"/>
      <c r="D143" s="1594"/>
      <c r="E143" s="1594"/>
      <c r="F143" s="1594"/>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row>
    <row r="144" ht="12.75" customHeight="1">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row>
    <row r="145" ht="12.75" customHeight="1">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row>
    <row r="146" ht="12.75" customHeight="1">
      <c r="A146" s="1594"/>
      <c r="B146" s="1594"/>
      <c r="C146" s="1594"/>
      <c r="D146" s="1594"/>
      <c r="E146" s="1594"/>
      <c r="F146" s="1594"/>
      <c r="G146" s="1594"/>
      <c r="H146" s="1594"/>
      <c r="I146" s="1594"/>
      <c r="J146" s="1594"/>
      <c r="K146" s="1594"/>
      <c r="L146" s="1594"/>
      <c r="M146" s="1594"/>
      <c r="N146" s="1594"/>
      <c r="O146" s="1594"/>
      <c r="P146" s="1594"/>
      <c r="Q146" s="1594"/>
      <c r="R146" s="1594"/>
      <c r="S146" s="1594"/>
      <c r="T146" s="1594"/>
      <c r="U146" s="1594"/>
      <c r="V146" s="1594"/>
      <c r="W146" s="1594"/>
      <c r="X146" s="1594"/>
      <c r="Y146" s="1594"/>
      <c r="Z146" s="1594"/>
    </row>
    <row r="147" ht="12.75" customHeight="1">
      <c r="A147" s="1594"/>
      <c r="B147" s="1594"/>
      <c r="C147" s="1594"/>
      <c r="D147" s="1594"/>
      <c r="E147" s="1594"/>
      <c r="F147" s="1594"/>
      <c r="G147" s="1594"/>
      <c r="H147" s="1594"/>
      <c r="I147" s="1594"/>
      <c r="J147" s="1594"/>
      <c r="K147" s="1594"/>
      <c r="L147" s="1594"/>
      <c r="M147" s="1594"/>
      <c r="N147" s="1594"/>
      <c r="O147" s="1594"/>
      <c r="P147" s="1594"/>
      <c r="Q147" s="1594"/>
      <c r="R147" s="1594"/>
      <c r="S147" s="1594"/>
      <c r="T147" s="1594"/>
      <c r="U147" s="1594"/>
      <c r="V147" s="1594"/>
      <c r="W147" s="1594"/>
      <c r="X147" s="1594"/>
      <c r="Y147" s="1594"/>
      <c r="Z147" s="1594"/>
    </row>
    <row r="148" ht="12.75" customHeight="1">
      <c r="A148" s="1594"/>
      <c r="B148" s="1594"/>
      <c r="C148" s="1594"/>
      <c r="D148" s="1594"/>
      <c r="E148" s="1594"/>
      <c r="F148" s="1594"/>
      <c r="G148" s="1594"/>
      <c r="H148" s="1594"/>
      <c r="I148" s="1594"/>
      <c r="J148" s="1594"/>
      <c r="K148" s="1594"/>
      <c r="L148" s="1594"/>
      <c r="M148" s="1594"/>
      <c r="N148" s="1594"/>
      <c r="O148" s="1594"/>
      <c r="P148" s="1594"/>
      <c r="Q148" s="1594"/>
      <c r="R148" s="1594"/>
      <c r="S148" s="1594"/>
      <c r="T148" s="1594"/>
      <c r="U148" s="1594"/>
      <c r="V148" s="1594"/>
      <c r="W148" s="1594"/>
      <c r="X148" s="1594"/>
      <c r="Y148" s="1594"/>
      <c r="Z148" s="1594"/>
    </row>
    <row r="149" ht="12.75" customHeight="1">
      <c r="A149" s="1594"/>
      <c r="B149" s="1594"/>
      <c r="C149" s="1594"/>
      <c r="D149" s="1594"/>
      <c r="E149" s="1594"/>
      <c r="F149" s="1594"/>
      <c r="G149" s="1594"/>
      <c r="H149" s="1594"/>
      <c r="I149" s="1594"/>
      <c r="J149" s="1594"/>
      <c r="K149" s="1594"/>
      <c r="L149" s="1594"/>
      <c r="M149" s="1594"/>
      <c r="N149" s="1594"/>
      <c r="O149" s="1594"/>
      <c r="P149" s="1594"/>
      <c r="Q149" s="1594"/>
      <c r="R149" s="1594"/>
      <c r="S149" s="1594"/>
      <c r="T149" s="1594"/>
      <c r="U149" s="1594"/>
      <c r="V149" s="1594"/>
      <c r="W149" s="1594"/>
      <c r="X149" s="1594"/>
      <c r="Y149" s="1594"/>
      <c r="Z149" s="1594"/>
    </row>
    <row r="150" ht="12.75" customHeight="1">
      <c r="A150" s="1594"/>
      <c r="B150" s="1594"/>
      <c r="C150" s="1594"/>
      <c r="D150" s="1594"/>
      <c r="E150" s="1594"/>
      <c r="F150" s="1594"/>
      <c r="G150" s="1594"/>
      <c r="H150" s="1594"/>
      <c r="I150" s="1594"/>
      <c r="J150" s="1594"/>
      <c r="K150" s="1594"/>
      <c r="L150" s="1594"/>
      <c r="M150" s="1594"/>
      <c r="N150" s="1594"/>
      <c r="O150" s="1594"/>
      <c r="P150" s="1594"/>
      <c r="Q150" s="1594"/>
      <c r="R150" s="1594"/>
      <c r="S150" s="1594"/>
      <c r="T150" s="1594"/>
      <c r="U150" s="1594"/>
      <c r="V150" s="1594"/>
      <c r="W150" s="1594"/>
      <c r="X150" s="1594"/>
      <c r="Y150" s="1594"/>
      <c r="Z150" s="1594"/>
    </row>
    <row r="151" ht="12.75" customHeight="1">
      <c r="A151" s="1594"/>
      <c r="B151" s="1594"/>
      <c r="C151" s="1594"/>
      <c r="D151" s="1594"/>
      <c r="E151" s="1594"/>
      <c r="F151" s="1594"/>
      <c r="G151" s="1594"/>
      <c r="H151" s="1594"/>
      <c r="I151" s="1594"/>
      <c r="J151" s="1594"/>
      <c r="K151" s="1594"/>
      <c r="L151" s="1594"/>
      <c r="M151" s="1594"/>
      <c r="N151" s="1594"/>
      <c r="O151" s="1594"/>
      <c r="P151" s="1594"/>
      <c r="Q151" s="1594"/>
      <c r="R151" s="1594"/>
      <c r="S151" s="1594"/>
      <c r="T151" s="1594"/>
      <c r="U151" s="1594"/>
      <c r="V151" s="1594"/>
      <c r="W151" s="1594"/>
      <c r="X151" s="1594"/>
      <c r="Y151" s="1594"/>
      <c r="Z151" s="1594"/>
    </row>
    <row r="152" ht="12.75" customHeight="1">
      <c r="A152" s="1594"/>
      <c r="B152" s="1594"/>
      <c r="C152" s="1594"/>
      <c r="D152" s="1594"/>
      <c r="E152" s="1594"/>
      <c r="F152" s="1594"/>
      <c r="G152" s="1594"/>
      <c r="H152" s="1594"/>
      <c r="I152" s="1594"/>
      <c r="J152" s="1594"/>
      <c r="K152" s="1594"/>
      <c r="L152" s="1594"/>
      <c r="M152" s="1594"/>
      <c r="N152" s="1594"/>
      <c r="O152" s="1594"/>
      <c r="P152" s="1594"/>
      <c r="Q152" s="1594"/>
      <c r="R152" s="1594"/>
      <c r="S152" s="1594"/>
      <c r="T152" s="1594"/>
      <c r="U152" s="1594"/>
      <c r="V152" s="1594"/>
      <c r="W152" s="1594"/>
      <c r="X152" s="1594"/>
      <c r="Y152" s="1594"/>
      <c r="Z152" s="1594"/>
    </row>
    <row r="153" ht="12.75" customHeight="1">
      <c r="A153" s="1594"/>
      <c r="B153" s="1594"/>
      <c r="C153" s="1594"/>
      <c r="D153" s="1594"/>
      <c r="E153" s="1594"/>
      <c r="F153" s="1594"/>
      <c r="G153" s="1594"/>
      <c r="H153" s="1594"/>
      <c r="I153" s="1594"/>
      <c r="J153" s="1594"/>
      <c r="K153" s="1594"/>
      <c r="L153" s="1594"/>
      <c r="M153" s="1594"/>
      <c r="N153" s="1594"/>
      <c r="O153" s="1594"/>
      <c r="P153" s="1594"/>
      <c r="Q153" s="1594"/>
      <c r="R153" s="1594"/>
      <c r="S153" s="1594"/>
      <c r="T153" s="1594"/>
      <c r="U153" s="1594"/>
      <c r="V153" s="1594"/>
      <c r="W153" s="1594"/>
      <c r="X153" s="1594"/>
      <c r="Y153" s="1594"/>
      <c r="Z153" s="1594"/>
    </row>
    <row r="154" ht="12.75" customHeight="1">
      <c r="A154" s="1594"/>
      <c r="B154" s="1594"/>
      <c r="C154" s="1594"/>
      <c r="D154" s="1594"/>
      <c r="E154" s="1594"/>
      <c r="F154" s="1594"/>
      <c r="G154" s="1594"/>
      <c r="H154" s="1594"/>
      <c r="I154" s="1594"/>
      <c r="J154" s="1594"/>
      <c r="K154" s="1594"/>
      <c r="L154" s="1594"/>
      <c r="M154" s="1594"/>
      <c r="N154" s="1594"/>
      <c r="O154" s="1594"/>
      <c r="P154" s="1594"/>
      <c r="Q154" s="1594"/>
      <c r="R154" s="1594"/>
      <c r="S154" s="1594"/>
      <c r="T154" s="1594"/>
      <c r="U154" s="1594"/>
      <c r="V154" s="1594"/>
      <c r="W154" s="1594"/>
      <c r="X154" s="1594"/>
      <c r="Y154" s="1594"/>
      <c r="Z154" s="1594"/>
    </row>
    <row r="155" ht="12.75" customHeight="1">
      <c r="A155" s="1594"/>
      <c r="B155" s="1594"/>
      <c r="C155" s="1594"/>
      <c r="D155" s="1594"/>
      <c r="E155" s="1594"/>
      <c r="F155" s="1594"/>
      <c r="G155" s="1594"/>
      <c r="H155" s="1594"/>
      <c r="I155" s="1594"/>
      <c r="J155" s="1594"/>
      <c r="K155" s="1594"/>
      <c r="L155" s="1594"/>
      <c r="M155" s="1594"/>
      <c r="N155" s="1594"/>
      <c r="O155" s="1594"/>
      <c r="P155" s="1594"/>
      <c r="Q155" s="1594"/>
      <c r="R155" s="1594"/>
      <c r="S155" s="1594"/>
      <c r="T155" s="1594"/>
      <c r="U155" s="1594"/>
      <c r="V155" s="1594"/>
      <c r="W155" s="1594"/>
      <c r="X155" s="1594"/>
      <c r="Y155" s="1594"/>
      <c r="Z155" s="1594"/>
    </row>
    <row r="156" ht="12.75" customHeight="1">
      <c r="A156" s="1594"/>
      <c r="B156" s="1594"/>
      <c r="C156" s="1594"/>
      <c r="D156" s="1594"/>
      <c r="E156" s="1594"/>
      <c r="F156" s="1594"/>
      <c r="G156" s="1594"/>
      <c r="H156" s="1594"/>
      <c r="I156" s="1594"/>
      <c r="J156" s="1594"/>
      <c r="K156" s="1594"/>
      <c r="L156" s="1594"/>
      <c r="M156" s="1594"/>
      <c r="N156" s="1594"/>
      <c r="O156" s="1594"/>
      <c r="P156" s="1594"/>
      <c r="Q156" s="1594"/>
      <c r="R156" s="1594"/>
      <c r="S156" s="1594"/>
      <c r="T156" s="1594"/>
      <c r="U156" s="1594"/>
      <c r="V156" s="1594"/>
      <c r="W156" s="1594"/>
      <c r="X156" s="1594"/>
      <c r="Y156" s="1594"/>
      <c r="Z156" s="1594"/>
    </row>
    <row r="157" ht="12.75" customHeight="1">
      <c r="A157" s="1594"/>
      <c r="B157" s="1594"/>
      <c r="C157" s="1594"/>
      <c r="D157" s="1594"/>
      <c r="E157" s="1594"/>
      <c r="F157" s="1594"/>
      <c r="G157" s="1594"/>
      <c r="H157" s="1594"/>
      <c r="I157" s="1594"/>
      <c r="J157" s="1594"/>
      <c r="K157" s="1594"/>
      <c r="L157" s="1594"/>
      <c r="M157" s="1594"/>
      <c r="N157" s="1594"/>
      <c r="O157" s="1594"/>
      <c r="P157" s="1594"/>
      <c r="Q157" s="1594"/>
      <c r="R157" s="1594"/>
      <c r="S157" s="1594"/>
      <c r="T157" s="1594"/>
      <c r="U157" s="1594"/>
      <c r="V157" s="1594"/>
      <c r="W157" s="1594"/>
      <c r="X157" s="1594"/>
      <c r="Y157" s="1594"/>
      <c r="Z157" s="1594"/>
    </row>
    <row r="158" ht="12.75" customHeight="1">
      <c r="A158" s="1594"/>
      <c r="B158" s="1594"/>
      <c r="C158" s="1594"/>
      <c r="D158" s="1594"/>
      <c r="E158" s="1594"/>
      <c r="F158" s="1594"/>
      <c r="G158" s="1594"/>
      <c r="H158" s="1594"/>
      <c r="I158" s="1594"/>
      <c r="J158" s="1594"/>
      <c r="K158" s="1594"/>
      <c r="L158" s="1594"/>
      <c r="M158" s="1594"/>
      <c r="N158" s="1594"/>
      <c r="O158" s="1594"/>
      <c r="P158" s="1594"/>
      <c r="Q158" s="1594"/>
      <c r="R158" s="1594"/>
      <c r="S158" s="1594"/>
      <c r="T158" s="1594"/>
      <c r="U158" s="1594"/>
      <c r="V158" s="1594"/>
      <c r="W158" s="1594"/>
      <c r="X158" s="1594"/>
      <c r="Y158" s="1594"/>
      <c r="Z158" s="1594"/>
    </row>
    <row r="159" ht="12.75" customHeight="1">
      <c r="A159" s="1594"/>
      <c r="B159" s="1594"/>
      <c r="C159" s="1594"/>
      <c r="D159" s="1594"/>
      <c r="E159" s="1594"/>
      <c r="F159" s="1594"/>
      <c r="G159" s="1594"/>
      <c r="H159" s="1594"/>
      <c r="I159" s="1594"/>
      <c r="J159" s="1594"/>
      <c r="K159" s="1594"/>
      <c r="L159" s="1594"/>
      <c r="M159" s="1594"/>
      <c r="N159" s="1594"/>
      <c r="O159" s="1594"/>
      <c r="P159" s="1594"/>
      <c r="Q159" s="1594"/>
      <c r="R159" s="1594"/>
      <c r="S159" s="1594"/>
      <c r="T159" s="1594"/>
      <c r="U159" s="1594"/>
      <c r="V159" s="1594"/>
      <c r="W159" s="1594"/>
      <c r="X159" s="1594"/>
      <c r="Y159" s="1594"/>
      <c r="Z159" s="1594"/>
    </row>
    <row r="160" ht="12.75" customHeight="1">
      <c r="A160" s="1594"/>
      <c r="B160" s="1594"/>
      <c r="C160" s="1594"/>
      <c r="D160" s="1594"/>
      <c r="E160" s="1594"/>
      <c r="F160" s="1594"/>
      <c r="G160" s="1594"/>
      <c r="H160" s="1594"/>
      <c r="I160" s="1594"/>
      <c r="J160" s="1594"/>
      <c r="K160" s="1594"/>
      <c r="L160" s="1594"/>
      <c r="M160" s="1594"/>
      <c r="N160" s="1594"/>
      <c r="O160" s="1594"/>
      <c r="P160" s="1594"/>
      <c r="Q160" s="1594"/>
      <c r="R160" s="1594"/>
      <c r="S160" s="1594"/>
      <c r="T160" s="1594"/>
      <c r="U160" s="1594"/>
      <c r="V160" s="1594"/>
      <c r="W160" s="1594"/>
      <c r="X160" s="1594"/>
      <c r="Y160" s="1594"/>
      <c r="Z160" s="1594"/>
    </row>
    <row r="161" ht="12.75" customHeight="1">
      <c r="A161" s="1594"/>
      <c r="B161" s="1594"/>
      <c r="C161" s="1594"/>
      <c r="D161" s="1594"/>
      <c r="E161" s="1594"/>
      <c r="F161" s="1594"/>
      <c r="G161" s="1594"/>
      <c r="H161" s="1594"/>
      <c r="I161" s="1594"/>
      <c r="J161" s="1594"/>
      <c r="K161" s="1594"/>
      <c r="L161" s="1594"/>
      <c r="M161" s="1594"/>
      <c r="N161" s="1594"/>
      <c r="O161" s="1594"/>
      <c r="P161" s="1594"/>
      <c r="Q161" s="1594"/>
      <c r="R161" s="1594"/>
      <c r="S161" s="1594"/>
      <c r="T161" s="1594"/>
      <c r="U161" s="1594"/>
      <c r="V161" s="1594"/>
      <c r="W161" s="1594"/>
      <c r="X161" s="1594"/>
      <c r="Y161" s="1594"/>
      <c r="Z161" s="1594"/>
    </row>
    <row r="162" ht="12.75" customHeight="1">
      <c r="A162" s="1594"/>
      <c r="B162" s="1594"/>
      <c r="C162" s="1594"/>
      <c r="D162" s="1594"/>
      <c r="E162" s="1594"/>
      <c r="F162" s="1594"/>
      <c r="G162" s="1594"/>
      <c r="H162" s="1594"/>
      <c r="I162" s="1594"/>
      <c r="J162" s="1594"/>
      <c r="K162" s="1594"/>
      <c r="L162" s="1594"/>
      <c r="M162" s="1594"/>
      <c r="N162" s="1594"/>
      <c r="O162" s="1594"/>
      <c r="P162" s="1594"/>
      <c r="Q162" s="1594"/>
      <c r="R162" s="1594"/>
      <c r="S162" s="1594"/>
      <c r="T162" s="1594"/>
      <c r="U162" s="1594"/>
      <c r="V162" s="1594"/>
      <c r="W162" s="1594"/>
      <c r="X162" s="1594"/>
      <c r="Y162" s="1594"/>
      <c r="Z162" s="1594"/>
    </row>
    <row r="163" ht="12.75" customHeight="1">
      <c r="A163" s="1594"/>
      <c r="B163" s="1594"/>
      <c r="C163" s="1594"/>
      <c r="D163" s="1594"/>
      <c r="E163" s="1594"/>
      <c r="F163" s="1594"/>
      <c r="G163" s="1594"/>
      <c r="H163" s="1594"/>
      <c r="I163" s="1594"/>
      <c r="J163" s="1594"/>
      <c r="K163" s="1594"/>
      <c r="L163" s="1594"/>
      <c r="M163" s="1594"/>
      <c r="N163" s="1594"/>
      <c r="O163" s="1594"/>
      <c r="P163" s="1594"/>
      <c r="Q163" s="1594"/>
      <c r="R163" s="1594"/>
      <c r="S163" s="1594"/>
      <c r="T163" s="1594"/>
      <c r="U163" s="1594"/>
      <c r="V163" s="1594"/>
      <c r="W163" s="1594"/>
      <c r="X163" s="1594"/>
      <c r="Y163" s="1594"/>
      <c r="Z163" s="1594"/>
    </row>
    <row r="164" ht="12.75" customHeight="1">
      <c r="A164" s="1594"/>
      <c r="B164" s="1594"/>
      <c r="C164" s="1594"/>
      <c r="D164" s="1594"/>
      <c r="E164" s="1594"/>
      <c r="F164" s="1594"/>
      <c r="G164" s="1594"/>
      <c r="H164" s="1594"/>
      <c r="I164" s="1594"/>
      <c r="J164" s="1594"/>
      <c r="K164" s="1594"/>
      <c r="L164" s="1594"/>
      <c r="M164" s="1594"/>
      <c r="N164" s="1594"/>
      <c r="O164" s="1594"/>
      <c r="P164" s="1594"/>
      <c r="Q164" s="1594"/>
      <c r="R164" s="1594"/>
      <c r="S164" s="1594"/>
      <c r="T164" s="1594"/>
      <c r="U164" s="1594"/>
      <c r="V164" s="1594"/>
      <c r="W164" s="1594"/>
      <c r="X164" s="1594"/>
      <c r="Y164" s="1594"/>
      <c r="Z164" s="1594"/>
    </row>
    <row r="165" ht="12.75" customHeight="1">
      <c r="A165" s="1594"/>
      <c r="B165" s="1594"/>
      <c r="C165" s="1594"/>
      <c r="D165" s="1594"/>
      <c r="E165" s="1594"/>
      <c r="F165" s="1594"/>
      <c r="G165" s="1594"/>
      <c r="H165" s="1594"/>
      <c r="I165" s="1594"/>
      <c r="J165" s="1594"/>
      <c r="K165" s="1594"/>
      <c r="L165" s="1594"/>
      <c r="M165" s="1594"/>
      <c r="N165" s="1594"/>
      <c r="O165" s="1594"/>
      <c r="P165" s="1594"/>
      <c r="Q165" s="1594"/>
      <c r="R165" s="1594"/>
      <c r="S165" s="1594"/>
      <c r="T165" s="1594"/>
      <c r="U165" s="1594"/>
      <c r="V165" s="1594"/>
      <c r="W165" s="1594"/>
      <c r="X165" s="1594"/>
      <c r="Y165" s="1594"/>
      <c r="Z165" s="1594"/>
    </row>
    <row r="166" ht="12.75" customHeight="1">
      <c r="A166" s="1594"/>
      <c r="B166" s="1594"/>
      <c r="C166" s="1594"/>
      <c r="D166" s="1594"/>
      <c r="E166" s="1594"/>
      <c r="F166" s="1594"/>
      <c r="G166" s="1594"/>
      <c r="H166" s="1594"/>
      <c r="I166" s="1594"/>
      <c r="J166" s="1594"/>
      <c r="K166" s="1594"/>
      <c r="L166" s="1594"/>
      <c r="M166" s="1594"/>
      <c r="N166" s="1594"/>
      <c r="O166" s="1594"/>
      <c r="P166" s="1594"/>
      <c r="Q166" s="1594"/>
      <c r="R166" s="1594"/>
      <c r="S166" s="1594"/>
      <c r="T166" s="1594"/>
      <c r="U166" s="1594"/>
      <c r="V166" s="1594"/>
      <c r="W166" s="1594"/>
      <c r="X166" s="1594"/>
      <c r="Y166" s="1594"/>
      <c r="Z166" s="1594"/>
    </row>
    <row r="167" ht="12.75" customHeight="1">
      <c r="A167" s="1594"/>
      <c r="B167" s="1594"/>
      <c r="C167" s="1594"/>
      <c r="D167" s="1594"/>
      <c r="E167" s="1594"/>
      <c r="F167" s="1594"/>
      <c r="G167" s="1594"/>
      <c r="H167" s="1594"/>
      <c r="I167" s="1594"/>
      <c r="J167" s="1594"/>
      <c r="K167" s="1594"/>
      <c r="L167" s="1594"/>
      <c r="M167" s="1594"/>
      <c r="N167" s="1594"/>
      <c r="O167" s="1594"/>
      <c r="P167" s="1594"/>
      <c r="Q167" s="1594"/>
      <c r="R167" s="1594"/>
      <c r="S167" s="1594"/>
      <c r="T167" s="1594"/>
      <c r="U167" s="1594"/>
      <c r="V167" s="1594"/>
      <c r="W167" s="1594"/>
      <c r="X167" s="1594"/>
      <c r="Y167" s="1594"/>
      <c r="Z167" s="1594"/>
    </row>
    <row r="168" ht="12.75" customHeight="1">
      <c r="A168" s="1594"/>
      <c r="B168" s="1594"/>
      <c r="C168" s="1594"/>
      <c r="D168" s="1594"/>
      <c r="E168" s="1594"/>
      <c r="F168" s="1594"/>
      <c r="G168" s="1594"/>
      <c r="H168" s="1594"/>
      <c r="I168" s="1594"/>
      <c r="J168" s="1594"/>
      <c r="K168" s="1594"/>
      <c r="L168" s="1594"/>
      <c r="M168" s="1594"/>
      <c r="N168" s="1594"/>
      <c r="O168" s="1594"/>
      <c r="P168" s="1594"/>
      <c r="Q168" s="1594"/>
      <c r="R168" s="1594"/>
      <c r="S168" s="1594"/>
      <c r="T168" s="1594"/>
      <c r="U168" s="1594"/>
      <c r="V168" s="1594"/>
      <c r="W168" s="1594"/>
      <c r="X168" s="1594"/>
      <c r="Y168" s="1594"/>
      <c r="Z168" s="1594"/>
    </row>
    <row r="169" ht="12.75" customHeight="1">
      <c r="A169" s="1594"/>
      <c r="B169" s="1594"/>
      <c r="C169" s="1594"/>
      <c r="D169" s="1594"/>
      <c r="E169" s="1594"/>
      <c r="F169" s="1594"/>
      <c r="G169" s="1594"/>
      <c r="H169" s="1594"/>
      <c r="I169" s="1594"/>
      <c r="J169" s="1594"/>
      <c r="K169" s="1594"/>
      <c r="L169" s="1594"/>
      <c r="M169" s="1594"/>
      <c r="N169" s="1594"/>
      <c r="O169" s="1594"/>
      <c r="P169" s="1594"/>
      <c r="Q169" s="1594"/>
      <c r="R169" s="1594"/>
      <c r="S169" s="1594"/>
      <c r="T169" s="1594"/>
      <c r="U169" s="1594"/>
      <c r="V169" s="1594"/>
      <c r="W169" s="1594"/>
      <c r="X169" s="1594"/>
      <c r="Y169" s="1594"/>
      <c r="Z169" s="1594"/>
    </row>
    <row r="170" ht="12.75" customHeight="1">
      <c r="A170" s="1594"/>
      <c r="B170" s="1594"/>
      <c r="C170" s="1594"/>
      <c r="D170" s="1594"/>
      <c r="E170" s="1594"/>
      <c r="F170" s="1594"/>
      <c r="G170" s="1594"/>
      <c r="H170" s="1594"/>
      <c r="I170" s="1594"/>
      <c r="J170" s="1594"/>
      <c r="K170" s="1594"/>
      <c r="L170" s="1594"/>
      <c r="M170" s="1594"/>
      <c r="N170" s="1594"/>
      <c r="O170" s="1594"/>
      <c r="P170" s="1594"/>
      <c r="Q170" s="1594"/>
      <c r="R170" s="1594"/>
      <c r="S170" s="1594"/>
      <c r="T170" s="1594"/>
      <c r="U170" s="1594"/>
      <c r="V170" s="1594"/>
      <c r="W170" s="1594"/>
      <c r="X170" s="1594"/>
      <c r="Y170" s="1594"/>
      <c r="Z170" s="1594"/>
    </row>
    <row r="171" ht="12.75" customHeight="1">
      <c r="A171" s="1594"/>
      <c r="B171" s="1594"/>
      <c r="C171" s="1594"/>
      <c r="D171" s="1594"/>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1594"/>
    </row>
    <row r="172" ht="12.75" customHeight="1">
      <c r="A172" s="1594"/>
      <c r="B172" s="1594"/>
      <c r="C172" s="1594"/>
      <c r="D172" s="1594"/>
      <c r="E172" s="1594"/>
      <c r="F172" s="1594"/>
      <c r="G172" s="1594"/>
      <c r="H172" s="1594"/>
      <c r="I172" s="1594"/>
      <c r="J172" s="1594"/>
      <c r="K172" s="1594"/>
      <c r="L172" s="1594"/>
      <c r="M172" s="1594"/>
      <c r="N172" s="1594"/>
      <c r="O172" s="1594"/>
      <c r="P172" s="1594"/>
      <c r="Q172" s="1594"/>
      <c r="R172" s="1594"/>
      <c r="S172" s="1594"/>
      <c r="T172" s="1594"/>
      <c r="U172" s="1594"/>
      <c r="V172" s="1594"/>
      <c r="W172" s="1594"/>
      <c r="X172" s="1594"/>
      <c r="Y172" s="1594"/>
      <c r="Z172" s="1594"/>
    </row>
    <row r="173" ht="12.75" customHeight="1">
      <c r="A173" s="1594"/>
      <c r="B173" s="1594"/>
      <c r="C173" s="1594"/>
      <c r="D173" s="1594"/>
      <c r="E173" s="1594"/>
      <c r="F173" s="1594"/>
      <c r="G173" s="1594"/>
      <c r="H173" s="1594"/>
      <c r="I173" s="1594"/>
      <c r="J173" s="1594"/>
      <c r="K173" s="1594"/>
      <c r="L173" s="1594"/>
      <c r="M173" s="1594"/>
      <c r="N173" s="1594"/>
      <c r="O173" s="1594"/>
      <c r="P173" s="1594"/>
      <c r="Q173" s="1594"/>
      <c r="R173" s="1594"/>
      <c r="S173" s="1594"/>
      <c r="T173" s="1594"/>
      <c r="U173" s="1594"/>
      <c r="V173" s="1594"/>
      <c r="W173" s="1594"/>
      <c r="X173" s="1594"/>
      <c r="Y173" s="1594"/>
      <c r="Z173" s="1594"/>
    </row>
    <row r="174" ht="12.75" customHeight="1">
      <c r="A174" s="1594"/>
      <c r="B174" s="1594"/>
      <c r="C174" s="1594"/>
      <c r="D174" s="1594"/>
      <c r="E174" s="1594"/>
      <c r="F174" s="1594"/>
      <c r="G174" s="1594"/>
      <c r="H174" s="1594"/>
      <c r="I174" s="1594"/>
      <c r="J174" s="1594"/>
      <c r="K174" s="1594"/>
      <c r="L174" s="1594"/>
      <c r="M174" s="1594"/>
      <c r="N174" s="1594"/>
      <c r="O174" s="1594"/>
      <c r="P174" s="1594"/>
      <c r="Q174" s="1594"/>
      <c r="R174" s="1594"/>
      <c r="S174" s="1594"/>
      <c r="T174" s="1594"/>
      <c r="U174" s="1594"/>
      <c r="V174" s="1594"/>
      <c r="W174" s="1594"/>
      <c r="X174" s="1594"/>
      <c r="Y174" s="1594"/>
      <c r="Z174" s="1594"/>
    </row>
    <row r="175" ht="12.75" customHeight="1">
      <c r="A175" s="1594"/>
      <c r="B175" s="1594"/>
      <c r="C175" s="1594"/>
      <c r="D175" s="1594"/>
      <c r="E175" s="1594"/>
      <c r="F175" s="1594"/>
      <c r="G175" s="1594"/>
      <c r="H175" s="1594"/>
      <c r="I175" s="1594"/>
      <c r="J175" s="1594"/>
      <c r="K175" s="1594"/>
      <c r="L175" s="1594"/>
      <c r="M175" s="1594"/>
      <c r="N175" s="1594"/>
      <c r="O175" s="1594"/>
      <c r="P175" s="1594"/>
      <c r="Q175" s="1594"/>
      <c r="R175" s="1594"/>
      <c r="S175" s="1594"/>
      <c r="T175" s="1594"/>
      <c r="U175" s="1594"/>
      <c r="V175" s="1594"/>
      <c r="W175" s="1594"/>
      <c r="X175" s="1594"/>
      <c r="Y175" s="1594"/>
      <c r="Z175" s="1594"/>
    </row>
    <row r="176" ht="12.75" customHeight="1">
      <c r="A176" s="1594"/>
      <c r="B176" s="1594"/>
      <c r="C176" s="1594"/>
      <c r="D176" s="1594"/>
      <c r="E176" s="1594"/>
      <c r="F176" s="1594"/>
      <c r="G176" s="1594"/>
      <c r="H176" s="1594"/>
      <c r="I176" s="1594"/>
      <c r="J176" s="1594"/>
      <c r="K176" s="1594"/>
      <c r="L176" s="1594"/>
      <c r="M176" s="1594"/>
      <c r="N176" s="1594"/>
      <c r="O176" s="1594"/>
      <c r="P176" s="1594"/>
      <c r="Q176" s="1594"/>
      <c r="R176" s="1594"/>
      <c r="S176" s="1594"/>
      <c r="T176" s="1594"/>
      <c r="U176" s="1594"/>
      <c r="V176" s="1594"/>
      <c r="W176" s="1594"/>
      <c r="X176" s="1594"/>
      <c r="Y176" s="1594"/>
      <c r="Z176" s="1594"/>
    </row>
    <row r="177" ht="12.75" customHeight="1">
      <c r="A177" s="1594"/>
      <c r="B177" s="1594"/>
      <c r="C177" s="1594"/>
      <c r="D177" s="1594"/>
      <c r="E177" s="1594"/>
      <c r="F177" s="1594"/>
      <c r="G177" s="1594"/>
      <c r="H177" s="1594"/>
      <c r="I177" s="1594"/>
      <c r="J177" s="1594"/>
      <c r="K177" s="1594"/>
      <c r="L177" s="1594"/>
      <c r="M177" s="1594"/>
      <c r="N177" s="1594"/>
      <c r="O177" s="1594"/>
      <c r="P177" s="1594"/>
      <c r="Q177" s="1594"/>
      <c r="R177" s="1594"/>
      <c r="S177" s="1594"/>
      <c r="T177" s="1594"/>
      <c r="U177" s="1594"/>
      <c r="V177" s="1594"/>
      <c r="W177" s="1594"/>
      <c r="X177" s="1594"/>
      <c r="Y177" s="1594"/>
      <c r="Z177" s="1594"/>
    </row>
    <row r="178" ht="12.75" customHeight="1">
      <c r="A178" s="1594"/>
      <c r="B178" s="1594"/>
      <c r="C178" s="1594"/>
      <c r="D178" s="1594"/>
      <c r="E178" s="1594"/>
      <c r="F178" s="1594"/>
      <c r="G178" s="1594"/>
      <c r="H178" s="1594"/>
      <c r="I178" s="1594"/>
      <c r="J178" s="1594"/>
      <c r="K178" s="1594"/>
      <c r="L178" s="1594"/>
      <c r="M178" s="1594"/>
      <c r="N178" s="1594"/>
      <c r="O178" s="1594"/>
      <c r="P178" s="1594"/>
      <c r="Q178" s="1594"/>
      <c r="R178" s="1594"/>
      <c r="S178" s="1594"/>
      <c r="T178" s="1594"/>
      <c r="U178" s="1594"/>
      <c r="V178" s="1594"/>
      <c r="W178" s="1594"/>
      <c r="X178" s="1594"/>
      <c r="Y178" s="1594"/>
      <c r="Z178" s="1594"/>
    </row>
    <row r="179" ht="12.75" customHeight="1">
      <c r="A179" s="1594"/>
      <c r="B179" s="1594"/>
      <c r="C179" s="1594"/>
      <c r="D179" s="1594"/>
      <c r="E179" s="1594"/>
      <c r="F179" s="1594"/>
      <c r="G179" s="1594"/>
      <c r="H179" s="1594"/>
      <c r="I179" s="1594"/>
      <c r="J179" s="1594"/>
      <c r="K179" s="1594"/>
      <c r="L179" s="1594"/>
      <c r="M179" s="1594"/>
      <c r="N179" s="1594"/>
      <c r="O179" s="1594"/>
      <c r="P179" s="1594"/>
      <c r="Q179" s="1594"/>
      <c r="R179" s="1594"/>
      <c r="S179" s="1594"/>
      <c r="T179" s="1594"/>
      <c r="U179" s="1594"/>
      <c r="V179" s="1594"/>
      <c r="W179" s="1594"/>
      <c r="X179" s="1594"/>
      <c r="Y179" s="1594"/>
      <c r="Z179" s="1594"/>
    </row>
    <row r="180" ht="12.75" customHeight="1">
      <c r="A180" s="1594"/>
      <c r="B180" s="1594"/>
      <c r="C180" s="1594"/>
      <c r="D180" s="1594"/>
      <c r="E180" s="1594"/>
      <c r="F180" s="1594"/>
      <c r="G180" s="1594"/>
      <c r="H180" s="1594"/>
      <c r="I180" s="1594"/>
      <c r="J180" s="1594"/>
      <c r="K180" s="1594"/>
      <c r="L180" s="1594"/>
      <c r="M180" s="1594"/>
      <c r="N180" s="1594"/>
      <c r="O180" s="1594"/>
      <c r="P180" s="1594"/>
      <c r="Q180" s="1594"/>
      <c r="R180" s="1594"/>
      <c r="S180" s="1594"/>
      <c r="T180" s="1594"/>
      <c r="U180" s="1594"/>
      <c r="V180" s="1594"/>
      <c r="W180" s="1594"/>
      <c r="X180" s="1594"/>
      <c r="Y180" s="1594"/>
      <c r="Z180" s="1594"/>
    </row>
    <row r="181" ht="12.75" customHeight="1">
      <c r="A181" s="1594"/>
      <c r="B181" s="1594"/>
      <c r="C181" s="1594"/>
      <c r="D181" s="1594"/>
      <c r="E181" s="1594"/>
      <c r="F181" s="1594"/>
      <c r="G181" s="1594"/>
      <c r="H181" s="1594"/>
      <c r="I181" s="1594"/>
      <c r="J181" s="1594"/>
      <c r="K181" s="1594"/>
      <c r="L181" s="1594"/>
      <c r="M181" s="1594"/>
      <c r="N181" s="1594"/>
      <c r="O181" s="1594"/>
      <c r="P181" s="1594"/>
      <c r="Q181" s="1594"/>
      <c r="R181" s="1594"/>
      <c r="S181" s="1594"/>
      <c r="T181" s="1594"/>
      <c r="U181" s="1594"/>
      <c r="V181" s="1594"/>
      <c r="W181" s="1594"/>
      <c r="X181" s="1594"/>
      <c r="Y181" s="1594"/>
      <c r="Z181" s="1594"/>
    </row>
    <row r="182" ht="12.75" customHeight="1">
      <c r="A182" s="1594"/>
      <c r="B182" s="1594"/>
      <c r="C182" s="1594"/>
      <c r="D182" s="1594"/>
      <c r="E182" s="1594"/>
      <c r="F182" s="1594"/>
      <c r="G182" s="1594"/>
      <c r="H182" s="1594"/>
      <c r="I182" s="1594"/>
      <c r="J182" s="1594"/>
      <c r="K182" s="1594"/>
      <c r="L182" s="1594"/>
      <c r="M182" s="1594"/>
      <c r="N182" s="1594"/>
      <c r="O182" s="1594"/>
      <c r="P182" s="1594"/>
      <c r="Q182" s="1594"/>
      <c r="R182" s="1594"/>
      <c r="S182" s="1594"/>
      <c r="T182" s="1594"/>
      <c r="U182" s="1594"/>
      <c r="V182" s="1594"/>
      <c r="W182" s="1594"/>
      <c r="X182" s="1594"/>
      <c r="Y182" s="1594"/>
      <c r="Z182" s="1594"/>
    </row>
    <row r="183" ht="12.75" customHeight="1">
      <c r="A183" s="1594"/>
      <c r="B183" s="1594"/>
      <c r="C183" s="1594"/>
      <c r="D183" s="1594"/>
      <c r="E183" s="1594"/>
      <c r="F183" s="1594"/>
      <c r="G183" s="1594"/>
      <c r="H183" s="1594"/>
      <c r="I183" s="1594"/>
      <c r="J183" s="1594"/>
      <c r="K183" s="1594"/>
      <c r="L183" s="1594"/>
      <c r="M183" s="1594"/>
      <c r="N183" s="1594"/>
      <c r="O183" s="1594"/>
      <c r="P183" s="1594"/>
      <c r="Q183" s="1594"/>
      <c r="R183" s="1594"/>
      <c r="S183" s="1594"/>
      <c r="T183" s="1594"/>
      <c r="U183" s="1594"/>
      <c r="V183" s="1594"/>
      <c r="W183" s="1594"/>
      <c r="X183" s="1594"/>
      <c r="Y183" s="1594"/>
      <c r="Z183" s="1594"/>
    </row>
    <row r="184" ht="12.75" customHeight="1">
      <c r="A184" s="1594"/>
      <c r="B184" s="1594"/>
      <c r="C184" s="1594"/>
      <c r="D184" s="1594"/>
      <c r="E184" s="1594"/>
      <c r="F184" s="1594"/>
      <c r="G184" s="1594"/>
      <c r="H184" s="1594"/>
      <c r="I184" s="1594"/>
      <c r="J184" s="1594"/>
      <c r="K184" s="1594"/>
      <c r="L184" s="1594"/>
      <c r="M184" s="1594"/>
      <c r="N184" s="1594"/>
      <c r="O184" s="1594"/>
      <c r="P184" s="1594"/>
      <c r="Q184" s="1594"/>
      <c r="R184" s="1594"/>
      <c r="S184" s="1594"/>
      <c r="T184" s="1594"/>
      <c r="U184" s="1594"/>
      <c r="V184" s="1594"/>
      <c r="W184" s="1594"/>
      <c r="X184" s="1594"/>
      <c r="Y184" s="1594"/>
      <c r="Z184" s="1594"/>
    </row>
    <row r="185" ht="12.75" customHeight="1">
      <c r="A185" s="1594"/>
      <c r="B185" s="1594"/>
      <c r="C185" s="1594"/>
      <c r="D185" s="1594"/>
      <c r="E185" s="1594"/>
      <c r="F185" s="1594"/>
      <c r="G185" s="1594"/>
      <c r="H185" s="1594"/>
      <c r="I185" s="1594"/>
      <c r="J185" s="1594"/>
      <c r="K185" s="1594"/>
      <c r="L185" s="1594"/>
      <c r="M185" s="1594"/>
      <c r="N185" s="1594"/>
      <c r="O185" s="1594"/>
      <c r="P185" s="1594"/>
      <c r="Q185" s="1594"/>
      <c r="R185" s="1594"/>
      <c r="S185" s="1594"/>
      <c r="T185" s="1594"/>
      <c r="U185" s="1594"/>
      <c r="V185" s="1594"/>
      <c r="W185" s="1594"/>
      <c r="X185" s="1594"/>
      <c r="Y185" s="1594"/>
      <c r="Z185" s="1594"/>
    </row>
    <row r="186" ht="12.75" customHeight="1">
      <c r="A186" s="1594"/>
      <c r="B186" s="1594"/>
      <c r="C186" s="1594"/>
      <c r="D186" s="1594"/>
      <c r="E186" s="1594"/>
      <c r="F186" s="1594"/>
      <c r="G186" s="1594"/>
      <c r="H186" s="1594"/>
      <c r="I186" s="1594"/>
      <c r="J186" s="1594"/>
      <c r="K186" s="1594"/>
      <c r="L186" s="1594"/>
      <c r="M186" s="1594"/>
      <c r="N186" s="1594"/>
      <c r="O186" s="1594"/>
      <c r="P186" s="1594"/>
      <c r="Q186" s="1594"/>
      <c r="R186" s="1594"/>
      <c r="S186" s="1594"/>
      <c r="T186" s="1594"/>
      <c r="U186" s="1594"/>
      <c r="V186" s="1594"/>
      <c r="W186" s="1594"/>
      <c r="X186" s="1594"/>
      <c r="Y186" s="1594"/>
      <c r="Z186" s="1594"/>
    </row>
    <row r="187" ht="12.75" customHeight="1">
      <c r="A187" s="1594"/>
      <c r="B187" s="1594"/>
      <c r="C187" s="1594"/>
      <c r="D187" s="1594"/>
      <c r="E187" s="1594"/>
      <c r="F187" s="1594"/>
      <c r="G187" s="1594"/>
      <c r="H187" s="1594"/>
      <c r="I187" s="1594"/>
      <c r="J187" s="1594"/>
      <c r="K187" s="1594"/>
      <c r="L187" s="1594"/>
      <c r="M187" s="1594"/>
      <c r="N187" s="1594"/>
      <c r="O187" s="1594"/>
      <c r="P187" s="1594"/>
      <c r="Q187" s="1594"/>
      <c r="R187" s="1594"/>
      <c r="S187" s="1594"/>
      <c r="T187" s="1594"/>
      <c r="U187" s="1594"/>
      <c r="V187" s="1594"/>
      <c r="W187" s="1594"/>
      <c r="X187" s="1594"/>
      <c r="Y187" s="1594"/>
      <c r="Z187" s="1594"/>
    </row>
    <row r="188" ht="12.75" customHeight="1">
      <c r="A188" s="1594"/>
      <c r="B188" s="1594"/>
      <c r="C188" s="1594"/>
      <c r="D188" s="1594"/>
      <c r="E188" s="1594"/>
      <c r="F188" s="1594"/>
      <c r="G188" s="1594"/>
      <c r="H188" s="1594"/>
      <c r="I188" s="1594"/>
      <c r="J188" s="1594"/>
      <c r="K188" s="1594"/>
      <c r="L188" s="1594"/>
      <c r="M188" s="1594"/>
      <c r="N188" s="1594"/>
      <c r="O188" s="1594"/>
      <c r="P188" s="1594"/>
      <c r="Q188" s="1594"/>
      <c r="R188" s="1594"/>
      <c r="S188" s="1594"/>
      <c r="T188" s="1594"/>
      <c r="U188" s="1594"/>
      <c r="V188" s="1594"/>
      <c r="W188" s="1594"/>
      <c r="X188" s="1594"/>
      <c r="Y188" s="1594"/>
      <c r="Z188" s="1594"/>
    </row>
    <row r="189" ht="12.75" customHeight="1">
      <c r="A189" s="1594"/>
      <c r="B189" s="1594"/>
      <c r="C189" s="1594"/>
      <c r="D189" s="1594"/>
      <c r="E189" s="1594"/>
      <c r="F189" s="1594"/>
      <c r="G189" s="1594"/>
      <c r="H189" s="1594"/>
      <c r="I189" s="1594"/>
      <c r="J189" s="1594"/>
      <c r="K189" s="1594"/>
      <c r="L189" s="1594"/>
      <c r="M189" s="1594"/>
      <c r="N189" s="1594"/>
      <c r="O189" s="1594"/>
      <c r="P189" s="1594"/>
      <c r="Q189" s="1594"/>
      <c r="R189" s="1594"/>
      <c r="S189" s="1594"/>
      <c r="T189" s="1594"/>
      <c r="U189" s="1594"/>
      <c r="V189" s="1594"/>
      <c r="W189" s="1594"/>
      <c r="X189" s="1594"/>
      <c r="Y189" s="1594"/>
      <c r="Z189" s="1594"/>
    </row>
    <row r="190" ht="12.75" customHeight="1">
      <c r="A190" s="1594"/>
      <c r="B190" s="1594"/>
      <c r="C190" s="1594"/>
      <c r="D190" s="1594"/>
      <c r="E190" s="1594"/>
      <c r="F190" s="1594"/>
      <c r="G190" s="1594"/>
      <c r="H190" s="1594"/>
      <c r="I190" s="1594"/>
      <c r="J190" s="1594"/>
      <c r="K190" s="1594"/>
      <c r="L190" s="1594"/>
      <c r="M190" s="1594"/>
      <c r="N190" s="1594"/>
      <c r="O190" s="1594"/>
      <c r="P190" s="1594"/>
      <c r="Q190" s="1594"/>
      <c r="R190" s="1594"/>
      <c r="S190" s="1594"/>
      <c r="T190" s="1594"/>
      <c r="U190" s="1594"/>
      <c r="V190" s="1594"/>
      <c r="W190" s="1594"/>
      <c r="X190" s="1594"/>
      <c r="Y190" s="1594"/>
      <c r="Z190" s="1594"/>
    </row>
    <row r="191" ht="12.75" customHeight="1">
      <c r="A191" s="1594"/>
      <c r="B191" s="1594"/>
      <c r="C191" s="1594"/>
      <c r="D191" s="1594"/>
      <c r="E191" s="1594"/>
      <c r="F191" s="1594"/>
      <c r="G191" s="1594"/>
      <c r="H191" s="1594"/>
      <c r="I191" s="1594"/>
      <c r="J191" s="1594"/>
      <c r="K191" s="1594"/>
      <c r="L191" s="1594"/>
      <c r="M191" s="1594"/>
      <c r="N191" s="1594"/>
      <c r="O191" s="1594"/>
      <c r="P191" s="1594"/>
      <c r="Q191" s="1594"/>
      <c r="R191" s="1594"/>
      <c r="S191" s="1594"/>
      <c r="T191" s="1594"/>
      <c r="U191" s="1594"/>
      <c r="V191" s="1594"/>
      <c r="W191" s="1594"/>
      <c r="X191" s="1594"/>
      <c r="Y191" s="1594"/>
      <c r="Z191" s="1594"/>
    </row>
    <row r="192" ht="12.75" customHeight="1">
      <c r="A192" s="1594"/>
      <c r="B192" s="1594"/>
      <c r="C192" s="1594"/>
      <c r="D192" s="1594"/>
      <c r="E192" s="1594"/>
      <c r="F192" s="1594"/>
      <c r="G192" s="1594"/>
      <c r="H192" s="1594"/>
      <c r="I192" s="1594"/>
      <c r="J192" s="1594"/>
      <c r="K192" s="1594"/>
      <c r="L192" s="1594"/>
      <c r="M192" s="1594"/>
      <c r="N192" s="1594"/>
      <c r="O192" s="1594"/>
      <c r="P192" s="1594"/>
      <c r="Q192" s="1594"/>
      <c r="R192" s="1594"/>
      <c r="S192" s="1594"/>
      <c r="T192" s="1594"/>
      <c r="U192" s="1594"/>
      <c r="V192" s="1594"/>
      <c r="W192" s="1594"/>
      <c r="X192" s="1594"/>
      <c r="Y192" s="1594"/>
      <c r="Z192" s="1594"/>
    </row>
    <row r="193" ht="12.75" customHeight="1">
      <c r="A193" s="1594"/>
      <c r="B193" s="1594"/>
      <c r="C193" s="1594"/>
      <c r="D193" s="1594"/>
      <c r="E193" s="1594"/>
      <c r="F193" s="1594"/>
      <c r="G193" s="1594"/>
      <c r="H193" s="1594"/>
      <c r="I193" s="1594"/>
      <c r="J193" s="1594"/>
      <c r="K193" s="1594"/>
      <c r="L193" s="1594"/>
      <c r="M193" s="1594"/>
      <c r="N193" s="1594"/>
      <c r="O193" s="1594"/>
      <c r="P193" s="1594"/>
      <c r="Q193" s="1594"/>
      <c r="R193" s="1594"/>
      <c r="S193" s="1594"/>
      <c r="T193" s="1594"/>
      <c r="U193" s="1594"/>
      <c r="V193" s="1594"/>
      <c r="W193" s="1594"/>
      <c r="X193" s="1594"/>
      <c r="Y193" s="1594"/>
      <c r="Z193" s="1594"/>
    </row>
    <row r="194" ht="12.75" customHeight="1">
      <c r="A194" s="1594"/>
      <c r="B194" s="1594"/>
      <c r="C194" s="1594"/>
      <c r="D194" s="1594"/>
      <c r="E194" s="1594"/>
      <c r="F194" s="1594"/>
      <c r="G194" s="1594"/>
      <c r="H194" s="1594"/>
      <c r="I194" s="1594"/>
      <c r="J194" s="1594"/>
      <c r="K194" s="1594"/>
      <c r="L194" s="1594"/>
      <c r="M194" s="1594"/>
      <c r="N194" s="1594"/>
      <c r="O194" s="1594"/>
      <c r="P194" s="1594"/>
      <c r="Q194" s="1594"/>
      <c r="R194" s="1594"/>
      <c r="S194" s="1594"/>
      <c r="T194" s="1594"/>
      <c r="U194" s="1594"/>
      <c r="V194" s="1594"/>
      <c r="W194" s="1594"/>
      <c r="X194" s="1594"/>
      <c r="Y194" s="1594"/>
      <c r="Z194" s="1594"/>
    </row>
    <row r="195" ht="12.75" customHeight="1">
      <c r="A195" s="1594"/>
      <c r="B195" s="1594"/>
      <c r="C195" s="1594"/>
      <c r="D195" s="1594"/>
      <c r="E195" s="1594"/>
      <c r="F195" s="1594"/>
      <c r="G195" s="1594"/>
      <c r="H195" s="1594"/>
      <c r="I195" s="1594"/>
      <c r="J195" s="1594"/>
      <c r="K195" s="1594"/>
      <c r="L195" s="1594"/>
      <c r="M195" s="1594"/>
      <c r="N195" s="1594"/>
      <c r="O195" s="1594"/>
      <c r="P195" s="1594"/>
      <c r="Q195" s="1594"/>
      <c r="R195" s="1594"/>
      <c r="S195" s="1594"/>
      <c r="T195" s="1594"/>
      <c r="U195" s="1594"/>
      <c r="V195" s="1594"/>
      <c r="W195" s="1594"/>
      <c r="X195" s="1594"/>
      <c r="Y195" s="1594"/>
      <c r="Z195" s="1594"/>
    </row>
    <row r="196" ht="12.75" customHeight="1">
      <c r="A196" s="1594"/>
      <c r="B196" s="1594"/>
      <c r="C196" s="1594"/>
      <c r="D196" s="1594"/>
      <c r="E196" s="1594"/>
      <c r="F196" s="1594"/>
      <c r="G196" s="1594"/>
      <c r="H196" s="1594"/>
      <c r="I196" s="1594"/>
      <c r="J196" s="1594"/>
      <c r="K196" s="1594"/>
      <c r="L196" s="1594"/>
      <c r="M196" s="1594"/>
      <c r="N196" s="1594"/>
      <c r="O196" s="1594"/>
      <c r="P196" s="1594"/>
      <c r="Q196" s="1594"/>
      <c r="R196" s="1594"/>
      <c r="S196" s="1594"/>
      <c r="T196" s="1594"/>
      <c r="U196" s="1594"/>
      <c r="V196" s="1594"/>
      <c r="W196" s="1594"/>
      <c r="X196" s="1594"/>
      <c r="Y196" s="1594"/>
      <c r="Z196" s="1594"/>
    </row>
    <row r="197" ht="12.75" customHeight="1">
      <c r="A197" s="1594"/>
      <c r="B197" s="1594"/>
      <c r="C197" s="1594"/>
      <c r="D197" s="1594"/>
      <c r="E197" s="1594"/>
      <c r="F197" s="1594"/>
      <c r="G197" s="1594"/>
      <c r="H197" s="1594"/>
      <c r="I197" s="1594"/>
      <c r="J197" s="1594"/>
      <c r="K197" s="1594"/>
      <c r="L197" s="1594"/>
      <c r="M197" s="1594"/>
      <c r="N197" s="1594"/>
      <c r="O197" s="1594"/>
      <c r="P197" s="1594"/>
      <c r="Q197" s="1594"/>
      <c r="R197" s="1594"/>
      <c r="S197" s="1594"/>
      <c r="T197" s="1594"/>
      <c r="U197" s="1594"/>
      <c r="V197" s="1594"/>
      <c r="W197" s="1594"/>
      <c r="X197" s="1594"/>
      <c r="Y197" s="1594"/>
      <c r="Z197" s="1594"/>
    </row>
    <row r="198" ht="12.75" customHeight="1">
      <c r="A198" s="1594"/>
      <c r="B198" s="1594"/>
      <c r="C198" s="1594"/>
      <c r="D198" s="1594"/>
      <c r="E198" s="1594"/>
      <c r="F198" s="1594"/>
      <c r="G198" s="1594"/>
      <c r="H198" s="1594"/>
      <c r="I198" s="1594"/>
      <c r="J198" s="1594"/>
      <c r="K198" s="1594"/>
      <c r="L198" s="1594"/>
      <c r="M198" s="1594"/>
      <c r="N198" s="1594"/>
      <c r="O198" s="1594"/>
      <c r="P198" s="1594"/>
      <c r="Q198" s="1594"/>
      <c r="R198" s="1594"/>
      <c r="S198" s="1594"/>
      <c r="T198" s="1594"/>
      <c r="U198" s="1594"/>
      <c r="V198" s="1594"/>
      <c r="W198" s="1594"/>
      <c r="X198" s="1594"/>
      <c r="Y198" s="1594"/>
      <c r="Z198" s="1594"/>
    </row>
    <row r="199" ht="12.75" customHeight="1">
      <c r="A199" s="1594"/>
      <c r="B199" s="1594"/>
      <c r="C199" s="1594"/>
      <c r="D199" s="1594"/>
      <c r="E199" s="1594"/>
      <c r="F199" s="1594"/>
      <c r="G199" s="1594"/>
      <c r="H199" s="1594"/>
      <c r="I199" s="1594"/>
      <c r="J199" s="1594"/>
      <c r="K199" s="1594"/>
      <c r="L199" s="1594"/>
      <c r="M199" s="1594"/>
      <c r="N199" s="1594"/>
      <c r="O199" s="1594"/>
      <c r="P199" s="1594"/>
      <c r="Q199" s="1594"/>
      <c r="R199" s="1594"/>
      <c r="S199" s="1594"/>
      <c r="T199" s="1594"/>
      <c r="U199" s="1594"/>
      <c r="V199" s="1594"/>
      <c r="W199" s="1594"/>
      <c r="X199" s="1594"/>
      <c r="Y199" s="1594"/>
      <c r="Z199" s="1594"/>
    </row>
    <row r="200" ht="12.75" customHeight="1">
      <c r="A200" s="1594"/>
      <c r="B200" s="1594"/>
      <c r="C200" s="1594"/>
      <c r="D200" s="1594"/>
      <c r="E200" s="1594"/>
      <c r="F200" s="1594"/>
      <c r="G200" s="1594"/>
      <c r="H200" s="1594"/>
      <c r="I200" s="1594"/>
      <c r="J200" s="1594"/>
      <c r="K200" s="1594"/>
      <c r="L200" s="1594"/>
      <c r="M200" s="1594"/>
      <c r="N200" s="1594"/>
      <c r="O200" s="1594"/>
      <c r="P200" s="1594"/>
      <c r="Q200" s="1594"/>
      <c r="R200" s="1594"/>
      <c r="S200" s="1594"/>
      <c r="T200" s="1594"/>
      <c r="U200" s="1594"/>
      <c r="V200" s="1594"/>
      <c r="W200" s="1594"/>
      <c r="X200" s="1594"/>
      <c r="Y200" s="1594"/>
      <c r="Z200" s="1594"/>
    </row>
    <row r="201" ht="12.75" customHeight="1">
      <c r="A201" s="1594"/>
      <c r="B201" s="1594"/>
      <c r="C201" s="1594"/>
      <c r="D201" s="1594"/>
      <c r="E201" s="1594"/>
      <c r="F201" s="1594"/>
      <c r="G201" s="1594"/>
      <c r="H201" s="1594"/>
      <c r="I201" s="1594"/>
      <c r="J201" s="1594"/>
      <c r="K201" s="1594"/>
      <c r="L201" s="1594"/>
      <c r="M201" s="1594"/>
      <c r="N201" s="1594"/>
      <c r="O201" s="1594"/>
      <c r="P201" s="1594"/>
      <c r="Q201" s="1594"/>
      <c r="R201" s="1594"/>
      <c r="S201" s="1594"/>
      <c r="T201" s="1594"/>
      <c r="U201" s="1594"/>
      <c r="V201" s="1594"/>
      <c r="W201" s="1594"/>
      <c r="X201" s="1594"/>
      <c r="Y201" s="1594"/>
      <c r="Z201" s="1594"/>
    </row>
    <row r="202" ht="12.75" customHeight="1">
      <c r="A202" s="1594"/>
      <c r="B202" s="1594"/>
      <c r="C202" s="1594"/>
      <c r="D202" s="1594"/>
      <c r="E202" s="1594"/>
      <c r="F202" s="1594"/>
      <c r="G202" s="1594"/>
      <c r="H202" s="1594"/>
      <c r="I202" s="1594"/>
      <c r="J202" s="1594"/>
      <c r="K202" s="1594"/>
      <c r="L202" s="1594"/>
      <c r="M202" s="1594"/>
      <c r="N202" s="1594"/>
      <c r="O202" s="1594"/>
      <c r="P202" s="1594"/>
      <c r="Q202" s="1594"/>
      <c r="R202" s="1594"/>
      <c r="S202" s="1594"/>
      <c r="T202" s="1594"/>
      <c r="U202" s="1594"/>
      <c r="V202" s="1594"/>
      <c r="W202" s="1594"/>
      <c r="X202" s="1594"/>
      <c r="Y202" s="1594"/>
      <c r="Z202" s="1594"/>
    </row>
    <row r="203" ht="12.75" customHeight="1">
      <c r="A203" s="1594"/>
      <c r="B203" s="1594"/>
      <c r="C203" s="1594"/>
      <c r="D203" s="1594"/>
      <c r="E203" s="1594"/>
      <c r="F203" s="1594"/>
      <c r="G203" s="1594"/>
      <c r="H203" s="1594"/>
      <c r="I203" s="1594"/>
      <c r="J203" s="1594"/>
      <c r="K203" s="1594"/>
      <c r="L203" s="1594"/>
      <c r="M203" s="1594"/>
      <c r="N203" s="1594"/>
      <c r="O203" s="1594"/>
      <c r="P203" s="1594"/>
      <c r="Q203" s="1594"/>
      <c r="R203" s="1594"/>
      <c r="S203" s="1594"/>
      <c r="T203" s="1594"/>
      <c r="U203" s="1594"/>
      <c r="V203" s="1594"/>
      <c r="W203" s="1594"/>
      <c r="X203" s="1594"/>
      <c r="Y203" s="1594"/>
      <c r="Z203" s="1594"/>
    </row>
    <row r="204" ht="12.75" customHeight="1">
      <c r="A204" s="1594"/>
      <c r="B204" s="1594"/>
      <c r="C204" s="1594"/>
      <c r="D204" s="1594"/>
      <c r="E204" s="1594"/>
      <c r="F204" s="1594"/>
      <c r="G204" s="1594"/>
      <c r="H204" s="1594"/>
      <c r="I204" s="1594"/>
      <c r="J204" s="1594"/>
      <c r="K204" s="1594"/>
      <c r="L204" s="1594"/>
      <c r="M204" s="1594"/>
      <c r="N204" s="1594"/>
      <c r="O204" s="1594"/>
      <c r="P204" s="1594"/>
      <c r="Q204" s="1594"/>
      <c r="R204" s="1594"/>
      <c r="S204" s="1594"/>
      <c r="T204" s="1594"/>
      <c r="U204" s="1594"/>
      <c r="V204" s="1594"/>
      <c r="W204" s="1594"/>
      <c r="X204" s="1594"/>
      <c r="Y204" s="1594"/>
      <c r="Z204" s="1594"/>
    </row>
    <row r="205" ht="12.75" customHeight="1">
      <c r="A205" s="1594"/>
      <c r="B205" s="1594"/>
      <c r="C205" s="1594"/>
      <c r="D205" s="1594"/>
      <c r="E205" s="1594"/>
      <c r="F205" s="1594"/>
      <c r="G205" s="1594"/>
      <c r="H205" s="1594"/>
      <c r="I205" s="1594"/>
      <c r="J205" s="1594"/>
      <c r="K205" s="1594"/>
      <c r="L205" s="1594"/>
      <c r="M205" s="1594"/>
      <c r="N205" s="1594"/>
      <c r="O205" s="1594"/>
      <c r="P205" s="1594"/>
      <c r="Q205" s="1594"/>
      <c r="R205" s="1594"/>
      <c r="S205" s="1594"/>
      <c r="T205" s="1594"/>
      <c r="U205" s="1594"/>
      <c r="V205" s="1594"/>
      <c r="W205" s="1594"/>
      <c r="X205" s="1594"/>
      <c r="Y205" s="1594"/>
      <c r="Z205" s="1594"/>
    </row>
    <row r="206" ht="12.75" customHeight="1">
      <c r="A206" s="1594"/>
      <c r="B206" s="1594"/>
      <c r="C206" s="1594"/>
      <c r="D206" s="1594"/>
      <c r="E206" s="1594"/>
      <c r="F206" s="1594"/>
      <c r="G206" s="1594"/>
      <c r="H206" s="1594"/>
      <c r="I206" s="1594"/>
      <c r="J206" s="1594"/>
      <c r="K206" s="1594"/>
      <c r="L206" s="1594"/>
      <c r="M206" s="1594"/>
      <c r="N206" s="1594"/>
      <c r="O206" s="1594"/>
      <c r="P206" s="1594"/>
      <c r="Q206" s="1594"/>
      <c r="R206" s="1594"/>
      <c r="S206" s="1594"/>
      <c r="T206" s="1594"/>
      <c r="U206" s="1594"/>
      <c r="V206" s="1594"/>
      <c r="W206" s="1594"/>
      <c r="X206" s="1594"/>
      <c r="Y206" s="1594"/>
      <c r="Z206" s="1594"/>
    </row>
    <row r="207" ht="12.75" customHeight="1">
      <c r="A207" s="1594"/>
      <c r="B207" s="1594"/>
      <c r="C207" s="1594"/>
      <c r="D207" s="1594"/>
      <c r="E207" s="1594"/>
      <c r="F207" s="1594"/>
      <c r="G207" s="1594"/>
      <c r="H207" s="1594"/>
      <c r="I207" s="1594"/>
      <c r="J207" s="1594"/>
      <c r="K207" s="1594"/>
      <c r="L207" s="1594"/>
      <c r="M207" s="1594"/>
      <c r="N207" s="1594"/>
      <c r="O207" s="1594"/>
      <c r="P207" s="1594"/>
      <c r="Q207" s="1594"/>
      <c r="R207" s="1594"/>
      <c r="S207" s="1594"/>
      <c r="T207" s="1594"/>
      <c r="U207" s="1594"/>
      <c r="V207" s="1594"/>
      <c r="W207" s="1594"/>
      <c r="X207" s="1594"/>
      <c r="Y207" s="1594"/>
      <c r="Z207" s="1594"/>
    </row>
    <row r="208" ht="12.75" customHeight="1">
      <c r="A208" s="1594"/>
      <c r="B208" s="1594"/>
      <c r="C208" s="1594"/>
      <c r="D208" s="1594"/>
      <c r="E208" s="1594"/>
      <c r="F208" s="1594"/>
      <c r="G208" s="1594"/>
      <c r="H208" s="1594"/>
      <c r="I208" s="1594"/>
      <c r="J208" s="1594"/>
      <c r="K208" s="1594"/>
      <c r="L208" s="1594"/>
      <c r="M208" s="1594"/>
      <c r="N208" s="1594"/>
      <c r="O208" s="1594"/>
      <c r="P208" s="1594"/>
      <c r="Q208" s="1594"/>
      <c r="R208" s="1594"/>
      <c r="S208" s="1594"/>
      <c r="T208" s="1594"/>
      <c r="U208" s="1594"/>
      <c r="V208" s="1594"/>
      <c r="W208" s="1594"/>
      <c r="X208" s="1594"/>
      <c r="Y208" s="1594"/>
      <c r="Z208" s="1594"/>
    </row>
    <row r="209" ht="12.75" customHeight="1">
      <c r="A209" s="1594"/>
      <c r="B209" s="1594"/>
      <c r="C209" s="1594"/>
      <c r="D209" s="1594"/>
      <c r="E209" s="1594"/>
      <c r="F209" s="1594"/>
      <c r="G209" s="1594"/>
      <c r="H209" s="1594"/>
      <c r="I209" s="1594"/>
      <c r="J209" s="1594"/>
      <c r="K209" s="1594"/>
      <c r="L209" s="1594"/>
      <c r="M209" s="1594"/>
      <c r="N209" s="1594"/>
      <c r="O209" s="1594"/>
      <c r="P209" s="1594"/>
      <c r="Q209" s="1594"/>
      <c r="R209" s="1594"/>
      <c r="S209" s="1594"/>
      <c r="T209" s="1594"/>
      <c r="U209" s="1594"/>
      <c r="V209" s="1594"/>
      <c r="W209" s="1594"/>
      <c r="X209" s="1594"/>
      <c r="Y209" s="1594"/>
      <c r="Z209" s="1594"/>
    </row>
    <row r="210" ht="12.75" customHeight="1">
      <c r="A210" s="1594"/>
      <c r="B210" s="1594"/>
      <c r="C210" s="1594"/>
      <c r="D210" s="1594"/>
      <c r="E210" s="1594"/>
      <c r="F210" s="1594"/>
      <c r="G210" s="1594"/>
      <c r="H210" s="1594"/>
      <c r="I210" s="1594"/>
      <c r="J210" s="1594"/>
      <c r="K210" s="1594"/>
      <c r="L210" s="1594"/>
      <c r="M210" s="1594"/>
      <c r="N210" s="1594"/>
      <c r="O210" s="1594"/>
      <c r="P210" s="1594"/>
      <c r="Q210" s="1594"/>
      <c r="R210" s="1594"/>
      <c r="S210" s="1594"/>
      <c r="T210" s="1594"/>
      <c r="U210" s="1594"/>
      <c r="V210" s="1594"/>
      <c r="W210" s="1594"/>
      <c r="X210" s="1594"/>
      <c r="Y210" s="1594"/>
      <c r="Z210" s="1594"/>
    </row>
    <row r="211" ht="12.75" customHeight="1">
      <c r="A211" s="1594"/>
      <c r="B211" s="1594"/>
      <c r="C211" s="1594"/>
      <c r="D211" s="1594"/>
      <c r="E211" s="1594"/>
      <c r="F211" s="1594"/>
      <c r="G211" s="1594"/>
      <c r="H211" s="1594"/>
      <c r="I211" s="1594"/>
      <c r="J211" s="1594"/>
      <c r="K211" s="1594"/>
      <c r="L211" s="1594"/>
      <c r="M211" s="1594"/>
      <c r="N211" s="1594"/>
      <c r="O211" s="1594"/>
      <c r="P211" s="1594"/>
      <c r="Q211" s="1594"/>
      <c r="R211" s="1594"/>
      <c r="S211" s="1594"/>
      <c r="T211" s="1594"/>
      <c r="U211" s="1594"/>
      <c r="V211" s="1594"/>
      <c r="W211" s="1594"/>
      <c r="X211" s="1594"/>
      <c r="Y211" s="1594"/>
      <c r="Z211" s="1594"/>
    </row>
    <row r="212" ht="12.75" customHeight="1">
      <c r="A212" s="1594"/>
      <c r="B212" s="1594"/>
      <c r="C212" s="1594"/>
      <c r="D212" s="1594"/>
      <c r="E212" s="1594"/>
      <c r="F212" s="1594"/>
      <c r="G212" s="1594"/>
      <c r="H212" s="1594"/>
      <c r="I212" s="1594"/>
      <c r="J212" s="1594"/>
      <c r="K212" s="1594"/>
      <c r="L212" s="1594"/>
      <c r="M212" s="1594"/>
      <c r="N212" s="1594"/>
      <c r="O212" s="1594"/>
      <c r="P212" s="1594"/>
      <c r="Q212" s="1594"/>
      <c r="R212" s="1594"/>
      <c r="S212" s="1594"/>
      <c r="T212" s="1594"/>
      <c r="U212" s="1594"/>
      <c r="V212" s="1594"/>
      <c r="W212" s="1594"/>
      <c r="X212" s="1594"/>
      <c r="Y212" s="1594"/>
      <c r="Z212" s="1594"/>
    </row>
    <row r="213" ht="12.75" customHeight="1">
      <c r="A213" s="1594"/>
      <c r="B213" s="1594"/>
      <c r="C213" s="1594"/>
      <c r="D213" s="1594"/>
      <c r="E213" s="1594"/>
      <c r="F213" s="1594"/>
      <c r="G213" s="1594"/>
      <c r="H213" s="1594"/>
      <c r="I213" s="1594"/>
      <c r="J213" s="1594"/>
      <c r="K213" s="1594"/>
      <c r="L213" s="1594"/>
      <c r="M213" s="1594"/>
      <c r="N213" s="1594"/>
      <c r="O213" s="1594"/>
      <c r="P213" s="1594"/>
      <c r="Q213" s="1594"/>
      <c r="R213" s="1594"/>
      <c r="S213" s="1594"/>
      <c r="T213" s="1594"/>
      <c r="U213" s="1594"/>
      <c r="V213" s="1594"/>
      <c r="W213" s="1594"/>
      <c r="X213" s="1594"/>
      <c r="Y213" s="1594"/>
      <c r="Z213" s="1594"/>
    </row>
    <row r="214" ht="12.75" customHeight="1">
      <c r="A214" s="1594"/>
      <c r="B214" s="1594"/>
      <c r="C214" s="1594"/>
      <c r="D214" s="1594"/>
      <c r="E214" s="1594"/>
      <c r="F214" s="1594"/>
      <c r="G214" s="1594"/>
      <c r="H214" s="1594"/>
      <c r="I214" s="1594"/>
      <c r="J214" s="1594"/>
      <c r="K214" s="1594"/>
      <c r="L214" s="1594"/>
      <c r="M214" s="1594"/>
      <c r="N214" s="1594"/>
      <c r="O214" s="1594"/>
      <c r="P214" s="1594"/>
      <c r="Q214" s="1594"/>
      <c r="R214" s="1594"/>
      <c r="S214" s="1594"/>
      <c r="T214" s="1594"/>
      <c r="U214" s="1594"/>
      <c r="V214" s="1594"/>
      <c r="W214" s="1594"/>
      <c r="X214" s="1594"/>
      <c r="Y214" s="1594"/>
      <c r="Z214" s="1594"/>
    </row>
    <row r="215" ht="12.75" customHeight="1">
      <c r="A215" s="1594"/>
      <c r="B215" s="1594"/>
      <c r="C215" s="1594"/>
      <c r="D215" s="1594"/>
      <c r="E215" s="1594"/>
      <c r="F215" s="1594"/>
      <c r="G215" s="1594"/>
      <c r="H215" s="1594"/>
      <c r="I215" s="1594"/>
      <c r="J215" s="1594"/>
      <c r="K215" s="1594"/>
      <c r="L215" s="1594"/>
      <c r="M215" s="1594"/>
      <c r="N215" s="1594"/>
      <c r="O215" s="1594"/>
      <c r="P215" s="1594"/>
      <c r="Q215" s="1594"/>
      <c r="R215" s="1594"/>
      <c r="S215" s="1594"/>
      <c r="T215" s="1594"/>
      <c r="U215" s="1594"/>
      <c r="V215" s="1594"/>
      <c r="W215" s="1594"/>
      <c r="X215" s="1594"/>
      <c r="Y215" s="1594"/>
      <c r="Z215" s="1594"/>
    </row>
    <row r="216" ht="12.75" customHeight="1">
      <c r="A216" s="1594"/>
      <c r="B216" s="1594"/>
      <c r="C216" s="1594"/>
      <c r="D216" s="1594"/>
      <c r="E216" s="1594"/>
      <c r="F216" s="1594"/>
      <c r="G216" s="1594"/>
      <c r="H216" s="1594"/>
      <c r="I216" s="1594"/>
      <c r="J216" s="1594"/>
      <c r="K216" s="1594"/>
      <c r="L216" s="1594"/>
      <c r="M216" s="1594"/>
      <c r="N216" s="1594"/>
      <c r="O216" s="1594"/>
      <c r="P216" s="1594"/>
      <c r="Q216" s="1594"/>
      <c r="R216" s="1594"/>
      <c r="S216" s="1594"/>
      <c r="T216" s="1594"/>
      <c r="U216" s="1594"/>
      <c r="V216" s="1594"/>
      <c r="W216" s="1594"/>
      <c r="X216" s="1594"/>
      <c r="Y216" s="1594"/>
      <c r="Z216" s="1594"/>
    </row>
    <row r="217" ht="12.75" customHeight="1">
      <c r="A217" s="1594"/>
      <c r="B217" s="1594"/>
      <c r="C217" s="1594"/>
      <c r="D217" s="1594"/>
      <c r="E217" s="1594"/>
      <c r="F217" s="1594"/>
      <c r="G217" s="1594"/>
      <c r="H217" s="1594"/>
      <c r="I217" s="1594"/>
      <c r="J217" s="1594"/>
      <c r="K217" s="1594"/>
      <c r="L217" s="1594"/>
      <c r="M217" s="1594"/>
      <c r="N217" s="1594"/>
      <c r="O217" s="1594"/>
      <c r="P217" s="1594"/>
      <c r="Q217" s="1594"/>
      <c r="R217" s="1594"/>
      <c r="S217" s="1594"/>
      <c r="T217" s="1594"/>
      <c r="U217" s="1594"/>
      <c r="V217" s="1594"/>
      <c r="W217" s="1594"/>
      <c r="X217" s="1594"/>
      <c r="Y217" s="1594"/>
      <c r="Z217" s="1594"/>
    </row>
    <row r="218" ht="12.75" customHeight="1">
      <c r="A218" s="1594"/>
      <c r="B218" s="1594"/>
      <c r="C218" s="1594"/>
      <c r="D218" s="1594"/>
      <c r="E218" s="1594"/>
      <c r="F218" s="1594"/>
      <c r="G218" s="1594"/>
      <c r="H218" s="1594"/>
      <c r="I218" s="1594"/>
      <c r="J218" s="1594"/>
      <c r="K218" s="1594"/>
      <c r="L218" s="1594"/>
      <c r="M218" s="1594"/>
      <c r="N218" s="1594"/>
      <c r="O218" s="1594"/>
      <c r="P218" s="1594"/>
      <c r="Q218" s="1594"/>
      <c r="R218" s="1594"/>
      <c r="S218" s="1594"/>
      <c r="T218" s="1594"/>
      <c r="U218" s="1594"/>
      <c r="V218" s="1594"/>
      <c r="W218" s="1594"/>
      <c r="X218" s="1594"/>
      <c r="Y218" s="1594"/>
      <c r="Z218" s="1594"/>
    </row>
    <row r="219" ht="12.75" customHeight="1">
      <c r="A219" s="1594"/>
      <c r="B219" s="1594"/>
      <c r="C219" s="1594"/>
      <c r="D219" s="1594"/>
      <c r="E219" s="1594"/>
      <c r="F219" s="1594"/>
      <c r="G219" s="1594"/>
      <c r="H219" s="1594"/>
      <c r="I219" s="1594"/>
      <c r="J219" s="1594"/>
      <c r="K219" s="1594"/>
      <c r="L219" s="1594"/>
      <c r="M219" s="1594"/>
      <c r="N219" s="1594"/>
      <c r="O219" s="1594"/>
      <c r="P219" s="1594"/>
      <c r="Q219" s="1594"/>
      <c r="R219" s="1594"/>
      <c r="S219" s="1594"/>
      <c r="T219" s="1594"/>
      <c r="U219" s="1594"/>
      <c r="V219" s="1594"/>
      <c r="W219" s="1594"/>
      <c r="X219" s="1594"/>
      <c r="Y219" s="1594"/>
      <c r="Z219" s="1594"/>
    </row>
    <row r="220" ht="12.75" customHeight="1">
      <c r="A220" s="1594"/>
      <c r="B220" s="1594"/>
      <c r="C220" s="1594"/>
      <c r="D220" s="1594"/>
      <c r="E220" s="1594"/>
      <c r="F220" s="1594"/>
      <c r="G220" s="1594"/>
      <c r="H220" s="1594"/>
      <c r="I220" s="1594"/>
      <c r="J220" s="1594"/>
      <c r="K220" s="1594"/>
      <c r="L220" s="1594"/>
      <c r="M220" s="1594"/>
      <c r="N220" s="1594"/>
      <c r="O220" s="1594"/>
      <c r="P220" s="1594"/>
      <c r="Q220" s="1594"/>
      <c r="R220" s="1594"/>
      <c r="S220" s="1594"/>
      <c r="T220" s="1594"/>
      <c r="U220" s="1594"/>
      <c r="V220" s="1594"/>
      <c r="W220" s="1594"/>
      <c r="X220" s="1594"/>
      <c r="Y220" s="1594"/>
      <c r="Z220" s="1594"/>
    </row>
    <row r="221" ht="12.75" customHeight="1">
      <c r="A221" s="1594"/>
      <c r="B221" s="1594"/>
      <c r="C221" s="1594"/>
      <c r="D221" s="1594"/>
      <c r="E221" s="1594"/>
      <c r="F221" s="1594"/>
      <c r="G221" s="1594"/>
      <c r="H221" s="1594"/>
      <c r="I221" s="1594"/>
      <c r="J221" s="1594"/>
      <c r="K221" s="1594"/>
      <c r="L221" s="1594"/>
      <c r="M221" s="1594"/>
      <c r="N221" s="1594"/>
      <c r="O221" s="1594"/>
      <c r="P221" s="1594"/>
      <c r="Q221" s="1594"/>
      <c r="R221" s="1594"/>
      <c r="S221" s="1594"/>
      <c r="T221" s="1594"/>
      <c r="U221" s="1594"/>
      <c r="V221" s="1594"/>
      <c r="W221" s="1594"/>
      <c r="X221" s="1594"/>
      <c r="Y221" s="1594"/>
      <c r="Z221" s="1594"/>
    </row>
    <row r="222" ht="12.75" customHeight="1">
      <c r="A222" s="1594"/>
      <c r="B222" s="1594"/>
      <c r="C222" s="1594"/>
      <c r="D222" s="1594"/>
      <c r="E222" s="1594"/>
      <c r="F222" s="1594"/>
      <c r="G222" s="1594"/>
      <c r="H222" s="1594"/>
      <c r="I222" s="1594"/>
      <c r="J222" s="1594"/>
      <c r="K222" s="1594"/>
      <c r="L222" s="1594"/>
      <c r="M222" s="1594"/>
      <c r="N222" s="1594"/>
      <c r="O222" s="1594"/>
      <c r="P222" s="1594"/>
      <c r="Q222" s="1594"/>
      <c r="R222" s="1594"/>
      <c r="S222" s="1594"/>
      <c r="T222" s="1594"/>
      <c r="U222" s="1594"/>
      <c r="V222" s="1594"/>
      <c r="W222" s="1594"/>
      <c r="X222" s="1594"/>
      <c r="Y222" s="1594"/>
      <c r="Z222" s="1594"/>
    </row>
    <row r="223" ht="12.75" customHeight="1">
      <c r="A223" s="1594"/>
      <c r="B223" s="1594"/>
      <c r="C223" s="1594"/>
      <c r="D223" s="1594"/>
      <c r="E223" s="1594"/>
      <c r="F223" s="1594"/>
      <c r="G223" s="1594"/>
      <c r="H223" s="1594"/>
      <c r="I223" s="1594"/>
      <c r="J223" s="1594"/>
      <c r="K223" s="1594"/>
      <c r="L223" s="1594"/>
      <c r="M223" s="1594"/>
      <c r="N223" s="1594"/>
      <c r="O223" s="1594"/>
      <c r="P223" s="1594"/>
      <c r="Q223" s="1594"/>
      <c r="R223" s="1594"/>
      <c r="S223" s="1594"/>
      <c r="T223" s="1594"/>
      <c r="U223" s="1594"/>
      <c r="V223" s="1594"/>
      <c r="W223" s="1594"/>
      <c r="X223" s="1594"/>
      <c r="Y223" s="1594"/>
      <c r="Z223" s="1594"/>
    </row>
    <row r="224" ht="12.75" customHeight="1">
      <c r="A224" s="1594"/>
      <c r="B224" s="1594"/>
      <c r="C224" s="1594"/>
      <c r="D224" s="1594"/>
      <c r="E224" s="1594"/>
      <c r="F224" s="1594"/>
      <c r="G224" s="1594"/>
      <c r="H224" s="1594"/>
      <c r="I224" s="1594"/>
      <c r="J224" s="1594"/>
      <c r="K224" s="1594"/>
      <c r="L224" s="1594"/>
      <c r="M224" s="1594"/>
      <c r="N224" s="1594"/>
      <c r="O224" s="1594"/>
      <c r="P224" s="1594"/>
      <c r="Q224" s="1594"/>
      <c r="R224" s="1594"/>
      <c r="S224" s="1594"/>
      <c r="T224" s="1594"/>
      <c r="U224" s="1594"/>
      <c r="V224" s="1594"/>
      <c r="W224" s="1594"/>
      <c r="X224" s="1594"/>
      <c r="Y224" s="1594"/>
      <c r="Z224" s="1594"/>
    </row>
    <row r="225" ht="12.75" customHeight="1">
      <c r="A225" s="1594"/>
      <c r="B225" s="1594"/>
      <c r="C225" s="1594"/>
      <c r="D225" s="1594"/>
      <c r="E225" s="1594"/>
      <c r="F225" s="1594"/>
      <c r="G225" s="1594"/>
      <c r="H225" s="1594"/>
      <c r="I225" s="1594"/>
      <c r="J225" s="1594"/>
      <c r="K225" s="1594"/>
      <c r="L225" s="1594"/>
      <c r="M225" s="1594"/>
      <c r="N225" s="1594"/>
      <c r="O225" s="1594"/>
      <c r="P225" s="1594"/>
      <c r="Q225" s="1594"/>
      <c r="R225" s="1594"/>
      <c r="S225" s="1594"/>
      <c r="T225" s="1594"/>
      <c r="U225" s="1594"/>
      <c r="V225" s="1594"/>
      <c r="W225" s="1594"/>
      <c r="X225" s="1594"/>
      <c r="Y225" s="1594"/>
      <c r="Z225" s="1594"/>
    </row>
    <row r="226" ht="12.75" customHeight="1">
      <c r="A226" s="1594"/>
      <c r="B226" s="1594"/>
      <c r="C226" s="1594"/>
      <c r="D226" s="1594"/>
      <c r="E226" s="1594"/>
      <c r="F226" s="1594"/>
      <c r="G226" s="1594"/>
      <c r="H226" s="1594"/>
      <c r="I226" s="1594"/>
      <c r="J226" s="1594"/>
      <c r="K226" s="1594"/>
      <c r="L226" s="1594"/>
      <c r="M226" s="1594"/>
      <c r="N226" s="1594"/>
      <c r="O226" s="1594"/>
      <c r="P226" s="1594"/>
      <c r="Q226" s="1594"/>
      <c r="R226" s="1594"/>
      <c r="S226" s="1594"/>
      <c r="T226" s="1594"/>
      <c r="U226" s="1594"/>
      <c r="V226" s="1594"/>
      <c r="W226" s="1594"/>
      <c r="X226" s="1594"/>
      <c r="Y226" s="1594"/>
      <c r="Z226" s="1594"/>
    </row>
    <row r="227" ht="12.75" customHeight="1">
      <c r="A227" s="1594"/>
      <c r="B227" s="1594"/>
      <c r="C227" s="1594"/>
      <c r="D227" s="1594"/>
      <c r="E227" s="1594"/>
      <c r="F227" s="1594"/>
      <c r="G227" s="1594"/>
      <c r="H227" s="1594"/>
      <c r="I227" s="1594"/>
      <c r="J227" s="1594"/>
      <c r="K227" s="1594"/>
      <c r="L227" s="1594"/>
      <c r="M227" s="1594"/>
      <c r="N227" s="1594"/>
      <c r="O227" s="1594"/>
      <c r="P227" s="1594"/>
      <c r="Q227" s="1594"/>
      <c r="R227" s="1594"/>
      <c r="S227" s="1594"/>
      <c r="T227" s="1594"/>
      <c r="U227" s="1594"/>
      <c r="V227" s="1594"/>
      <c r="W227" s="1594"/>
      <c r="X227" s="1594"/>
      <c r="Y227" s="1594"/>
      <c r="Z227" s="1594"/>
    </row>
    <row r="228" ht="12.75" customHeight="1">
      <c r="A228" s="1594"/>
      <c r="B228" s="1594"/>
      <c r="C228" s="1594"/>
      <c r="D228" s="1594"/>
      <c r="E228" s="1594"/>
      <c r="F228" s="1594"/>
      <c r="G228" s="1594"/>
      <c r="H228" s="1594"/>
      <c r="I228" s="1594"/>
      <c r="J228" s="1594"/>
      <c r="K228" s="1594"/>
      <c r="L228" s="1594"/>
      <c r="M228" s="1594"/>
      <c r="N228" s="1594"/>
      <c r="O228" s="1594"/>
      <c r="P228" s="1594"/>
      <c r="Q228" s="1594"/>
      <c r="R228" s="1594"/>
      <c r="S228" s="1594"/>
      <c r="T228" s="1594"/>
      <c r="U228" s="1594"/>
      <c r="V228" s="1594"/>
      <c r="W228" s="1594"/>
      <c r="X228" s="1594"/>
      <c r="Y228" s="1594"/>
      <c r="Z228" s="1594"/>
    </row>
    <row r="229" ht="12.75" customHeight="1">
      <c r="A229" s="1594"/>
      <c r="B229" s="1594"/>
      <c r="C229" s="1594"/>
      <c r="D229" s="1594"/>
      <c r="E229" s="1594"/>
      <c r="F229" s="1594"/>
      <c r="G229" s="1594"/>
      <c r="H229" s="1594"/>
      <c r="I229" s="1594"/>
      <c r="J229" s="1594"/>
      <c r="K229" s="1594"/>
      <c r="L229" s="1594"/>
      <c r="M229" s="1594"/>
      <c r="N229" s="1594"/>
      <c r="O229" s="1594"/>
      <c r="P229" s="1594"/>
      <c r="Q229" s="1594"/>
      <c r="R229" s="1594"/>
      <c r="S229" s="1594"/>
      <c r="T229" s="1594"/>
      <c r="U229" s="1594"/>
      <c r="V229" s="1594"/>
      <c r="W229" s="1594"/>
      <c r="X229" s="1594"/>
      <c r="Y229" s="1594"/>
      <c r="Z229" s="1594"/>
    </row>
    <row r="230" ht="12.75" customHeight="1">
      <c r="A230" s="1594"/>
      <c r="B230" s="1594"/>
      <c r="C230" s="1594"/>
      <c r="D230" s="1594"/>
      <c r="E230" s="1594"/>
      <c r="F230" s="1594"/>
      <c r="G230" s="1594"/>
      <c r="H230" s="1594"/>
      <c r="I230" s="1594"/>
      <c r="J230" s="1594"/>
      <c r="K230" s="1594"/>
      <c r="L230" s="1594"/>
      <c r="M230" s="1594"/>
      <c r="N230" s="1594"/>
      <c r="O230" s="1594"/>
      <c r="P230" s="1594"/>
      <c r="Q230" s="1594"/>
      <c r="R230" s="1594"/>
      <c r="S230" s="1594"/>
      <c r="T230" s="1594"/>
      <c r="U230" s="1594"/>
      <c r="V230" s="1594"/>
      <c r="W230" s="1594"/>
      <c r="X230" s="1594"/>
      <c r="Y230" s="1594"/>
      <c r="Z230" s="1594"/>
    </row>
    <row r="231" ht="12.75" customHeight="1">
      <c r="A231" s="1594"/>
      <c r="B231" s="1594"/>
      <c r="C231" s="1594"/>
      <c r="D231" s="1594"/>
      <c r="E231" s="1594"/>
      <c r="F231" s="1594"/>
      <c r="G231" s="1594"/>
      <c r="H231" s="1594"/>
      <c r="I231" s="1594"/>
      <c r="J231" s="1594"/>
      <c r="K231" s="1594"/>
      <c r="L231" s="1594"/>
      <c r="M231" s="1594"/>
      <c r="N231" s="1594"/>
      <c r="O231" s="1594"/>
      <c r="P231" s="1594"/>
      <c r="Q231" s="1594"/>
      <c r="R231" s="1594"/>
      <c r="S231" s="1594"/>
      <c r="T231" s="1594"/>
      <c r="U231" s="1594"/>
      <c r="V231" s="1594"/>
      <c r="W231" s="1594"/>
      <c r="X231" s="1594"/>
      <c r="Y231" s="1594"/>
      <c r="Z231" s="1594"/>
    </row>
    <row r="232" ht="12.75" customHeight="1">
      <c r="A232" s="1594"/>
      <c r="B232" s="1594"/>
      <c r="C232" s="1594"/>
      <c r="D232" s="1594"/>
      <c r="E232" s="1594"/>
      <c r="F232" s="1594"/>
      <c r="G232" s="1594"/>
      <c r="H232" s="1594"/>
      <c r="I232" s="1594"/>
      <c r="J232" s="1594"/>
      <c r="K232" s="1594"/>
      <c r="L232" s="1594"/>
      <c r="M232" s="1594"/>
      <c r="N232" s="1594"/>
      <c r="O232" s="1594"/>
      <c r="P232" s="1594"/>
      <c r="Q232" s="1594"/>
      <c r="R232" s="1594"/>
      <c r="S232" s="1594"/>
      <c r="T232" s="1594"/>
      <c r="U232" s="1594"/>
      <c r="V232" s="1594"/>
      <c r="W232" s="1594"/>
      <c r="X232" s="1594"/>
      <c r="Y232" s="1594"/>
      <c r="Z232" s="1594"/>
    </row>
    <row r="233" ht="12.75" customHeight="1">
      <c r="A233" s="1594"/>
      <c r="B233" s="1594"/>
      <c r="C233" s="1594"/>
      <c r="D233" s="1594"/>
      <c r="E233" s="1594"/>
      <c r="F233" s="1594"/>
      <c r="G233" s="1594"/>
      <c r="H233" s="1594"/>
      <c r="I233" s="1594"/>
      <c r="J233" s="1594"/>
      <c r="K233" s="1594"/>
      <c r="L233" s="1594"/>
      <c r="M233" s="1594"/>
      <c r="N233" s="1594"/>
      <c r="O233" s="1594"/>
      <c r="P233" s="1594"/>
      <c r="Q233" s="1594"/>
      <c r="R233" s="1594"/>
      <c r="S233" s="1594"/>
      <c r="T233" s="1594"/>
      <c r="U233" s="1594"/>
      <c r="V233" s="1594"/>
      <c r="W233" s="1594"/>
      <c r="X233" s="1594"/>
      <c r="Y233" s="1594"/>
      <c r="Z233" s="1594"/>
    </row>
    <row r="234" ht="12.75" customHeight="1">
      <c r="A234" s="1594"/>
      <c r="B234" s="1594"/>
      <c r="C234" s="1594"/>
      <c r="D234" s="1594"/>
      <c r="E234" s="1594"/>
      <c r="F234" s="1594"/>
      <c r="G234" s="1594"/>
      <c r="H234" s="1594"/>
      <c r="I234" s="1594"/>
      <c r="J234" s="1594"/>
      <c r="K234" s="1594"/>
      <c r="L234" s="1594"/>
      <c r="M234" s="1594"/>
      <c r="N234" s="1594"/>
      <c r="O234" s="1594"/>
      <c r="P234" s="1594"/>
      <c r="Q234" s="1594"/>
      <c r="R234" s="1594"/>
      <c r="S234" s="1594"/>
      <c r="T234" s="1594"/>
      <c r="U234" s="1594"/>
      <c r="V234" s="1594"/>
      <c r="W234" s="1594"/>
      <c r="X234" s="1594"/>
      <c r="Y234" s="1594"/>
      <c r="Z234" s="1594"/>
    </row>
    <row r="235" ht="12.75" customHeight="1">
      <c r="A235" s="1594"/>
      <c r="B235" s="1594"/>
      <c r="C235" s="1594"/>
      <c r="D235" s="1594"/>
      <c r="E235" s="1594"/>
      <c r="F235" s="1594"/>
      <c r="G235" s="1594"/>
      <c r="H235" s="1594"/>
      <c r="I235" s="1594"/>
      <c r="J235" s="1594"/>
      <c r="K235" s="1594"/>
      <c r="L235" s="1594"/>
      <c r="M235" s="1594"/>
      <c r="N235" s="1594"/>
      <c r="O235" s="1594"/>
      <c r="P235" s="1594"/>
      <c r="Q235" s="1594"/>
      <c r="R235" s="1594"/>
      <c r="S235" s="1594"/>
      <c r="T235" s="1594"/>
      <c r="U235" s="1594"/>
      <c r="V235" s="1594"/>
      <c r="W235" s="1594"/>
      <c r="X235" s="1594"/>
      <c r="Y235" s="1594"/>
      <c r="Z235" s="1594"/>
    </row>
    <row r="236" ht="12.75" customHeight="1">
      <c r="A236" s="1594"/>
      <c r="B236" s="1594"/>
      <c r="C236" s="1594"/>
      <c r="D236" s="1594"/>
      <c r="E236" s="1594"/>
      <c r="F236" s="1594"/>
      <c r="G236" s="1594"/>
      <c r="H236" s="1594"/>
      <c r="I236" s="1594"/>
      <c r="J236" s="1594"/>
      <c r="K236" s="1594"/>
      <c r="L236" s="1594"/>
      <c r="M236" s="1594"/>
      <c r="N236" s="1594"/>
      <c r="O236" s="1594"/>
      <c r="P236" s="1594"/>
      <c r="Q236" s="1594"/>
      <c r="R236" s="1594"/>
      <c r="S236" s="1594"/>
      <c r="T236" s="1594"/>
      <c r="U236" s="1594"/>
      <c r="V236" s="1594"/>
      <c r="W236" s="1594"/>
      <c r="X236" s="1594"/>
      <c r="Y236" s="1594"/>
      <c r="Z236" s="1594"/>
    </row>
    <row r="237" ht="12.75" customHeight="1">
      <c r="A237" s="1594"/>
      <c r="B237" s="1594"/>
      <c r="C237" s="1594"/>
      <c r="D237" s="1594"/>
      <c r="E237" s="1594"/>
      <c r="F237" s="1594"/>
      <c r="G237" s="1594"/>
      <c r="H237" s="1594"/>
      <c r="I237" s="1594"/>
      <c r="J237" s="1594"/>
      <c r="K237" s="1594"/>
      <c r="L237" s="1594"/>
      <c r="M237" s="1594"/>
      <c r="N237" s="1594"/>
      <c r="O237" s="1594"/>
      <c r="P237" s="1594"/>
      <c r="Q237" s="1594"/>
      <c r="R237" s="1594"/>
      <c r="S237" s="1594"/>
      <c r="T237" s="1594"/>
      <c r="U237" s="1594"/>
      <c r="V237" s="1594"/>
      <c r="W237" s="1594"/>
      <c r="X237" s="1594"/>
      <c r="Y237" s="1594"/>
      <c r="Z237" s="1594"/>
    </row>
    <row r="238" ht="12.75" customHeight="1">
      <c r="A238" s="1594"/>
      <c r="B238" s="1594"/>
      <c r="C238" s="1594"/>
      <c r="D238" s="1594"/>
      <c r="E238" s="1594"/>
      <c r="F238" s="1594"/>
      <c r="G238" s="1594"/>
      <c r="H238" s="1594"/>
      <c r="I238" s="1594"/>
      <c r="J238" s="1594"/>
      <c r="K238" s="1594"/>
      <c r="L238" s="1594"/>
      <c r="M238" s="1594"/>
      <c r="N238" s="1594"/>
      <c r="O238" s="1594"/>
      <c r="P238" s="1594"/>
      <c r="Q238" s="1594"/>
      <c r="R238" s="1594"/>
      <c r="S238" s="1594"/>
      <c r="T238" s="1594"/>
      <c r="U238" s="1594"/>
      <c r="V238" s="1594"/>
      <c r="W238" s="1594"/>
      <c r="X238" s="1594"/>
      <c r="Y238" s="1594"/>
      <c r="Z238" s="1594"/>
    </row>
    <row r="239" ht="12.75" customHeight="1">
      <c r="A239" s="1594"/>
      <c r="B239" s="1594"/>
      <c r="C239" s="1594"/>
      <c r="D239" s="1594"/>
      <c r="E239" s="1594"/>
      <c r="F239" s="1594"/>
      <c r="G239" s="1594"/>
      <c r="H239" s="1594"/>
      <c r="I239" s="1594"/>
      <c r="J239" s="1594"/>
      <c r="K239" s="1594"/>
      <c r="L239" s="1594"/>
      <c r="M239" s="1594"/>
      <c r="N239" s="1594"/>
      <c r="O239" s="1594"/>
      <c r="P239" s="1594"/>
      <c r="Q239" s="1594"/>
      <c r="R239" s="1594"/>
      <c r="S239" s="1594"/>
      <c r="T239" s="1594"/>
      <c r="U239" s="1594"/>
      <c r="V239" s="1594"/>
      <c r="W239" s="1594"/>
      <c r="X239" s="1594"/>
      <c r="Y239" s="1594"/>
      <c r="Z239" s="1594"/>
    </row>
    <row r="240" ht="12.75" customHeight="1">
      <c r="A240" s="1594"/>
      <c r="B240" s="1594"/>
      <c r="C240" s="1594"/>
      <c r="D240" s="1594"/>
      <c r="E240" s="1594"/>
      <c r="F240" s="1594"/>
      <c r="G240" s="1594"/>
      <c r="H240" s="1594"/>
      <c r="I240" s="1594"/>
      <c r="J240" s="1594"/>
      <c r="K240" s="1594"/>
      <c r="L240" s="1594"/>
      <c r="M240" s="1594"/>
      <c r="N240" s="1594"/>
      <c r="O240" s="1594"/>
      <c r="P240" s="1594"/>
      <c r="Q240" s="1594"/>
      <c r="R240" s="1594"/>
      <c r="S240" s="1594"/>
      <c r="T240" s="1594"/>
      <c r="U240" s="1594"/>
      <c r="V240" s="1594"/>
      <c r="W240" s="1594"/>
      <c r="X240" s="1594"/>
      <c r="Y240" s="1594"/>
      <c r="Z240" s="1594"/>
    </row>
    <row r="241" ht="12.75" customHeight="1">
      <c r="A241" s="1594"/>
      <c r="B241" s="1594"/>
      <c r="C241" s="1594"/>
      <c r="D241" s="1594"/>
      <c r="E241" s="1594"/>
      <c r="F241" s="1594"/>
      <c r="G241" s="1594"/>
      <c r="H241" s="1594"/>
      <c r="I241" s="1594"/>
      <c r="J241" s="1594"/>
      <c r="K241" s="1594"/>
      <c r="L241" s="1594"/>
      <c r="M241" s="1594"/>
      <c r="N241" s="1594"/>
      <c r="O241" s="1594"/>
      <c r="P241" s="1594"/>
      <c r="Q241" s="1594"/>
      <c r="R241" s="1594"/>
      <c r="S241" s="1594"/>
      <c r="T241" s="1594"/>
      <c r="U241" s="1594"/>
      <c r="V241" s="1594"/>
      <c r="W241" s="1594"/>
      <c r="X241" s="1594"/>
      <c r="Y241" s="1594"/>
      <c r="Z241" s="1594"/>
    </row>
    <row r="242" ht="12.75" customHeight="1">
      <c r="A242" s="1594"/>
      <c r="B242" s="1594"/>
      <c r="C242" s="1594"/>
      <c r="D242" s="1594"/>
      <c r="E242" s="1594"/>
      <c r="F242" s="1594"/>
      <c r="G242" s="1594"/>
      <c r="H242" s="1594"/>
      <c r="I242" s="1594"/>
      <c r="J242" s="1594"/>
      <c r="K242" s="1594"/>
      <c r="L242" s="1594"/>
      <c r="M242" s="1594"/>
      <c r="N242" s="1594"/>
      <c r="O242" s="1594"/>
      <c r="P242" s="1594"/>
      <c r="Q242" s="1594"/>
      <c r="R242" s="1594"/>
      <c r="S242" s="1594"/>
      <c r="T242" s="1594"/>
      <c r="U242" s="1594"/>
      <c r="V242" s="1594"/>
      <c r="W242" s="1594"/>
      <c r="X242" s="1594"/>
      <c r="Y242" s="1594"/>
      <c r="Z242" s="1594"/>
    </row>
    <row r="243" ht="12.75" customHeight="1">
      <c r="A243" s="1594"/>
      <c r="B243" s="1594"/>
      <c r="C243" s="1594"/>
      <c r="D243" s="1594"/>
      <c r="E243" s="1594"/>
      <c r="F243" s="1594"/>
      <c r="G243" s="1594"/>
      <c r="H243" s="1594"/>
      <c r="I243" s="1594"/>
      <c r="J243" s="1594"/>
      <c r="K243" s="1594"/>
      <c r="L243" s="1594"/>
      <c r="M243" s="1594"/>
      <c r="N243" s="1594"/>
      <c r="O243" s="1594"/>
      <c r="P243" s="1594"/>
      <c r="Q243" s="1594"/>
      <c r="R243" s="1594"/>
      <c r="S243" s="1594"/>
      <c r="T243" s="1594"/>
      <c r="U243" s="1594"/>
      <c r="V243" s="1594"/>
      <c r="W243" s="1594"/>
      <c r="X243" s="1594"/>
      <c r="Y243" s="1594"/>
      <c r="Z243" s="1594"/>
    </row>
    <row r="244" ht="12.75" customHeight="1">
      <c r="A244" s="1594"/>
      <c r="B244" s="1594"/>
      <c r="C244" s="1594"/>
      <c r="D244" s="1594"/>
      <c r="E244" s="1594"/>
      <c r="F244" s="1594"/>
      <c r="G244" s="1594"/>
      <c r="H244" s="1594"/>
      <c r="I244" s="1594"/>
      <c r="J244" s="1594"/>
      <c r="K244" s="1594"/>
      <c r="L244" s="1594"/>
      <c r="M244" s="1594"/>
      <c r="N244" s="1594"/>
      <c r="O244" s="1594"/>
      <c r="P244" s="1594"/>
      <c r="Q244" s="1594"/>
      <c r="R244" s="1594"/>
      <c r="S244" s="1594"/>
      <c r="T244" s="1594"/>
      <c r="U244" s="1594"/>
      <c r="V244" s="1594"/>
      <c r="W244" s="1594"/>
      <c r="X244" s="1594"/>
      <c r="Y244" s="1594"/>
      <c r="Z244" s="1594"/>
    </row>
    <row r="245" ht="12.75" customHeight="1">
      <c r="A245" s="1594"/>
      <c r="B245" s="1594"/>
      <c r="C245" s="1594"/>
      <c r="D245" s="1594"/>
      <c r="E245" s="1594"/>
      <c r="F245" s="1594"/>
      <c r="G245" s="1594"/>
      <c r="H245" s="1594"/>
      <c r="I245" s="1594"/>
      <c r="J245" s="1594"/>
      <c r="K245" s="1594"/>
      <c r="L245" s="1594"/>
      <c r="M245" s="1594"/>
      <c r="N245" s="1594"/>
      <c r="O245" s="1594"/>
      <c r="P245" s="1594"/>
      <c r="Q245" s="1594"/>
      <c r="R245" s="1594"/>
      <c r="S245" s="1594"/>
      <c r="T245" s="1594"/>
      <c r="U245" s="1594"/>
      <c r="V245" s="1594"/>
      <c r="W245" s="1594"/>
      <c r="X245" s="1594"/>
      <c r="Y245" s="1594"/>
      <c r="Z245" s="1594"/>
    </row>
    <row r="246" ht="12.75" customHeight="1">
      <c r="A246" s="1594"/>
      <c r="B246" s="1594"/>
      <c r="C246" s="1594"/>
      <c r="D246" s="1594"/>
      <c r="E246" s="1594"/>
      <c r="F246" s="1594"/>
      <c r="G246" s="1594"/>
      <c r="H246" s="1594"/>
      <c r="I246" s="1594"/>
      <c r="J246" s="1594"/>
      <c r="K246" s="1594"/>
      <c r="L246" s="1594"/>
      <c r="M246" s="1594"/>
      <c r="N246" s="1594"/>
      <c r="O246" s="1594"/>
      <c r="P246" s="1594"/>
      <c r="Q246" s="1594"/>
      <c r="R246" s="1594"/>
      <c r="S246" s="1594"/>
      <c r="T246" s="1594"/>
      <c r="U246" s="1594"/>
      <c r="V246" s="1594"/>
      <c r="W246" s="1594"/>
      <c r="X246" s="1594"/>
      <c r="Y246" s="1594"/>
      <c r="Z246" s="1594"/>
    </row>
    <row r="247" ht="12.75" customHeight="1">
      <c r="A247" s="1594"/>
      <c r="B247" s="1594"/>
      <c r="C247" s="1594"/>
      <c r="D247" s="1594"/>
      <c r="E247" s="1594"/>
      <c r="F247" s="1594"/>
      <c r="G247" s="1594"/>
      <c r="H247" s="1594"/>
      <c r="I247" s="1594"/>
      <c r="J247" s="1594"/>
      <c r="K247" s="1594"/>
      <c r="L247" s="1594"/>
      <c r="M247" s="1594"/>
      <c r="N247" s="1594"/>
      <c r="O247" s="1594"/>
      <c r="P247" s="1594"/>
      <c r="Q247" s="1594"/>
      <c r="R247" s="1594"/>
      <c r="S247" s="1594"/>
      <c r="T247" s="1594"/>
      <c r="U247" s="1594"/>
      <c r="V247" s="1594"/>
      <c r="W247" s="1594"/>
      <c r="X247" s="1594"/>
      <c r="Y247" s="1594"/>
      <c r="Z247" s="1594"/>
    </row>
    <row r="248" ht="12.75" customHeight="1">
      <c r="A248" s="1594"/>
      <c r="B248" s="1594"/>
      <c r="C248" s="1594"/>
      <c r="D248" s="1594"/>
      <c r="E248" s="1594"/>
      <c r="F248" s="1594"/>
      <c r="G248" s="1594"/>
      <c r="H248" s="1594"/>
      <c r="I248" s="1594"/>
      <c r="J248" s="1594"/>
      <c r="K248" s="1594"/>
      <c r="L248" s="1594"/>
      <c r="M248" s="1594"/>
      <c r="N248" s="1594"/>
      <c r="O248" s="1594"/>
      <c r="P248" s="1594"/>
      <c r="Q248" s="1594"/>
      <c r="R248" s="1594"/>
      <c r="S248" s="1594"/>
      <c r="T248" s="1594"/>
      <c r="U248" s="1594"/>
      <c r="V248" s="1594"/>
      <c r="W248" s="1594"/>
      <c r="X248" s="1594"/>
      <c r="Y248" s="1594"/>
      <c r="Z248" s="1594"/>
    </row>
    <row r="249" ht="12.75" customHeight="1">
      <c r="A249" s="1594"/>
      <c r="B249" s="1594"/>
      <c r="C249" s="1594"/>
      <c r="D249" s="1594"/>
      <c r="E249" s="1594"/>
      <c r="F249" s="1594"/>
      <c r="G249" s="1594"/>
      <c r="H249" s="1594"/>
      <c r="I249" s="1594"/>
      <c r="J249" s="1594"/>
      <c r="K249" s="1594"/>
      <c r="L249" s="1594"/>
      <c r="M249" s="1594"/>
      <c r="N249" s="1594"/>
      <c r="O249" s="1594"/>
      <c r="P249" s="1594"/>
      <c r="Q249" s="1594"/>
      <c r="R249" s="1594"/>
      <c r="S249" s="1594"/>
      <c r="T249" s="1594"/>
      <c r="U249" s="1594"/>
      <c r="V249" s="1594"/>
      <c r="W249" s="1594"/>
      <c r="X249" s="1594"/>
      <c r="Y249" s="1594"/>
      <c r="Z249" s="1594"/>
    </row>
    <row r="250" ht="12.75" customHeight="1">
      <c r="A250" s="1594"/>
      <c r="B250" s="1594"/>
      <c r="C250" s="1594"/>
      <c r="D250" s="1594"/>
      <c r="E250" s="1594"/>
      <c r="F250" s="1594"/>
      <c r="G250" s="1594"/>
      <c r="H250" s="1594"/>
      <c r="I250" s="1594"/>
      <c r="J250" s="1594"/>
      <c r="K250" s="1594"/>
      <c r="L250" s="1594"/>
      <c r="M250" s="1594"/>
      <c r="N250" s="1594"/>
      <c r="O250" s="1594"/>
      <c r="P250" s="1594"/>
      <c r="Q250" s="1594"/>
      <c r="R250" s="1594"/>
      <c r="S250" s="1594"/>
      <c r="T250" s="1594"/>
      <c r="U250" s="1594"/>
      <c r="V250" s="1594"/>
      <c r="W250" s="1594"/>
      <c r="X250" s="1594"/>
      <c r="Y250" s="1594"/>
      <c r="Z250" s="1594"/>
    </row>
    <row r="251" ht="12.75" customHeight="1">
      <c r="A251" s="1594"/>
      <c r="B251" s="1594"/>
      <c r="C251" s="1594"/>
      <c r="D251" s="1594"/>
      <c r="E251" s="1594"/>
      <c r="F251" s="1594"/>
      <c r="G251" s="1594"/>
      <c r="H251" s="1594"/>
      <c r="I251" s="1594"/>
      <c r="J251" s="1594"/>
      <c r="K251" s="1594"/>
      <c r="L251" s="1594"/>
      <c r="M251" s="1594"/>
      <c r="N251" s="1594"/>
      <c r="O251" s="1594"/>
      <c r="P251" s="1594"/>
      <c r="Q251" s="1594"/>
      <c r="R251" s="1594"/>
      <c r="S251" s="1594"/>
      <c r="T251" s="1594"/>
      <c r="U251" s="1594"/>
      <c r="V251" s="1594"/>
      <c r="W251" s="1594"/>
      <c r="X251" s="1594"/>
      <c r="Y251" s="1594"/>
      <c r="Z251" s="1594"/>
    </row>
    <row r="252" ht="12.75" customHeight="1">
      <c r="A252" s="1594"/>
      <c r="B252" s="1594"/>
      <c r="C252" s="1594"/>
      <c r="D252" s="1594"/>
      <c r="E252" s="1594"/>
      <c r="F252" s="1594"/>
      <c r="G252" s="1594"/>
      <c r="H252" s="1594"/>
      <c r="I252" s="1594"/>
      <c r="J252" s="1594"/>
      <c r="K252" s="1594"/>
      <c r="L252" s="1594"/>
      <c r="M252" s="1594"/>
      <c r="N252" s="1594"/>
      <c r="O252" s="1594"/>
      <c r="P252" s="1594"/>
      <c r="Q252" s="1594"/>
      <c r="R252" s="1594"/>
      <c r="S252" s="1594"/>
      <c r="T252" s="1594"/>
      <c r="U252" s="1594"/>
      <c r="V252" s="1594"/>
      <c r="W252" s="1594"/>
      <c r="X252" s="1594"/>
      <c r="Y252" s="1594"/>
      <c r="Z252" s="1594"/>
    </row>
    <row r="253" ht="12.75" customHeight="1">
      <c r="A253" s="1594"/>
      <c r="B253" s="1594"/>
      <c r="C253" s="1594"/>
      <c r="D253" s="1594"/>
      <c r="E253" s="1594"/>
      <c r="F253" s="1594"/>
      <c r="G253" s="1594"/>
      <c r="H253" s="1594"/>
      <c r="I253" s="1594"/>
      <c r="J253" s="1594"/>
      <c r="K253" s="1594"/>
      <c r="L253" s="1594"/>
      <c r="M253" s="1594"/>
      <c r="N253" s="1594"/>
      <c r="O253" s="1594"/>
      <c r="P253" s="1594"/>
      <c r="Q253" s="1594"/>
      <c r="R253" s="1594"/>
      <c r="S253" s="1594"/>
      <c r="T253" s="1594"/>
      <c r="U253" s="1594"/>
      <c r="V253" s="1594"/>
      <c r="W253" s="1594"/>
      <c r="X253" s="1594"/>
      <c r="Y253" s="1594"/>
      <c r="Z253" s="1594"/>
    </row>
    <row r="254" ht="12.75" customHeight="1">
      <c r="A254" s="1594"/>
      <c r="B254" s="1594"/>
      <c r="C254" s="1594"/>
      <c r="D254" s="1594"/>
      <c r="E254" s="1594"/>
      <c r="F254" s="1594"/>
      <c r="G254" s="1594"/>
      <c r="H254" s="1594"/>
      <c r="I254" s="1594"/>
      <c r="J254" s="1594"/>
      <c r="K254" s="1594"/>
      <c r="L254" s="1594"/>
      <c r="M254" s="1594"/>
      <c r="N254" s="1594"/>
      <c r="O254" s="1594"/>
      <c r="P254" s="1594"/>
      <c r="Q254" s="1594"/>
      <c r="R254" s="1594"/>
      <c r="S254" s="1594"/>
      <c r="T254" s="1594"/>
      <c r="U254" s="1594"/>
      <c r="V254" s="1594"/>
      <c r="W254" s="1594"/>
      <c r="X254" s="1594"/>
      <c r="Y254" s="1594"/>
      <c r="Z254" s="1594"/>
    </row>
    <row r="255" ht="12.75" customHeight="1">
      <c r="A255" s="1594"/>
      <c r="B255" s="1594"/>
      <c r="C255" s="1594"/>
      <c r="D255" s="1594"/>
      <c r="E255" s="1594"/>
      <c r="F255" s="1594"/>
      <c r="G255" s="1594"/>
      <c r="H255" s="1594"/>
      <c r="I255" s="1594"/>
      <c r="J255" s="1594"/>
      <c r="K255" s="1594"/>
      <c r="L255" s="1594"/>
      <c r="M255" s="1594"/>
      <c r="N255" s="1594"/>
      <c r="O255" s="1594"/>
      <c r="P255" s="1594"/>
      <c r="Q255" s="1594"/>
      <c r="R255" s="1594"/>
      <c r="S255" s="1594"/>
      <c r="T255" s="1594"/>
      <c r="U255" s="1594"/>
      <c r="V255" s="1594"/>
      <c r="W255" s="1594"/>
      <c r="X255" s="1594"/>
      <c r="Y255" s="1594"/>
      <c r="Z255" s="1594"/>
    </row>
    <row r="256" ht="12.75" customHeight="1">
      <c r="A256" s="1594"/>
      <c r="B256" s="1594"/>
      <c r="C256" s="1594"/>
      <c r="D256" s="1594"/>
      <c r="E256" s="1594"/>
      <c r="F256" s="1594"/>
      <c r="G256" s="1594"/>
      <c r="H256" s="1594"/>
      <c r="I256" s="1594"/>
      <c r="J256" s="1594"/>
      <c r="K256" s="1594"/>
      <c r="L256" s="1594"/>
      <c r="M256" s="1594"/>
      <c r="N256" s="1594"/>
      <c r="O256" s="1594"/>
      <c r="P256" s="1594"/>
      <c r="Q256" s="1594"/>
      <c r="R256" s="1594"/>
      <c r="S256" s="1594"/>
      <c r="T256" s="1594"/>
      <c r="U256" s="1594"/>
      <c r="V256" s="1594"/>
      <c r="W256" s="1594"/>
      <c r="X256" s="1594"/>
      <c r="Y256" s="1594"/>
      <c r="Z256" s="1594"/>
    </row>
    <row r="257" ht="12.75" customHeight="1">
      <c r="A257" s="1594"/>
      <c r="B257" s="1594"/>
      <c r="C257" s="1594"/>
      <c r="D257" s="1594"/>
      <c r="E257" s="1594"/>
      <c r="F257" s="1594"/>
      <c r="G257" s="1594"/>
      <c r="H257" s="1594"/>
      <c r="I257" s="1594"/>
      <c r="J257" s="1594"/>
      <c r="K257" s="1594"/>
      <c r="L257" s="1594"/>
      <c r="M257" s="1594"/>
      <c r="N257" s="1594"/>
      <c r="O257" s="1594"/>
      <c r="P257" s="1594"/>
      <c r="Q257" s="1594"/>
      <c r="R257" s="1594"/>
      <c r="S257" s="1594"/>
      <c r="T257" s="1594"/>
      <c r="U257" s="1594"/>
      <c r="V257" s="1594"/>
      <c r="W257" s="1594"/>
      <c r="X257" s="1594"/>
      <c r="Y257" s="1594"/>
      <c r="Z257" s="1594"/>
    </row>
    <row r="258" ht="12.75" customHeight="1">
      <c r="A258" s="1594"/>
      <c r="B258" s="1594"/>
      <c r="C258" s="1594"/>
      <c r="D258" s="1594"/>
      <c r="E258" s="1594"/>
      <c r="F258" s="1594"/>
      <c r="G258" s="1594"/>
      <c r="H258" s="1594"/>
      <c r="I258" s="1594"/>
      <c r="J258" s="1594"/>
      <c r="K258" s="1594"/>
      <c r="L258" s="1594"/>
      <c r="M258" s="1594"/>
      <c r="N258" s="1594"/>
      <c r="O258" s="1594"/>
      <c r="P258" s="1594"/>
      <c r="Q258" s="1594"/>
      <c r="R258" s="1594"/>
      <c r="S258" s="1594"/>
      <c r="T258" s="1594"/>
      <c r="U258" s="1594"/>
      <c r="V258" s="1594"/>
      <c r="W258" s="1594"/>
      <c r="X258" s="1594"/>
      <c r="Y258" s="1594"/>
      <c r="Z258" s="1594"/>
    </row>
    <row r="259" ht="12.75" customHeight="1">
      <c r="A259" s="1594"/>
      <c r="B259" s="1594"/>
      <c r="C259" s="1594"/>
      <c r="D259" s="1594"/>
      <c r="E259" s="1594"/>
      <c r="F259" s="1594"/>
      <c r="G259" s="1594"/>
      <c r="H259" s="1594"/>
      <c r="I259" s="1594"/>
      <c r="J259" s="1594"/>
      <c r="K259" s="1594"/>
      <c r="L259" s="1594"/>
      <c r="M259" s="1594"/>
      <c r="N259" s="1594"/>
      <c r="O259" s="1594"/>
      <c r="P259" s="1594"/>
      <c r="Q259" s="1594"/>
      <c r="R259" s="1594"/>
      <c r="S259" s="1594"/>
      <c r="T259" s="1594"/>
      <c r="U259" s="1594"/>
      <c r="V259" s="1594"/>
      <c r="W259" s="1594"/>
      <c r="X259" s="1594"/>
      <c r="Y259" s="1594"/>
      <c r="Z259" s="1594"/>
    </row>
    <row r="260" ht="12.75" customHeight="1">
      <c r="A260" s="1594"/>
      <c r="B260" s="1594"/>
      <c r="C260" s="1594"/>
      <c r="D260" s="1594"/>
      <c r="E260" s="1594"/>
      <c r="F260" s="1594"/>
      <c r="G260" s="1594"/>
      <c r="H260" s="1594"/>
      <c r="I260" s="1594"/>
      <c r="J260" s="1594"/>
      <c r="K260" s="1594"/>
      <c r="L260" s="1594"/>
      <c r="M260" s="1594"/>
      <c r="N260" s="1594"/>
      <c r="O260" s="1594"/>
      <c r="P260" s="1594"/>
      <c r="Q260" s="1594"/>
      <c r="R260" s="1594"/>
      <c r="S260" s="1594"/>
      <c r="T260" s="1594"/>
      <c r="U260" s="1594"/>
      <c r="V260" s="1594"/>
      <c r="W260" s="1594"/>
      <c r="X260" s="1594"/>
      <c r="Y260" s="1594"/>
      <c r="Z260" s="1594"/>
    </row>
    <row r="261" ht="12.75" customHeight="1">
      <c r="A261" s="1594"/>
      <c r="B261" s="1594"/>
      <c r="C261" s="1594"/>
      <c r="D261" s="1594"/>
      <c r="E261" s="1594"/>
      <c r="F261" s="1594"/>
      <c r="G261" s="1594"/>
      <c r="H261" s="1594"/>
      <c r="I261" s="1594"/>
      <c r="J261" s="1594"/>
      <c r="K261" s="1594"/>
      <c r="L261" s="1594"/>
      <c r="M261" s="1594"/>
      <c r="N261" s="1594"/>
      <c r="O261" s="1594"/>
      <c r="P261" s="1594"/>
      <c r="Q261" s="1594"/>
      <c r="R261" s="1594"/>
      <c r="S261" s="1594"/>
      <c r="T261" s="1594"/>
      <c r="U261" s="1594"/>
      <c r="V261" s="1594"/>
      <c r="W261" s="1594"/>
      <c r="X261" s="1594"/>
      <c r="Y261" s="1594"/>
      <c r="Z261" s="1594"/>
    </row>
    <row r="262" ht="12.75" customHeight="1">
      <c r="A262" s="1594"/>
      <c r="B262" s="1594"/>
      <c r="C262" s="1594"/>
      <c r="D262" s="1594"/>
      <c r="E262" s="1594"/>
      <c r="F262" s="1594"/>
      <c r="G262" s="1594"/>
      <c r="H262" s="1594"/>
      <c r="I262" s="1594"/>
      <c r="J262" s="1594"/>
      <c r="K262" s="1594"/>
      <c r="L262" s="1594"/>
      <c r="M262" s="1594"/>
      <c r="N262" s="1594"/>
      <c r="O262" s="1594"/>
      <c r="P262" s="1594"/>
      <c r="Q262" s="1594"/>
      <c r="R262" s="1594"/>
      <c r="S262" s="1594"/>
      <c r="T262" s="1594"/>
      <c r="U262" s="1594"/>
      <c r="V262" s="1594"/>
      <c r="W262" s="1594"/>
      <c r="X262" s="1594"/>
      <c r="Y262" s="1594"/>
      <c r="Z262" s="1594"/>
    </row>
    <row r="263" ht="12.75" customHeight="1">
      <c r="A263" s="1594"/>
      <c r="B263" s="1594"/>
      <c r="C263" s="1594"/>
      <c r="D263" s="1594"/>
      <c r="E263" s="1594"/>
      <c r="F263" s="1594"/>
      <c r="G263" s="1594"/>
      <c r="H263" s="1594"/>
      <c r="I263" s="1594"/>
      <c r="J263" s="1594"/>
      <c r="K263" s="1594"/>
      <c r="L263" s="1594"/>
      <c r="M263" s="1594"/>
      <c r="N263" s="1594"/>
      <c r="O263" s="1594"/>
      <c r="P263" s="1594"/>
      <c r="Q263" s="1594"/>
      <c r="R263" s="1594"/>
      <c r="S263" s="1594"/>
      <c r="T263" s="1594"/>
      <c r="U263" s="1594"/>
      <c r="V263" s="1594"/>
      <c r="W263" s="1594"/>
      <c r="X263" s="1594"/>
      <c r="Y263" s="1594"/>
      <c r="Z263" s="1594"/>
    </row>
    <row r="264" ht="12.75" customHeight="1">
      <c r="A264" s="1594"/>
      <c r="B264" s="1594"/>
      <c r="C264" s="1594"/>
      <c r="D264" s="1594"/>
      <c r="E264" s="1594"/>
      <c r="F264" s="1594"/>
      <c r="G264" s="1594"/>
      <c r="H264" s="1594"/>
      <c r="I264" s="1594"/>
      <c r="J264" s="1594"/>
      <c r="K264" s="1594"/>
      <c r="L264" s="1594"/>
      <c r="M264" s="1594"/>
      <c r="N264" s="1594"/>
      <c r="O264" s="1594"/>
      <c r="P264" s="1594"/>
      <c r="Q264" s="1594"/>
      <c r="R264" s="1594"/>
      <c r="S264" s="1594"/>
      <c r="T264" s="1594"/>
      <c r="U264" s="1594"/>
      <c r="V264" s="1594"/>
      <c r="W264" s="1594"/>
      <c r="X264" s="1594"/>
      <c r="Y264" s="1594"/>
      <c r="Z264" s="1594"/>
    </row>
    <row r="265" ht="12.75" customHeight="1">
      <c r="A265" s="1594"/>
      <c r="B265" s="1594"/>
      <c r="C265" s="1594"/>
      <c r="D265" s="1594"/>
      <c r="E265" s="1594"/>
      <c r="F265" s="1594"/>
      <c r="G265" s="1594"/>
      <c r="H265" s="1594"/>
      <c r="I265" s="1594"/>
      <c r="J265" s="1594"/>
      <c r="K265" s="1594"/>
      <c r="L265" s="1594"/>
      <c r="M265" s="1594"/>
      <c r="N265" s="1594"/>
      <c r="O265" s="1594"/>
      <c r="P265" s="1594"/>
      <c r="Q265" s="1594"/>
      <c r="R265" s="1594"/>
      <c r="S265" s="1594"/>
      <c r="T265" s="1594"/>
      <c r="U265" s="1594"/>
      <c r="V265" s="1594"/>
      <c r="W265" s="1594"/>
      <c r="X265" s="1594"/>
      <c r="Y265" s="1594"/>
      <c r="Z265" s="1594"/>
    </row>
    <row r="266" ht="12.75" customHeight="1">
      <c r="A266" s="1594"/>
      <c r="B266" s="1594"/>
      <c r="C266" s="1594"/>
      <c r="D266" s="1594"/>
      <c r="E266" s="1594"/>
      <c r="F266" s="1594"/>
      <c r="G266" s="1594"/>
      <c r="H266" s="1594"/>
      <c r="I266" s="1594"/>
      <c r="J266" s="1594"/>
      <c r="K266" s="1594"/>
      <c r="L266" s="1594"/>
      <c r="M266" s="1594"/>
      <c r="N266" s="1594"/>
      <c r="O266" s="1594"/>
      <c r="P266" s="1594"/>
      <c r="Q266" s="1594"/>
      <c r="R266" s="1594"/>
      <c r="S266" s="1594"/>
      <c r="T266" s="1594"/>
      <c r="U266" s="1594"/>
      <c r="V266" s="1594"/>
      <c r="W266" s="1594"/>
      <c r="X266" s="1594"/>
      <c r="Y266" s="1594"/>
      <c r="Z266" s="1594"/>
    </row>
    <row r="267" ht="12.75" customHeight="1">
      <c r="A267" s="1594"/>
      <c r="B267" s="1594"/>
      <c r="C267" s="1594"/>
      <c r="D267" s="1594"/>
      <c r="E267" s="1594"/>
      <c r="F267" s="1594"/>
      <c r="G267" s="1594"/>
      <c r="H267" s="1594"/>
      <c r="I267" s="1594"/>
      <c r="J267" s="1594"/>
      <c r="K267" s="1594"/>
      <c r="L267" s="1594"/>
      <c r="M267" s="1594"/>
      <c r="N267" s="1594"/>
      <c r="O267" s="1594"/>
      <c r="P267" s="1594"/>
      <c r="Q267" s="1594"/>
      <c r="R267" s="1594"/>
      <c r="S267" s="1594"/>
      <c r="T267" s="1594"/>
      <c r="U267" s="1594"/>
      <c r="V267" s="1594"/>
      <c r="W267" s="1594"/>
      <c r="X267" s="1594"/>
      <c r="Y267" s="1594"/>
      <c r="Z267" s="1594"/>
    </row>
    <row r="268" ht="12.75" customHeight="1">
      <c r="A268" s="1594"/>
      <c r="B268" s="1594"/>
      <c r="C268" s="1594"/>
      <c r="D268" s="1594"/>
      <c r="E268" s="1594"/>
      <c r="F268" s="1594"/>
      <c r="G268" s="1594"/>
      <c r="H268" s="1594"/>
      <c r="I268" s="1594"/>
      <c r="J268" s="1594"/>
      <c r="K268" s="1594"/>
      <c r="L268" s="1594"/>
      <c r="M268" s="1594"/>
      <c r="N268" s="1594"/>
      <c r="O268" s="1594"/>
      <c r="P268" s="1594"/>
      <c r="Q268" s="1594"/>
      <c r="R268" s="1594"/>
      <c r="S268" s="1594"/>
      <c r="T268" s="1594"/>
      <c r="U268" s="1594"/>
      <c r="V268" s="1594"/>
      <c r="W268" s="1594"/>
      <c r="X268" s="1594"/>
      <c r="Y268" s="1594"/>
      <c r="Z268" s="1594"/>
    </row>
    <row r="269" ht="12.75" customHeight="1">
      <c r="A269" s="1594"/>
      <c r="B269" s="1594"/>
      <c r="C269" s="1594"/>
      <c r="D269" s="1594"/>
      <c r="E269" s="1594"/>
      <c r="F269" s="1594"/>
      <c r="G269" s="1594"/>
      <c r="H269" s="1594"/>
      <c r="I269" s="1594"/>
      <c r="J269" s="1594"/>
      <c r="K269" s="1594"/>
      <c r="L269" s="1594"/>
      <c r="M269" s="1594"/>
      <c r="N269" s="1594"/>
      <c r="O269" s="1594"/>
      <c r="P269" s="1594"/>
      <c r="Q269" s="1594"/>
      <c r="R269" s="1594"/>
      <c r="S269" s="1594"/>
      <c r="T269" s="1594"/>
      <c r="U269" s="1594"/>
      <c r="V269" s="1594"/>
      <c r="W269" s="1594"/>
      <c r="X269" s="1594"/>
      <c r="Y269" s="1594"/>
      <c r="Z269" s="1594"/>
    </row>
    <row r="270" ht="12.75" customHeight="1">
      <c r="A270" s="1594"/>
      <c r="B270" s="1594"/>
      <c r="C270" s="1594"/>
      <c r="D270" s="1594"/>
      <c r="E270" s="1594"/>
      <c r="F270" s="1594"/>
      <c r="G270" s="1594"/>
      <c r="H270" s="1594"/>
      <c r="I270" s="1594"/>
      <c r="J270" s="1594"/>
      <c r="K270" s="1594"/>
      <c r="L270" s="1594"/>
      <c r="M270" s="1594"/>
      <c r="N270" s="1594"/>
      <c r="O270" s="1594"/>
      <c r="P270" s="1594"/>
      <c r="Q270" s="1594"/>
      <c r="R270" s="1594"/>
      <c r="S270" s="1594"/>
      <c r="T270" s="1594"/>
      <c r="U270" s="1594"/>
      <c r="V270" s="1594"/>
      <c r="W270" s="1594"/>
      <c r="X270" s="1594"/>
      <c r="Y270" s="1594"/>
      <c r="Z270" s="1594"/>
    </row>
    <row r="271" ht="12.75" customHeight="1">
      <c r="A271" s="1594"/>
      <c r="B271" s="1594"/>
      <c r="C271" s="1594"/>
      <c r="D271" s="1594"/>
      <c r="E271" s="1594"/>
      <c r="F271" s="1594"/>
      <c r="G271" s="1594"/>
      <c r="H271" s="1594"/>
      <c r="I271" s="1594"/>
      <c r="J271" s="1594"/>
      <c r="K271" s="1594"/>
      <c r="L271" s="1594"/>
      <c r="M271" s="1594"/>
      <c r="N271" s="1594"/>
      <c r="O271" s="1594"/>
      <c r="P271" s="1594"/>
      <c r="Q271" s="1594"/>
      <c r="R271" s="1594"/>
      <c r="S271" s="1594"/>
      <c r="T271" s="1594"/>
      <c r="U271" s="1594"/>
      <c r="V271" s="1594"/>
      <c r="W271" s="1594"/>
      <c r="X271" s="1594"/>
      <c r="Y271" s="1594"/>
      <c r="Z271" s="1594"/>
    </row>
    <row r="272" ht="12.75" customHeight="1">
      <c r="A272" s="1594"/>
      <c r="B272" s="1594"/>
      <c r="C272" s="1594"/>
      <c r="D272" s="1594"/>
      <c r="E272" s="1594"/>
      <c r="F272" s="1594"/>
      <c r="G272" s="1594"/>
      <c r="H272" s="1594"/>
      <c r="I272" s="1594"/>
      <c r="J272" s="1594"/>
      <c r="K272" s="1594"/>
      <c r="L272" s="1594"/>
      <c r="M272" s="1594"/>
      <c r="N272" s="1594"/>
      <c r="O272" s="1594"/>
      <c r="P272" s="1594"/>
      <c r="Q272" s="1594"/>
      <c r="R272" s="1594"/>
      <c r="S272" s="1594"/>
      <c r="T272" s="1594"/>
      <c r="U272" s="1594"/>
      <c r="V272" s="1594"/>
      <c r="W272" s="1594"/>
      <c r="X272" s="1594"/>
      <c r="Y272" s="1594"/>
      <c r="Z272" s="1594"/>
    </row>
    <row r="273" ht="12.75" customHeight="1">
      <c r="A273" s="1594"/>
      <c r="B273" s="1594"/>
      <c r="C273" s="1594"/>
      <c r="D273" s="1594"/>
      <c r="E273" s="1594"/>
      <c r="F273" s="1594"/>
      <c r="G273" s="1594"/>
      <c r="H273" s="1594"/>
      <c r="I273" s="1594"/>
      <c r="J273" s="1594"/>
      <c r="K273" s="1594"/>
      <c r="L273" s="1594"/>
      <c r="M273" s="1594"/>
      <c r="N273" s="1594"/>
      <c r="O273" s="1594"/>
      <c r="P273" s="1594"/>
      <c r="Q273" s="1594"/>
      <c r="R273" s="1594"/>
      <c r="S273" s="1594"/>
      <c r="T273" s="1594"/>
      <c r="U273" s="1594"/>
      <c r="V273" s="1594"/>
      <c r="W273" s="1594"/>
      <c r="X273" s="1594"/>
      <c r="Y273" s="1594"/>
      <c r="Z273" s="1594"/>
    </row>
    <row r="274" ht="12.75" customHeight="1">
      <c r="A274" s="1594"/>
      <c r="B274" s="1594"/>
      <c r="C274" s="1594"/>
      <c r="D274" s="1594"/>
      <c r="E274" s="1594"/>
      <c r="F274" s="1594"/>
      <c r="G274" s="1594"/>
      <c r="H274" s="1594"/>
      <c r="I274" s="1594"/>
      <c r="J274" s="1594"/>
      <c r="K274" s="1594"/>
      <c r="L274" s="1594"/>
      <c r="M274" s="1594"/>
      <c r="N274" s="1594"/>
      <c r="O274" s="1594"/>
      <c r="P274" s="1594"/>
      <c r="Q274" s="1594"/>
      <c r="R274" s="1594"/>
      <c r="S274" s="1594"/>
      <c r="T274" s="1594"/>
      <c r="U274" s="1594"/>
      <c r="V274" s="1594"/>
      <c r="W274" s="1594"/>
      <c r="X274" s="1594"/>
      <c r="Y274" s="1594"/>
      <c r="Z274" s="1594"/>
    </row>
    <row r="275" ht="12.75" customHeight="1">
      <c r="A275" s="1594"/>
      <c r="B275" s="1594"/>
      <c r="C275" s="1594"/>
      <c r="D275" s="1594"/>
      <c r="E275" s="1594"/>
      <c r="F275" s="1594"/>
      <c r="G275" s="1594"/>
      <c r="H275" s="1594"/>
      <c r="I275" s="1594"/>
      <c r="J275" s="1594"/>
      <c r="K275" s="1594"/>
      <c r="L275" s="1594"/>
      <c r="M275" s="1594"/>
      <c r="N275" s="1594"/>
      <c r="O275" s="1594"/>
      <c r="P275" s="1594"/>
      <c r="Q275" s="1594"/>
      <c r="R275" s="1594"/>
      <c r="S275" s="1594"/>
      <c r="T275" s="1594"/>
      <c r="U275" s="1594"/>
      <c r="V275" s="1594"/>
      <c r="W275" s="1594"/>
      <c r="X275" s="1594"/>
      <c r="Y275" s="1594"/>
      <c r="Z275" s="1594"/>
    </row>
    <row r="276" ht="12.75" customHeight="1">
      <c r="A276" s="1594"/>
      <c r="B276" s="1594"/>
      <c r="C276" s="1594"/>
      <c r="D276" s="1594"/>
      <c r="E276" s="1594"/>
      <c r="F276" s="1594"/>
      <c r="G276" s="1594"/>
      <c r="H276" s="1594"/>
      <c r="I276" s="1594"/>
      <c r="J276" s="1594"/>
      <c r="K276" s="1594"/>
      <c r="L276" s="1594"/>
      <c r="M276" s="1594"/>
      <c r="N276" s="1594"/>
      <c r="O276" s="1594"/>
      <c r="P276" s="1594"/>
      <c r="Q276" s="1594"/>
      <c r="R276" s="1594"/>
      <c r="S276" s="1594"/>
      <c r="T276" s="1594"/>
      <c r="U276" s="1594"/>
      <c r="V276" s="1594"/>
      <c r="W276" s="1594"/>
      <c r="X276" s="1594"/>
      <c r="Y276" s="1594"/>
      <c r="Z276" s="1594"/>
    </row>
    <row r="277" ht="12.75" customHeight="1">
      <c r="A277" s="1594"/>
      <c r="B277" s="1594"/>
      <c r="C277" s="1594"/>
      <c r="D277" s="1594"/>
      <c r="E277" s="1594"/>
      <c r="F277" s="1594"/>
      <c r="G277" s="1594"/>
      <c r="H277" s="1594"/>
      <c r="I277" s="1594"/>
      <c r="J277" s="1594"/>
      <c r="K277" s="1594"/>
      <c r="L277" s="1594"/>
      <c r="M277" s="1594"/>
      <c r="N277" s="1594"/>
      <c r="O277" s="1594"/>
      <c r="P277" s="1594"/>
      <c r="Q277" s="1594"/>
      <c r="R277" s="1594"/>
      <c r="S277" s="1594"/>
      <c r="T277" s="1594"/>
      <c r="U277" s="1594"/>
      <c r="V277" s="1594"/>
      <c r="W277" s="1594"/>
      <c r="X277" s="1594"/>
      <c r="Y277" s="1594"/>
      <c r="Z277" s="1594"/>
    </row>
    <row r="278" ht="12.75" customHeight="1">
      <c r="A278" s="1594"/>
      <c r="B278" s="1594"/>
      <c r="C278" s="1594"/>
      <c r="D278" s="1594"/>
      <c r="E278" s="1594"/>
      <c r="F278" s="1594"/>
      <c r="G278" s="1594"/>
      <c r="H278" s="1594"/>
      <c r="I278" s="1594"/>
      <c r="J278" s="1594"/>
      <c r="K278" s="1594"/>
      <c r="L278" s="1594"/>
      <c r="M278" s="1594"/>
      <c r="N278" s="1594"/>
      <c r="O278" s="1594"/>
      <c r="P278" s="1594"/>
      <c r="Q278" s="1594"/>
      <c r="R278" s="1594"/>
      <c r="S278" s="1594"/>
      <c r="T278" s="1594"/>
      <c r="U278" s="1594"/>
      <c r="V278" s="1594"/>
      <c r="W278" s="1594"/>
      <c r="X278" s="1594"/>
      <c r="Y278" s="1594"/>
      <c r="Z278" s="1594"/>
    </row>
    <row r="279" ht="12.75" customHeight="1">
      <c r="A279" s="1594"/>
      <c r="B279" s="1594"/>
      <c r="C279" s="1594"/>
      <c r="D279" s="1594"/>
      <c r="E279" s="1594"/>
      <c r="F279" s="1594"/>
      <c r="G279" s="1594"/>
      <c r="H279" s="1594"/>
      <c r="I279" s="1594"/>
      <c r="J279" s="1594"/>
      <c r="K279" s="1594"/>
      <c r="L279" s="1594"/>
      <c r="M279" s="1594"/>
      <c r="N279" s="1594"/>
      <c r="O279" s="1594"/>
      <c r="P279" s="1594"/>
      <c r="Q279" s="1594"/>
      <c r="R279" s="1594"/>
      <c r="S279" s="1594"/>
      <c r="T279" s="1594"/>
      <c r="U279" s="1594"/>
      <c r="V279" s="1594"/>
      <c r="W279" s="1594"/>
      <c r="X279" s="1594"/>
      <c r="Y279" s="1594"/>
      <c r="Z279" s="1594"/>
    </row>
    <row r="280" ht="12.75" customHeight="1">
      <c r="A280" s="1594"/>
      <c r="B280" s="1594"/>
      <c r="C280" s="1594"/>
      <c r="D280" s="1594"/>
      <c r="E280" s="1594"/>
      <c r="F280" s="1594"/>
      <c r="G280" s="1594"/>
      <c r="H280" s="1594"/>
      <c r="I280" s="1594"/>
      <c r="J280" s="1594"/>
      <c r="K280" s="1594"/>
      <c r="L280" s="1594"/>
      <c r="M280" s="1594"/>
      <c r="N280" s="1594"/>
      <c r="O280" s="1594"/>
      <c r="P280" s="1594"/>
      <c r="Q280" s="1594"/>
      <c r="R280" s="1594"/>
      <c r="S280" s="1594"/>
      <c r="T280" s="1594"/>
      <c r="U280" s="1594"/>
      <c r="V280" s="1594"/>
      <c r="W280" s="1594"/>
      <c r="X280" s="1594"/>
      <c r="Y280" s="1594"/>
      <c r="Z280" s="1594"/>
    </row>
    <row r="281" ht="12.75" customHeight="1">
      <c r="A281" s="1594"/>
      <c r="B281" s="1594"/>
      <c r="C281" s="1594"/>
      <c r="D281" s="1594"/>
      <c r="E281" s="1594"/>
      <c r="F281" s="1594"/>
      <c r="G281" s="1594"/>
      <c r="H281" s="1594"/>
      <c r="I281" s="1594"/>
      <c r="J281" s="1594"/>
      <c r="K281" s="1594"/>
      <c r="L281" s="1594"/>
      <c r="M281" s="1594"/>
      <c r="N281" s="1594"/>
      <c r="O281" s="1594"/>
      <c r="P281" s="1594"/>
      <c r="Q281" s="1594"/>
      <c r="R281" s="1594"/>
      <c r="S281" s="1594"/>
      <c r="T281" s="1594"/>
      <c r="U281" s="1594"/>
      <c r="V281" s="1594"/>
      <c r="W281" s="1594"/>
      <c r="X281" s="1594"/>
      <c r="Y281" s="1594"/>
      <c r="Z281" s="1594"/>
    </row>
    <row r="282" ht="12.75" customHeight="1">
      <c r="A282" s="1594"/>
      <c r="B282" s="1594"/>
      <c r="C282" s="1594"/>
      <c r="D282" s="1594"/>
      <c r="E282" s="1594"/>
      <c r="F282" s="1594"/>
      <c r="G282" s="1594"/>
      <c r="H282" s="1594"/>
      <c r="I282" s="1594"/>
      <c r="J282" s="1594"/>
      <c r="K282" s="1594"/>
      <c r="L282" s="1594"/>
      <c r="M282" s="1594"/>
      <c r="N282" s="1594"/>
      <c r="O282" s="1594"/>
      <c r="P282" s="1594"/>
      <c r="Q282" s="1594"/>
      <c r="R282" s="1594"/>
      <c r="S282" s="1594"/>
      <c r="T282" s="1594"/>
      <c r="U282" s="1594"/>
      <c r="V282" s="1594"/>
      <c r="W282" s="1594"/>
      <c r="X282" s="1594"/>
      <c r="Y282" s="1594"/>
      <c r="Z282" s="1594"/>
    </row>
    <row r="283" ht="12.75" customHeight="1">
      <c r="A283" s="1594"/>
      <c r="B283" s="1594"/>
      <c r="C283" s="1594"/>
      <c r="D283" s="1594"/>
      <c r="E283" s="1594"/>
      <c r="F283" s="1594"/>
      <c r="G283" s="1594"/>
      <c r="H283" s="1594"/>
      <c r="I283" s="1594"/>
      <c r="J283" s="1594"/>
      <c r="K283" s="1594"/>
      <c r="L283" s="1594"/>
      <c r="M283" s="1594"/>
      <c r="N283" s="1594"/>
      <c r="O283" s="1594"/>
      <c r="P283" s="1594"/>
      <c r="Q283" s="1594"/>
      <c r="R283" s="1594"/>
      <c r="S283" s="1594"/>
      <c r="T283" s="1594"/>
      <c r="U283" s="1594"/>
      <c r="V283" s="1594"/>
      <c r="W283" s="1594"/>
      <c r="X283" s="1594"/>
      <c r="Y283" s="1594"/>
      <c r="Z283" s="1594"/>
    </row>
    <row r="284" ht="12.75" customHeight="1">
      <c r="A284" s="1594"/>
      <c r="B284" s="1594"/>
      <c r="C284" s="1594"/>
      <c r="D284" s="1594"/>
      <c r="E284" s="1594"/>
      <c r="F284" s="1594"/>
      <c r="G284" s="1594"/>
      <c r="H284" s="1594"/>
      <c r="I284" s="1594"/>
      <c r="J284" s="1594"/>
      <c r="K284" s="1594"/>
      <c r="L284" s="1594"/>
      <c r="M284" s="1594"/>
      <c r="N284" s="1594"/>
      <c r="O284" s="1594"/>
      <c r="P284" s="1594"/>
      <c r="Q284" s="1594"/>
      <c r="R284" s="1594"/>
      <c r="S284" s="1594"/>
      <c r="T284" s="1594"/>
      <c r="U284" s="1594"/>
      <c r="V284" s="1594"/>
      <c r="W284" s="1594"/>
      <c r="X284" s="1594"/>
      <c r="Y284" s="1594"/>
      <c r="Z284" s="1594"/>
    </row>
    <row r="285" ht="12.75" customHeight="1">
      <c r="A285" s="1594"/>
      <c r="B285" s="1594"/>
      <c r="C285" s="1594"/>
      <c r="D285" s="1594"/>
      <c r="E285" s="1594"/>
      <c r="F285" s="1594"/>
      <c r="G285" s="1594"/>
      <c r="H285" s="1594"/>
      <c r="I285" s="1594"/>
      <c r="J285" s="1594"/>
      <c r="K285" s="1594"/>
      <c r="L285" s="1594"/>
      <c r="M285" s="1594"/>
      <c r="N285" s="1594"/>
      <c r="O285" s="1594"/>
      <c r="P285" s="1594"/>
      <c r="Q285" s="1594"/>
      <c r="R285" s="1594"/>
      <c r="S285" s="1594"/>
      <c r="T285" s="1594"/>
      <c r="U285" s="1594"/>
      <c r="V285" s="1594"/>
      <c r="W285" s="1594"/>
      <c r="X285" s="1594"/>
      <c r="Y285" s="1594"/>
      <c r="Z285" s="1594"/>
    </row>
    <row r="286" ht="12.75" customHeight="1">
      <c r="A286" s="1594"/>
      <c r="B286" s="1594"/>
      <c r="C286" s="1594"/>
      <c r="D286" s="1594"/>
      <c r="E286" s="1594"/>
      <c r="F286" s="1594"/>
      <c r="G286" s="1594"/>
      <c r="H286" s="1594"/>
      <c r="I286" s="1594"/>
      <c r="J286" s="1594"/>
      <c r="K286" s="1594"/>
      <c r="L286" s="1594"/>
      <c r="M286" s="1594"/>
      <c r="N286" s="1594"/>
      <c r="O286" s="1594"/>
      <c r="P286" s="1594"/>
      <c r="Q286" s="1594"/>
      <c r="R286" s="1594"/>
      <c r="S286" s="1594"/>
      <c r="T286" s="1594"/>
      <c r="U286" s="1594"/>
      <c r="V286" s="1594"/>
      <c r="W286" s="1594"/>
      <c r="X286" s="1594"/>
      <c r="Y286" s="1594"/>
      <c r="Z286" s="1594"/>
    </row>
    <row r="287" ht="12.75" customHeight="1">
      <c r="A287" s="1594"/>
      <c r="B287" s="1594"/>
      <c r="C287" s="1594"/>
      <c r="D287" s="1594"/>
      <c r="E287" s="1594"/>
      <c r="F287" s="1594"/>
      <c r="G287" s="1594"/>
      <c r="H287" s="1594"/>
      <c r="I287" s="1594"/>
      <c r="J287" s="1594"/>
      <c r="K287" s="1594"/>
      <c r="L287" s="1594"/>
      <c r="M287" s="1594"/>
      <c r="N287" s="1594"/>
      <c r="O287" s="1594"/>
      <c r="P287" s="1594"/>
      <c r="Q287" s="1594"/>
      <c r="R287" s="1594"/>
      <c r="S287" s="1594"/>
      <c r="T287" s="1594"/>
      <c r="U287" s="1594"/>
      <c r="V287" s="1594"/>
      <c r="W287" s="1594"/>
      <c r="X287" s="1594"/>
      <c r="Y287" s="1594"/>
      <c r="Z287" s="1594"/>
    </row>
    <row r="288" ht="12.75" customHeight="1">
      <c r="A288" s="1594"/>
      <c r="B288" s="1594"/>
      <c r="C288" s="1594"/>
      <c r="D288" s="1594"/>
      <c r="E288" s="1594"/>
      <c r="F288" s="1594"/>
      <c r="G288" s="1594"/>
      <c r="H288" s="1594"/>
      <c r="I288" s="1594"/>
      <c r="J288" s="1594"/>
      <c r="K288" s="1594"/>
      <c r="L288" s="1594"/>
      <c r="M288" s="1594"/>
      <c r="N288" s="1594"/>
      <c r="O288" s="1594"/>
      <c r="P288" s="1594"/>
      <c r="Q288" s="1594"/>
      <c r="R288" s="1594"/>
      <c r="S288" s="1594"/>
      <c r="T288" s="1594"/>
      <c r="U288" s="1594"/>
      <c r="V288" s="1594"/>
      <c r="W288" s="1594"/>
      <c r="X288" s="1594"/>
      <c r="Y288" s="1594"/>
      <c r="Z288" s="1594"/>
    </row>
    <row r="289" ht="12.75" customHeight="1">
      <c r="A289" s="1594"/>
      <c r="B289" s="1594"/>
      <c r="C289" s="1594"/>
      <c r="D289" s="1594"/>
      <c r="E289" s="1594"/>
      <c r="F289" s="1594"/>
      <c r="G289" s="1594"/>
      <c r="H289" s="1594"/>
      <c r="I289" s="1594"/>
      <c r="J289" s="1594"/>
      <c r="K289" s="1594"/>
      <c r="L289" s="1594"/>
      <c r="M289" s="1594"/>
      <c r="N289" s="1594"/>
      <c r="O289" s="1594"/>
      <c r="P289" s="1594"/>
      <c r="Q289" s="1594"/>
      <c r="R289" s="1594"/>
      <c r="S289" s="1594"/>
      <c r="T289" s="1594"/>
      <c r="U289" s="1594"/>
      <c r="V289" s="1594"/>
      <c r="W289" s="1594"/>
      <c r="X289" s="1594"/>
      <c r="Y289" s="1594"/>
      <c r="Z289" s="1594"/>
    </row>
    <row r="290" ht="12.75" customHeight="1">
      <c r="A290" s="1594"/>
      <c r="B290" s="1594"/>
      <c r="C290" s="1594"/>
      <c r="D290" s="1594"/>
      <c r="E290" s="1594"/>
      <c r="F290" s="1594"/>
      <c r="G290" s="1594"/>
      <c r="H290" s="1594"/>
      <c r="I290" s="1594"/>
      <c r="J290" s="1594"/>
      <c r="K290" s="1594"/>
      <c r="L290" s="1594"/>
      <c r="M290" s="1594"/>
      <c r="N290" s="1594"/>
      <c r="O290" s="1594"/>
      <c r="P290" s="1594"/>
      <c r="Q290" s="1594"/>
      <c r="R290" s="1594"/>
      <c r="S290" s="1594"/>
      <c r="T290" s="1594"/>
      <c r="U290" s="1594"/>
      <c r="V290" s="1594"/>
      <c r="W290" s="1594"/>
      <c r="X290" s="1594"/>
      <c r="Y290" s="1594"/>
      <c r="Z290" s="1594"/>
    </row>
    <row r="291" ht="12.75" customHeight="1">
      <c r="A291" s="1594"/>
      <c r="B291" s="1594"/>
      <c r="C291" s="1594"/>
      <c r="D291" s="1594"/>
      <c r="E291" s="1594"/>
      <c r="F291" s="1594"/>
      <c r="G291" s="1594"/>
      <c r="H291" s="1594"/>
      <c r="I291" s="1594"/>
      <c r="J291" s="1594"/>
      <c r="K291" s="1594"/>
      <c r="L291" s="1594"/>
      <c r="M291" s="1594"/>
      <c r="N291" s="1594"/>
      <c r="O291" s="1594"/>
      <c r="P291" s="1594"/>
      <c r="Q291" s="1594"/>
      <c r="R291" s="1594"/>
      <c r="S291" s="1594"/>
      <c r="T291" s="1594"/>
      <c r="U291" s="1594"/>
      <c r="V291" s="1594"/>
      <c r="W291" s="1594"/>
      <c r="X291" s="1594"/>
      <c r="Y291" s="1594"/>
      <c r="Z291" s="1594"/>
    </row>
    <row r="292" ht="12.75" customHeight="1">
      <c r="A292" s="1594"/>
      <c r="B292" s="1594"/>
      <c r="C292" s="1594"/>
      <c r="D292" s="1594"/>
      <c r="E292" s="1594"/>
      <c r="F292" s="1594"/>
      <c r="G292" s="1594"/>
      <c r="H292" s="1594"/>
      <c r="I292" s="1594"/>
      <c r="J292" s="1594"/>
      <c r="K292" s="1594"/>
      <c r="L292" s="1594"/>
      <c r="M292" s="1594"/>
      <c r="N292" s="1594"/>
      <c r="O292" s="1594"/>
      <c r="P292" s="1594"/>
      <c r="Q292" s="1594"/>
      <c r="R292" s="1594"/>
      <c r="S292" s="1594"/>
      <c r="T292" s="1594"/>
      <c r="U292" s="1594"/>
      <c r="V292" s="1594"/>
      <c r="W292" s="1594"/>
      <c r="X292" s="1594"/>
      <c r="Y292" s="1594"/>
      <c r="Z292" s="1594"/>
    </row>
    <row r="293" ht="12.75" customHeight="1">
      <c r="A293" s="1594"/>
      <c r="B293" s="1594"/>
      <c r="C293" s="1594"/>
      <c r="D293" s="1594"/>
      <c r="E293" s="1594"/>
      <c r="F293" s="1594"/>
      <c r="G293" s="1594"/>
      <c r="H293" s="1594"/>
      <c r="I293" s="1594"/>
      <c r="J293" s="1594"/>
      <c r="K293" s="1594"/>
      <c r="L293" s="1594"/>
      <c r="M293" s="1594"/>
      <c r="N293" s="1594"/>
      <c r="O293" s="1594"/>
      <c r="P293" s="1594"/>
      <c r="Q293" s="1594"/>
      <c r="R293" s="1594"/>
      <c r="S293" s="1594"/>
      <c r="T293" s="1594"/>
      <c r="U293" s="1594"/>
      <c r="V293" s="1594"/>
      <c r="W293" s="1594"/>
      <c r="X293" s="1594"/>
      <c r="Y293" s="1594"/>
      <c r="Z293" s="1594"/>
    </row>
    <row r="294" ht="12.75" customHeight="1">
      <c r="A294" s="1594"/>
      <c r="B294" s="1594"/>
      <c r="C294" s="1594"/>
      <c r="D294" s="1594"/>
      <c r="E294" s="1594"/>
      <c r="F294" s="1594"/>
      <c r="G294" s="1594"/>
      <c r="H294" s="1594"/>
      <c r="I294" s="1594"/>
      <c r="J294" s="1594"/>
      <c r="K294" s="1594"/>
      <c r="L294" s="1594"/>
      <c r="M294" s="1594"/>
      <c r="N294" s="1594"/>
      <c r="O294" s="1594"/>
      <c r="P294" s="1594"/>
      <c r="Q294" s="1594"/>
      <c r="R294" s="1594"/>
      <c r="S294" s="1594"/>
      <c r="T294" s="1594"/>
      <c r="U294" s="1594"/>
      <c r="V294" s="1594"/>
      <c r="W294" s="1594"/>
      <c r="X294" s="1594"/>
      <c r="Y294" s="1594"/>
      <c r="Z294" s="1594"/>
    </row>
    <row r="295" ht="12.75" customHeight="1">
      <c r="A295" s="1594"/>
      <c r="B295" s="1594"/>
      <c r="C295" s="1594"/>
      <c r="D295" s="1594"/>
      <c r="E295" s="1594"/>
      <c r="F295" s="1594"/>
      <c r="G295" s="1594"/>
      <c r="H295" s="1594"/>
      <c r="I295" s="1594"/>
      <c r="J295" s="1594"/>
      <c r="K295" s="1594"/>
      <c r="L295" s="1594"/>
      <c r="M295" s="1594"/>
      <c r="N295" s="1594"/>
      <c r="O295" s="1594"/>
      <c r="P295" s="1594"/>
      <c r="Q295" s="1594"/>
      <c r="R295" s="1594"/>
      <c r="S295" s="1594"/>
      <c r="T295" s="1594"/>
      <c r="U295" s="1594"/>
      <c r="V295" s="1594"/>
      <c r="W295" s="1594"/>
      <c r="X295" s="1594"/>
      <c r="Y295" s="1594"/>
      <c r="Z295" s="1594"/>
    </row>
    <row r="296" ht="12.75" customHeight="1">
      <c r="A296" s="1594"/>
      <c r="B296" s="1594"/>
      <c r="C296" s="1594"/>
      <c r="D296" s="1594"/>
      <c r="E296" s="1594"/>
      <c r="F296" s="1594"/>
      <c r="G296" s="1594"/>
      <c r="H296" s="1594"/>
      <c r="I296" s="1594"/>
      <c r="J296" s="1594"/>
      <c r="K296" s="1594"/>
      <c r="L296" s="1594"/>
      <c r="M296" s="1594"/>
      <c r="N296" s="1594"/>
      <c r="O296" s="1594"/>
      <c r="P296" s="1594"/>
      <c r="Q296" s="1594"/>
      <c r="R296" s="1594"/>
      <c r="S296" s="1594"/>
      <c r="T296" s="1594"/>
      <c r="U296" s="1594"/>
      <c r="V296" s="1594"/>
      <c r="W296" s="1594"/>
      <c r="X296" s="1594"/>
      <c r="Y296" s="1594"/>
      <c r="Z296" s="1594"/>
    </row>
    <row r="297" ht="12.75" customHeight="1">
      <c r="A297" s="1594"/>
      <c r="B297" s="1594"/>
      <c r="C297" s="1594"/>
      <c r="D297" s="1594"/>
      <c r="E297" s="1594"/>
      <c r="F297" s="1594"/>
      <c r="G297" s="1594"/>
      <c r="H297" s="1594"/>
      <c r="I297" s="1594"/>
      <c r="J297" s="1594"/>
      <c r="K297" s="1594"/>
      <c r="L297" s="1594"/>
      <c r="M297" s="1594"/>
      <c r="N297" s="1594"/>
      <c r="O297" s="1594"/>
      <c r="P297" s="1594"/>
      <c r="Q297" s="1594"/>
      <c r="R297" s="1594"/>
      <c r="S297" s="1594"/>
      <c r="T297" s="1594"/>
      <c r="U297" s="1594"/>
      <c r="V297" s="1594"/>
      <c r="W297" s="1594"/>
      <c r="X297" s="1594"/>
      <c r="Y297" s="1594"/>
      <c r="Z297" s="1594"/>
    </row>
    <row r="298" ht="12.75" customHeight="1">
      <c r="A298" s="1594"/>
      <c r="B298" s="1594"/>
      <c r="C298" s="1594"/>
      <c r="D298" s="1594"/>
      <c r="E298" s="1594"/>
      <c r="F298" s="1594"/>
      <c r="G298" s="1594"/>
      <c r="H298" s="1594"/>
      <c r="I298" s="1594"/>
      <c r="J298" s="1594"/>
      <c r="K298" s="1594"/>
      <c r="L298" s="1594"/>
      <c r="M298" s="1594"/>
      <c r="N298" s="1594"/>
      <c r="O298" s="1594"/>
      <c r="P298" s="1594"/>
      <c r="Q298" s="1594"/>
      <c r="R298" s="1594"/>
      <c r="S298" s="1594"/>
      <c r="T298" s="1594"/>
      <c r="U298" s="1594"/>
      <c r="V298" s="1594"/>
      <c r="W298" s="1594"/>
      <c r="X298" s="1594"/>
      <c r="Y298" s="1594"/>
      <c r="Z298" s="1594"/>
    </row>
    <row r="299" ht="12.75" customHeight="1">
      <c r="A299" s="1594"/>
      <c r="B299" s="1594"/>
      <c r="C299" s="1594"/>
      <c r="D299" s="1594"/>
      <c r="E299" s="1594"/>
      <c r="F299" s="1594"/>
      <c r="G299" s="1594"/>
      <c r="H299" s="1594"/>
      <c r="I299" s="1594"/>
      <c r="J299" s="1594"/>
      <c r="K299" s="1594"/>
      <c r="L299" s="1594"/>
      <c r="M299" s="1594"/>
      <c r="N299" s="1594"/>
      <c r="O299" s="1594"/>
      <c r="P299" s="1594"/>
      <c r="Q299" s="1594"/>
      <c r="R299" s="1594"/>
      <c r="S299" s="1594"/>
      <c r="T299" s="1594"/>
      <c r="U299" s="1594"/>
      <c r="V299" s="1594"/>
      <c r="W299" s="1594"/>
      <c r="X299" s="1594"/>
      <c r="Y299" s="1594"/>
      <c r="Z299" s="1594"/>
    </row>
    <row r="300" ht="12.75" customHeight="1">
      <c r="A300" s="1594"/>
      <c r="B300" s="1594"/>
      <c r="C300" s="1594"/>
      <c r="D300" s="1594"/>
      <c r="E300" s="1594"/>
      <c r="F300" s="1594"/>
      <c r="G300" s="1594"/>
      <c r="H300" s="1594"/>
      <c r="I300" s="1594"/>
      <c r="J300" s="1594"/>
      <c r="K300" s="1594"/>
      <c r="L300" s="1594"/>
      <c r="M300" s="1594"/>
      <c r="N300" s="1594"/>
      <c r="O300" s="1594"/>
      <c r="P300" s="1594"/>
      <c r="Q300" s="1594"/>
      <c r="R300" s="1594"/>
      <c r="S300" s="1594"/>
      <c r="T300" s="1594"/>
      <c r="U300" s="1594"/>
      <c r="V300" s="1594"/>
      <c r="W300" s="1594"/>
      <c r="X300" s="1594"/>
      <c r="Y300" s="1594"/>
      <c r="Z300" s="1594"/>
    </row>
    <row r="301" ht="12.75" customHeight="1">
      <c r="A301" s="1594"/>
      <c r="B301" s="1594"/>
      <c r="C301" s="1594"/>
      <c r="D301" s="1594"/>
      <c r="E301" s="1594"/>
      <c r="F301" s="1594"/>
      <c r="G301" s="1594"/>
      <c r="H301" s="1594"/>
      <c r="I301" s="1594"/>
      <c r="J301" s="1594"/>
      <c r="K301" s="1594"/>
      <c r="L301" s="1594"/>
      <c r="M301" s="1594"/>
      <c r="N301" s="1594"/>
      <c r="O301" s="1594"/>
      <c r="P301" s="1594"/>
      <c r="Q301" s="1594"/>
      <c r="R301" s="1594"/>
      <c r="S301" s="1594"/>
      <c r="T301" s="1594"/>
      <c r="U301" s="1594"/>
      <c r="V301" s="1594"/>
      <c r="W301" s="1594"/>
      <c r="X301" s="1594"/>
      <c r="Y301" s="1594"/>
      <c r="Z301" s="1594"/>
    </row>
    <row r="302" ht="12.75" customHeight="1">
      <c r="A302" s="1594"/>
      <c r="B302" s="1594"/>
      <c r="C302" s="1594"/>
      <c r="D302" s="1594"/>
      <c r="E302" s="1594"/>
      <c r="F302" s="1594"/>
      <c r="G302" s="1594"/>
      <c r="H302" s="1594"/>
      <c r="I302" s="1594"/>
      <c r="J302" s="1594"/>
      <c r="K302" s="1594"/>
      <c r="L302" s="1594"/>
      <c r="M302" s="1594"/>
      <c r="N302" s="1594"/>
      <c r="O302" s="1594"/>
      <c r="P302" s="1594"/>
      <c r="Q302" s="1594"/>
      <c r="R302" s="1594"/>
      <c r="S302" s="1594"/>
      <c r="T302" s="1594"/>
      <c r="U302" s="1594"/>
      <c r="V302" s="1594"/>
      <c r="W302" s="1594"/>
      <c r="X302" s="1594"/>
      <c r="Y302" s="1594"/>
      <c r="Z302" s="1594"/>
    </row>
    <row r="303" ht="12.75" customHeight="1">
      <c r="A303" s="1594"/>
      <c r="B303" s="1594"/>
      <c r="C303" s="1594"/>
      <c r="D303" s="1594"/>
      <c r="E303" s="1594"/>
      <c r="F303" s="1594"/>
      <c r="G303" s="1594"/>
      <c r="H303" s="1594"/>
      <c r="I303" s="1594"/>
      <c r="J303" s="1594"/>
      <c r="K303" s="1594"/>
      <c r="L303" s="1594"/>
      <c r="M303" s="1594"/>
      <c r="N303" s="1594"/>
      <c r="O303" s="1594"/>
      <c r="P303" s="1594"/>
      <c r="Q303" s="1594"/>
      <c r="R303" s="1594"/>
      <c r="S303" s="1594"/>
      <c r="T303" s="1594"/>
      <c r="U303" s="1594"/>
      <c r="V303" s="1594"/>
      <c r="W303" s="1594"/>
      <c r="X303" s="1594"/>
      <c r="Y303" s="1594"/>
      <c r="Z303" s="1594"/>
    </row>
    <row r="304" ht="12.75" customHeight="1">
      <c r="A304" s="1594"/>
      <c r="B304" s="1594"/>
      <c r="C304" s="1594"/>
      <c r="D304" s="1594"/>
      <c r="E304" s="1594"/>
      <c r="F304" s="1594"/>
      <c r="G304" s="1594"/>
      <c r="H304" s="1594"/>
      <c r="I304" s="1594"/>
      <c r="J304" s="1594"/>
      <c r="K304" s="1594"/>
      <c r="L304" s="1594"/>
      <c r="M304" s="1594"/>
      <c r="N304" s="1594"/>
      <c r="O304" s="1594"/>
      <c r="P304" s="1594"/>
      <c r="Q304" s="1594"/>
      <c r="R304" s="1594"/>
      <c r="S304" s="1594"/>
      <c r="T304" s="1594"/>
      <c r="U304" s="1594"/>
      <c r="V304" s="1594"/>
      <c r="W304" s="1594"/>
      <c r="X304" s="1594"/>
      <c r="Y304" s="1594"/>
      <c r="Z304" s="1594"/>
    </row>
    <row r="305" ht="12.75" customHeight="1">
      <c r="A305" s="1594"/>
      <c r="B305" s="1594"/>
      <c r="C305" s="1594"/>
      <c r="D305" s="1594"/>
      <c r="E305" s="1594"/>
      <c r="F305" s="1594"/>
      <c r="G305" s="1594"/>
      <c r="H305" s="1594"/>
      <c r="I305" s="1594"/>
      <c r="J305" s="1594"/>
      <c r="K305" s="1594"/>
      <c r="L305" s="1594"/>
      <c r="M305" s="1594"/>
      <c r="N305" s="1594"/>
      <c r="O305" s="1594"/>
      <c r="P305" s="1594"/>
      <c r="Q305" s="1594"/>
      <c r="R305" s="1594"/>
      <c r="S305" s="1594"/>
      <c r="T305" s="1594"/>
      <c r="U305" s="1594"/>
      <c r="V305" s="1594"/>
      <c r="W305" s="1594"/>
      <c r="X305" s="1594"/>
      <c r="Y305" s="1594"/>
      <c r="Z305" s="1594"/>
    </row>
    <row r="306" ht="12.75" customHeight="1">
      <c r="A306" s="1594"/>
      <c r="B306" s="1594"/>
      <c r="C306" s="1594"/>
      <c r="D306" s="1594"/>
      <c r="E306" s="1594"/>
      <c r="F306" s="1594"/>
      <c r="G306" s="1594"/>
      <c r="H306" s="1594"/>
      <c r="I306" s="1594"/>
      <c r="J306" s="1594"/>
      <c r="K306" s="1594"/>
      <c r="L306" s="1594"/>
      <c r="M306" s="1594"/>
      <c r="N306" s="1594"/>
      <c r="O306" s="1594"/>
      <c r="P306" s="1594"/>
      <c r="Q306" s="1594"/>
      <c r="R306" s="1594"/>
      <c r="S306" s="1594"/>
      <c r="T306" s="1594"/>
      <c r="U306" s="1594"/>
      <c r="V306" s="1594"/>
      <c r="W306" s="1594"/>
      <c r="X306" s="1594"/>
      <c r="Y306" s="1594"/>
      <c r="Z306" s="1594"/>
    </row>
    <row r="307" ht="12.75" customHeight="1">
      <c r="A307" s="1594"/>
      <c r="B307" s="1594"/>
      <c r="C307" s="1594"/>
      <c r="D307" s="1594"/>
      <c r="E307" s="1594"/>
      <c r="F307" s="1594"/>
      <c r="G307" s="1594"/>
      <c r="H307" s="1594"/>
      <c r="I307" s="1594"/>
      <c r="J307" s="1594"/>
      <c r="K307" s="1594"/>
      <c r="L307" s="1594"/>
      <c r="M307" s="1594"/>
      <c r="N307" s="1594"/>
      <c r="O307" s="1594"/>
      <c r="P307" s="1594"/>
      <c r="Q307" s="1594"/>
      <c r="R307" s="1594"/>
      <c r="S307" s="1594"/>
      <c r="T307" s="1594"/>
      <c r="U307" s="1594"/>
      <c r="V307" s="1594"/>
      <c r="W307" s="1594"/>
      <c r="X307" s="1594"/>
      <c r="Y307" s="1594"/>
      <c r="Z307" s="1594"/>
    </row>
    <row r="308" ht="12.75" customHeight="1">
      <c r="A308" s="1594"/>
      <c r="B308" s="1594"/>
      <c r="C308" s="1594"/>
      <c r="D308" s="1594"/>
      <c r="E308" s="1594"/>
      <c r="F308" s="1594"/>
      <c r="G308" s="1594"/>
      <c r="H308" s="1594"/>
      <c r="I308" s="1594"/>
      <c r="J308" s="1594"/>
      <c r="K308" s="1594"/>
      <c r="L308" s="1594"/>
      <c r="M308" s="1594"/>
      <c r="N308" s="1594"/>
      <c r="O308" s="1594"/>
      <c r="P308" s="1594"/>
      <c r="Q308" s="1594"/>
      <c r="R308" s="1594"/>
      <c r="S308" s="1594"/>
      <c r="T308" s="1594"/>
      <c r="U308" s="1594"/>
      <c r="V308" s="1594"/>
      <c r="W308" s="1594"/>
      <c r="X308" s="1594"/>
      <c r="Y308" s="1594"/>
      <c r="Z308" s="1594"/>
    </row>
    <row r="309" ht="12.75" customHeight="1">
      <c r="A309" s="1594"/>
      <c r="B309" s="1594"/>
      <c r="C309" s="1594"/>
      <c r="D309" s="1594"/>
      <c r="E309" s="1594"/>
      <c r="F309" s="1594"/>
      <c r="G309" s="1594"/>
      <c r="H309" s="1594"/>
      <c r="I309" s="1594"/>
      <c r="J309" s="1594"/>
      <c r="K309" s="1594"/>
      <c r="L309" s="1594"/>
      <c r="M309" s="1594"/>
      <c r="N309" s="1594"/>
      <c r="O309" s="1594"/>
      <c r="P309" s="1594"/>
      <c r="Q309" s="1594"/>
      <c r="R309" s="1594"/>
      <c r="S309" s="1594"/>
      <c r="T309" s="1594"/>
      <c r="U309" s="1594"/>
      <c r="V309" s="1594"/>
      <c r="W309" s="1594"/>
      <c r="X309" s="1594"/>
      <c r="Y309" s="1594"/>
      <c r="Z309" s="1594"/>
    </row>
    <row r="310" ht="12.75" customHeight="1">
      <c r="A310" s="1594"/>
      <c r="B310" s="1594"/>
      <c r="C310" s="1594"/>
      <c r="D310" s="1594"/>
      <c r="E310" s="1594"/>
      <c r="F310" s="1594"/>
      <c r="G310" s="1594"/>
      <c r="H310" s="1594"/>
      <c r="I310" s="1594"/>
      <c r="J310" s="1594"/>
      <c r="K310" s="1594"/>
      <c r="L310" s="1594"/>
      <c r="M310" s="1594"/>
      <c r="N310" s="1594"/>
      <c r="O310" s="1594"/>
      <c r="P310" s="1594"/>
      <c r="Q310" s="1594"/>
      <c r="R310" s="1594"/>
      <c r="S310" s="1594"/>
      <c r="T310" s="1594"/>
      <c r="U310" s="1594"/>
      <c r="V310" s="1594"/>
      <c r="W310" s="1594"/>
      <c r="X310" s="1594"/>
      <c r="Y310" s="1594"/>
      <c r="Z310" s="1594"/>
    </row>
    <row r="311" ht="12.75" customHeight="1">
      <c r="A311" s="1594"/>
      <c r="B311" s="1594"/>
      <c r="C311" s="1594"/>
      <c r="D311" s="1594"/>
      <c r="E311" s="1594"/>
      <c r="F311" s="1594"/>
      <c r="G311" s="1594"/>
      <c r="H311" s="1594"/>
      <c r="I311" s="1594"/>
      <c r="J311" s="1594"/>
      <c r="K311" s="1594"/>
      <c r="L311" s="1594"/>
      <c r="M311" s="1594"/>
      <c r="N311" s="1594"/>
      <c r="O311" s="1594"/>
      <c r="P311" s="1594"/>
      <c r="Q311" s="1594"/>
      <c r="R311" s="1594"/>
      <c r="S311" s="1594"/>
      <c r="T311" s="1594"/>
      <c r="U311" s="1594"/>
      <c r="V311" s="1594"/>
      <c r="W311" s="1594"/>
      <c r="X311" s="1594"/>
      <c r="Y311" s="1594"/>
      <c r="Z311" s="1594"/>
    </row>
    <row r="312" ht="12.75" customHeight="1">
      <c r="A312" s="1594"/>
      <c r="B312" s="1594"/>
      <c r="C312" s="1594"/>
      <c r="D312" s="1594"/>
      <c r="E312" s="1594"/>
      <c r="F312" s="1594"/>
      <c r="G312" s="1594"/>
      <c r="H312" s="1594"/>
      <c r="I312" s="1594"/>
      <c r="J312" s="1594"/>
      <c r="K312" s="1594"/>
      <c r="L312" s="1594"/>
      <c r="M312" s="1594"/>
      <c r="N312" s="1594"/>
      <c r="O312" s="1594"/>
      <c r="P312" s="1594"/>
      <c r="Q312" s="1594"/>
      <c r="R312" s="1594"/>
      <c r="S312" s="1594"/>
      <c r="T312" s="1594"/>
      <c r="U312" s="1594"/>
      <c r="V312" s="1594"/>
      <c r="W312" s="1594"/>
      <c r="X312" s="1594"/>
      <c r="Y312" s="1594"/>
      <c r="Z312" s="1594"/>
    </row>
    <row r="313" ht="12.75" customHeight="1">
      <c r="A313" s="1594"/>
      <c r="B313" s="1594"/>
      <c r="C313" s="1594"/>
      <c r="D313" s="1594"/>
      <c r="E313" s="1594"/>
      <c r="F313" s="1594"/>
      <c r="G313" s="1594"/>
      <c r="H313" s="1594"/>
      <c r="I313" s="1594"/>
      <c r="J313" s="1594"/>
      <c r="K313" s="1594"/>
      <c r="L313" s="1594"/>
      <c r="M313" s="1594"/>
      <c r="N313" s="1594"/>
      <c r="O313" s="1594"/>
      <c r="P313" s="1594"/>
      <c r="Q313" s="1594"/>
      <c r="R313" s="1594"/>
      <c r="S313" s="1594"/>
      <c r="T313" s="1594"/>
      <c r="U313" s="1594"/>
      <c r="V313" s="1594"/>
      <c r="W313" s="1594"/>
      <c r="X313" s="1594"/>
      <c r="Y313" s="1594"/>
      <c r="Z313" s="1594"/>
    </row>
    <row r="314" ht="12.75" customHeight="1">
      <c r="A314" s="1594"/>
      <c r="B314" s="1594"/>
      <c r="C314" s="1594"/>
      <c r="D314" s="1594"/>
      <c r="E314" s="1594"/>
      <c r="F314" s="1594"/>
      <c r="G314" s="1594"/>
      <c r="H314" s="1594"/>
      <c r="I314" s="1594"/>
      <c r="J314" s="1594"/>
      <c r="K314" s="1594"/>
      <c r="L314" s="1594"/>
      <c r="M314" s="1594"/>
      <c r="N314" s="1594"/>
      <c r="O314" s="1594"/>
      <c r="P314" s="1594"/>
      <c r="Q314" s="1594"/>
      <c r="R314" s="1594"/>
      <c r="S314" s="1594"/>
      <c r="T314" s="1594"/>
      <c r="U314" s="1594"/>
      <c r="V314" s="1594"/>
      <c r="W314" s="1594"/>
      <c r="X314" s="1594"/>
      <c r="Y314" s="1594"/>
      <c r="Z314" s="1594"/>
    </row>
    <row r="315" ht="12.75" customHeight="1">
      <c r="A315" s="1594"/>
      <c r="B315" s="1594"/>
      <c r="C315" s="1594"/>
      <c r="D315" s="1594"/>
      <c r="E315" s="1594"/>
      <c r="F315" s="1594"/>
      <c r="G315" s="1594"/>
      <c r="H315" s="1594"/>
      <c r="I315" s="1594"/>
      <c r="J315" s="1594"/>
      <c r="K315" s="1594"/>
      <c r="L315" s="1594"/>
      <c r="M315" s="1594"/>
      <c r="N315" s="1594"/>
      <c r="O315" s="1594"/>
      <c r="P315" s="1594"/>
      <c r="Q315" s="1594"/>
      <c r="R315" s="1594"/>
      <c r="S315" s="1594"/>
      <c r="T315" s="1594"/>
      <c r="U315" s="1594"/>
      <c r="V315" s="1594"/>
      <c r="W315" s="1594"/>
      <c r="X315" s="1594"/>
      <c r="Y315" s="1594"/>
      <c r="Z315" s="1594"/>
    </row>
    <row r="316" ht="12.75" customHeight="1">
      <c r="A316" s="1594"/>
      <c r="B316" s="1594"/>
      <c r="C316" s="1594"/>
      <c r="D316" s="1594"/>
      <c r="E316" s="1594"/>
      <c r="F316" s="1594"/>
      <c r="G316" s="1594"/>
      <c r="H316" s="1594"/>
      <c r="I316" s="1594"/>
      <c r="J316" s="1594"/>
      <c r="K316" s="1594"/>
      <c r="L316" s="1594"/>
      <c r="M316" s="1594"/>
      <c r="N316" s="1594"/>
      <c r="O316" s="1594"/>
      <c r="P316" s="1594"/>
      <c r="Q316" s="1594"/>
      <c r="R316" s="1594"/>
      <c r="S316" s="1594"/>
      <c r="T316" s="1594"/>
      <c r="U316" s="1594"/>
      <c r="V316" s="1594"/>
      <c r="W316" s="1594"/>
      <c r="X316" s="1594"/>
      <c r="Y316" s="1594"/>
      <c r="Z316" s="1594"/>
    </row>
    <row r="317" ht="12.75" customHeight="1">
      <c r="A317" s="1594"/>
      <c r="B317" s="1594"/>
      <c r="C317" s="1594"/>
      <c r="D317" s="1594"/>
      <c r="E317" s="1594"/>
      <c r="F317" s="1594"/>
      <c r="G317" s="1594"/>
      <c r="H317" s="1594"/>
      <c r="I317" s="1594"/>
      <c r="J317" s="1594"/>
      <c r="K317" s="1594"/>
      <c r="L317" s="1594"/>
      <c r="M317" s="1594"/>
      <c r="N317" s="1594"/>
      <c r="O317" s="1594"/>
      <c r="P317" s="1594"/>
      <c r="Q317" s="1594"/>
      <c r="R317" s="1594"/>
      <c r="S317" s="1594"/>
      <c r="T317" s="1594"/>
      <c r="U317" s="1594"/>
      <c r="V317" s="1594"/>
      <c r="W317" s="1594"/>
      <c r="X317" s="1594"/>
      <c r="Y317" s="1594"/>
      <c r="Z317" s="1594"/>
    </row>
    <row r="318" ht="12.75" customHeight="1">
      <c r="A318" s="1594"/>
      <c r="B318" s="1594"/>
      <c r="C318" s="1594"/>
      <c r="D318" s="1594"/>
      <c r="E318" s="1594"/>
      <c r="F318" s="1594"/>
      <c r="G318" s="1594"/>
      <c r="H318" s="1594"/>
      <c r="I318" s="1594"/>
      <c r="J318" s="1594"/>
      <c r="K318" s="1594"/>
      <c r="L318" s="1594"/>
      <c r="M318" s="1594"/>
      <c r="N318" s="1594"/>
      <c r="O318" s="1594"/>
      <c r="P318" s="1594"/>
      <c r="Q318" s="1594"/>
      <c r="R318" s="1594"/>
      <c r="S318" s="1594"/>
      <c r="T318" s="1594"/>
      <c r="U318" s="1594"/>
      <c r="V318" s="1594"/>
      <c r="W318" s="1594"/>
      <c r="X318" s="1594"/>
      <c r="Y318" s="1594"/>
      <c r="Z318" s="1594"/>
    </row>
    <row r="319" ht="12.75" customHeight="1">
      <c r="A319" s="1594"/>
      <c r="B319" s="1594"/>
      <c r="C319" s="1594"/>
      <c r="D319" s="1594"/>
      <c r="E319" s="1594"/>
      <c r="F319" s="1594"/>
      <c r="G319" s="1594"/>
      <c r="H319" s="1594"/>
      <c r="I319" s="1594"/>
      <c r="J319" s="1594"/>
      <c r="K319" s="1594"/>
      <c r="L319" s="1594"/>
      <c r="M319" s="1594"/>
      <c r="N319" s="1594"/>
      <c r="O319" s="1594"/>
      <c r="P319" s="1594"/>
      <c r="Q319" s="1594"/>
      <c r="R319" s="1594"/>
      <c r="S319" s="1594"/>
      <c r="T319" s="1594"/>
      <c r="U319" s="1594"/>
      <c r="V319" s="1594"/>
      <c r="W319" s="1594"/>
      <c r="X319" s="1594"/>
      <c r="Y319" s="1594"/>
      <c r="Z319" s="1594"/>
    </row>
    <row r="320" ht="12.75" customHeight="1">
      <c r="A320" s="1594"/>
      <c r="B320" s="1594"/>
      <c r="C320" s="1594"/>
      <c r="D320" s="1594"/>
      <c r="E320" s="1594"/>
      <c r="F320" s="1594"/>
      <c r="G320" s="1594"/>
      <c r="H320" s="1594"/>
      <c r="I320" s="1594"/>
      <c r="J320" s="1594"/>
      <c r="K320" s="1594"/>
      <c r="L320" s="1594"/>
      <c r="M320" s="1594"/>
      <c r="N320" s="1594"/>
      <c r="O320" s="1594"/>
      <c r="P320" s="1594"/>
      <c r="Q320" s="1594"/>
      <c r="R320" s="1594"/>
      <c r="S320" s="1594"/>
      <c r="T320" s="1594"/>
      <c r="U320" s="1594"/>
      <c r="V320" s="1594"/>
      <c r="W320" s="1594"/>
      <c r="X320" s="1594"/>
      <c r="Y320" s="1594"/>
      <c r="Z320" s="1594"/>
    </row>
    <row r="321" ht="12.75" customHeight="1">
      <c r="A321" s="1594"/>
      <c r="B321" s="1594"/>
      <c r="C321" s="1594"/>
      <c r="D321" s="1594"/>
      <c r="E321" s="1594"/>
      <c r="F321" s="1594"/>
      <c r="G321" s="1594"/>
      <c r="H321" s="1594"/>
      <c r="I321" s="1594"/>
      <c r="J321" s="1594"/>
      <c r="K321" s="1594"/>
      <c r="L321" s="1594"/>
      <c r="M321" s="1594"/>
      <c r="N321" s="1594"/>
      <c r="O321" s="1594"/>
      <c r="P321" s="1594"/>
      <c r="Q321" s="1594"/>
      <c r="R321" s="1594"/>
      <c r="S321" s="1594"/>
      <c r="T321" s="1594"/>
      <c r="U321" s="1594"/>
      <c r="V321" s="1594"/>
      <c r="W321" s="1594"/>
      <c r="X321" s="1594"/>
      <c r="Y321" s="1594"/>
      <c r="Z321" s="1594"/>
    </row>
    <row r="322" ht="12.75" customHeight="1">
      <c r="A322" s="1594"/>
      <c r="B322" s="1594"/>
      <c r="C322" s="1594"/>
      <c r="D322" s="1594"/>
      <c r="E322" s="1594"/>
      <c r="F322" s="1594"/>
      <c r="G322" s="1594"/>
      <c r="H322" s="1594"/>
      <c r="I322" s="1594"/>
      <c r="J322" s="1594"/>
      <c r="K322" s="1594"/>
      <c r="L322" s="1594"/>
      <c r="M322" s="1594"/>
      <c r="N322" s="1594"/>
      <c r="O322" s="1594"/>
      <c r="P322" s="1594"/>
      <c r="Q322" s="1594"/>
      <c r="R322" s="1594"/>
      <c r="S322" s="1594"/>
      <c r="T322" s="1594"/>
      <c r="U322" s="1594"/>
      <c r="V322" s="1594"/>
      <c r="W322" s="1594"/>
      <c r="X322" s="1594"/>
      <c r="Y322" s="1594"/>
      <c r="Z322" s="1594"/>
    </row>
    <row r="323" ht="12.75" customHeight="1">
      <c r="A323" s="1594"/>
      <c r="B323" s="1594"/>
      <c r="C323" s="1594"/>
      <c r="D323" s="1594"/>
      <c r="E323" s="1594"/>
      <c r="F323" s="1594"/>
      <c r="G323" s="1594"/>
      <c r="H323" s="1594"/>
      <c r="I323" s="1594"/>
      <c r="J323" s="1594"/>
      <c r="K323" s="1594"/>
      <c r="L323" s="1594"/>
      <c r="M323" s="1594"/>
      <c r="N323" s="1594"/>
      <c r="O323" s="1594"/>
      <c r="P323" s="1594"/>
      <c r="Q323" s="1594"/>
      <c r="R323" s="1594"/>
      <c r="S323" s="1594"/>
      <c r="T323" s="1594"/>
      <c r="U323" s="1594"/>
      <c r="V323" s="1594"/>
      <c r="W323" s="1594"/>
      <c r="X323" s="1594"/>
      <c r="Y323" s="1594"/>
      <c r="Z323" s="1594"/>
    </row>
    <row r="324" ht="12.75" customHeight="1">
      <c r="A324" s="1594"/>
      <c r="B324" s="1594"/>
      <c r="C324" s="1594"/>
      <c r="D324" s="1594"/>
      <c r="E324" s="1594"/>
      <c r="F324" s="1594"/>
      <c r="G324" s="1594"/>
      <c r="H324" s="1594"/>
      <c r="I324" s="1594"/>
      <c r="J324" s="1594"/>
      <c r="K324" s="1594"/>
      <c r="L324" s="1594"/>
      <c r="M324" s="1594"/>
      <c r="N324" s="1594"/>
      <c r="O324" s="1594"/>
      <c r="P324" s="1594"/>
      <c r="Q324" s="1594"/>
      <c r="R324" s="1594"/>
      <c r="S324" s="1594"/>
      <c r="T324" s="1594"/>
      <c r="U324" s="1594"/>
      <c r="V324" s="1594"/>
      <c r="W324" s="1594"/>
      <c r="X324" s="1594"/>
      <c r="Y324" s="1594"/>
      <c r="Z324" s="1594"/>
    </row>
    <row r="325" ht="12.75" customHeight="1">
      <c r="A325" s="1594"/>
      <c r="B325" s="1594"/>
      <c r="C325" s="1594"/>
      <c r="D325" s="1594"/>
      <c r="E325" s="1594"/>
      <c r="F325" s="1594"/>
      <c r="G325" s="1594"/>
      <c r="H325" s="1594"/>
      <c r="I325" s="1594"/>
      <c r="J325" s="1594"/>
      <c r="K325" s="1594"/>
      <c r="L325" s="1594"/>
      <c r="M325" s="1594"/>
      <c r="N325" s="1594"/>
      <c r="O325" s="1594"/>
      <c r="P325" s="1594"/>
      <c r="Q325" s="1594"/>
      <c r="R325" s="1594"/>
      <c r="S325" s="1594"/>
      <c r="T325" s="1594"/>
      <c r="U325" s="1594"/>
      <c r="V325" s="1594"/>
      <c r="W325" s="1594"/>
      <c r="X325" s="1594"/>
      <c r="Y325" s="1594"/>
      <c r="Z325" s="1594"/>
    </row>
    <row r="326" ht="12.75" customHeight="1">
      <c r="A326" s="1594"/>
      <c r="B326" s="1594"/>
      <c r="C326" s="1594"/>
      <c r="D326" s="1594"/>
      <c r="E326" s="1594"/>
      <c r="F326" s="1594"/>
      <c r="G326" s="1594"/>
      <c r="H326" s="1594"/>
      <c r="I326" s="1594"/>
      <c r="J326" s="1594"/>
      <c r="K326" s="1594"/>
      <c r="L326" s="1594"/>
      <c r="M326" s="1594"/>
      <c r="N326" s="1594"/>
      <c r="O326" s="1594"/>
      <c r="P326" s="1594"/>
      <c r="Q326" s="1594"/>
      <c r="R326" s="1594"/>
      <c r="S326" s="1594"/>
      <c r="T326" s="1594"/>
      <c r="U326" s="1594"/>
      <c r="V326" s="1594"/>
      <c r="W326" s="1594"/>
      <c r="X326" s="1594"/>
      <c r="Y326" s="1594"/>
      <c r="Z326" s="1594"/>
    </row>
    <row r="327" ht="12.75" customHeight="1">
      <c r="A327" s="1594"/>
      <c r="B327" s="1594"/>
      <c r="C327" s="1594"/>
      <c r="D327" s="1594"/>
      <c r="E327" s="1594"/>
      <c r="F327" s="1594"/>
      <c r="G327" s="1594"/>
      <c r="H327" s="1594"/>
      <c r="I327" s="1594"/>
      <c r="J327" s="1594"/>
      <c r="K327" s="1594"/>
      <c r="L327" s="1594"/>
      <c r="M327" s="1594"/>
      <c r="N327" s="1594"/>
      <c r="O327" s="1594"/>
      <c r="P327" s="1594"/>
      <c r="Q327" s="1594"/>
      <c r="R327" s="1594"/>
      <c r="S327" s="1594"/>
      <c r="T327" s="1594"/>
      <c r="U327" s="1594"/>
      <c r="V327" s="1594"/>
      <c r="W327" s="1594"/>
      <c r="X327" s="1594"/>
      <c r="Y327" s="1594"/>
      <c r="Z327" s="1594"/>
    </row>
    <row r="328" ht="12.75" customHeight="1">
      <c r="A328" s="1594"/>
      <c r="B328" s="1594"/>
      <c r="C328" s="1594"/>
      <c r="D328" s="1594"/>
      <c r="E328" s="1594"/>
      <c r="F328" s="1594"/>
      <c r="G328" s="1594"/>
      <c r="H328" s="1594"/>
      <c r="I328" s="1594"/>
      <c r="J328" s="1594"/>
      <c r="K328" s="1594"/>
      <c r="L328" s="1594"/>
      <c r="M328" s="1594"/>
      <c r="N328" s="1594"/>
      <c r="O328" s="1594"/>
      <c r="P328" s="1594"/>
      <c r="Q328" s="1594"/>
      <c r="R328" s="1594"/>
      <c r="S328" s="1594"/>
      <c r="T328" s="1594"/>
      <c r="U328" s="1594"/>
      <c r="V328" s="1594"/>
      <c r="W328" s="1594"/>
      <c r="X328" s="1594"/>
      <c r="Y328" s="1594"/>
      <c r="Z328" s="1594"/>
    </row>
    <row r="329" ht="12.75" customHeight="1">
      <c r="A329" s="1594"/>
      <c r="B329" s="1594"/>
      <c r="C329" s="1594"/>
      <c r="D329" s="1594"/>
      <c r="E329" s="1594"/>
      <c r="F329" s="1594"/>
      <c r="G329" s="1594"/>
      <c r="H329" s="1594"/>
      <c r="I329" s="1594"/>
      <c r="J329" s="1594"/>
      <c r="K329" s="1594"/>
      <c r="L329" s="1594"/>
      <c r="M329" s="1594"/>
      <c r="N329" s="1594"/>
      <c r="O329" s="1594"/>
      <c r="P329" s="1594"/>
      <c r="Q329" s="1594"/>
      <c r="R329" s="1594"/>
      <c r="S329" s="1594"/>
      <c r="T329" s="1594"/>
      <c r="U329" s="1594"/>
      <c r="V329" s="1594"/>
      <c r="W329" s="1594"/>
      <c r="X329" s="1594"/>
      <c r="Y329" s="1594"/>
      <c r="Z329" s="1594"/>
    </row>
    <row r="330" ht="12.75" customHeight="1">
      <c r="A330" s="1594"/>
      <c r="B330" s="1594"/>
      <c r="C330" s="1594"/>
      <c r="D330" s="1594"/>
      <c r="E330" s="1594"/>
      <c r="F330" s="1594"/>
      <c r="G330" s="1594"/>
      <c r="H330" s="1594"/>
      <c r="I330" s="1594"/>
      <c r="J330" s="1594"/>
      <c r="K330" s="1594"/>
      <c r="L330" s="1594"/>
      <c r="M330" s="1594"/>
      <c r="N330" s="1594"/>
      <c r="O330" s="1594"/>
      <c r="P330" s="1594"/>
      <c r="Q330" s="1594"/>
      <c r="R330" s="1594"/>
      <c r="S330" s="1594"/>
      <c r="T330" s="1594"/>
      <c r="U330" s="1594"/>
      <c r="V330" s="1594"/>
      <c r="W330" s="1594"/>
      <c r="X330" s="1594"/>
      <c r="Y330" s="1594"/>
      <c r="Z330" s="1594"/>
    </row>
    <row r="331" ht="12.75" customHeight="1">
      <c r="A331" s="1594"/>
      <c r="B331" s="1594"/>
      <c r="C331" s="1594"/>
      <c r="D331" s="1594"/>
      <c r="E331" s="1594"/>
      <c r="F331" s="1594"/>
      <c r="G331" s="1594"/>
      <c r="H331" s="1594"/>
      <c r="I331" s="1594"/>
      <c r="J331" s="1594"/>
      <c r="K331" s="1594"/>
      <c r="L331" s="1594"/>
      <c r="M331" s="1594"/>
      <c r="N331" s="1594"/>
      <c r="O331" s="1594"/>
      <c r="P331" s="1594"/>
      <c r="Q331" s="1594"/>
      <c r="R331" s="1594"/>
      <c r="S331" s="1594"/>
      <c r="T331" s="1594"/>
      <c r="U331" s="1594"/>
      <c r="V331" s="1594"/>
      <c r="W331" s="1594"/>
      <c r="X331" s="1594"/>
      <c r="Y331" s="1594"/>
      <c r="Z331" s="1594"/>
    </row>
    <row r="332" ht="12.75" customHeight="1">
      <c r="A332" s="1594"/>
      <c r="B332" s="1594"/>
      <c r="C332" s="1594"/>
      <c r="D332" s="1594"/>
      <c r="E332" s="1594"/>
      <c r="F332" s="1594"/>
      <c r="G332" s="1594"/>
      <c r="H332" s="1594"/>
      <c r="I332" s="1594"/>
      <c r="J332" s="1594"/>
      <c r="K332" s="1594"/>
      <c r="L332" s="1594"/>
      <c r="M332" s="1594"/>
      <c r="N332" s="1594"/>
      <c r="O332" s="1594"/>
      <c r="P332" s="1594"/>
      <c r="Q332" s="1594"/>
      <c r="R332" s="1594"/>
      <c r="S332" s="1594"/>
      <c r="T332" s="1594"/>
      <c r="U332" s="1594"/>
      <c r="V332" s="1594"/>
      <c r="W332" s="1594"/>
      <c r="X332" s="1594"/>
      <c r="Y332" s="1594"/>
      <c r="Z332" s="1594"/>
    </row>
    <row r="333" ht="12.75" customHeight="1">
      <c r="A333" s="1594"/>
      <c r="B333" s="1594"/>
      <c r="C333" s="1594"/>
      <c r="D333" s="1594"/>
      <c r="E333" s="1594"/>
      <c r="F333" s="1594"/>
      <c r="G333" s="1594"/>
      <c r="H333" s="1594"/>
      <c r="I333" s="1594"/>
      <c r="J333" s="1594"/>
      <c r="K333" s="1594"/>
      <c r="L333" s="1594"/>
      <c r="M333" s="1594"/>
      <c r="N333" s="1594"/>
      <c r="O333" s="1594"/>
      <c r="P333" s="1594"/>
      <c r="Q333" s="1594"/>
      <c r="R333" s="1594"/>
      <c r="S333" s="1594"/>
      <c r="T333" s="1594"/>
      <c r="U333" s="1594"/>
      <c r="V333" s="1594"/>
      <c r="W333" s="1594"/>
      <c r="X333" s="1594"/>
      <c r="Y333" s="1594"/>
      <c r="Z333" s="1594"/>
    </row>
    <row r="334" ht="12.75" customHeight="1">
      <c r="A334" s="1594"/>
      <c r="B334" s="1594"/>
      <c r="C334" s="1594"/>
      <c r="D334" s="1594"/>
      <c r="E334" s="1594"/>
      <c r="F334" s="1594"/>
      <c r="G334" s="1594"/>
      <c r="H334" s="1594"/>
      <c r="I334" s="1594"/>
      <c r="J334" s="1594"/>
      <c r="K334" s="1594"/>
      <c r="L334" s="1594"/>
      <c r="M334" s="1594"/>
      <c r="N334" s="1594"/>
      <c r="O334" s="1594"/>
      <c r="P334" s="1594"/>
      <c r="Q334" s="1594"/>
      <c r="R334" s="1594"/>
      <c r="S334" s="1594"/>
      <c r="T334" s="1594"/>
      <c r="U334" s="1594"/>
      <c r="V334" s="1594"/>
      <c r="W334" s="1594"/>
      <c r="X334" s="1594"/>
      <c r="Y334" s="1594"/>
      <c r="Z334" s="1594"/>
    </row>
    <row r="335" ht="12.75" customHeight="1">
      <c r="A335" s="1594"/>
      <c r="B335" s="1594"/>
      <c r="C335" s="1594"/>
      <c r="D335" s="1594"/>
      <c r="E335" s="1594"/>
      <c r="F335" s="1594"/>
      <c r="G335" s="1594"/>
      <c r="H335" s="1594"/>
      <c r="I335" s="1594"/>
      <c r="J335" s="1594"/>
      <c r="K335" s="1594"/>
      <c r="L335" s="1594"/>
      <c r="M335" s="1594"/>
      <c r="N335" s="1594"/>
      <c r="O335" s="1594"/>
      <c r="P335" s="1594"/>
      <c r="Q335" s="1594"/>
      <c r="R335" s="1594"/>
      <c r="S335" s="1594"/>
      <c r="T335" s="1594"/>
      <c r="U335" s="1594"/>
      <c r="V335" s="1594"/>
      <c r="W335" s="1594"/>
      <c r="X335" s="1594"/>
      <c r="Y335" s="1594"/>
      <c r="Z335" s="1594"/>
    </row>
    <row r="336" ht="12.75" customHeight="1">
      <c r="A336" s="1594"/>
      <c r="B336" s="1594"/>
      <c r="C336" s="1594"/>
      <c r="D336" s="1594"/>
      <c r="E336" s="1594"/>
      <c r="F336" s="1594"/>
      <c r="G336" s="1594"/>
      <c r="H336" s="1594"/>
      <c r="I336" s="1594"/>
      <c r="J336" s="1594"/>
      <c r="K336" s="1594"/>
      <c r="L336" s="1594"/>
      <c r="M336" s="1594"/>
      <c r="N336" s="1594"/>
      <c r="O336" s="1594"/>
      <c r="P336" s="1594"/>
      <c r="Q336" s="1594"/>
      <c r="R336" s="1594"/>
      <c r="S336" s="1594"/>
      <c r="T336" s="1594"/>
      <c r="U336" s="1594"/>
      <c r="V336" s="1594"/>
      <c r="W336" s="1594"/>
      <c r="X336" s="1594"/>
      <c r="Y336" s="1594"/>
      <c r="Z336" s="1594"/>
    </row>
    <row r="337" ht="12.75" customHeight="1">
      <c r="A337" s="1594"/>
      <c r="B337" s="1594"/>
      <c r="C337" s="1594"/>
      <c r="D337" s="1594"/>
      <c r="E337" s="1594"/>
      <c r="F337" s="1594"/>
      <c r="G337" s="1594"/>
      <c r="H337" s="1594"/>
      <c r="I337" s="1594"/>
      <c r="J337" s="1594"/>
      <c r="K337" s="1594"/>
      <c r="L337" s="1594"/>
      <c r="M337" s="1594"/>
      <c r="N337" s="1594"/>
      <c r="O337" s="1594"/>
      <c r="P337" s="1594"/>
      <c r="Q337" s="1594"/>
      <c r="R337" s="1594"/>
      <c r="S337" s="1594"/>
      <c r="T337" s="1594"/>
      <c r="U337" s="1594"/>
      <c r="V337" s="1594"/>
      <c r="W337" s="1594"/>
      <c r="X337" s="1594"/>
      <c r="Y337" s="1594"/>
      <c r="Z337" s="1594"/>
    </row>
    <row r="338" ht="12.75" customHeight="1">
      <c r="A338" s="1594"/>
      <c r="B338" s="1594"/>
      <c r="C338" s="1594"/>
      <c r="D338" s="1594"/>
      <c r="E338" s="1594"/>
      <c r="F338" s="1594"/>
      <c r="G338" s="1594"/>
      <c r="H338" s="1594"/>
      <c r="I338" s="1594"/>
      <c r="J338" s="1594"/>
      <c r="K338" s="1594"/>
      <c r="L338" s="1594"/>
      <c r="M338" s="1594"/>
      <c r="N338" s="1594"/>
      <c r="O338" s="1594"/>
      <c r="P338" s="1594"/>
      <c r="Q338" s="1594"/>
      <c r="R338" s="1594"/>
      <c r="S338" s="1594"/>
      <c r="T338" s="1594"/>
      <c r="U338" s="1594"/>
      <c r="V338" s="1594"/>
      <c r="W338" s="1594"/>
      <c r="X338" s="1594"/>
      <c r="Y338" s="1594"/>
      <c r="Z338" s="1594"/>
    </row>
    <row r="339" ht="12.75" customHeight="1">
      <c r="A339" s="1594"/>
      <c r="B339" s="1594"/>
      <c r="C339" s="1594"/>
      <c r="D339" s="1594"/>
      <c r="E339" s="1594"/>
      <c r="F339" s="1594"/>
      <c r="G339" s="1594"/>
      <c r="H339" s="1594"/>
      <c r="I339" s="1594"/>
      <c r="J339" s="1594"/>
      <c r="K339" s="1594"/>
      <c r="L339" s="1594"/>
      <c r="M339" s="1594"/>
      <c r="N339" s="1594"/>
      <c r="O339" s="1594"/>
      <c r="P339" s="1594"/>
      <c r="Q339" s="1594"/>
      <c r="R339" s="1594"/>
      <c r="S339" s="1594"/>
      <c r="T339" s="1594"/>
      <c r="U339" s="1594"/>
      <c r="V339" s="1594"/>
      <c r="W339" s="1594"/>
      <c r="X339" s="1594"/>
      <c r="Y339" s="1594"/>
      <c r="Z339" s="1594"/>
    </row>
    <row r="340" ht="12.75" customHeight="1">
      <c r="A340" s="1594"/>
      <c r="B340" s="1594"/>
      <c r="C340" s="1594"/>
      <c r="D340" s="1594"/>
      <c r="E340" s="1594"/>
      <c r="F340" s="1594"/>
      <c r="G340" s="1594"/>
      <c r="H340" s="1594"/>
      <c r="I340" s="1594"/>
      <c r="J340" s="1594"/>
      <c r="K340" s="1594"/>
      <c r="L340" s="1594"/>
      <c r="M340" s="1594"/>
      <c r="N340" s="1594"/>
      <c r="O340" s="1594"/>
      <c r="P340" s="1594"/>
      <c r="Q340" s="1594"/>
      <c r="R340" s="1594"/>
      <c r="S340" s="1594"/>
      <c r="T340" s="1594"/>
      <c r="U340" s="1594"/>
      <c r="V340" s="1594"/>
      <c r="W340" s="1594"/>
      <c r="X340" s="1594"/>
      <c r="Y340" s="1594"/>
      <c r="Z340" s="1594"/>
    </row>
    <row r="341" ht="12.75" customHeight="1">
      <c r="A341" s="1594"/>
      <c r="B341" s="1594"/>
      <c r="C341" s="1594"/>
      <c r="D341" s="1594"/>
      <c r="E341" s="1594"/>
      <c r="F341" s="1594"/>
      <c r="G341" s="1594"/>
      <c r="H341" s="1594"/>
      <c r="I341" s="1594"/>
      <c r="J341" s="1594"/>
      <c r="K341" s="1594"/>
      <c r="L341" s="1594"/>
      <c r="M341" s="1594"/>
      <c r="N341" s="1594"/>
      <c r="O341" s="1594"/>
      <c r="P341" s="1594"/>
      <c r="Q341" s="1594"/>
      <c r="R341" s="1594"/>
      <c r="S341" s="1594"/>
      <c r="T341" s="1594"/>
      <c r="U341" s="1594"/>
      <c r="V341" s="1594"/>
      <c r="W341" s="1594"/>
      <c r="X341" s="1594"/>
      <c r="Y341" s="1594"/>
      <c r="Z341" s="1594"/>
    </row>
    <row r="342" ht="12.75" customHeight="1">
      <c r="A342" s="1594"/>
      <c r="B342" s="1594"/>
      <c r="C342" s="1594"/>
      <c r="D342" s="1594"/>
      <c r="E342" s="1594"/>
      <c r="F342" s="1594"/>
      <c r="G342" s="1594"/>
      <c r="H342" s="1594"/>
      <c r="I342" s="1594"/>
      <c r="J342" s="1594"/>
      <c r="K342" s="1594"/>
      <c r="L342" s="1594"/>
      <c r="M342" s="1594"/>
      <c r="N342" s="1594"/>
      <c r="O342" s="1594"/>
      <c r="P342" s="1594"/>
      <c r="Q342" s="1594"/>
      <c r="R342" s="1594"/>
      <c r="S342" s="1594"/>
      <c r="T342" s="1594"/>
      <c r="U342" s="1594"/>
      <c r="V342" s="1594"/>
      <c r="W342" s="1594"/>
      <c r="X342" s="1594"/>
      <c r="Y342" s="1594"/>
      <c r="Z342" s="1594"/>
    </row>
    <row r="343" ht="12.75" customHeight="1">
      <c r="A343" s="1594"/>
      <c r="B343" s="1594"/>
      <c r="C343" s="1594"/>
      <c r="D343" s="1594"/>
      <c r="E343" s="1594"/>
      <c r="F343" s="1594"/>
      <c r="G343" s="1594"/>
      <c r="H343" s="1594"/>
      <c r="I343" s="1594"/>
      <c r="J343" s="1594"/>
      <c r="K343" s="1594"/>
      <c r="L343" s="1594"/>
      <c r="M343" s="1594"/>
      <c r="N343" s="1594"/>
      <c r="O343" s="1594"/>
      <c r="P343" s="1594"/>
      <c r="Q343" s="1594"/>
      <c r="R343" s="1594"/>
      <c r="S343" s="1594"/>
      <c r="T343" s="1594"/>
      <c r="U343" s="1594"/>
      <c r="V343" s="1594"/>
      <c r="W343" s="1594"/>
      <c r="X343" s="1594"/>
      <c r="Y343" s="1594"/>
      <c r="Z343" s="1594"/>
    </row>
    <row r="344" ht="12.75" customHeight="1">
      <c r="A344" s="1594"/>
      <c r="B344" s="1594"/>
      <c r="C344" s="1594"/>
      <c r="D344" s="1594"/>
      <c r="E344" s="1594"/>
      <c r="F344" s="1594"/>
      <c r="G344" s="1594"/>
      <c r="H344" s="1594"/>
      <c r="I344" s="1594"/>
      <c r="J344" s="1594"/>
      <c r="K344" s="1594"/>
      <c r="L344" s="1594"/>
      <c r="M344" s="1594"/>
      <c r="N344" s="1594"/>
      <c r="O344" s="1594"/>
      <c r="P344" s="1594"/>
      <c r="Q344" s="1594"/>
      <c r="R344" s="1594"/>
      <c r="S344" s="1594"/>
      <c r="T344" s="1594"/>
      <c r="U344" s="1594"/>
      <c r="V344" s="1594"/>
      <c r="W344" s="1594"/>
      <c r="X344" s="1594"/>
      <c r="Y344" s="1594"/>
      <c r="Z344" s="1594"/>
    </row>
    <row r="345" ht="12.75" customHeight="1">
      <c r="A345" s="1594"/>
      <c r="B345" s="1594"/>
      <c r="C345" s="1594"/>
      <c r="D345" s="1594"/>
      <c r="E345" s="1594"/>
      <c r="F345" s="1594"/>
      <c r="G345" s="1594"/>
      <c r="H345" s="1594"/>
      <c r="I345" s="1594"/>
      <c r="J345" s="1594"/>
      <c r="K345" s="1594"/>
      <c r="L345" s="1594"/>
      <c r="M345" s="1594"/>
      <c r="N345" s="1594"/>
      <c r="O345" s="1594"/>
      <c r="P345" s="1594"/>
      <c r="Q345" s="1594"/>
      <c r="R345" s="1594"/>
      <c r="S345" s="1594"/>
      <c r="T345" s="1594"/>
      <c r="U345" s="1594"/>
      <c r="V345" s="1594"/>
      <c r="W345" s="1594"/>
      <c r="X345" s="1594"/>
      <c r="Y345" s="1594"/>
      <c r="Z345" s="1594"/>
    </row>
    <row r="346" ht="12.75" customHeight="1">
      <c r="A346" s="1594"/>
      <c r="B346" s="1594"/>
      <c r="C346" s="1594"/>
      <c r="D346" s="1594"/>
      <c r="E346" s="1594"/>
      <c r="F346" s="1594"/>
      <c r="G346" s="1594"/>
      <c r="H346" s="1594"/>
      <c r="I346" s="1594"/>
      <c r="J346" s="1594"/>
      <c r="K346" s="1594"/>
      <c r="L346" s="1594"/>
      <c r="M346" s="1594"/>
      <c r="N346" s="1594"/>
      <c r="O346" s="1594"/>
      <c r="P346" s="1594"/>
      <c r="Q346" s="1594"/>
      <c r="R346" s="1594"/>
      <c r="S346" s="1594"/>
      <c r="T346" s="1594"/>
      <c r="U346" s="1594"/>
      <c r="V346" s="1594"/>
      <c r="W346" s="1594"/>
      <c r="X346" s="1594"/>
      <c r="Y346" s="1594"/>
      <c r="Z346" s="1594"/>
    </row>
    <row r="347" ht="12.75" customHeight="1">
      <c r="A347" s="1594"/>
      <c r="B347" s="1594"/>
      <c r="C347" s="1594"/>
      <c r="D347" s="1594"/>
      <c r="E347" s="1594"/>
      <c r="F347" s="1594"/>
      <c r="G347" s="1594"/>
      <c r="H347" s="1594"/>
      <c r="I347" s="1594"/>
      <c r="J347" s="1594"/>
      <c r="K347" s="1594"/>
      <c r="L347" s="1594"/>
      <c r="M347" s="1594"/>
      <c r="N347" s="1594"/>
      <c r="O347" s="1594"/>
      <c r="P347" s="1594"/>
      <c r="Q347" s="1594"/>
      <c r="R347" s="1594"/>
      <c r="S347" s="1594"/>
      <c r="T347" s="1594"/>
      <c r="U347" s="1594"/>
      <c r="V347" s="1594"/>
      <c r="W347" s="1594"/>
      <c r="X347" s="1594"/>
      <c r="Y347" s="1594"/>
      <c r="Z347" s="1594"/>
    </row>
    <row r="348" ht="12.75" customHeight="1">
      <c r="A348" s="1594"/>
      <c r="B348" s="1594"/>
      <c r="C348" s="1594"/>
      <c r="D348" s="1594"/>
      <c r="E348" s="1594"/>
      <c r="F348" s="1594"/>
      <c r="G348" s="1594"/>
      <c r="H348" s="1594"/>
      <c r="I348" s="1594"/>
      <c r="J348" s="1594"/>
      <c r="K348" s="1594"/>
      <c r="L348" s="1594"/>
      <c r="M348" s="1594"/>
      <c r="N348" s="1594"/>
      <c r="O348" s="1594"/>
      <c r="P348" s="1594"/>
      <c r="Q348" s="1594"/>
      <c r="R348" s="1594"/>
      <c r="S348" s="1594"/>
      <c r="T348" s="1594"/>
      <c r="U348" s="1594"/>
      <c r="V348" s="1594"/>
      <c r="W348" s="1594"/>
      <c r="X348" s="1594"/>
      <c r="Y348" s="1594"/>
      <c r="Z348" s="1594"/>
    </row>
    <row r="349" ht="12.75" customHeight="1">
      <c r="A349" s="1594"/>
      <c r="B349" s="1594"/>
      <c r="C349" s="1594"/>
      <c r="D349" s="1594"/>
      <c r="E349" s="1594"/>
      <c r="F349" s="1594"/>
      <c r="G349" s="1594"/>
      <c r="H349" s="1594"/>
      <c r="I349" s="1594"/>
      <c r="J349" s="1594"/>
      <c r="K349" s="1594"/>
      <c r="L349" s="1594"/>
      <c r="M349" s="1594"/>
      <c r="N349" s="1594"/>
      <c r="O349" s="1594"/>
      <c r="P349" s="1594"/>
      <c r="Q349" s="1594"/>
      <c r="R349" s="1594"/>
      <c r="S349" s="1594"/>
      <c r="T349" s="1594"/>
      <c r="U349" s="1594"/>
      <c r="V349" s="1594"/>
      <c r="W349" s="1594"/>
      <c r="X349" s="1594"/>
      <c r="Y349" s="1594"/>
      <c r="Z349" s="1594"/>
    </row>
    <row r="350" ht="12.75" customHeight="1">
      <c r="A350" s="1594"/>
      <c r="B350" s="1594"/>
      <c r="C350" s="1594"/>
      <c r="D350" s="1594"/>
      <c r="E350" s="1594"/>
      <c r="F350" s="1594"/>
      <c r="G350" s="1594"/>
      <c r="H350" s="1594"/>
      <c r="I350" s="1594"/>
      <c r="J350" s="1594"/>
      <c r="K350" s="1594"/>
      <c r="L350" s="1594"/>
      <c r="M350" s="1594"/>
      <c r="N350" s="1594"/>
      <c r="O350" s="1594"/>
      <c r="P350" s="1594"/>
      <c r="Q350" s="1594"/>
      <c r="R350" s="1594"/>
      <c r="S350" s="1594"/>
      <c r="T350" s="1594"/>
      <c r="U350" s="1594"/>
      <c r="V350" s="1594"/>
      <c r="W350" s="1594"/>
      <c r="X350" s="1594"/>
      <c r="Y350" s="1594"/>
      <c r="Z350" s="1594"/>
    </row>
    <row r="351" ht="12.75" customHeight="1">
      <c r="A351" s="1594"/>
      <c r="B351" s="1594"/>
      <c r="C351" s="1594"/>
      <c r="D351" s="1594"/>
      <c r="E351" s="1594"/>
      <c r="F351" s="1594"/>
      <c r="G351" s="1594"/>
      <c r="H351" s="1594"/>
      <c r="I351" s="1594"/>
      <c r="J351" s="1594"/>
      <c r="K351" s="1594"/>
      <c r="L351" s="1594"/>
      <c r="M351" s="1594"/>
      <c r="N351" s="1594"/>
      <c r="O351" s="1594"/>
      <c r="P351" s="1594"/>
      <c r="Q351" s="1594"/>
      <c r="R351" s="1594"/>
      <c r="S351" s="1594"/>
      <c r="T351" s="1594"/>
      <c r="U351" s="1594"/>
      <c r="V351" s="1594"/>
      <c r="W351" s="1594"/>
      <c r="X351" s="1594"/>
      <c r="Y351" s="1594"/>
      <c r="Z351" s="1594"/>
    </row>
    <row r="352" ht="12.75" customHeight="1">
      <c r="A352" s="1594"/>
      <c r="B352" s="1594"/>
      <c r="C352" s="1594"/>
      <c r="D352" s="1594"/>
      <c r="E352" s="1594"/>
      <c r="F352" s="1594"/>
      <c r="G352" s="1594"/>
      <c r="H352" s="1594"/>
      <c r="I352" s="1594"/>
      <c r="J352" s="1594"/>
      <c r="K352" s="1594"/>
      <c r="L352" s="1594"/>
      <c r="M352" s="1594"/>
      <c r="N352" s="1594"/>
      <c r="O352" s="1594"/>
      <c r="P352" s="1594"/>
      <c r="Q352" s="1594"/>
      <c r="R352" s="1594"/>
      <c r="S352" s="1594"/>
      <c r="T352" s="1594"/>
      <c r="U352" s="1594"/>
      <c r="V352" s="1594"/>
      <c r="W352" s="1594"/>
      <c r="X352" s="1594"/>
      <c r="Y352" s="1594"/>
      <c r="Z352" s="1594"/>
    </row>
    <row r="353" ht="12.75" customHeight="1">
      <c r="A353" s="1594"/>
      <c r="B353" s="1594"/>
      <c r="C353" s="1594"/>
      <c r="D353" s="1594"/>
      <c r="E353" s="1594"/>
      <c r="F353" s="1594"/>
      <c r="G353" s="1594"/>
      <c r="H353" s="1594"/>
      <c r="I353" s="1594"/>
      <c r="J353" s="1594"/>
      <c r="K353" s="1594"/>
      <c r="L353" s="1594"/>
      <c r="M353" s="1594"/>
      <c r="N353" s="1594"/>
      <c r="O353" s="1594"/>
      <c r="P353" s="1594"/>
      <c r="Q353" s="1594"/>
      <c r="R353" s="1594"/>
      <c r="S353" s="1594"/>
      <c r="T353" s="1594"/>
      <c r="U353" s="1594"/>
      <c r="V353" s="1594"/>
      <c r="W353" s="1594"/>
      <c r="X353" s="1594"/>
      <c r="Y353" s="1594"/>
      <c r="Z353" s="1594"/>
    </row>
    <row r="354" ht="12.75" customHeight="1">
      <c r="A354" s="1594"/>
      <c r="B354" s="1594"/>
      <c r="C354" s="1594"/>
      <c r="D354" s="1594"/>
      <c r="E354" s="1594"/>
      <c r="F354" s="1594"/>
      <c r="G354" s="1594"/>
      <c r="H354" s="1594"/>
      <c r="I354" s="1594"/>
      <c r="J354" s="1594"/>
      <c r="K354" s="1594"/>
      <c r="L354" s="1594"/>
      <c r="M354" s="1594"/>
      <c r="N354" s="1594"/>
      <c r="O354" s="1594"/>
      <c r="P354" s="1594"/>
      <c r="Q354" s="1594"/>
      <c r="R354" s="1594"/>
      <c r="S354" s="1594"/>
      <c r="T354" s="1594"/>
      <c r="U354" s="1594"/>
      <c r="V354" s="1594"/>
      <c r="W354" s="1594"/>
      <c r="X354" s="1594"/>
      <c r="Y354" s="1594"/>
      <c r="Z354" s="1594"/>
    </row>
    <row r="355" ht="12.75" customHeight="1">
      <c r="A355" s="1594"/>
      <c r="B355" s="1594"/>
      <c r="C355" s="1594"/>
      <c r="D355" s="1594"/>
      <c r="E355" s="1594"/>
      <c r="F355" s="1594"/>
      <c r="G355" s="1594"/>
      <c r="H355" s="1594"/>
      <c r="I355" s="1594"/>
      <c r="J355" s="1594"/>
      <c r="K355" s="1594"/>
      <c r="L355" s="1594"/>
      <c r="M355" s="1594"/>
      <c r="N355" s="1594"/>
      <c r="O355" s="1594"/>
      <c r="P355" s="1594"/>
      <c r="Q355" s="1594"/>
      <c r="R355" s="1594"/>
      <c r="S355" s="1594"/>
      <c r="T355" s="1594"/>
      <c r="U355" s="1594"/>
      <c r="V355" s="1594"/>
      <c r="W355" s="1594"/>
      <c r="X355" s="1594"/>
      <c r="Y355" s="1594"/>
      <c r="Z355" s="1594"/>
    </row>
    <row r="356" ht="12.75" customHeight="1">
      <c r="A356" s="1594"/>
      <c r="B356" s="1594"/>
      <c r="C356" s="1594"/>
      <c r="D356" s="1594"/>
      <c r="E356" s="1594"/>
      <c r="F356" s="1594"/>
      <c r="G356" s="1594"/>
      <c r="H356" s="1594"/>
      <c r="I356" s="1594"/>
      <c r="J356" s="1594"/>
      <c r="K356" s="1594"/>
      <c r="L356" s="1594"/>
      <c r="M356" s="1594"/>
      <c r="N356" s="1594"/>
      <c r="O356" s="1594"/>
      <c r="P356" s="1594"/>
      <c r="Q356" s="1594"/>
      <c r="R356" s="1594"/>
      <c r="S356" s="1594"/>
      <c r="T356" s="1594"/>
      <c r="U356" s="1594"/>
      <c r="V356" s="1594"/>
      <c r="W356" s="1594"/>
      <c r="X356" s="1594"/>
      <c r="Y356" s="1594"/>
      <c r="Z356" s="1594"/>
    </row>
    <row r="357" ht="12.75" customHeight="1">
      <c r="A357" s="1594"/>
      <c r="B357" s="1594"/>
      <c r="C357" s="1594"/>
      <c r="D357" s="1594"/>
      <c r="E357" s="1594"/>
      <c r="F357" s="1594"/>
      <c r="G357" s="1594"/>
      <c r="H357" s="1594"/>
      <c r="I357" s="1594"/>
      <c r="J357" s="1594"/>
      <c r="K357" s="1594"/>
      <c r="L357" s="1594"/>
      <c r="M357" s="1594"/>
      <c r="N357" s="1594"/>
      <c r="O357" s="1594"/>
      <c r="P357" s="1594"/>
      <c r="Q357" s="1594"/>
      <c r="R357" s="1594"/>
      <c r="S357" s="1594"/>
      <c r="T357" s="1594"/>
      <c r="U357" s="1594"/>
      <c r="V357" s="1594"/>
      <c r="W357" s="1594"/>
      <c r="X357" s="1594"/>
      <c r="Y357" s="1594"/>
      <c r="Z357" s="1594"/>
    </row>
    <row r="358" ht="12.75" customHeight="1">
      <c r="A358" s="1594"/>
      <c r="B358" s="1594"/>
      <c r="C358" s="1594"/>
      <c r="D358" s="1594"/>
      <c r="E358" s="1594"/>
      <c r="F358" s="1594"/>
      <c r="G358" s="1594"/>
      <c r="H358" s="1594"/>
      <c r="I358" s="1594"/>
      <c r="J358" s="1594"/>
      <c r="K358" s="1594"/>
      <c r="L358" s="1594"/>
      <c r="M358" s="1594"/>
      <c r="N358" s="1594"/>
      <c r="O358" s="1594"/>
      <c r="P358" s="1594"/>
      <c r="Q358" s="1594"/>
      <c r="R358" s="1594"/>
      <c r="S358" s="1594"/>
      <c r="T358" s="1594"/>
      <c r="U358" s="1594"/>
      <c r="V358" s="1594"/>
      <c r="W358" s="1594"/>
      <c r="X358" s="1594"/>
      <c r="Y358" s="1594"/>
      <c r="Z358" s="1594"/>
    </row>
    <row r="359" ht="12.75" customHeight="1">
      <c r="A359" s="1594"/>
      <c r="B359" s="1594"/>
      <c r="C359" s="1594"/>
      <c r="D359" s="1594"/>
      <c r="E359" s="1594"/>
      <c r="F359" s="1594"/>
      <c r="G359" s="1594"/>
      <c r="H359" s="1594"/>
      <c r="I359" s="1594"/>
      <c r="J359" s="1594"/>
      <c r="K359" s="1594"/>
      <c r="L359" s="1594"/>
      <c r="M359" s="1594"/>
      <c r="N359" s="1594"/>
      <c r="O359" s="1594"/>
      <c r="P359" s="1594"/>
      <c r="Q359" s="1594"/>
      <c r="R359" s="1594"/>
      <c r="S359" s="1594"/>
      <c r="T359" s="1594"/>
      <c r="U359" s="1594"/>
      <c r="V359" s="1594"/>
      <c r="W359" s="1594"/>
      <c r="X359" s="1594"/>
      <c r="Y359" s="1594"/>
      <c r="Z359" s="1594"/>
    </row>
    <row r="360" ht="12.75" customHeight="1">
      <c r="A360" s="1594"/>
      <c r="B360" s="1594"/>
      <c r="C360" s="1594"/>
      <c r="D360" s="1594"/>
      <c r="E360" s="1594"/>
      <c r="F360" s="1594"/>
      <c r="G360" s="1594"/>
      <c r="H360" s="1594"/>
      <c r="I360" s="1594"/>
      <c r="J360" s="1594"/>
      <c r="K360" s="1594"/>
      <c r="L360" s="1594"/>
      <c r="M360" s="1594"/>
      <c r="N360" s="1594"/>
      <c r="O360" s="1594"/>
      <c r="P360" s="1594"/>
      <c r="Q360" s="1594"/>
      <c r="R360" s="1594"/>
      <c r="S360" s="1594"/>
      <c r="T360" s="1594"/>
      <c r="U360" s="1594"/>
      <c r="V360" s="1594"/>
      <c r="W360" s="1594"/>
      <c r="X360" s="1594"/>
      <c r="Y360" s="1594"/>
      <c r="Z360" s="1594"/>
    </row>
    <row r="361" ht="12.75" customHeight="1">
      <c r="A361" s="1594"/>
      <c r="B361" s="1594"/>
      <c r="C361" s="1594"/>
      <c r="D361" s="1594"/>
      <c r="E361" s="1594"/>
      <c r="F361" s="1594"/>
      <c r="G361" s="1594"/>
      <c r="H361" s="1594"/>
      <c r="I361" s="1594"/>
      <c r="J361" s="1594"/>
      <c r="K361" s="1594"/>
      <c r="L361" s="1594"/>
      <c r="M361" s="1594"/>
      <c r="N361" s="1594"/>
      <c r="O361" s="1594"/>
      <c r="P361" s="1594"/>
      <c r="Q361" s="1594"/>
      <c r="R361" s="1594"/>
      <c r="S361" s="1594"/>
      <c r="T361" s="1594"/>
      <c r="U361" s="1594"/>
      <c r="V361" s="1594"/>
      <c r="W361" s="1594"/>
      <c r="X361" s="1594"/>
      <c r="Y361" s="1594"/>
      <c r="Z361" s="1594"/>
    </row>
    <row r="362" ht="12.75" customHeight="1">
      <c r="A362" s="1594"/>
      <c r="B362" s="1594"/>
      <c r="C362" s="1594"/>
      <c r="D362" s="1594"/>
      <c r="E362" s="1594"/>
      <c r="F362" s="1594"/>
      <c r="G362" s="1594"/>
      <c r="H362" s="1594"/>
      <c r="I362" s="1594"/>
      <c r="J362" s="1594"/>
      <c r="K362" s="1594"/>
      <c r="L362" s="1594"/>
      <c r="M362" s="1594"/>
      <c r="N362" s="1594"/>
      <c r="O362" s="1594"/>
      <c r="P362" s="1594"/>
      <c r="Q362" s="1594"/>
      <c r="R362" s="1594"/>
      <c r="S362" s="1594"/>
      <c r="T362" s="1594"/>
      <c r="U362" s="1594"/>
      <c r="V362" s="1594"/>
      <c r="W362" s="1594"/>
      <c r="X362" s="1594"/>
      <c r="Y362" s="1594"/>
      <c r="Z362" s="1594"/>
    </row>
    <row r="363" ht="12.75" customHeight="1">
      <c r="A363" s="1594"/>
      <c r="B363" s="1594"/>
      <c r="C363" s="1594"/>
      <c r="D363" s="1594"/>
      <c r="E363" s="1594"/>
      <c r="F363" s="1594"/>
      <c r="G363" s="1594"/>
      <c r="H363" s="1594"/>
      <c r="I363" s="1594"/>
      <c r="J363" s="1594"/>
      <c r="K363" s="1594"/>
      <c r="L363" s="1594"/>
      <c r="M363" s="1594"/>
      <c r="N363" s="1594"/>
      <c r="O363" s="1594"/>
      <c r="P363" s="1594"/>
      <c r="Q363" s="1594"/>
      <c r="R363" s="1594"/>
      <c r="S363" s="1594"/>
      <c r="T363" s="1594"/>
      <c r="U363" s="1594"/>
      <c r="V363" s="1594"/>
      <c r="W363" s="1594"/>
      <c r="X363" s="1594"/>
      <c r="Y363" s="1594"/>
      <c r="Z363" s="1594"/>
    </row>
    <row r="364" ht="12.75" customHeight="1">
      <c r="A364" s="1594"/>
      <c r="B364" s="1594"/>
      <c r="C364" s="1594"/>
      <c r="D364" s="1594"/>
      <c r="E364" s="1594"/>
      <c r="F364" s="1594"/>
      <c r="G364" s="1594"/>
      <c r="H364" s="1594"/>
      <c r="I364" s="1594"/>
      <c r="J364" s="1594"/>
      <c r="K364" s="1594"/>
      <c r="L364" s="1594"/>
      <c r="M364" s="1594"/>
      <c r="N364" s="1594"/>
      <c r="O364" s="1594"/>
      <c r="P364" s="1594"/>
      <c r="Q364" s="1594"/>
      <c r="R364" s="1594"/>
      <c r="S364" s="1594"/>
      <c r="T364" s="1594"/>
      <c r="U364" s="1594"/>
      <c r="V364" s="1594"/>
      <c r="W364" s="1594"/>
      <c r="X364" s="1594"/>
      <c r="Y364" s="1594"/>
      <c r="Z364" s="1594"/>
    </row>
    <row r="365" ht="12.75" customHeight="1">
      <c r="A365" s="1594"/>
      <c r="B365" s="1594"/>
      <c r="C365" s="1594"/>
      <c r="D365" s="1594"/>
      <c r="E365" s="1594"/>
      <c r="F365" s="1594"/>
      <c r="G365" s="1594"/>
      <c r="H365" s="1594"/>
      <c r="I365" s="1594"/>
      <c r="J365" s="1594"/>
      <c r="K365" s="1594"/>
      <c r="L365" s="1594"/>
      <c r="M365" s="1594"/>
      <c r="N365" s="1594"/>
      <c r="O365" s="1594"/>
      <c r="P365" s="1594"/>
      <c r="Q365" s="1594"/>
      <c r="R365" s="1594"/>
      <c r="S365" s="1594"/>
      <c r="T365" s="1594"/>
      <c r="U365" s="1594"/>
      <c r="V365" s="1594"/>
      <c r="W365" s="1594"/>
      <c r="X365" s="1594"/>
      <c r="Y365" s="1594"/>
      <c r="Z365" s="1594"/>
    </row>
    <row r="366" ht="12.75" customHeight="1">
      <c r="A366" s="1594"/>
      <c r="B366" s="1594"/>
      <c r="C366" s="1594"/>
      <c r="D366" s="1594"/>
      <c r="E366" s="1594"/>
      <c r="F366" s="1594"/>
      <c r="G366" s="1594"/>
      <c r="H366" s="1594"/>
      <c r="I366" s="1594"/>
      <c r="J366" s="1594"/>
      <c r="K366" s="1594"/>
      <c r="L366" s="1594"/>
      <c r="M366" s="1594"/>
      <c r="N366" s="1594"/>
      <c r="O366" s="1594"/>
      <c r="P366" s="1594"/>
      <c r="Q366" s="1594"/>
      <c r="R366" s="1594"/>
      <c r="S366" s="1594"/>
      <c r="T366" s="1594"/>
      <c r="U366" s="1594"/>
      <c r="V366" s="1594"/>
      <c r="W366" s="1594"/>
      <c r="X366" s="1594"/>
      <c r="Y366" s="1594"/>
      <c r="Z366" s="1594"/>
    </row>
    <row r="367" ht="12.75" customHeight="1">
      <c r="A367" s="1594"/>
      <c r="B367" s="1594"/>
      <c r="C367" s="1594"/>
      <c r="D367" s="1594"/>
      <c r="E367" s="1594"/>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row>
    <row r="368" ht="12.75" customHeight="1">
      <c r="A368" s="1594"/>
      <c r="B368" s="1594"/>
      <c r="C368" s="1594"/>
      <c r="D368" s="1594"/>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row>
    <row r="369" ht="12.75" customHeight="1">
      <c r="A369" s="1594"/>
      <c r="B369" s="1594"/>
      <c r="C369" s="1594"/>
      <c r="D369" s="1594"/>
      <c r="E369" s="1594"/>
      <c r="F369" s="1594"/>
      <c r="G369" s="1594"/>
      <c r="H369" s="1594"/>
      <c r="I369" s="1594"/>
      <c r="J369" s="1594"/>
      <c r="K369" s="1594"/>
      <c r="L369" s="1594"/>
      <c r="M369" s="1594"/>
      <c r="N369" s="1594"/>
      <c r="O369" s="1594"/>
      <c r="P369" s="1594"/>
      <c r="Q369" s="1594"/>
      <c r="R369" s="1594"/>
      <c r="S369" s="1594"/>
      <c r="T369" s="1594"/>
      <c r="U369" s="1594"/>
      <c r="V369" s="1594"/>
      <c r="W369" s="1594"/>
      <c r="X369" s="1594"/>
      <c r="Y369" s="1594"/>
      <c r="Z369" s="1594"/>
    </row>
    <row r="370" ht="12.75" customHeight="1">
      <c r="A370" s="1594"/>
      <c r="B370" s="1594"/>
      <c r="C370" s="1594"/>
      <c r="D370" s="1594"/>
      <c r="E370" s="1594"/>
      <c r="F370" s="1594"/>
      <c r="G370" s="1594"/>
      <c r="H370" s="1594"/>
      <c r="I370" s="1594"/>
      <c r="J370" s="1594"/>
      <c r="K370" s="1594"/>
      <c r="L370" s="1594"/>
      <c r="M370" s="1594"/>
      <c r="N370" s="1594"/>
      <c r="O370" s="1594"/>
      <c r="P370" s="1594"/>
      <c r="Q370" s="1594"/>
      <c r="R370" s="1594"/>
      <c r="S370" s="1594"/>
      <c r="T370" s="1594"/>
      <c r="U370" s="1594"/>
      <c r="V370" s="1594"/>
      <c r="W370" s="1594"/>
      <c r="X370" s="1594"/>
      <c r="Y370" s="1594"/>
      <c r="Z370" s="1594"/>
    </row>
    <row r="371" ht="12.75" customHeight="1">
      <c r="A371" s="1594"/>
      <c r="B371" s="1594"/>
      <c r="C371" s="1594"/>
      <c r="D371" s="1594"/>
      <c r="E371" s="1594"/>
      <c r="F371" s="1594"/>
      <c r="G371" s="1594"/>
      <c r="H371" s="1594"/>
      <c r="I371" s="1594"/>
      <c r="J371" s="1594"/>
      <c r="K371" s="1594"/>
      <c r="L371" s="1594"/>
      <c r="M371" s="1594"/>
      <c r="N371" s="1594"/>
      <c r="O371" s="1594"/>
      <c r="P371" s="1594"/>
      <c r="Q371" s="1594"/>
      <c r="R371" s="1594"/>
      <c r="S371" s="1594"/>
      <c r="T371" s="1594"/>
      <c r="U371" s="1594"/>
      <c r="V371" s="1594"/>
      <c r="W371" s="1594"/>
      <c r="X371" s="1594"/>
      <c r="Y371" s="1594"/>
      <c r="Z371" s="1594"/>
    </row>
    <row r="372" ht="12.75" customHeight="1">
      <c r="A372" s="1594"/>
      <c r="B372" s="1594"/>
      <c r="C372" s="1594"/>
      <c r="D372" s="1594"/>
      <c r="E372" s="1594"/>
      <c r="F372" s="1594"/>
      <c r="G372" s="1594"/>
      <c r="H372" s="1594"/>
      <c r="I372" s="1594"/>
      <c r="J372" s="1594"/>
      <c r="K372" s="1594"/>
      <c r="L372" s="1594"/>
      <c r="M372" s="1594"/>
      <c r="N372" s="1594"/>
      <c r="O372" s="1594"/>
      <c r="P372" s="1594"/>
      <c r="Q372" s="1594"/>
      <c r="R372" s="1594"/>
      <c r="S372" s="1594"/>
      <c r="T372" s="1594"/>
      <c r="U372" s="1594"/>
      <c r="V372" s="1594"/>
      <c r="W372" s="1594"/>
      <c r="X372" s="1594"/>
      <c r="Y372" s="1594"/>
      <c r="Z372" s="1594"/>
    </row>
    <row r="373" ht="12.75" customHeight="1">
      <c r="A373" s="1594"/>
      <c r="B373" s="1594"/>
      <c r="C373" s="1594"/>
      <c r="D373" s="1594"/>
      <c r="E373" s="1594"/>
      <c r="F373" s="1594"/>
      <c r="G373" s="1594"/>
      <c r="H373" s="1594"/>
      <c r="I373" s="1594"/>
      <c r="J373" s="1594"/>
      <c r="K373" s="1594"/>
      <c r="L373" s="1594"/>
      <c r="M373" s="1594"/>
      <c r="N373" s="1594"/>
      <c r="O373" s="1594"/>
      <c r="P373" s="1594"/>
      <c r="Q373" s="1594"/>
      <c r="R373" s="1594"/>
      <c r="S373" s="1594"/>
      <c r="T373" s="1594"/>
      <c r="U373" s="1594"/>
      <c r="V373" s="1594"/>
      <c r="W373" s="1594"/>
      <c r="X373" s="1594"/>
      <c r="Y373" s="1594"/>
      <c r="Z373" s="1594"/>
    </row>
    <row r="374" ht="12.75" customHeight="1">
      <c r="A374" s="1594"/>
      <c r="B374" s="1594"/>
      <c r="C374" s="1594"/>
      <c r="D374" s="1594"/>
      <c r="E374" s="1594"/>
      <c r="F374" s="1594"/>
      <c r="G374" s="1594"/>
      <c r="H374" s="1594"/>
      <c r="I374" s="1594"/>
      <c r="J374" s="1594"/>
      <c r="K374" s="1594"/>
      <c r="L374" s="1594"/>
      <c r="M374" s="1594"/>
      <c r="N374" s="1594"/>
      <c r="O374" s="1594"/>
      <c r="P374" s="1594"/>
      <c r="Q374" s="1594"/>
      <c r="R374" s="1594"/>
      <c r="S374" s="1594"/>
      <c r="T374" s="1594"/>
      <c r="U374" s="1594"/>
      <c r="V374" s="1594"/>
      <c r="W374" s="1594"/>
      <c r="X374" s="1594"/>
      <c r="Y374" s="1594"/>
      <c r="Z374" s="1594"/>
    </row>
    <row r="375" ht="12.75" customHeight="1">
      <c r="A375" s="1594"/>
      <c r="B375" s="1594"/>
      <c r="C375" s="1594"/>
      <c r="D375" s="1594"/>
      <c r="E375" s="1594"/>
      <c r="F375" s="1594"/>
      <c r="G375" s="1594"/>
      <c r="H375" s="1594"/>
      <c r="I375" s="1594"/>
      <c r="J375" s="1594"/>
      <c r="K375" s="1594"/>
      <c r="L375" s="1594"/>
      <c r="M375" s="1594"/>
      <c r="N375" s="1594"/>
      <c r="O375" s="1594"/>
      <c r="P375" s="1594"/>
      <c r="Q375" s="1594"/>
      <c r="R375" s="1594"/>
      <c r="S375" s="1594"/>
      <c r="T375" s="1594"/>
      <c r="U375" s="1594"/>
      <c r="V375" s="1594"/>
      <c r="W375" s="1594"/>
      <c r="X375" s="1594"/>
      <c r="Y375" s="1594"/>
      <c r="Z375" s="1594"/>
    </row>
    <row r="376" ht="12.75" customHeight="1">
      <c r="A376" s="1594"/>
      <c r="B376" s="1594"/>
      <c r="C376" s="1594"/>
      <c r="D376" s="1594"/>
      <c r="E376" s="1594"/>
      <c r="F376" s="1594"/>
      <c r="G376" s="1594"/>
      <c r="H376" s="1594"/>
      <c r="I376" s="1594"/>
      <c r="J376" s="1594"/>
      <c r="K376" s="1594"/>
      <c r="L376" s="1594"/>
      <c r="M376" s="1594"/>
      <c r="N376" s="1594"/>
      <c r="O376" s="1594"/>
      <c r="P376" s="1594"/>
      <c r="Q376" s="1594"/>
      <c r="R376" s="1594"/>
      <c r="S376" s="1594"/>
      <c r="T376" s="1594"/>
      <c r="U376" s="1594"/>
      <c r="V376" s="1594"/>
      <c r="W376" s="1594"/>
      <c r="X376" s="1594"/>
      <c r="Y376" s="1594"/>
      <c r="Z376" s="1594"/>
    </row>
    <row r="377" ht="12.75" customHeight="1">
      <c r="A377" s="1594"/>
      <c r="B377" s="1594"/>
      <c r="C377" s="1594"/>
      <c r="D377" s="1594"/>
      <c r="E377" s="1594"/>
      <c r="F377" s="1594"/>
      <c r="G377" s="1594"/>
      <c r="H377" s="1594"/>
      <c r="I377" s="1594"/>
      <c r="J377" s="1594"/>
      <c r="K377" s="1594"/>
      <c r="L377" s="1594"/>
      <c r="M377" s="1594"/>
      <c r="N377" s="1594"/>
      <c r="O377" s="1594"/>
      <c r="P377" s="1594"/>
      <c r="Q377" s="1594"/>
      <c r="R377" s="1594"/>
      <c r="S377" s="1594"/>
      <c r="T377" s="1594"/>
      <c r="U377" s="1594"/>
      <c r="V377" s="1594"/>
      <c r="W377" s="1594"/>
      <c r="X377" s="1594"/>
      <c r="Y377" s="1594"/>
      <c r="Z377" s="1594"/>
    </row>
    <row r="378" ht="12.75" customHeight="1">
      <c r="A378" s="1594"/>
      <c r="B378" s="1594"/>
      <c r="C378" s="1594"/>
      <c r="D378" s="1594"/>
      <c r="E378" s="1594"/>
      <c r="F378" s="1594"/>
      <c r="G378" s="1594"/>
      <c r="H378" s="1594"/>
      <c r="I378" s="1594"/>
      <c r="J378" s="1594"/>
      <c r="K378" s="1594"/>
      <c r="L378" s="1594"/>
      <c r="M378" s="1594"/>
      <c r="N378" s="1594"/>
      <c r="O378" s="1594"/>
      <c r="P378" s="1594"/>
      <c r="Q378" s="1594"/>
      <c r="R378" s="1594"/>
      <c r="S378" s="1594"/>
      <c r="T378" s="1594"/>
      <c r="U378" s="1594"/>
      <c r="V378" s="1594"/>
      <c r="W378" s="1594"/>
      <c r="X378" s="1594"/>
      <c r="Y378" s="1594"/>
      <c r="Z378" s="1594"/>
    </row>
    <row r="379" ht="12.75" customHeight="1">
      <c r="A379" s="1594"/>
      <c r="B379" s="1594"/>
      <c r="C379" s="1594"/>
      <c r="D379" s="1594"/>
      <c r="E379" s="1594"/>
      <c r="F379" s="1594"/>
      <c r="G379" s="1594"/>
      <c r="H379" s="1594"/>
      <c r="I379" s="1594"/>
      <c r="J379" s="1594"/>
      <c r="K379" s="1594"/>
      <c r="L379" s="1594"/>
      <c r="M379" s="1594"/>
      <c r="N379" s="1594"/>
      <c r="O379" s="1594"/>
      <c r="P379" s="1594"/>
      <c r="Q379" s="1594"/>
      <c r="R379" s="1594"/>
      <c r="S379" s="1594"/>
      <c r="T379" s="1594"/>
      <c r="U379" s="1594"/>
      <c r="V379" s="1594"/>
      <c r="W379" s="1594"/>
      <c r="X379" s="1594"/>
      <c r="Y379" s="1594"/>
      <c r="Z379" s="1594"/>
    </row>
    <row r="380" ht="12.75" customHeight="1">
      <c r="A380" s="1594"/>
      <c r="B380" s="1594"/>
      <c r="C380" s="1594"/>
      <c r="D380" s="1594"/>
      <c r="E380" s="1594"/>
      <c r="F380" s="1594"/>
      <c r="G380" s="1594"/>
      <c r="H380" s="1594"/>
      <c r="I380" s="1594"/>
      <c r="J380" s="1594"/>
      <c r="K380" s="1594"/>
      <c r="L380" s="1594"/>
      <c r="M380" s="1594"/>
      <c r="N380" s="1594"/>
      <c r="O380" s="1594"/>
      <c r="P380" s="1594"/>
      <c r="Q380" s="1594"/>
      <c r="R380" s="1594"/>
      <c r="S380" s="1594"/>
      <c r="T380" s="1594"/>
      <c r="U380" s="1594"/>
      <c r="V380" s="1594"/>
      <c r="W380" s="1594"/>
      <c r="X380" s="1594"/>
      <c r="Y380" s="1594"/>
      <c r="Z380" s="1594"/>
    </row>
    <row r="381" ht="12.75" customHeight="1">
      <c r="A381" s="1594"/>
      <c r="B381" s="1594"/>
      <c r="C381" s="1594"/>
      <c r="D381" s="1594"/>
      <c r="E381" s="1594"/>
      <c r="F381" s="1594"/>
      <c r="G381" s="1594"/>
      <c r="H381" s="1594"/>
      <c r="I381" s="1594"/>
      <c r="J381" s="1594"/>
      <c r="K381" s="1594"/>
      <c r="L381" s="1594"/>
      <c r="M381" s="1594"/>
      <c r="N381" s="1594"/>
      <c r="O381" s="1594"/>
      <c r="P381" s="1594"/>
      <c r="Q381" s="1594"/>
      <c r="R381" s="1594"/>
      <c r="S381" s="1594"/>
      <c r="T381" s="1594"/>
      <c r="U381" s="1594"/>
      <c r="V381" s="1594"/>
      <c r="W381" s="1594"/>
      <c r="X381" s="1594"/>
      <c r="Y381" s="1594"/>
      <c r="Z381" s="1594"/>
    </row>
    <row r="382" ht="12.75" customHeight="1">
      <c r="A382" s="1594"/>
      <c r="B382" s="1594"/>
      <c r="C382" s="1594"/>
      <c r="D382" s="1594"/>
      <c r="E382" s="1594"/>
      <c r="F382" s="1594"/>
      <c r="G382" s="1594"/>
      <c r="H382" s="1594"/>
      <c r="I382" s="1594"/>
      <c r="J382" s="1594"/>
      <c r="K382" s="1594"/>
      <c r="L382" s="1594"/>
      <c r="M382" s="1594"/>
      <c r="N382" s="1594"/>
      <c r="O382" s="1594"/>
      <c r="P382" s="1594"/>
      <c r="Q382" s="1594"/>
      <c r="R382" s="1594"/>
      <c r="S382" s="1594"/>
      <c r="T382" s="1594"/>
      <c r="U382" s="1594"/>
      <c r="V382" s="1594"/>
      <c r="W382" s="1594"/>
      <c r="X382" s="1594"/>
      <c r="Y382" s="1594"/>
      <c r="Z382" s="1594"/>
    </row>
    <row r="383" ht="12.75" customHeight="1">
      <c r="A383" s="1594"/>
      <c r="B383" s="1594"/>
      <c r="C383" s="1594"/>
      <c r="D383" s="1594"/>
      <c r="E383" s="1594"/>
      <c r="F383" s="1594"/>
      <c r="G383" s="1594"/>
      <c r="H383" s="1594"/>
      <c r="I383" s="1594"/>
      <c r="J383" s="1594"/>
      <c r="K383" s="1594"/>
      <c r="L383" s="1594"/>
      <c r="M383" s="1594"/>
      <c r="N383" s="1594"/>
      <c r="O383" s="1594"/>
      <c r="P383" s="1594"/>
      <c r="Q383" s="1594"/>
      <c r="R383" s="1594"/>
      <c r="S383" s="1594"/>
      <c r="T383" s="1594"/>
      <c r="U383" s="1594"/>
      <c r="V383" s="1594"/>
      <c r="W383" s="1594"/>
      <c r="X383" s="1594"/>
      <c r="Y383" s="1594"/>
      <c r="Z383" s="1594"/>
    </row>
    <row r="384" ht="12.75" customHeight="1">
      <c r="A384" s="1594"/>
      <c r="B384" s="1594"/>
      <c r="C384" s="1594"/>
      <c r="D384" s="1594"/>
      <c r="E384" s="1594"/>
      <c r="F384" s="1594"/>
      <c r="G384" s="1594"/>
      <c r="H384" s="1594"/>
      <c r="I384" s="1594"/>
      <c r="J384" s="1594"/>
      <c r="K384" s="1594"/>
      <c r="L384" s="1594"/>
      <c r="M384" s="1594"/>
      <c r="N384" s="1594"/>
      <c r="O384" s="1594"/>
      <c r="P384" s="1594"/>
      <c r="Q384" s="1594"/>
      <c r="R384" s="1594"/>
      <c r="S384" s="1594"/>
      <c r="T384" s="1594"/>
      <c r="U384" s="1594"/>
      <c r="V384" s="1594"/>
      <c r="W384" s="1594"/>
      <c r="X384" s="1594"/>
      <c r="Y384" s="1594"/>
      <c r="Z384" s="1594"/>
    </row>
    <row r="385" ht="12.75" customHeight="1">
      <c r="A385" s="1594"/>
      <c r="B385" s="1594"/>
      <c r="C385" s="1594"/>
      <c r="D385" s="1594"/>
      <c r="E385" s="1594"/>
      <c r="F385" s="1594"/>
      <c r="G385" s="1594"/>
      <c r="H385" s="1594"/>
      <c r="I385" s="1594"/>
      <c r="J385" s="1594"/>
      <c r="K385" s="1594"/>
      <c r="L385" s="1594"/>
      <c r="M385" s="1594"/>
      <c r="N385" s="1594"/>
      <c r="O385" s="1594"/>
      <c r="P385" s="1594"/>
      <c r="Q385" s="1594"/>
      <c r="R385" s="1594"/>
      <c r="S385" s="1594"/>
      <c r="T385" s="1594"/>
      <c r="U385" s="1594"/>
      <c r="V385" s="1594"/>
      <c r="W385" s="1594"/>
      <c r="X385" s="1594"/>
      <c r="Y385" s="1594"/>
      <c r="Z385" s="1594"/>
    </row>
    <row r="386" ht="12.75" customHeight="1">
      <c r="A386" s="1594"/>
      <c r="B386" s="1594"/>
      <c r="C386" s="1594"/>
      <c r="D386" s="1594"/>
      <c r="E386" s="1594"/>
      <c r="F386" s="1594"/>
      <c r="G386" s="1594"/>
      <c r="H386" s="1594"/>
      <c r="I386" s="1594"/>
      <c r="J386" s="1594"/>
      <c r="K386" s="1594"/>
      <c r="L386" s="1594"/>
      <c r="M386" s="1594"/>
      <c r="N386" s="1594"/>
      <c r="O386" s="1594"/>
      <c r="P386" s="1594"/>
      <c r="Q386" s="1594"/>
      <c r="R386" s="1594"/>
      <c r="S386" s="1594"/>
      <c r="T386" s="1594"/>
      <c r="U386" s="1594"/>
      <c r="V386" s="1594"/>
      <c r="W386" s="1594"/>
      <c r="X386" s="1594"/>
      <c r="Y386" s="1594"/>
      <c r="Z386" s="1594"/>
    </row>
    <row r="387" ht="12.75" customHeight="1">
      <c r="A387" s="1594"/>
      <c r="B387" s="1594"/>
      <c r="C387" s="1594"/>
      <c r="D387" s="1594"/>
      <c r="E387" s="1594"/>
      <c r="F387" s="1594"/>
      <c r="G387" s="1594"/>
      <c r="H387" s="1594"/>
      <c r="I387" s="1594"/>
      <c r="J387" s="1594"/>
      <c r="K387" s="1594"/>
      <c r="L387" s="1594"/>
      <c r="M387" s="1594"/>
      <c r="N387" s="1594"/>
      <c r="O387" s="1594"/>
      <c r="P387" s="1594"/>
      <c r="Q387" s="1594"/>
      <c r="R387" s="1594"/>
      <c r="S387" s="1594"/>
      <c r="T387" s="1594"/>
      <c r="U387" s="1594"/>
      <c r="V387" s="1594"/>
      <c r="W387" s="1594"/>
      <c r="X387" s="1594"/>
      <c r="Y387" s="1594"/>
      <c r="Z387" s="1594"/>
    </row>
    <row r="388" ht="12.75" customHeight="1">
      <c r="A388" s="1594"/>
      <c r="B388" s="1594"/>
      <c r="C388" s="1594"/>
      <c r="D388" s="1594"/>
      <c r="E388" s="1594"/>
      <c r="F388" s="1594"/>
      <c r="G388" s="1594"/>
      <c r="H388" s="1594"/>
      <c r="I388" s="1594"/>
      <c r="J388" s="1594"/>
      <c r="K388" s="1594"/>
      <c r="L388" s="1594"/>
      <c r="M388" s="1594"/>
      <c r="N388" s="1594"/>
      <c r="O388" s="1594"/>
      <c r="P388" s="1594"/>
      <c r="Q388" s="1594"/>
      <c r="R388" s="1594"/>
      <c r="S388" s="1594"/>
      <c r="T388" s="1594"/>
      <c r="U388" s="1594"/>
      <c r="V388" s="1594"/>
      <c r="W388" s="1594"/>
      <c r="X388" s="1594"/>
      <c r="Y388" s="1594"/>
      <c r="Z388" s="1594"/>
    </row>
    <row r="389" ht="12.75" customHeight="1">
      <c r="A389" s="1594"/>
      <c r="B389" s="1594"/>
      <c r="C389" s="1594"/>
      <c r="D389" s="1594"/>
      <c r="E389" s="1594"/>
      <c r="F389" s="1594"/>
      <c r="G389" s="1594"/>
      <c r="H389" s="1594"/>
      <c r="I389" s="1594"/>
      <c r="J389" s="1594"/>
      <c r="K389" s="1594"/>
      <c r="L389" s="1594"/>
      <c r="M389" s="1594"/>
      <c r="N389" s="1594"/>
      <c r="O389" s="1594"/>
      <c r="P389" s="1594"/>
      <c r="Q389" s="1594"/>
      <c r="R389" s="1594"/>
      <c r="S389" s="1594"/>
      <c r="T389" s="1594"/>
      <c r="U389" s="1594"/>
      <c r="V389" s="1594"/>
      <c r="W389" s="1594"/>
      <c r="X389" s="1594"/>
      <c r="Y389" s="1594"/>
      <c r="Z389" s="1594"/>
    </row>
    <row r="390" ht="12.75" customHeight="1">
      <c r="A390" s="1594"/>
      <c r="B390" s="1594"/>
      <c r="C390" s="1594"/>
      <c r="D390" s="1594"/>
      <c r="E390" s="1594"/>
      <c r="F390" s="1594"/>
      <c r="G390" s="1594"/>
      <c r="H390" s="1594"/>
      <c r="I390" s="1594"/>
      <c r="J390" s="1594"/>
      <c r="K390" s="1594"/>
      <c r="L390" s="1594"/>
      <c r="M390" s="1594"/>
      <c r="N390" s="1594"/>
      <c r="O390" s="1594"/>
      <c r="P390" s="1594"/>
      <c r="Q390" s="1594"/>
      <c r="R390" s="1594"/>
      <c r="S390" s="1594"/>
      <c r="T390" s="1594"/>
      <c r="U390" s="1594"/>
      <c r="V390" s="1594"/>
      <c r="W390" s="1594"/>
      <c r="X390" s="1594"/>
      <c r="Y390" s="1594"/>
      <c r="Z390" s="1594"/>
    </row>
    <row r="391" ht="12.75" customHeight="1">
      <c r="A391" s="1594"/>
      <c r="B391" s="1594"/>
      <c r="C391" s="1594"/>
      <c r="D391" s="1594"/>
      <c r="E391" s="1594"/>
      <c r="F391" s="1594"/>
      <c r="G391" s="1594"/>
      <c r="H391" s="1594"/>
      <c r="I391" s="1594"/>
      <c r="J391" s="1594"/>
      <c r="K391" s="1594"/>
      <c r="L391" s="1594"/>
      <c r="M391" s="1594"/>
      <c r="N391" s="1594"/>
      <c r="O391" s="1594"/>
      <c r="P391" s="1594"/>
      <c r="Q391" s="1594"/>
      <c r="R391" s="1594"/>
      <c r="S391" s="1594"/>
      <c r="T391" s="1594"/>
      <c r="U391" s="1594"/>
      <c r="V391" s="1594"/>
      <c r="W391" s="1594"/>
      <c r="X391" s="1594"/>
      <c r="Y391" s="1594"/>
      <c r="Z391" s="1594"/>
    </row>
    <row r="392" ht="12.75" customHeight="1">
      <c r="A392" s="1594"/>
      <c r="B392" s="1594"/>
      <c r="C392" s="1594"/>
      <c r="D392" s="1594"/>
      <c r="E392" s="1594"/>
      <c r="F392" s="1594"/>
      <c r="G392" s="1594"/>
      <c r="H392" s="1594"/>
      <c r="I392" s="1594"/>
      <c r="J392" s="1594"/>
      <c r="K392" s="1594"/>
      <c r="L392" s="1594"/>
      <c r="M392" s="1594"/>
      <c r="N392" s="1594"/>
      <c r="O392" s="1594"/>
      <c r="P392" s="1594"/>
      <c r="Q392" s="1594"/>
      <c r="R392" s="1594"/>
      <c r="S392" s="1594"/>
      <c r="T392" s="1594"/>
      <c r="U392" s="1594"/>
      <c r="V392" s="1594"/>
      <c r="W392" s="1594"/>
      <c r="X392" s="1594"/>
      <c r="Y392" s="1594"/>
      <c r="Z392" s="1594"/>
    </row>
    <row r="393" ht="12.75" customHeight="1">
      <c r="A393" s="1594"/>
      <c r="B393" s="1594"/>
      <c r="C393" s="1594"/>
      <c r="D393" s="1594"/>
      <c r="E393" s="1594"/>
      <c r="F393" s="1594"/>
      <c r="G393" s="1594"/>
      <c r="H393" s="1594"/>
      <c r="I393" s="1594"/>
      <c r="J393" s="1594"/>
      <c r="K393" s="1594"/>
      <c r="L393" s="1594"/>
      <c r="M393" s="1594"/>
      <c r="N393" s="1594"/>
      <c r="O393" s="1594"/>
      <c r="P393" s="1594"/>
      <c r="Q393" s="1594"/>
      <c r="R393" s="1594"/>
      <c r="S393" s="1594"/>
      <c r="T393" s="1594"/>
      <c r="U393" s="1594"/>
      <c r="V393" s="1594"/>
      <c r="W393" s="1594"/>
      <c r="X393" s="1594"/>
      <c r="Y393" s="1594"/>
      <c r="Z393" s="1594"/>
    </row>
    <row r="394" ht="12.75" customHeight="1">
      <c r="A394" s="1594"/>
      <c r="B394" s="1594"/>
      <c r="C394" s="1594"/>
      <c r="D394" s="1594"/>
      <c r="E394" s="1594"/>
      <c r="F394" s="1594"/>
      <c r="G394" s="1594"/>
      <c r="H394" s="1594"/>
      <c r="I394" s="1594"/>
      <c r="J394" s="1594"/>
      <c r="K394" s="1594"/>
      <c r="L394" s="1594"/>
      <c r="M394" s="1594"/>
      <c r="N394" s="1594"/>
      <c r="O394" s="1594"/>
      <c r="P394" s="1594"/>
      <c r="Q394" s="1594"/>
      <c r="R394" s="1594"/>
      <c r="S394" s="1594"/>
      <c r="T394" s="1594"/>
      <c r="U394" s="1594"/>
      <c r="V394" s="1594"/>
      <c r="W394" s="1594"/>
      <c r="X394" s="1594"/>
      <c r="Y394" s="1594"/>
      <c r="Z394" s="1594"/>
    </row>
    <row r="395" ht="12.75" customHeight="1">
      <c r="A395" s="1594"/>
      <c r="B395" s="1594"/>
      <c r="C395" s="1594"/>
      <c r="D395" s="1594"/>
      <c r="E395" s="1594"/>
      <c r="F395" s="1594"/>
      <c r="G395" s="1594"/>
      <c r="H395" s="1594"/>
      <c r="I395" s="1594"/>
      <c r="J395" s="1594"/>
      <c r="K395" s="1594"/>
      <c r="L395" s="1594"/>
      <c r="M395" s="1594"/>
      <c r="N395" s="1594"/>
      <c r="O395" s="1594"/>
      <c r="P395" s="1594"/>
      <c r="Q395" s="1594"/>
      <c r="R395" s="1594"/>
      <c r="S395" s="1594"/>
      <c r="T395" s="1594"/>
      <c r="U395" s="1594"/>
      <c r="V395" s="1594"/>
      <c r="W395" s="1594"/>
      <c r="X395" s="1594"/>
      <c r="Y395" s="1594"/>
      <c r="Z395" s="1594"/>
    </row>
    <row r="396" ht="12.75" customHeight="1">
      <c r="A396" s="1594"/>
      <c r="B396" s="1594"/>
      <c r="C396" s="1594"/>
      <c r="D396" s="1594"/>
      <c r="E396" s="1594"/>
      <c r="F396" s="1594"/>
      <c r="G396" s="1594"/>
      <c r="H396" s="1594"/>
      <c r="I396" s="1594"/>
      <c r="J396" s="1594"/>
      <c r="K396" s="1594"/>
      <c r="L396" s="1594"/>
      <c r="M396" s="1594"/>
      <c r="N396" s="1594"/>
      <c r="O396" s="1594"/>
      <c r="P396" s="1594"/>
      <c r="Q396" s="1594"/>
      <c r="R396" s="1594"/>
      <c r="S396" s="1594"/>
      <c r="T396" s="1594"/>
      <c r="U396" s="1594"/>
      <c r="V396" s="1594"/>
      <c r="W396" s="1594"/>
      <c r="X396" s="1594"/>
      <c r="Y396" s="1594"/>
      <c r="Z396" s="1594"/>
    </row>
    <row r="397" ht="12.75" customHeight="1">
      <c r="A397" s="1594"/>
      <c r="B397" s="1594"/>
      <c r="C397" s="1594"/>
      <c r="D397" s="1594"/>
      <c r="E397" s="1594"/>
      <c r="F397" s="1594"/>
      <c r="G397" s="1594"/>
      <c r="H397" s="1594"/>
      <c r="I397" s="1594"/>
      <c r="J397" s="1594"/>
      <c r="K397" s="1594"/>
      <c r="L397" s="1594"/>
      <c r="M397" s="1594"/>
      <c r="N397" s="1594"/>
      <c r="O397" s="1594"/>
      <c r="P397" s="1594"/>
      <c r="Q397" s="1594"/>
      <c r="R397" s="1594"/>
      <c r="S397" s="1594"/>
      <c r="T397" s="1594"/>
      <c r="U397" s="1594"/>
      <c r="V397" s="1594"/>
      <c r="W397" s="1594"/>
      <c r="X397" s="1594"/>
      <c r="Y397" s="1594"/>
      <c r="Z397" s="1594"/>
    </row>
    <row r="398" ht="12.75" customHeight="1">
      <c r="A398" s="1594"/>
      <c r="B398" s="1594"/>
      <c r="C398" s="1594"/>
      <c r="D398" s="1594"/>
      <c r="E398" s="1594"/>
      <c r="F398" s="1594"/>
      <c r="G398" s="1594"/>
      <c r="H398" s="1594"/>
      <c r="I398" s="1594"/>
      <c r="J398" s="1594"/>
      <c r="K398" s="1594"/>
      <c r="L398" s="1594"/>
      <c r="M398" s="1594"/>
      <c r="N398" s="1594"/>
      <c r="O398" s="1594"/>
      <c r="P398" s="1594"/>
      <c r="Q398" s="1594"/>
      <c r="R398" s="1594"/>
      <c r="S398" s="1594"/>
      <c r="T398" s="1594"/>
      <c r="U398" s="1594"/>
      <c r="V398" s="1594"/>
      <c r="W398" s="1594"/>
      <c r="X398" s="1594"/>
      <c r="Y398" s="1594"/>
      <c r="Z398" s="1594"/>
    </row>
    <row r="399" ht="12.75" customHeight="1">
      <c r="A399" s="1594"/>
      <c r="B399" s="1594"/>
      <c r="C399" s="1594"/>
      <c r="D399" s="1594"/>
      <c r="E399" s="1594"/>
      <c r="F399" s="1594"/>
      <c r="G399" s="1594"/>
      <c r="H399" s="1594"/>
      <c r="I399" s="1594"/>
      <c r="J399" s="1594"/>
      <c r="K399" s="1594"/>
      <c r="L399" s="1594"/>
      <c r="M399" s="1594"/>
      <c r="N399" s="1594"/>
      <c r="O399" s="1594"/>
      <c r="P399" s="1594"/>
      <c r="Q399" s="1594"/>
      <c r="R399" s="1594"/>
      <c r="S399" s="1594"/>
      <c r="T399" s="1594"/>
      <c r="U399" s="1594"/>
      <c r="V399" s="1594"/>
      <c r="W399" s="1594"/>
      <c r="X399" s="1594"/>
      <c r="Y399" s="1594"/>
      <c r="Z399" s="1594"/>
    </row>
    <row r="400" ht="12.75" customHeight="1">
      <c r="A400" s="1594"/>
      <c r="B400" s="1594"/>
      <c r="C400" s="1594"/>
      <c r="D400" s="1594"/>
      <c r="E400" s="1594"/>
      <c r="F400" s="1594"/>
      <c r="G400" s="1594"/>
      <c r="H400" s="1594"/>
      <c r="I400" s="1594"/>
      <c r="J400" s="1594"/>
      <c r="K400" s="1594"/>
      <c r="L400" s="1594"/>
      <c r="M400" s="1594"/>
      <c r="N400" s="1594"/>
      <c r="O400" s="1594"/>
      <c r="P400" s="1594"/>
      <c r="Q400" s="1594"/>
      <c r="R400" s="1594"/>
      <c r="S400" s="1594"/>
      <c r="T400" s="1594"/>
      <c r="U400" s="1594"/>
      <c r="V400" s="1594"/>
      <c r="W400" s="1594"/>
      <c r="X400" s="1594"/>
      <c r="Y400" s="1594"/>
      <c r="Z400" s="1594"/>
    </row>
    <row r="401" ht="12.75" customHeight="1">
      <c r="A401" s="1594"/>
      <c r="B401" s="1594"/>
      <c r="C401" s="1594"/>
      <c r="D401" s="1594"/>
      <c r="E401" s="1594"/>
      <c r="F401" s="1594"/>
      <c r="G401" s="1594"/>
      <c r="H401" s="1594"/>
      <c r="I401" s="1594"/>
      <c r="J401" s="1594"/>
      <c r="K401" s="1594"/>
      <c r="L401" s="1594"/>
      <c r="M401" s="1594"/>
      <c r="N401" s="1594"/>
      <c r="O401" s="1594"/>
      <c r="P401" s="1594"/>
      <c r="Q401" s="1594"/>
      <c r="R401" s="1594"/>
      <c r="S401" s="1594"/>
      <c r="T401" s="1594"/>
      <c r="U401" s="1594"/>
      <c r="V401" s="1594"/>
      <c r="W401" s="1594"/>
      <c r="X401" s="1594"/>
      <c r="Y401" s="1594"/>
      <c r="Z401" s="1594"/>
    </row>
    <row r="402" ht="12.75" customHeight="1">
      <c r="A402" s="1594"/>
      <c r="B402" s="1594"/>
      <c r="C402" s="1594"/>
      <c r="D402" s="1594"/>
      <c r="E402" s="1594"/>
      <c r="F402" s="1594"/>
      <c r="G402" s="1594"/>
      <c r="H402" s="1594"/>
      <c r="I402" s="1594"/>
      <c r="J402" s="1594"/>
      <c r="K402" s="1594"/>
      <c r="L402" s="1594"/>
      <c r="M402" s="1594"/>
      <c r="N402" s="1594"/>
      <c r="O402" s="1594"/>
      <c r="P402" s="1594"/>
      <c r="Q402" s="1594"/>
      <c r="R402" s="1594"/>
      <c r="S402" s="1594"/>
      <c r="T402" s="1594"/>
      <c r="U402" s="1594"/>
      <c r="V402" s="1594"/>
      <c r="W402" s="1594"/>
      <c r="X402" s="1594"/>
      <c r="Y402" s="1594"/>
      <c r="Z402" s="1594"/>
    </row>
    <row r="403" ht="12.75" customHeight="1">
      <c r="A403" s="1594"/>
      <c r="B403" s="1594"/>
      <c r="C403" s="1594"/>
      <c r="D403" s="1594"/>
      <c r="E403" s="1594"/>
      <c r="F403" s="1594"/>
      <c r="G403" s="1594"/>
      <c r="H403" s="1594"/>
      <c r="I403" s="1594"/>
      <c r="J403" s="1594"/>
      <c r="K403" s="1594"/>
      <c r="L403" s="1594"/>
      <c r="M403" s="1594"/>
      <c r="N403" s="1594"/>
      <c r="O403" s="1594"/>
      <c r="P403" s="1594"/>
      <c r="Q403" s="1594"/>
      <c r="R403" s="1594"/>
      <c r="S403" s="1594"/>
      <c r="T403" s="1594"/>
      <c r="U403" s="1594"/>
      <c r="V403" s="1594"/>
      <c r="W403" s="1594"/>
      <c r="X403" s="1594"/>
      <c r="Y403" s="1594"/>
      <c r="Z403" s="1594"/>
    </row>
    <row r="404" ht="12.75" customHeight="1">
      <c r="A404" s="1594"/>
      <c r="B404" s="1594"/>
      <c r="C404" s="1594"/>
      <c r="D404" s="1594"/>
      <c r="E404" s="1594"/>
      <c r="F404" s="1594"/>
      <c r="G404" s="1594"/>
      <c r="H404" s="1594"/>
      <c r="I404" s="1594"/>
      <c r="J404" s="1594"/>
      <c r="K404" s="1594"/>
      <c r="L404" s="1594"/>
      <c r="M404" s="1594"/>
      <c r="N404" s="1594"/>
      <c r="O404" s="1594"/>
      <c r="P404" s="1594"/>
      <c r="Q404" s="1594"/>
      <c r="R404" s="1594"/>
      <c r="S404" s="1594"/>
      <c r="T404" s="1594"/>
      <c r="U404" s="1594"/>
      <c r="V404" s="1594"/>
      <c r="W404" s="1594"/>
      <c r="X404" s="1594"/>
      <c r="Y404" s="1594"/>
      <c r="Z404" s="1594"/>
    </row>
    <row r="405" ht="12.75" customHeight="1">
      <c r="A405" s="1594"/>
      <c r="B405" s="1594"/>
      <c r="C405" s="1594"/>
      <c r="D405" s="1594"/>
      <c r="E405" s="1594"/>
      <c r="F405" s="1594"/>
      <c r="G405" s="1594"/>
      <c r="H405" s="1594"/>
      <c r="I405" s="1594"/>
      <c r="J405" s="1594"/>
      <c r="K405" s="1594"/>
      <c r="L405" s="1594"/>
      <c r="M405" s="1594"/>
      <c r="N405" s="1594"/>
      <c r="O405" s="1594"/>
      <c r="P405" s="1594"/>
      <c r="Q405" s="1594"/>
      <c r="R405" s="1594"/>
      <c r="S405" s="1594"/>
      <c r="T405" s="1594"/>
      <c r="U405" s="1594"/>
      <c r="V405" s="1594"/>
      <c r="W405" s="1594"/>
      <c r="X405" s="1594"/>
      <c r="Y405" s="1594"/>
      <c r="Z405" s="1594"/>
    </row>
    <row r="406" ht="12.75" customHeight="1">
      <c r="A406" s="1594"/>
      <c r="B406" s="1594"/>
      <c r="C406" s="1594"/>
      <c r="D406" s="1594"/>
      <c r="E406" s="1594"/>
      <c r="F406" s="1594"/>
      <c r="G406" s="1594"/>
      <c r="H406" s="1594"/>
      <c r="I406" s="1594"/>
      <c r="J406" s="1594"/>
      <c r="K406" s="1594"/>
      <c r="L406" s="1594"/>
      <c r="M406" s="1594"/>
      <c r="N406" s="1594"/>
      <c r="O406" s="1594"/>
      <c r="P406" s="1594"/>
      <c r="Q406" s="1594"/>
      <c r="R406" s="1594"/>
      <c r="S406" s="1594"/>
      <c r="T406" s="1594"/>
      <c r="U406" s="1594"/>
      <c r="V406" s="1594"/>
      <c r="W406" s="1594"/>
      <c r="X406" s="1594"/>
      <c r="Y406" s="1594"/>
      <c r="Z406" s="1594"/>
    </row>
    <row r="407" ht="12.75" customHeight="1">
      <c r="A407" s="1594"/>
      <c r="B407" s="1594"/>
      <c r="C407" s="1594"/>
      <c r="D407" s="1594"/>
      <c r="E407" s="1594"/>
      <c r="F407" s="1594"/>
      <c r="G407" s="1594"/>
      <c r="H407" s="1594"/>
      <c r="I407" s="1594"/>
      <c r="J407" s="1594"/>
      <c r="K407" s="1594"/>
      <c r="L407" s="1594"/>
      <c r="M407" s="1594"/>
      <c r="N407" s="1594"/>
      <c r="O407" s="1594"/>
      <c r="P407" s="1594"/>
      <c r="Q407" s="1594"/>
      <c r="R407" s="1594"/>
      <c r="S407" s="1594"/>
      <c r="T407" s="1594"/>
      <c r="U407" s="1594"/>
      <c r="V407" s="1594"/>
      <c r="W407" s="1594"/>
      <c r="X407" s="1594"/>
      <c r="Y407" s="1594"/>
      <c r="Z407" s="1594"/>
    </row>
    <row r="408" ht="12.75" customHeight="1">
      <c r="A408" s="1594"/>
      <c r="B408" s="1594"/>
      <c r="C408" s="1594"/>
      <c r="D408" s="1594"/>
      <c r="E408" s="1594"/>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row>
    <row r="409" ht="12.75" customHeight="1">
      <c r="A409" s="1594"/>
      <c r="B409" s="1594"/>
      <c r="C409" s="1594"/>
      <c r="D409" s="1594"/>
      <c r="E409" s="1594"/>
      <c r="F409" s="1594"/>
      <c r="G409" s="1594"/>
      <c r="H409" s="1594"/>
      <c r="I409" s="1594"/>
      <c r="J409" s="1594"/>
      <c r="K409" s="1594"/>
      <c r="L409" s="1594"/>
      <c r="M409" s="1594"/>
      <c r="N409" s="1594"/>
      <c r="O409" s="1594"/>
      <c r="P409" s="1594"/>
      <c r="Q409" s="1594"/>
      <c r="R409" s="1594"/>
      <c r="S409" s="1594"/>
      <c r="T409" s="1594"/>
      <c r="U409" s="1594"/>
      <c r="V409" s="1594"/>
      <c r="W409" s="1594"/>
      <c r="X409" s="1594"/>
      <c r="Y409" s="1594"/>
      <c r="Z409" s="1594"/>
    </row>
    <row r="410" ht="12.75" customHeight="1">
      <c r="A410" s="1594"/>
      <c r="B410" s="1594"/>
      <c r="C410" s="1594"/>
      <c r="D410" s="1594"/>
      <c r="E410" s="1594"/>
      <c r="F410" s="1594"/>
      <c r="G410" s="1594"/>
      <c r="H410" s="1594"/>
      <c r="I410" s="1594"/>
      <c r="J410" s="1594"/>
      <c r="K410" s="1594"/>
      <c r="L410" s="1594"/>
      <c r="M410" s="1594"/>
      <c r="N410" s="1594"/>
      <c r="O410" s="1594"/>
      <c r="P410" s="1594"/>
      <c r="Q410" s="1594"/>
      <c r="R410" s="1594"/>
      <c r="S410" s="1594"/>
      <c r="T410" s="1594"/>
      <c r="U410" s="1594"/>
      <c r="V410" s="1594"/>
      <c r="W410" s="1594"/>
      <c r="X410" s="1594"/>
      <c r="Y410" s="1594"/>
      <c r="Z410" s="1594"/>
    </row>
    <row r="411" ht="12.75" customHeight="1">
      <c r="A411" s="1594"/>
      <c r="B411" s="1594"/>
      <c r="C411" s="1594"/>
      <c r="D411" s="1594"/>
      <c r="E411" s="1594"/>
      <c r="F411" s="1594"/>
      <c r="G411" s="1594"/>
      <c r="H411" s="1594"/>
      <c r="I411" s="1594"/>
      <c r="J411" s="1594"/>
      <c r="K411" s="1594"/>
      <c r="L411" s="1594"/>
      <c r="M411" s="1594"/>
      <c r="N411" s="1594"/>
      <c r="O411" s="1594"/>
      <c r="P411" s="1594"/>
      <c r="Q411" s="1594"/>
      <c r="R411" s="1594"/>
      <c r="S411" s="1594"/>
      <c r="T411" s="1594"/>
      <c r="U411" s="1594"/>
      <c r="V411" s="1594"/>
      <c r="W411" s="1594"/>
      <c r="X411" s="1594"/>
      <c r="Y411" s="1594"/>
      <c r="Z411" s="1594"/>
    </row>
    <row r="412" ht="12.75" customHeight="1">
      <c r="A412" s="1594"/>
      <c r="B412" s="1594"/>
      <c r="C412" s="1594"/>
      <c r="D412" s="1594"/>
      <c r="E412" s="1594"/>
      <c r="F412" s="1594"/>
      <c r="G412" s="1594"/>
      <c r="H412" s="1594"/>
      <c r="I412" s="1594"/>
      <c r="J412" s="1594"/>
      <c r="K412" s="1594"/>
      <c r="L412" s="1594"/>
      <c r="M412" s="1594"/>
      <c r="N412" s="1594"/>
      <c r="O412" s="1594"/>
      <c r="P412" s="1594"/>
      <c r="Q412" s="1594"/>
      <c r="R412" s="1594"/>
      <c r="S412" s="1594"/>
      <c r="T412" s="1594"/>
      <c r="U412" s="1594"/>
      <c r="V412" s="1594"/>
      <c r="W412" s="1594"/>
      <c r="X412" s="1594"/>
      <c r="Y412" s="1594"/>
      <c r="Z412" s="1594"/>
    </row>
    <row r="413" ht="12.75" customHeight="1">
      <c r="A413" s="1594"/>
      <c r="B413" s="1594"/>
      <c r="C413" s="1594"/>
      <c r="D413" s="1594"/>
      <c r="E413" s="1594"/>
      <c r="F413" s="1594"/>
      <c r="G413" s="1594"/>
      <c r="H413" s="1594"/>
      <c r="I413" s="1594"/>
      <c r="J413" s="1594"/>
      <c r="K413" s="1594"/>
      <c r="L413" s="1594"/>
      <c r="M413" s="1594"/>
      <c r="N413" s="1594"/>
      <c r="O413" s="1594"/>
      <c r="P413" s="1594"/>
      <c r="Q413" s="1594"/>
      <c r="R413" s="1594"/>
      <c r="S413" s="1594"/>
      <c r="T413" s="1594"/>
      <c r="U413" s="1594"/>
      <c r="V413" s="1594"/>
      <c r="W413" s="1594"/>
      <c r="X413" s="1594"/>
      <c r="Y413" s="1594"/>
      <c r="Z413" s="1594"/>
    </row>
    <row r="414" ht="12.75" customHeight="1">
      <c r="A414" s="1594"/>
      <c r="B414" s="1594"/>
      <c r="C414" s="1594"/>
      <c r="D414" s="1594"/>
      <c r="E414" s="1594"/>
      <c r="F414" s="1594"/>
      <c r="G414" s="1594"/>
      <c r="H414" s="1594"/>
      <c r="I414" s="1594"/>
      <c r="J414" s="1594"/>
      <c r="K414" s="1594"/>
      <c r="L414" s="1594"/>
      <c r="M414" s="1594"/>
      <c r="N414" s="1594"/>
      <c r="O414" s="1594"/>
      <c r="P414" s="1594"/>
      <c r="Q414" s="1594"/>
      <c r="R414" s="1594"/>
      <c r="S414" s="1594"/>
      <c r="T414" s="1594"/>
      <c r="U414" s="1594"/>
      <c r="V414" s="1594"/>
      <c r="W414" s="1594"/>
      <c r="X414" s="1594"/>
      <c r="Y414" s="1594"/>
      <c r="Z414" s="1594"/>
    </row>
    <row r="415" ht="12.75" customHeight="1">
      <c r="A415" s="1594"/>
      <c r="B415" s="1594"/>
      <c r="C415" s="1594"/>
      <c r="D415" s="1594"/>
      <c r="E415" s="1594"/>
      <c r="F415" s="1594"/>
      <c r="G415" s="1594"/>
      <c r="H415" s="1594"/>
      <c r="I415" s="1594"/>
      <c r="J415" s="1594"/>
      <c r="K415" s="1594"/>
      <c r="L415" s="1594"/>
      <c r="M415" s="1594"/>
      <c r="N415" s="1594"/>
      <c r="O415" s="1594"/>
      <c r="P415" s="1594"/>
      <c r="Q415" s="1594"/>
      <c r="R415" s="1594"/>
      <c r="S415" s="1594"/>
      <c r="T415" s="1594"/>
      <c r="U415" s="1594"/>
      <c r="V415" s="1594"/>
      <c r="W415" s="1594"/>
      <c r="X415" s="1594"/>
      <c r="Y415" s="1594"/>
      <c r="Z415" s="1594"/>
    </row>
    <row r="416" ht="12.75" customHeight="1">
      <c r="A416" s="1594"/>
      <c r="B416" s="1594"/>
      <c r="C416" s="1594"/>
      <c r="D416" s="1594"/>
      <c r="E416" s="1594"/>
      <c r="F416" s="1594"/>
      <c r="G416" s="1594"/>
      <c r="H416" s="1594"/>
      <c r="I416" s="1594"/>
      <c r="J416" s="1594"/>
      <c r="K416" s="1594"/>
      <c r="L416" s="1594"/>
      <c r="M416" s="1594"/>
      <c r="N416" s="1594"/>
      <c r="O416" s="1594"/>
      <c r="P416" s="1594"/>
      <c r="Q416" s="1594"/>
      <c r="R416" s="1594"/>
      <c r="S416" s="1594"/>
      <c r="T416" s="1594"/>
      <c r="U416" s="1594"/>
      <c r="V416" s="1594"/>
      <c r="W416" s="1594"/>
      <c r="X416" s="1594"/>
      <c r="Y416" s="1594"/>
      <c r="Z416" s="1594"/>
    </row>
    <row r="417" ht="12.75" customHeight="1">
      <c r="A417" s="1594"/>
      <c r="B417" s="1594"/>
      <c r="C417" s="1594"/>
      <c r="D417" s="1594"/>
      <c r="E417" s="1594"/>
      <c r="F417" s="1594"/>
      <c r="G417" s="1594"/>
      <c r="H417" s="1594"/>
      <c r="I417" s="1594"/>
      <c r="J417" s="1594"/>
      <c r="K417" s="1594"/>
      <c r="L417" s="1594"/>
      <c r="M417" s="1594"/>
      <c r="N417" s="1594"/>
      <c r="O417" s="1594"/>
      <c r="P417" s="1594"/>
      <c r="Q417" s="1594"/>
      <c r="R417" s="1594"/>
      <c r="S417" s="1594"/>
      <c r="T417" s="1594"/>
      <c r="U417" s="1594"/>
      <c r="V417" s="1594"/>
      <c r="W417" s="1594"/>
      <c r="X417" s="1594"/>
      <c r="Y417" s="1594"/>
      <c r="Z417" s="1594"/>
    </row>
    <row r="418" ht="12.75" customHeight="1">
      <c r="A418" s="1594"/>
      <c r="B418" s="1594"/>
      <c r="C418" s="1594"/>
      <c r="D418" s="1594"/>
      <c r="E418" s="1594"/>
      <c r="F418" s="1594"/>
      <c r="G418" s="1594"/>
      <c r="H418" s="1594"/>
      <c r="I418" s="1594"/>
      <c r="J418" s="1594"/>
      <c r="K418" s="1594"/>
      <c r="L418" s="1594"/>
      <c r="M418" s="1594"/>
      <c r="N418" s="1594"/>
      <c r="O418" s="1594"/>
      <c r="P418" s="1594"/>
      <c r="Q418" s="1594"/>
      <c r="R418" s="1594"/>
      <c r="S418" s="1594"/>
      <c r="T418" s="1594"/>
      <c r="U418" s="1594"/>
      <c r="V418" s="1594"/>
      <c r="W418" s="1594"/>
      <c r="X418" s="1594"/>
      <c r="Y418" s="1594"/>
      <c r="Z418" s="1594"/>
    </row>
    <row r="419" ht="12.75" customHeight="1">
      <c r="A419" s="1594"/>
      <c r="B419" s="1594"/>
      <c r="C419" s="1594"/>
      <c r="D419" s="1594"/>
      <c r="E419" s="1594"/>
      <c r="F419" s="1594"/>
      <c r="G419" s="1594"/>
      <c r="H419" s="1594"/>
      <c r="I419" s="1594"/>
      <c r="J419" s="1594"/>
      <c r="K419" s="1594"/>
      <c r="L419" s="1594"/>
      <c r="M419" s="1594"/>
      <c r="N419" s="1594"/>
      <c r="O419" s="1594"/>
      <c r="P419" s="1594"/>
      <c r="Q419" s="1594"/>
      <c r="R419" s="1594"/>
      <c r="S419" s="1594"/>
      <c r="T419" s="1594"/>
      <c r="U419" s="1594"/>
      <c r="V419" s="1594"/>
      <c r="W419" s="1594"/>
      <c r="X419" s="1594"/>
      <c r="Y419" s="1594"/>
      <c r="Z419" s="1594"/>
    </row>
    <row r="420" ht="12.75" customHeight="1">
      <c r="A420" s="1594"/>
      <c r="B420" s="1594"/>
      <c r="C420" s="1594"/>
      <c r="D420" s="1594"/>
      <c r="E420" s="1594"/>
      <c r="F420" s="1594"/>
      <c r="G420" s="1594"/>
      <c r="H420" s="1594"/>
      <c r="I420" s="1594"/>
      <c r="J420" s="1594"/>
      <c r="K420" s="1594"/>
      <c r="L420" s="1594"/>
      <c r="M420" s="1594"/>
      <c r="N420" s="1594"/>
      <c r="O420" s="1594"/>
      <c r="P420" s="1594"/>
      <c r="Q420" s="1594"/>
      <c r="R420" s="1594"/>
      <c r="S420" s="1594"/>
      <c r="T420" s="1594"/>
      <c r="U420" s="1594"/>
      <c r="V420" s="1594"/>
      <c r="W420" s="1594"/>
      <c r="X420" s="1594"/>
      <c r="Y420" s="1594"/>
      <c r="Z420" s="1594"/>
    </row>
    <row r="421" ht="12.75" customHeight="1">
      <c r="A421" s="1594"/>
      <c r="B421" s="1594"/>
      <c r="C421" s="1594"/>
      <c r="D421" s="1594"/>
      <c r="E421" s="1594"/>
      <c r="F421" s="1594"/>
      <c r="G421" s="1594"/>
      <c r="H421" s="1594"/>
      <c r="I421" s="1594"/>
      <c r="J421" s="1594"/>
      <c r="K421" s="1594"/>
      <c r="L421" s="1594"/>
      <c r="M421" s="1594"/>
      <c r="N421" s="1594"/>
      <c r="O421" s="1594"/>
      <c r="P421" s="1594"/>
      <c r="Q421" s="1594"/>
      <c r="R421" s="1594"/>
      <c r="S421" s="1594"/>
      <c r="T421" s="1594"/>
      <c r="U421" s="1594"/>
      <c r="V421" s="1594"/>
      <c r="W421" s="1594"/>
      <c r="X421" s="1594"/>
      <c r="Y421" s="1594"/>
      <c r="Z421" s="1594"/>
    </row>
    <row r="422" ht="12.75" customHeight="1">
      <c r="A422" s="1594"/>
      <c r="B422" s="1594"/>
      <c r="C422" s="1594"/>
      <c r="D422" s="1594"/>
      <c r="E422" s="1594"/>
      <c r="F422" s="1594"/>
      <c r="G422" s="1594"/>
      <c r="H422" s="1594"/>
      <c r="I422" s="1594"/>
      <c r="J422" s="1594"/>
      <c r="K422" s="1594"/>
      <c r="L422" s="1594"/>
      <c r="M422" s="1594"/>
      <c r="N422" s="1594"/>
      <c r="O422" s="1594"/>
      <c r="P422" s="1594"/>
      <c r="Q422" s="1594"/>
      <c r="R422" s="1594"/>
      <c r="S422" s="1594"/>
      <c r="T422" s="1594"/>
      <c r="U422" s="1594"/>
      <c r="V422" s="1594"/>
      <c r="W422" s="1594"/>
      <c r="X422" s="1594"/>
      <c r="Y422" s="1594"/>
      <c r="Z422" s="1594"/>
    </row>
    <row r="423" ht="12.75" customHeight="1">
      <c r="A423" s="1594"/>
      <c r="B423" s="1594"/>
      <c r="C423" s="1594"/>
      <c r="D423" s="1594"/>
      <c r="E423" s="1594"/>
      <c r="F423" s="1594"/>
      <c r="G423" s="1594"/>
      <c r="H423" s="1594"/>
      <c r="I423" s="1594"/>
      <c r="J423" s="1594"/>
      <c r="K423" s="1594"/>
      <c r="L423" s="1594"/>
      <c r="M423" s="1594"/>
      <c r="N423" s="1594"/>
      <c r="O423" s="1594"/>
      <c r="P423" s="1594"/>
      <c r="Q423" s="1594"/>
      <c r="R423" s="1594"/>
      <c r="S423" s="1594"/>
      <c r="T423" s="1594"/>
      <c r="U423" s="1594"/>
      <c r="V423" s="1594"/>
      <c r="W423" s="1594"/>
      <c r="X423" s="1594"/>
      <c r="Y423" s="1594"/>
      <c r="Z423" s="1594"/>
    </row>
    <row r="424" ht="12.75" customHeight="1">
      <c r="A424" s="1594"/>
      <c r="B424" s="1594"/>
      <c r="C424" s="1594"/>
      <c r="D424" s="1594"/>
      <c r="E424" s="1594"/>
      <c r="F424" s="1594"/>
      <c r="G424" s="1594"/>
      <c r="H424" s="1594"/>
      <c r="I424" s="1594"/>
      <c r="J424" s="1594"/>
      <c r="K424" s="1594"/>
      <c r="L424" s="1594"/>
      <c r="M424" s="1594"/>
      <c r="N424" s="1594"/>
      <c r="O424" s="1594"/>
      <c r="P424" s="1594"/>
      <c r="Q424" s="1594"/>
      <c r="R424" s="1594"/>
      <c r="S424" s="1594"/>
      <c r="T424" s="1594"/>
      <c r="U424" s="1594"/>
      <c r="V424" s="1594"/>
      <c r="W424" s="1594"/>
      <c r="X424" s="1594"/>
      <c r="Y424" s="1594"/>
      <c r="Z424" s="1594"/>
    </row>
    <row r="425" ht="12.75" customHeight="1">
      <c r="A425" s="1594"/>
      <c r="B425" s="1594"/>
      <c r="C425" s="1594"/>
      <c r="D425" s="1594"/>
      <c r="E425" s="1594"/>
      <c r="F425" s="1594"/>
      <c r="G425" s="1594"/>
      <c r="H425" s="1594"/>
      <c r="I425" s="1594"/>
      <c r="J425" s="1594"/>
      <c r="K425" s="1594"/>
      <c r="L425" s="1594"/>
      <c r="M425" s="1594"/>
      <c r="N425" s="1594"/>
      <c r="O425" s="1594"/>
      <c r="P425" s="1594"/>
      <c r="Q425" s="1594"/>
      <c r="R425" s="1594"/>
      <c r="S425" s="1594"/>
      <c r="T425" s="1594"/>
      <c r="U425" s="1594"/>
      <c r="V425" s="1594"/>
      <c r="W425" s="1594"/>
      <c r="X425" s="1594"/>
      <c r="Y425" s="1594"/>
      <c r="Z425" s="1594"/>
    </row>
    <row r="426" ht="12.75" customHeight="1">
      <c r="A426" s="1594"/>
      <c r="B426" s="1594"/>
      <c r="C426" s="1594"/>
      <c r="D426" s="1594"/>
      <c r="E426" s="1594"/>
      <c r="F426" s="1594"/>
      <c r="G426" s="1594"/>
      <c r="H426" s="1594"/>
      <c r="I426" s="1594"/>
      <c r="J426" s="1594"/>
      <c r="K426" s="1594"/>
      <c r="L426" s="1594"/>
      <c r="M426" s="1594"/>
      <c r="N426" s="1594"/>
      <c r="O426" s="1594"/>
      <c r="P426" s="1594"/>
      <c r="Q426" s="1594"/>
      <c r="R426" s="1594"/>
      <c r="S426" s="1594"/>
      <c r="T426" s="1594"/>
      <c r="U426" s="1594"/>
      <c r="V426" s="1594"/>
      <c r="W426" s="1594"/>
      <c r="X426" s="1594"/>
      <c r="Y426" s="1594"/>
      <c r="Z426" s="1594"/>
    </row>
    <row r="427" ht="12.75" customHeight="1">
      <c r="A427" s="1594"/>
      <c r="B427" s="1594"/>
      <c r="C427" s="1594"/>
      <c r="D427" s="1594"/>
      <c r="E427" s="1594"/>
      <c r="F427" s="1594"/>
      <c r="G427" s="1594"/>
      <c r="H427" s="1594"/>
      <c r="I427" s="1594"/>
      <c r="J427" s="1594"/>
      <c r="K427" s="1594"/>
      <c r="L427" s="1594"/>
      <c r="M427" s="1594"/>
      <c r="N427" s="1594"/>
      <c r="O427" s="1594"/>
      <c r="P427" s="1594"/>
      <c r="Q427" s="1594"/>
      <c r="R427" s="1594"/>
      <c r="S427" s="1594"/>
      <c r="T427" s="1594"/>
      <c r="U427" s="1594"/>
      <c r="V427" s="1594"/>
      <c r="W427" s="1594"/>
      <c r="X427" s="1594"/>
      <c r="Y427" s="1594"/>
      <c r="Z427" s="1594"/>
    </row>
    <row r="428" ht="12.75" customHeight="1">
      <c r="A428" s="1594"/>
      <c r="B428" s="1594"/>
      <c r="C428" s="1594"/>
      <c r="D428" s="1594"/>
      <c r="E428" s="1594"/>
      <c r="F428" s="1594"/>
      <c r="G428" s="1594"/>
      <c r="H428" s="1594"/>
      <c r="I428" s="1594"/>
      <c r="J428" s="1594"/>
      <c r="K428" s="1594"/>
      <c r="L428" s="1594"/>
      <c r="M428" s="1594"/>
      <c r="N428" s="1594"/>
      <c r="O428" s="1594"/>
      <c r="P428" s="1594"/>
      <c r="Q428" s="1594"/>
      <c r="R428" s="1594"/>
      <c r="S428" s="1594"/>
      <c r="T428" s="1594"/>
      <c r="U428" s="1594"/>
      <c r="V428" s="1594"/>
      <c r="W428" s="1594"/>
      <c r="X428" s="1594"/>
      <c r="Y428" s="1594"/>
      <c r="Z428" s="1594"/>
    </row>
    <row r="429" ht="12.75" customHeight="1">
      <c r="A429" s="1594"/>
      <c r="B429" s="1594"/>
      <c r="C429" s="1594"/>
      <c r="D429" s="1594"/>
      <c r="E429" s="1594"/>
      <c r="F429" s="1594"/>
      <c r="G429" s="1594"/>
      <c r="H429" s="1594"/>
      <c r="I429" s="1594"/>
      <c r="J429" s="1594"/>
      <c r="K429" s="1594"/>
      <c r="L429" s="1594"/>
      <c r="M429" s="1594"/>
      <c r="N429" s="1594"/>
      <c r="O429" s="1594"/>
      <c r="P429" s="1594"/>
      <c r="Q429" s="1594"/>
      <c r="R429" s="1594"/>
      <c r="S429" s="1594"/>
      <c r="T429" s="1594"/>
      <c r="U429" s="1594"/>
      <c r="V429" s="1594"/>
      <c r="W429" s="1594"/>
      <c r="X429" s="1594"/>
      <c r="Y429" s="1594"/>
      <c r="Z429" s="1594"/>
    </row>
    <row r="430" ht="12.75" customHeight="1">
      <c r="A430" s="1594"/>
      <c r="B430" s="1594"/>
      <c r="C430" s="1594"/>
      <c r="D430" s="1594"/>
      <c r="E430" s="1594"/>
      <c r="F430" s="1594"/>
      <c r="G430" s="1594"/>
      <c r="H430" s="1594"/>
      <c r="I430" s="1594"/>
      <c r="J430" s="1594"/>
      <c r="K430" s="1594"/>
      <c r="L430" s="1594"/>
      <c r="M430" s="1594"/>
      <c r="N430" s="1594"/>
      <c r="O430" s="1594"/>
      <c r="P430" s="1594"/>
      <c r="Q430" s="1594"/>
      <c r="R430" s="1594"/>
      <c r="S430" s="1594"/>
      <c r="T430" s="1594"/>
      <c r="U430" s="1594"/>
      <c r="V430" s="1594"/>
      <c r="W430" s="1594"/>
      <c r="X430" s="1594"/>
      <c r="Y430" s="1594"/>
      <c r="Z430" s="1594"/>
    </row>
    <row r="431" ht="12.75" customHeight="1">
      <c r="A431" s="1594"/>
      <c r="B431" s="1594"/>
      <c r="C431" s="1594"/>
      <c r="D431" s="1594"/>
      <c r="E431" s="1594"/>
      <c r="F431" s="1594"/>
      <c r="G431" s="1594"/>
      <c r="H431" s="1594"/>
      <c r="I431" s="1594"/>
      <c r="J431" s="1594"/>
      <c r="K431" s="1594"/>
      <c r="L431" s="1594"/>
      <c r="M431" s="1594"/>
      <c r="N431" s="1594"/>
      <c r="O431" s="1594"/>
      <c r="P431" s="1594"/>
      <c r="Q431" s="1594"/>
      <c r="R431" s="1594"/>
      <c r="S431" s="1594"/>
      <c r="T431" s="1594"/>
      <c r="U431" s="1594"/>
      <c r="V431" s="1594"/>
      <c r="W431" s="1594"/>
      <c r="X431" s="1594"/>
      <c r="Y431" s="1594"/>
      <c r="Z431" s="1594"/>
    </row>
    <row r="432" ht="12.75" customHeight="1">
      <c r="A432" s="1594"/>
      <c r="B432" s="1594"/>
      <c r="C432" s="1594"/>
      <c r="D432" s="1594"/>
      <c r="E432" s="1594"/>
      <c r="F432" s="1594"/>
      <c r="G432" s="1594"/>
      <c r="H432" s="1594"/>
      <c r="I432" s="1594"/>
      <c r="J432" s="1594"/>
      <c r="K432" s="1594"/>
      <c r="L432" s="1594"/>
      <c r="M432" s="1594"/>
      <c r="N432" s="1594"/>
      <c r="O432" s="1594"/>
      <c r="P432" s="1594"/>
      <c r="Q432" s="1594"/>
      <c r="R432" s="1594"/>
      <c r="S432" s="1594"/>
      <c r="T432" s="1594"/>
      <c r="U432" s="1594"/>
      <c r="V432" s="1594"/>
      <c r="W432" s="1594"/>
      <c r="X432" s="1594"/>
      <c r="Y432" s="1594"/>
      <c r="Z432" s="1594"/>
    </row>
    <row r="433" ht="12.75" customHeight="1">
      <c r="A433" s="1594"/>
      <c r="B433" s="1594"/>
      <c r="C433" s="1594"/>
      <c r="D433" s="1594"/>
      <c r="E433" s="1594"/>
      <c r="F433" s="1594"/>
      <c r="G433" s="1594"/>
      <c r="H433" s="1594"/>
      <c r="I433" s="1594"/>
      <c r="J433" s="1594"/>
      <c r="K433" s="1594"/>
      <c r="L433" s="1594"/>
      <c r="M433" s="1594"/>
      <c r="N433" s="1594"/>
      <c r="O433" s="1594"/>
      <c r="P433" s="1594"/>
      <c r="Q433" s="1594"/>
      <c r="R433" s="1594"/>
      <c r="S433" s="1594"/>
      <c r="T433" s="1594"/>
      <c r="U433" s="1594"/>
      <c r="V433" s="1594"/>
      <c r="W433" s="1594"/>
      <c r="X433" s="1594"/>
      <c r="Y433" s="1594"/>
      <c r="Z433" s="1594"/>
    </row>
    <row r="434" ht="12.75" customHeight="1">
      <c r="A434" s="1594"/>
      <c r="B434" s="1594"/>
      <c r="C434" s="1594"/>
      <c r="D434" s="1594"/>
      <c r="E434" s="1594"/>
      <c r="F434" s="1594"/>
      <c r="G434" s="1594"/>
      <c r="H434" s="1594"/>
      <c r="I434" s="1594"/>
      <c r="J434" s="1594"/>
      <c r="K434" s="1594"/>
      <c r="L434" s="1594"/>
      <c r="M434" s="1594"/>
      <c r="N434" s="1594"/>
      <c r="O434" s="1594"/>
      <c r="P434" s="1594"/>
      <c r="Q434" s="1594"/>
      <c r="R434" s="1594"/>
      <c r="S434" s="1594"/>
      <c r="T434" s="1594"/>
      <c r="U434" s="1594"/>
      <c r="V434" s="1594"/>
      <c r="W434" s="1594"/>
      <c r="X434" s="1594"/>
      <c r="Y434" s="1594"/>
      <c r="Z434" s="1594"/>
    </row>
    <row r="435" ht="12.75" customHeight="1">
      <c r="A435" s="1594"/>
      <c r="B435" s="1594"/>
      <c r="C435" s="1594"/>
      <c r="D435" s="1594"/>
      <c r="E435" s="1594"/>
      <c r="F435" s="1594"/>
      <c r="G435" s="1594"/>
      <c r="H435" s="1594"/>
      <c r="I435" s="1594"/>
      <c r="J435" s="1594"/>
      <c r="K435" s="1594"/>
      <c r="L435" s="1594"/>
      <c r="M435" s="1594"/>
      <c r="N435" s="1594"/>
      <c r="O435" s="1594"/>
      <c r="P435" s="1594"/>
      <c r="Q435" s="1594"/>
      <c r="R435" s="1594"/>
      <c r="S435" s="1594"/>
      <c r="T435" s="1594"/>
      <c r="U435" s="1594"/>
      <c r="V435" s="1594"/>
      <c r="W435" s="1594"/>
      <c r="X435" s="1594"/>
      <c r="Y435" s="1594"/>
      <c r="Z435" s="1594"/>
    </row>
    <row r="436" ht="12.75" customHeight="1">
      <c r="A436" s="1594"/>
      <c r="B436" s="1594"/>
      <c r="C436" s="1594"/>
      <c r="D436" s="1594"/>
      <c r="E436" s="1594"/>
      <c r="F436" s="1594"/>
      <c r="G436" s="1594"/>
      <c r="H436" s="1594"/>
      <c r="I436" s="1594"/>
      <c r="J436" s="1594"/>
      <c r="K436" s="1594"/>
      <c r="L436" s="1594"/>
      <c r="M436" s="1594"/>
      <c r="N436" s="1594"/>
      <c r="O436" s="1594"/>
      <c r="P436" s="1594"/>
      <c r="Q436" s="1594"/>
      <c r="R436" s="1594"/>
      <c r="S436" s="1594"/>
      <c r="T436" s="1594"/>
      <c r="U436" s="1594"/>
      <c r="V436" s="1594"/>
      <c r="W436" s="1594"/>
      <c r="X436" s="1594"/>
      <c r="Y436" s="1594"/>
      <c r="Z436" s="1594"/>
    </row>
    <row r="437" ht="12.75" customHeight="1">
      <c r="A437" s="1594"/>
      <c r="B437" s="1594"/>
      <c r="C437" s="1594"/>
      <c r="D437" s="1594"/>
      <c r="E437" s="1594"/>
      <c r="F437" s="1594"/>
      <c r="G437" s="1594"/>
      <c r="H437" s="1594"/>
      <c r="I437" s="1594"/>
      <c r="J437" s="1594"/>
      <c r="K437" s="1594"/>
      <c r="L437" s="1594"/>
      <c r="M437" s="1594"/>
      <c r="N437" s="1594"/>
      <c r="O437" s="1594"/>
      <c r="P437" s="1594"/>
      <c r="Q437" s="1594"/>
      <c r="R437" s="1594"/>
      <c r="S437" s="1594"/>
      <c r="T437" s="1594"/>
      <c r="U437" s="1594"/>
      <c r="V437" s="1594"/>
      <c r="W437" s="1594"/>
      <c r="X437" s="1594"/>
      <c r="Y437" s="1594"/>
      <c r="Z437" s="1594"/>
    </row>
    <row r="438" ht="12.75" customHeight="1">
      <c r="A438" s="1594"/>
      <c r="B438" s="1594"/>
      <c r="C438" s="1594"/>
      <c r="D438" s="1594"/>
      <c r="E438" s="1594"/>
      <c r="F438" s="1594"/>
      <c r="G438" s="1594"/>
      <c r="H438" s="1594"/>
      <c r="I438" s="1594"/>
      <c r="J438" s="1594"/>
      <c r="K438" s="1594"/>
      <c r="L438" s="1594"/>
      <c r="M438" s="1594"/>
      <c r="N438" s="1594"/>
      <c r="O438" s="1594"/>
      <c r="P438" s="1594"/>
      <c r="Q438" s="1594"/>
      <c r="R438" s="1594"/>
      <c r="S438" s="1594"/>
      <c r="T438" s="1594"/>
      <c r="U438" s="1594"/>
      <c r="V438" s="1594"/>
      <c r="W438" s="1594"/>
      <c r="X438" s="1594"/>
      <c r="Y438" s="1594"/>
      <c r="Z438" s="1594"/>
    </row>
    <row r="439" ht="12.75" customHeight="1">
      <c r="A439" s="1594"/>
      <c r="B439" s="1594"/>
      <c r="C439" s="1594"/>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row>
    <row r="440" ht="12.75" customHeight="1">
      <c r="A440" s="1594"/>
      <c r="B440" s="1594"/>
      <c r="C440" s="1594"/>
      <c r="D440" s="1594"/>
      <c r="E440" s="1594"/>
      <c r="F440" s="1594"/>
      <c r="G440" s="1594"/>
      <c r="H440" s="1594"/>
      <c r="I440" s="1594"/>
      <c r="J440" s="1594"/>
      <c r="K440" s="1594"/>
      <c r="L440" s="1594"/>
      <c r="M440" s="1594"/>
      <c r="N440" s="1594"/>
      <c r="O440" s="1594"/>
      <c r="P440" s="1594"/>
      <c r="Q440" s="1594"/>
      <c r="R440" s="1594"/>
      <c r="S440" s="1594"/>
      <c r="T440" s="1594"/>
      <c r="U440" s="1594"/>
      <c r="V440" s="1594"/>
      <c r="W440" s="1594"/>
      <c r="X440" s="1594"/>
      <c r="Y440" s="1594"/>
      <c r="Z440" s="1594"/>
    </row>
    <row r="441" ht="12.75" customHeight="1">
      <c r="A441" s="1594"/>
      <c r="B441" s="1594"/>
      <c r="C441" s="1594"/>
      <c r="D441" s="1594"/>
      <c r="E441" s="1594"/>
      <c r="F441" s="1594"/>
      <c r="G441" s="1594"/>
      <c r="H441" s="1594"/>
      <c r="I441" s="1594"/>
      <c r="J441" s="1594"/>
      <c r="K441" s="1594"/>
      <c r="L441" s="1594"/>
      <c r="M441" s="1594"/>
      <c r="N441" s="1594"/>
      <c r="O441" s="1594"/>
      <c r="P441" s="1594"/>
      <c r="Q441" s="1594"/>
      <c r="R441" s="1594"/>
      <c r="S441" s="1594"/>
      <c r="T441" s="1594"/>
      <c r="U441" s="1594"/>
      <c r="V441" s="1594"/>
      <c r="W441" s="1594"/>
      <c r="X441" s="1594"/>
      <c r="Y441" s="1594"/>
      <c r="Z441" s="1594"/>
    </row>
    <row r="442" ht="12.75" customHeight="1">
      <c r="A442" s="1594"/>
      <c r="B442" s="1594"/>
      <c r="C442" s="1594"/>
      <c r="D442" s="1594"/>
      <c r="E442" s="1594"/>
      <c r="F442" s="1594"/>
      <c r="G442" s="1594"/>
      <c r="H442" s="1594"/>
      <c r="I442" s="1594"/>
      <c r="J442" s="1594"/>
      <c r="K442" s="1594"/>
      <c r="L442" s="1594"/>
      <c r="M442" s="1594"/>
      <c r="N442" s="1594"/>
      <c r="O442" s="1594"/>
      <c r="P442" s="1594"/>
      <c r="Q442" s="1594"/>
      <c r="R442" s="1594"/>
      <c r="S442" s="1594"/>
      <c r="T442" s="1594"/>
      <c r="U442" s="1594"/>
      <c r="V442" s="1594"/>
      <c r="W442" s="1594"/>
      <c r="X442" s="1594"/>
      <c r="Y442" s="1594"/>
      <c r="Z442" s="1594"/>
    </row>
    <row r="443" ht="12.75" customHeight="1">
      <c r="A443" s="1594"/>
      <c r="B443" s="1594"/>
      <c r="C443" s="1594"/>
      <c r="D443" s="1594"/>
      <c r="E443" s="1594"/>
      <c r="F443" s="1594"/>
      <c r="G443" s="1594"/>
      <c r="H443" s="1594"/>
      <c r="I443" s="1594"/>
      <c r="J443" s="1594"/>
      <c r="K443" s="1594"/>
      <c r="L443" s="1594"/>
      <c r="M443" s="1594"/>
      <c r="N443" s="1594"/>
      <c r="O443" s="1594"/>
      <c r="P443" s="1594"/>
      <c r="Q443" s="1594"/>
      <c r="R443" s="1594"/>
      <c r="S443" s="1594"/>
      <c r="T443" s="1594"/>
      <c r="U443" s="1594"/>
      <c r="V443" s="1594"/>
      <c r="W443" s="1594"/>
      <c r="X443" s="1594"/>
      <c r="Y443" s="1594"/>
      <c r="Z443" s="1594"/>
    </row>
    <row r="444" ht="12.75" customHeight="1">
      <c r="A444" s="1594"/>
      <c r="B444" s="1594"/>
      <c r="C444" s="1594"/>
      <c r="D444" s="1594"/>
      <c r="E444" s="1594"/>
      <c r="F444" s="1594"/>
      <c r="G444" s="1594"/>
      <c r="H444" s="1594"/>
      <c r="I444" s="1594"/>
      <c r="J444" s="1594"/>
      <c r="K444" s="1594"/>
      <c r="L444" s="1594"/>
      <c r="M444" s="1594"/>
      <c r="N444" s="1594"/>
      <c r="O444" s="1594"/>
      <c r="P444" s="1594"/>
      <c r="Q444" s="1594"/>
      <c r="R444" s="1594"/>
      <c r="S444" s="1594"/>
      <c r="T444" s="1594"/>
      <c r="U444" s="1594"/>
      <c r="V444" s="1594"/>
      <c r="W444" s="1594"/>
      <c r="X444" s="1594"/>
      <c r="Y444" s="1594"/>
      <c r="Z444" s="1594"/>
    </row>
    <row r="445" ht="12.75" customHeight="1">
      <c r="A445" s="1594"/>
      <c r="B445" s="1594"/>
      <c r="C445" s="1594"/>
      <c r="D445" s="1594"/>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row>
    <row r="446" ht="12.75" customHeight="1">
      <c r="A446" s="1594"/>
      <c r="B446" s="1594"/>
      <c r="C446" s="1594"/>
      <c r="D446" s="1594"/>
      <c r="E446" s="1594"/>
      <c r="F446" s="1594"/>
      <c r="G446" s="1594"/>
      <c r="H446" s="1594"/>
      <c r="I446" s="1594"/>
      <c r="J446" s="1594"/>
      <c r="K446" s="1594"/>
      <c r="L446" s="1594"/>
      <c r="M446" s="1594"/>
      <c r="N446" s="1594"/>
      <c r="O446" s="1594"/>
      <c r="P446" s="1594"/>
      <c r="Q446" s="1594"/>
      <c r="R446" s="1594"/>
      <c r="S446" s="1594"/>
      <c r="T446" s="1594"/>
      <c r="U446" s="1594"/>
      <c r="V446" s="1594"/>
      <c r="W446" s="1594"/>
      <c r="X446" s="1594"/>
      <c r="Y446" s="1594"/>
      <c r="Z446" s="1594"/>
    </row>
    <row r="447" ht="12.75" customHeight="1">
      <c r="A447" s="1594"/>
      <c r="B447" s="1594"/>
      <c r="C447" s="1594"/>
      <c r="D447" s="1594"/>
      <c r="E447" s="1594"/>
      <c r="F447" s="1594"/>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row>
    <row r="448" ht="12.75" customHeight="1">
      <c r="A448" s="1594"/>
      <c r="B448" s="1594"/>
      <c r="C448" s="1594"/>
      <c r="D448" s="1594"/>
      <c r="E448" s="1594"/>
      <c r="F448" s="1594"/>
      <c r="G448" s="1594"/>
      <c r="H448" s="1594"/>
      <c r="I448" s="1594"/>
      <c r="J448" s="1594"/>
      <c r="K448" s="1594"/>
      <c r="L448" s="1594"/>
      <c r="M448" s="1594"/>
      <c r="N448" s="1594"/>
      <c r="O448" s="1594"/>
      <c r="P448" s="1594"/>
      <c r="Q448" s="1594"/>
      <c r="R448" s="1594"/>
      <c r="S448" s="1594"/>
      <c r="T448" s="1594"/>
      <c r="U448" s="1594"/>
      <c r="V448" s="1594"/>
      <c r="W448" s="1594"/>
      <c r="X448" s="1594"/>
      <c r="Y448" s="1594"/>
      <c r="Z448" s="1594"/>
    </row>
    <row r="449" ht="12.75" customHeight="1">
      <c r="A449" s="1594"/>
      <c r="B449" s="1594"/>
      <c r="C449" s="1594"/>
      <c r="D449" s="1594"/>
      <c r="E449" s="1594"/>
      <c r="F449" s="1594"/>
      <c r="G449" s="1594"/>
      <c r="H449" s="1594"/>
      <c r="I449" s="1594"/>
      <c r="J449" s="1594"/>
      <c r="K449" s="1594"/>
      <c r="L449" s="1594"/>
      <c r="M449" s="1594"/>
      <c r="N449" s="1594"/>
      <c r="O449" s="1594"/>
      <c r="P449" s="1594"/>
      <c r="Q449" s="1594"/>
      <c r="R449" s="1594"/>
      <c r="S449" s="1594"/>
      <c r="T449" s="1594"/>
      <c r="U449" s="1594"/>
      <c r="V449" s="1594"/>
      <c r="W449" s="1594"/>
      <c r="X449" s="1594"/>
      <c r="Y449" s="1594"/>
      <c r="Z449" s="1594"/>
    </row>
    <row r="450" ht="12.75" customHeight="1">
      <c r="A450" s="1594"/>
      <c r="B450" s="1594"/>
      <c r="C450" s="1594"/>
      <c r="D450" s="1594"/>
      <c r="E450" s="1594"/>
      <c r="F450" s="1594"/>
      <c r="G450" s="1594"/>
      <c r="H450" s="1594"/>
      <c r="I450" s="1594"/>
      <c r="J450" s="1594"/>
      <c r="K450" s="1594"/>
      <c r="L450" s="1594"/>
      <c r="M450" s="1594"/>
      <c r="N450" s="1594"/>
      <c r="O450" s="1594"/>
      <c r="P450" s="1594"/>
      <c r="Q450" s="1594"/>
      <c r="R450" s="1594"/>
      <c r="S450" s="1594"/>
      <c r="T450" s="1594"/>
      <c r="U450" s="1594"/>
      <c r="V450" s="1594"/>
      <c r="W450" s="1594"/>
      <c r="X450" s="1594"/>
      <c r="Y450" s="1594"/>
      <c r="Z450" s="1594"/>
    </row>
    <row r="451" ht="12.75" customHeight="1">
      <c r="A451" s="1594"/>
      <c r="B451" s="1594"/>
      <c r="C451" s="1594"/>
      <c r="D451" s="1594"/>
      <c r="E451" s="1594"/>
      <c r="F451" s="1594"/>
      <c r="G451" s="1594"/>
      <c r="H451" s="1594"/>
      <c r="I451" s="1594"/>
      <c r="J451" s="1594"/>
      <c r="K451" s="1594"/>
      <c r="L451" s="1594"/>
      <c r="M451" s="1594"/>
      <c r="N451" s="1594"/>
      <c r="O451" s="1594"/>
      <c r="P451" s="1594"/>
      <c r="Q451" s="1594"/>
      <c r="R451" s="1594"/>
      <c r="S451" s="1594"/>
      <c r="T451" s="1594"/>
      <c r="U451" s="1594"/>
      <c r="V451" s="1594"/>
      <c r="W451" s="1594"/>
      <c r="X451" s="1594"/>
      <c r="Y451" s="1594"/>
      <c r="Z451" s="1594"/>
    </row>
    <row r="452" ht="12.75" customHeight="1">
      <c r="A452" s="1594"/>
      <c r="B452" s="1594"/>
      <c r="C452" s="1594"/>
      <c r="D452" s="1594"/>
      <c r="E452" s="1594"/>
      <c r="F452" s="1594"/>
      <c r="G452" s="1594"/>
      <c r="H452" s="1594"/>
      <c r="I452" s="1594"/>
      <c r="J452" s="1594"/>
      <c r="K452" s="1594"/>
      <c r="L452" s="1594"/>
      <c r="M452" s="1594"/>
      <c r="N452" s="1594"/>
      <c r="O452" s="1594"/>
      <c r="P452" s="1594"/>
      <c r="Q452" s="1594"/>
      <c r="R452" s="1594"/>
      <c r="S452" s="1594"/>
      <c r="T452" s="1594"/>
      <c r="U452" s="1594"/>
      <c r="V452" s="1594"/>
      <c r="W452" s="1594"/>
      <c r="X452" s="1594"/>
      <c r="Y452" s="1594"/>
      <c r="Z452" s="1594"/>
    </row>
    <row r="453" ht="12.75" customHeight="1">
      <c r="A453" s="1594"/>
      <c r="B453" s="1594"/>
      <c r="C453" s="1594"/>
      <c r="D453" s="1594"/>
      <c r="E453" s="1594"/>
      <c r="F453" s="1594"/>
      <c r="G453" s="1594"/>
      <c r="H453" s="1594"/>
      <c r="I453" s="1594"/>
      <c r="J453" s="1594"/>
      <c r="K453" s="1594"/>
      <c r="L453" s="1594"/>
      <c r="M453" s="1594"/>
      <c r="N453" s="1594"/>
      <c r="O453" s="1594"/>
      <c r="P453" s="1594"/>
      <c r="Q453" s="1594"/>
      <c r="R453" s="1594"/>
      <c r="S453" s="1594"/>
      <c r="T453" s="1594"/>
      <c r="U453" s="1594"/>
      <c r="V453" s="1594"/>
      <c r="W453" s="1594"/>
      <c r="X453" s="1594"/>
      <c r="Y453" s="1594"/>
      <c r="Z453" s="1594"/>
    </row>
    <row r="454" ht="12.75" customHeight="1">
      <c r="A454" s="1594"/>
      <c r="B454" s="1594"/>
      <c r="C454" s="1594"/>
      <c r="D454" s="1594"/>
      <c r="E454" s="1594"/>
      <c r="F454" s="1594"/>
      <c r="G454" s="1594"/>
      <c r="H454" s="1594"/>
      <c r="I454" s="1594"/>
      <c r="J454" s="1594"/>
      <c r="K454" s="1594"/>
      <c r="L454" s="1594"/>
      <c r="M454" s="1594"/>
      <c r="N454" s="1594"/>
      <c r="O454" s="1594"/>
      <c r="P454" s="1594"/>
      <c r="Q454" s="1594"/>
      <c r="R454" s="1594"/>
      <c r="S454" s="1594"/>
      <c r="T454" s="1594"/>
      <c r="U454" s="1594"/>
      <c r="V454" s="1594"/>
      <c r="W454" s="1594"/>
      <c r="X454" s="1594"/>
      <c r="Y454" s="1594"/>
      <c r="Z454" s="1594"/>
    </row>
    <row r="455" ht="12.75" customHeight="1">
      <c r="A455" s="1594"/>
      <c r="B455" s="1594"/>
      <c r="C455" s="1594"/>
      <c r="D455" s="1594"/>
      <c r="E455" s="1594"/>
      <c r="F455" s="1594"/>
      <c r="G455" s="1594"/>
      <c r="H455" s="1594"/>
      <c r="I455" s="1594"/>
      <c r="J455" s="1594"/>
      <c r="K455" s="1594"/>
      <c r="L455" s="1594"/>
      <c r="M455" s="1594"/>
      <c r="N455" s="1594"/>
      <c r="O455" s="1594"/>
      <c r="P455" s="1594"/>
      <c r="Q455" s="1594"/>
      <c r="R455" s="1594"/>
      <c r="S455" s="1594"/>
      <c r="T455" s="1594"/>
      <c r="U455" s="1594"/>
      <c r="V455" s="1594"/>
      <c r="W455" s="1594"/>
      <c r="X455" s="1594"/>
      <c r="Y455" s="1594"/>
      <c r="Z455" s="1594"/>
    </row>
    <row r="456" ht="12.75" customHeight="1">
      <c r="A456" s="1594"/>
      <c r="B456" s="1594"/>
      <c r="C456" s="1594"/>
      <c r="D456" s="1594"/>
      <c r="E456" s="1594"/>
      <c r="F456" s="1594"/>
      <c r="G456" s="1594"/>
      <c r="H456" s="1594"/>
      <c r="I456" s="1594"/>
      <c r="J456" s="1594"/>
      <c r="K456" s="1594"/>
      <c r="L456" s="1594"/>
      <c r="M456" s="1594"/>
      <c r="N456" s="1594"/>
      <c r="O456" s="1594"/>
      <c r="P456" s="1594"/>
      <c r="Q456" s="1594"/>
      <c r="R456" s="1594"/>
      <c r="S456" s="1594"/>
      <c r="T456" s="1594"/>
      <c r="U456" s="1594"/>
      <c r="V456" s="1594"/>
      <c r="W456" s="1594"/>
      <c r="X456" s="1594"/>
      <c r="Y456" s="1594"/>
      <c r="Z456" s="1594"/>
    </row>
    <row r="457" ht="12.75" customHeight="1">
      <c r="A457" s="1594"/>
      <c r="B457" s="1594"/>
      <c r="C457" s="1594"/>
      <c r="D457" s="1594"/>
      <c r="E457" s="1594"/>
      <c r="F457" s="1594"/>
      <c r="G457" s="1594"/>
      <c r="H457" s="1594"/>
      <c r="I457" s="1594"/>
      <c r="J457" s="1594"/>
      <c r="K457" s="1594"/>
      <c r="L457" s="1594"/>
      <c r="M457" s="1594"/>
      <c r="N457" s="1594"/>
      <c r="O457" s="1594"/>
      <c r="P457" s="1594"/>
      <c r="Q457" s="1594"/>
      <c r="R457" s="1594"/>
      <c r="S457" s="1594"/>
      <c r="T457" s="1594"/>
      <c r="U457" s="1594"/>
      <c r="V457" s="1594"/>
      <c r="W457" s="1594"/>
      <c r="X457" s="1594"/>
      <c r="Y457" s="1594"/>
      <c r="Z457" s="1594"/>
    </row>
    <row r="458" ht="12.75" customHeight="1">
      <c r="A458" s="1594"/>
      <c r="B458" s="1594"/>
      <c r="C458" s="1594"/>
      <c r="D458" s="1594"/>
      <c r="E458" s="1594"/>
      <c r="F458" s="1594"/>
      <c r="G458" s="1594"/>
      <c r="H458" s="1594"/>
      <c r="I458" s="1594"/>
      <c r="J458" s="1594"/>
      <c r="K458" s="1594"/>
      <c r="L458" s="1594"/>
      <c r="M458" s="1594"/>
      <c r="N458" s="1594"/>
      <c r="O458" s="1594"/>
      <c r="P458" s="1594"/>
      <c r="Q458" s="1594"/>
      <c r="R458" s="1594"/>
      <c r="S458" s="1594"/>
      <c r="T458" s="1594"/>
      <c r="U458" s="1594"/>
      <c r="V458" s="1594"/>
      <c r="W458" s="1594"/>
      <c r="X458" s="1594"/>
      <c r="Y458" s="1594"/>
      <c r="Z458" s="1594"/>
    </row>
    <row r="459" ht="12.75" customHeight="1">
      <c r="A459" s="1594"/>
      <c r="B459" s="1594"/>
      <c r="C459" s="1594"/>
      <c r="D459" s="1594"/>
      <c r="E459" s="1594"/>
      <c r="F459" s="1594"/>
      <c r="G459" s="1594"/>
      <c r="H459" s="1594"/>
      <c r="I459" s="1594"/>
      <c r="J459" s="1594"/>
      <c r="K459" s="1594"/>
      <c r="L459" s="1594"/>
      <c r="M459" s="1594"/>
      <c r="N459" s="1594"/>
      <c r="O459" s="1594"/>
      <c r="P459" s="1594"/>
      <c r="Q459" s="1594"/>
      <c r="R459" s="1594"/>
      <c r="S459" s="1594"/>
      <c r="T459" s="1594"/>
      <c r="U459" s="1594"/>
      <c r="V459" s="1594"/>
      <c r="W459" s="1594"/>
      <c r="X459" s="1594"/>
      <c r="Y459" s="1594"/>
      <c r="Z459" s="1594"/>
    </row>
    <row r="460" ht="12.75" customHeight="1">
      <c r="A460" s="1594"/>
      <c r="B460" s="1594"/>
      <c r="C460" s="1594"/>
      <c r="D460" s="1594"/>
      <c r="E460" s="1594"/>
      <c r="F460" s="1594"/>
      <c r="G460" s="1594"/>
      <c r="H460" s="1594"/>
      <c r="I460" s="1594"/>
      <c r="J460" s="1594"/>
      <c r="K460" s="1594"/>
      <c r="L460" s="1594"/>
      <c r="M460" s="1594"/>
      <c r="N460" s="1594"/>
      <c r="O460" s="1594"/>
      <c r="P460" s="1594"/>
      <c r="Q460" s="1594"/>
      <c r="R460" s="1594"/>
      <c r="S460" s="1594"/>
      <c r="T460" s="1594"/>
      <c r="U460" s="1594"/>
      <c r="V460" s="1594"/>
      <c r="W460" s="1594"/>
      <c r="X460" s="1594"/>
      <c r="Y460" s="1594"/>
      <c r="Z460" s="1594"/>
    </row>
    <row r="461" ht="12.75" customHeight="1">
      <c r="A461" s="1594"/>
      <c r="B461" s="1594"/>
      <c r="C461" s="1594"/>
      <c r="D461" s="1594"/>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row>
    <row r="462" ht="12.75" customHeight="1">
      <c r="A462" s="1594"/>
      <c r="B462" s="1594"/>
      <c r="C462" s="1594"/>
      <c r="D462" s="1594"/>
      <c r="E462" s="1594"/>
      <c r="F462" s="1594"/>
      <c r="G462" s="1594"/>
      <c r="H462" s="1594"/>
      <c r="I462" s="1594"/>
      <c r="J462" s="1594"/>
      <c r="K462" s="1594"/>
      <c r="L462" s="1594"/>
      <c r="M462" s="1594"/>
      <c r="N462" s="1594"/>
      <c r="O462" s="1594"/>
      <c r="P462" s="1594"/>
      <c r="Q462" s="1594"/>
      <c r="R462" s="1594"/>
      <c r="S462" s="1594"/>
      <c r="T462" s="1594"/>
      <c r="U462" s="1594"/>
      <c r="V462" s="1594"/>
      <c r="W462" s="1594"/>
      <c r="X462" s="1594"/>
      <c r="Y462" s="1594"/>
      <c r="Z462" s="1594"/>
    </row>
    <row r="463" ht="12.75" customHeight="1">
      <c r="A463" s="1594"/>
      <c r="B463" s="1594"/>
      <c r="C463" s="1594"/>
      <c r="D463" s="1594"/>
      <c r="E463" s="1594"/>
      <c r="F463" s="1594"/>
      <c r="G463" s="1594"/>
      <c r="H463" s="1594"/>
      <c r="I463" s="1594"/>
      <c r="J463" s="1594"/>
      <c r="K463" s="1594"/>
      <c r="L463" s="1594"/>
      <c r="M463" s="1594"/>
      <c r="N463" s="1594"/>
      <c r="O463" s="1594"/>
      <c r="P463" s="1594"/>
      <c r="Q463" s="1594"/>
      <c r="R463" s="1594"/>
      <c r="S463" s="1594"/>
      <c r="T463" s="1594"/>
      <c r="U463" s="1594"/>
      <c r="V463" s="1594"/>
      <c r="W463" s="1594"/>
      <c r="X463" s="1594"/>
      <c r="Y463" s="1594"/>
      <c r="Z463" s="1594"/>
    </row>
    <row r="464" ht="12.75" customHeight="1">
      <c r="A464" s="1594"/>
      <c r="B464" s="1594"/>
      <c r="C464" s="1594"/>
      <c r="D464" s="1594"/>
      <c r="E464" s="1594"/>
      <c r="F464" s="1594"/>
      <c r="G464" s="1594"/>
      <c r="H464" s="1594"/>
      <c r="I464" s="1594"/>
      <c r="J464" s="1594"/>
      <c r="K464" s="1594"/>
      <c r="L464" s="1594"/>
      <c r="M464" s="1594"/>
      <c r="N464" s="1594"/>
      <c r="O464" s="1594"/>
      <c r="P464" s="1594"/>
      <c r="Q464" s="1594"/>
      <c r="R464" s="1594"/>
      <c r="S464" s="1594"/>
      <c r="T464" s="1594"/>
      <c r="U464" s="1594"/>
      <c r="V464" s="1594"/>
      <c r="W464" s="1594"/>
      <c r="X464" s="1594"/>
      <c r="Y464" s="1594"/>
      <c r="Z464" s="1594"/>
    </row>
    <row r="465" ht="12.75" customHeight="1">
      <c r="A465" s="1594"/>
      <c r="B465" s="1594"/>
      <c r="C465" s="1594"/>
      <c r="D465" s="1594"/>
      <c r="E465" s="1594"/>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row>
    <row r="466" ht="12.75" customHeight="1">
      <c r="A466" s="1594"/>
      <c r="B466" s="1594"/>
      <c r="C466" s="1594"/>
      <c r="D466" s="1594"/>
      <c r="E466" s="1594"/>
      <c r="F466" s="1594"/>
      <c r="G466" s="1594"/>
      <c r="H466" s="1594"/>
      <c r="I466" s="1594"/>
      <c r="J466" s="1594"/>
      <c r="K466" s="1594"/>
      <c r="L466" s="1594"/>
      <c r="M466" s="1594"/>
      <c r="N466" s="1594"/>
      <c r="O466" s="1594"/>
      <c r="P466" s="1594"/>
      <c r="Q466" s="1594"/>
      <c r="R466" s="1594"/>
      <c r="S466" s="1594"/>
      <c r="T466" s="1594"/>
      <c r="U466" s="1594"/>
      <c r="V466" s="1594"/>
      <c r="W466" s="1594"/>
      <c r="X466" s="1594"/>
      <c r="Y466" s="1594"/>
      <c r="Z466" s="1594"/>
    </row>
    <row r="467" ht="12.75" customHeight="1">
      <c r="A467" s="1594"/>
      <c r="B467" s="1594"/>
      <c r="C467" s="1594"/>
      <c r="D467" s="1594"/>
      <c r="E467" s="1594"/>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row>
    <row r="468" ht="12.75" customHeight="1">
      <c r="A468" s="1594"/>
      <c r="B468" s="1594"/>
      <c r="C468" s="1594"/>
      <c r="D468" s="1594"/>
      <c r="E468" s="1594"/>
      <c r="F468" s="1594"/>
      <c r="G468" s="1594"/>
      <c r="H468" s="1594"/>
      <c r="I468" s="1594"/>
      <c r="J468" s="1594"/>
      <c r="K468" s="1594"/>
      <c r="L468" s="1594"/>
      <c r="M468" s="1594"/>
      <c r="N468" s="1594"/>
      <c r="O468" s="1594"/>
      <c r="P468" s="1594"/>
      <c r="Q468" s="1594"/>
      <c r="R468" s="1594"/>
      <c r="S468" s="1594"/>
      <c r="T468" s="1594"/>
      <c r="U468" s="1594"/>
      <c r="V468" s="1594"/>
      <c r="W468" s="1594"/>
      <c r="X468" s="1594"/>
      <c r="Y468" s="1594"/>
      <c r="Z468" s="1594"/>
    </row>
    <row r="469" ht="12.75" customHeight="1">
      <c r="A469" s="1594"/>
      <c r="B469" s="1594"/>
      <c r="C469" s="1594"/>
      <c r="D469" s="1594"/>
      <c r="E469" s="1594"/>
      <c r="F469" s="1594"/>
      <c r="G469" s="1594"/>
      <c r="H469" s="1594"/>
      <c r="I469" s="1594"/>
      <c r="J469" s="1594"/>
      <c r="K469" s="1594"/>
      <c r="L469" s="1594"/>
      <c r="M469" s="1594"/>
      <c r="N469" s="1594"/>
      <c r="O469" s="1594"/>
      <c r="P469" s="1594"/>
      <c r="Q469" s="1594"/>
      <c r="R469" s="1594"/>
      <c r="S469" s="1594"/>
      <c r="T469" s="1594"/>
      <c r="U469" s="1594"/>
      <c r="V469" s="1594"/>
      <c r="W469" s="1594"/>
      <c r="X469" s="1594"/>
      <c r="Y469" s="1594"/>
      <c r="Z469" s="1594"/>
    </row>
    <row r="470" ht="12.75" customHeight="1">
      <c r="A470" s="1594"/>
      <c r="B470" s="1594"/>
      <c r="C470" s="1594"/>
      <c r="D470" s="1594"/>
      <c r="E470" s="1594"/>
      <c r="F470" s="1594"/>
      <c r="G470" s="1594"/>
      <c r="H470" s="1594"/>
      <c r="I470" s="1594"/>
      <c r="J470" s="1594"/>
      <c r="K470" s="1594"/>
      <c r="L470" s="1594"/>
      <c r="M470" s="1594"/>
      <c r="N470" s="1594"/>
      <c r="O470" s="1594"/>
      <c r="P470" s="1594"/>
      <c r="Q470" s="1594"/>
      <c r="R470" s="1594"/>
      <c r="S470" s="1594"/>
      <c r="T470" s="1594"/>
      <c r="U470" s="1594"/>
      <c r="V470" s="1594"/>
      <c r="W470" s="1594"/>
      <c r="X470" s="1594"/>
      <c r="Y470" s="1594"/>
      <c r="Z470" s="1594"/>
    </row>
    <row r="471" ht="12.75" customHeight="1">
      <c r="A471" s="1594"/>
      <c r="B471" s="1594"/>
      <c r="C471" s="1594"/>
      <c r="D471" s="1594"/>
      <c r="E471" s="1594"/>
      <c r="F471" s="1594"/>
      <c r="G471" s="1594"/>
      <c r="H471" s="1594"/>
      <c r="I471" s="1594"/>
      <c r="J471" s="1594"/>
      <c r="K471" s="1594"/>
      <c r="L471" s="1594"/>
      <c r="M471" s="1594"/>
      <c r="N471" s="1594"/>
      <c r="O471" s="1594"/>
      <c r="P471" s="1594"/>
      <c r="Q471" s="1594"/>
      <c r="R471" s="1594"/>
      <c r="S471" s="1594"/>
      <c r="T471" s="1594"/>
      <c r="U471" s="1594"/>
      <c r="V471" s="1594"/>
      <c r="W471" s="1594"/>
      <c r="X471" s="1594"/>
      <c r="Y471" s="1594"/>
      <c r="Z471" s="1594"/>
    </row>
    <row r="472" ht="12.75" customHeight="1">
      <c r="A472" s="1594"/>
      <c r="B472" s="1594"/>
      <c r="C472" s="1594"/>
      <c r="D472" s="1594"/>
      <c r="E472" s="1594"/>
      <c r="F472" s="1594"/>
      <c r="G472" s="1594"/>
      <c r="H472" s="1594"/>
      <c r="I472" s="1594"/>
      <c r="J472" s="1594"/>
      <c r="K472" s="1594"/>
      <c r="L472" s="1594"/>
      <c r="M472" s="1594"/>
      <c r="N472" s="1594"/>
      <c r="O472" s="1594"/>
      <c r="P472" s="1594"/>
      <c r="Q472" s="1594"/>
      <c r="R472" s="1594"/>
      <c r="S472" s="1594"/>
      <c r="T472" s="1594"/>
      <c r="U472" s="1594"/>
      <c r="V472" s="1594"/>
      <c r="W472" s="1594"/>
      <c r="X472" s="1594"/>
      <c r="Y472" s="1594"/>
      <c r="Z472" s="1594"/>
    </row>
    <row r="473" ht="12.75" customHeight="1">
      <c r="A473" s="1594"/>
      <c r="B473" s="1594"/>
      <c r="C473" s="1594"/>
      <c r="D473" s="1594"/>
      <c r="E473" s="1594"/>
      <c r="F473" s="1594"/>
      <c r="G473" s="1594"/>
      <c r="H473" s="1594"/>
      <c r="I473" s="1594"/>
      <c r="J473" s="1594"/>
      <c r="K473" s="1594"/>
      <c r="L473" s="1594"/>
      <c r="M473" s="1594"/>
      <c r="N473" s="1594"/>
      <c r="O473" s="1594"/>
      <c r="P473" s="1594"/>
      <c r="Q473" s="1594"/>
      <c r="R473" s="1594"/>
      <c r="S473" s="1594"/>
      <c r="T473" s="1594"/>
      <c r="U473" s="1594"/>
      <c r="V473" s="1594"/>
      <c r="W473" s="1594"/>
      <c r="X473" s="1594"/>
      <c r="Y473" s="1594"/>
      <c r="Z473" s="1594"/>
    </row>
    <row r="474" ht="12.75" customHeight="1">
      <c r="A474" s="1594"/>
      <c r="B474" s="1594"/>
      <c r="C474" s="1594"/>
      <c r="D474" s="1594"/>
      <c r="E474" s="1594"/>
      <c r="F474" s="1594"/>
      <c r="G474" s="1594"/>
      <c r="H474" s="1594"/>
      <c r="I474" s="1594"/>
      <c r="J474" s="1594"/>
      <c r="K474" s="1594"/>
      <c r="L474" s="1594"/>
      <c r="M474" s="1594"/>
      <c r="N474" s="1594"/>
      <c r="O474" s="1594"/>
      <c r="P474" s="1594"/>
      <c r="Q474" s="1594"/>
      <c r="R474" s="1594"/>
      <c r="S474" s="1594"/>
      <c r="T474" s="1594"/>
      <c r="U474" s="1594"/>
      <c r="V474" s="1594"/>
      <c r="W474" s="1594"/>
      <c r="X474" s="1594"/>
      <c r="Y474" s="1594"/>
      <c r="Z474" s="1594"/>
    </row>
    <row r="475" ht="12.75" customHeight="1">
      <c r="A475" s="1594"/>
      <c r="B475" s="1594"/>
      <c r="C475" s="1594"/>
      <c r="D475" s="1594"/>
      <c r="E475" s="1594"/>
      <c r="F475" s="1594"/>
      <c r="G475" s="1594"/>
      <c r="H475" s="1594"/>
      <c r="I475" s="1594"/>
      <c r="J475" s="1594"/>
      <c r="K475" s="1594"/>
      <c r="L475" s="1594"/>
      <c r="M475" s="1594"/>
      <c r="N475" s="1594"/>
      <c r="O475" s="1594"/>
      <c r="P475" s="1594"/>
      <c r="Q475" s="1594"/>
      <c r="R475" s="1594"/>
      <c r="S475" s="1594"/>
      <c r="T475" s="1594"/>
      <c r="U475" s="1594"/>
      <c r="V475" s="1594"/>
      <c r="W475" s="1594"/>
      <c r="X475" s="1594"/>
      <c r="Y475" s="1594"/>
      <c r="Z475" s="1594"/>
    </row>
    <row r="476" ht="12.75" customHeight="1">
      <c r="A476" s="1594"/>
      <c r="B476" s="1594"/>
      <c r="C476" s="1594"/>
      <c r="D476" s="1594"/>
      <c r="E476" s="1594"/>
      <c r="F476" s="1594"/>
      <c r="G476" s="1594"/>
      <c r="H476" s="1594"/>
      <c r="I476" s="1594"/>
      <c r="J476" s="1594"/>
      <c r="K476" s="1594"/>
      <c r="L476" s="1594"/>
      <c r="M476" s="1594"/>
      <c r="N476" s="1594"/>
      <c r="O476" s="1594"/>
      <c r="P476" s="1594"/>
      <c r="Q476" s="1594"/>
      <c r="R476" s="1594"/>
      <c r="S476" s="1594"/>
      <c r="T476" s="1594"/>
      <c r="U476" s="1594"/>
      <c r="V476" s="1594"/>
      <c r="W476" s="1594"/>
      <c r="X476" s="1594"/>
      <c r="Y476" s="1594"/>
      <c r="Z476" s="1594"/>
    </row>
    <row r="477" ht="12.75" customHeight="1">
      <c r="A477" s="1594"/>
      <c r="B477" s="1594"/>
      <c r="C477" s="1594"/>
      <c r="D477" s="1594"/>
      <c r="E477" s="1594"/>
      <c r="F477" s="1594"/>
      <c r="G477" s="1594"/>
      <c r="H477" s="1594"/>
      <c r="I477" s="1594"/>
      <c r="J477" s="1594"/>
      <c r="K477" s="1594"/>
      <c r="L477" s="1594"/>
      <c r="M477" s="1594"/>
      <c r="N477" s="1594"/>
      <c r="O477" s="1594"/>
      <c r="P477" s="1594"/>
      <c r="Q477" s="1594"/>
      <c r="R477" s="1594"/>
      <c r="S477" s="1594"/>
      <c r="T477" s="1594"/>
      <c r="U477" s="1594"/>
      <c r="V477" s="1594"/>
      <c r="W477" s="1594"/>
      <c r="X477" s="1594"/>
      <c r="Y477" s="1594"/>
      <c r="Z477" s="1594"/>
    </row>
    <row r="478" ht="12.75" customHeight="1">
      <c r="A478" s="1594"/>
      <c r="B478" s="1594"/>
      <c r="C478" s="1594"/>
      <c r="D478" s="1594"/>
      <c r="E478" s="1594"/>
      <c r="F478" s="1594"/>
      <c r="G478" s="1594"/>
      <c r="H478" s="1594"/>
      <c r="I478" s="1594"/>
      <c r="J478" s="1594"/>
      <c r="K478" s="1594"/>
      <c r="L478" s="1594"/>
      <c r="M478" s="1594"/>
      <c r="N478" s="1594"/>
      <c r="O478" s="1594"/>
      <c r="P478" s="1594"/>
      <c r="Q478" s="1594"/>
      <c r="R478" s="1594"/>
      <c r="S478" s="1594"/>
      <c r="T478" s="1594"/>
      <c r="U478" s="1594"/>
      <c r="V478" s="1594"/>
      <c r="W478" s="1594"/>
      <c r="X478" s="1594"/>
      <c r="Y478" s="1594"/>
      <c r="Z478" s="1594"/>
    </row>
    <row r="479" ht="12.75" customHeight="1">
      <c r="A479" s="1594"/>
      <c r="B479" s="1594"/>
      <c r="C479" s="1594"/>
      <c r="D479" s="1594"/>
      <c r="E479" s="1594"/>
      <c r="F479" s="1594"/>
      <c r="G479" s="1594"/>
      <c r="H479" s="1594"/>
      <c r="I479" s="1594"/>
      <c r="J479" s="1594"/>
      <c r="K479" s="1594"/>
      <c r="L479" s="1594"/>
      <c r="M479" s="1594"/>
      <c r="N479" s="1594"/>
      <c r="O479" s="1594"/>
      <c r="P479" s="1594"/>
      <c r="Q479" s="1594"/>
      <c r="R479" s="1594"/>
      <c r="S479" s="1594"/>
      <c r="T479" s="1594"/>
      <c r="U479" s="1594"/>
      <c r="V479" s="1594"/>
      <c r="W479" s="1594"/>
      <c r="X479" s="1594"/>
      <c r="Y479" s="1594"/>
      <c r="Z479" s="1594"/>
    </row>
    <row r="480" ht="12.75" customHeight="1">
      <c r="A480" s="1594"/>
      <c r="B480" s="1594"/>
      <c r="C480" s="1594"/>
      <c r="D480" s="1594"/>
      <c r="E480" s="1594"/>
      <c r="F480" s="1594"/>
      <c r="G480" s="1594"/>
      <c r="H480" s="1594"/>
      <c r="I480" s="1594"/>
      <c r="J480" s="1594"/>
      <c r="K480" s="1594"/>
      <c r="L480" s="1594"/>
      <c r="M480" s="1594"/>
      <c r="N480" s="1594"/>
      <c r="O480" s="1594"/>
      <c r="P480" s="1594"/>
      <c r="Q480" s="1594"/>
      <c r="R480" s="1594"/>
      <c r="S480" s="1594"/>
      <c r="T480" s="1594"/>
      <c r="U480" s="1594"/>
      <c r="V480" s="1594"/>
      <c r="W480" s="1594"/>
      <c r="X480" s="1594"/>
      <c r="Y480" s="1594"/>
      <c r="Z480" s="1594"/>
    </row>
    <row r="481" ht="12.75" customHeight="1">
      <c r="A481" s="1594"/>
      <c r="B481" s="1594"/>
      <c r="C481" s="1594"/>
      <c r="D481" s="1594"/>
      <c r="E481" s="1594"/>
      <c r="F481" s="1594"/>
      <c r="G481" s="1594"/>
      <c r="H481" s="1594"/>
      <c r="I481" s="1594"/>
      <c r="J481" s="1594"/>
      <c r="K481" s="1594"/>
      <c r="L481" s="1594"/>
      <c r="M481" s="1594"/>
      <c r="N481" s="1594"/>
      <c r="O481" s="1594"/>
      <c r="P481" s="1594"/>
      <c r="Q481" s="1594"/>
      <c r="R481" s="1594"/>
      <c r="S481" s="1594"/>
      <c r="T481" s="1594"/>
      <c r="U481" s="1594"/>
      <c r="V481" s="1594"/>
      <c r="W481" s="1594"/>
      <c r="X481" s="1594"/>
      <c r="Y481" s="1594"/>
      <c r="Z481" s="1594"/>
    </row>
    <row r="482" ht="12.75" customHeight="1">
      <c r="A482" s="1594"/>
      <c r="B482" s="1594"/>
      <c r="C482" s="1594"/>
      <c r="D482" s="1594"/>
      <c r="E482" s="1594"/>
      <c r="F482" s="1594"/>
      <c r="G482" s="1594"/>
      <c r="H482" s="1594"/>
      <c r="I482" s="1594"/>
      <c r="J482" s="1594"/>
      <c r="K482" s="1594"/>
      <c r="L482" s="1594"/>
      <c r="M482" s="1594"/>
      <c r="N482" s="1594"/>
      <c r="O482" s="1594"/>
      <c r="P482" s="1594"/>
      <c r="Q482" s="1594"/>
      <c r="R482" s="1594"/>
      <c r="S482" s="1594"/>
      <c r="T482" s="1594"/>
      <c r="U482" s="1594"/>
      <c r="V482" s="1594"/>
      <c r="W482" s="1594"/>
      <c r="X482" s="1594"/>
      <c r="Y482" s="1594"/>
      <c r="Z482" s="1594"/>
    </row>
    <row r="483" ht="12.75" customHeight="1">
      <c r="A483" s="1594"/>
      <c r="B483" s="1594"/>
      <c r="C483" s="1594"/>
      <c r="D483" s="1594"/>
      <c r="E483" s="1594"/>
      <c r="F483" s="1594"/>
      <c r="G483" s="1594"/>
      <c r="H483" s="1594"/>
      <c r="I483" s="1594"/>
      <c r="J483" s="1594"/>
      <c r="K483" s="1594"/>
      <c r="L483" s="1594"/>
      <c r="M483" s="1594"/>
      <c r="N483" s="1594"/>
      <c r="O483" s="1594"/>
      <c r="P483" s="1594"/>
      <c r="Q483" s="1594"/>
      <c r="R483" s="1594"/>
      <c r="S483" s="1594"/>
      <c r="T483" s="1594"/>
      <c r="U483" s="1594"/>
      <c r="V483" s="1594"/>
      <c r="W483" s="1594"/>
      <c r="X483" s="1594"/>
      <c r="Y483" s="1594"/>
      <c r="Z483" s="1594"/>
    </row>
    <row r="484" ht="12.75" customHeight="1">
      <c r="A484" s="1594"/>
      <c r="B484" s="1594"/>
      <c r="C484" s="1594"/>
      <c r="D484" s="1594"/>
      <c r="E484" s="1594"/>
      <c r="F484" s="1594"/>
      <c r="G484" s="1594"/>
      <c r="H484" s="1594"/>
      <c r="I484" s="1594"/>
      <c r="J484" s="1594"/>
      <c r="K484" s="1594"/>
      <c r="L484" s="1594"/>
      <c r="M484" s="1594"/>
      <c r="N484" s="1594"/>
      <c r="O484" s="1594"/>
      <c r="P484" s="1594"/>
      <c r="Q484" s="1594"/>
      <c r="R484" s="1594"/>
      <c r="S484" s="1594"/>
      <c r="T484" s="1594"/>
      <c r="U484" s="1594"/>
      <c r="V484" s="1594"/>
      <c r="W484" s="1594"/>
      <c r="X484" s="1594"/>
      <c r="Y484" s="1594"/>
      <c r="Z484" s="1594"/>
    </row>
    <row r="485" ht="12.75" customHeight="1">
      <c r="A485" s="1594"/>
      <c r="B485" s="1594"/>
      <c r="C485" s="1594"/>
      <c r="D485" s="1594"/>
      <c r="E485" s="1594"/>
      <c r="F485" s="1594"/>
      <c r="G485" s="1594"/>
      <c r="H485" s="1594"/>
      <c r="I485" s="1594"/>
      <c r="J485" s="1594"/>
      <c r="K485" s="1594"/>
      <c r="L485" s="1594"/>
      <c r="M485" s="1594"/>
      <c r="N485" s="1594"/>
      <c r="O485" s="1594"/>
      <c r="P485" s="1594"/>
      <c r="Q485" s="1594"/>
      <c r="R485" s="1594"/>
      <c r="S485" s="1594"/>
      <c r="T485" s="1594"/>
      <c r="U485" s="1594"/>
      <c r="V485" s="1594"/>
      <c r="W485" s="1594"/>
      <c r="X485" s="1594"/>
      <c r="Y485" s="1594"/>
      <c r="Z485" s="1594"/>
    </row>
    <row r="486" ht="12.75" customHeight="1">
      <c r="A486" s="1594"/>
      <c r="B486" s="1594"/>
      <c r="C486" s="1594"/>
      <c r="D486" s="1594"/>
      <c r="E486" s="1594"/>
      <c r="F486" s="1594"/>
      <c r="G486" s="1594"/>
      <c r="H486" s="1594"/>
      <c r="I486" s="1594"/>
      <c r="J486" s="1594"/>
      <c r="K486" s="1594"/>
      <c r="L486" s="1594"/>
      <c r="M486" s="1594"/>
      <c r="N486" s="1594"/>
      <c r="O486" s="1594"/>
      <c r="P486" s="1594"/>
      <c r="Q486" s="1594"/>
      <c r="R486" s="1594"/>
      <c r="S486" s="1594"/>
      <c r="T486" s="1594"/>
      <c r="U486" s="1594"/>
      <c r="V486" s="1594"/>
      <c r="W486" s="1594"/>
      <c r="X486" s="1594"/>
      <c r="Y486" s="1594"/>
      <c r="Z486" s="1594"/>
    </row>
    <row r="487" ht="12.75" customHeight="1">
      <c r="A487" s="1594"/>
      <c r="B487" s="1594"/>
      <c r="C487" s="1594"/>
      <c r="D487" s="1594"/>
      <c r="E487" s="1594"/>
      <c r="F487" s="1594"/>
      <c r="G487" s="1594"/>
      <c r="H487" s="1594"/>
      <c r="I487" s="1594"/>
      <c r="J487" s="1594"/>
      <c r="K487" s="1594"/>
      <c r="L487" s="1594"/>
      <c r="M487" s="1594"/>
      <c r="N487" s="1594"/>
      <c r="O487" s="1594"/>
      <c r="P487" s="1594"/>
      <c r="Q487" s="1594"/>
      <c r="R487" s="1594"/>
      <c r="S487" s="1594"/>
      <c r="T487" s="1594"/>
      <c r="U487" s="1594"/>
      <c r="V487" s="1594"/>
      <c r="W487" s="1594"/>
      <c r="X487" s="1594"/>
      <c r="Y487" s="1594"/>
      <c r="Z487" s="1594"/>
    </row>
    <row r="488" ht="12.75" customHeight="1">
      <c r="A488" s="1594"/>
      <c r="B488" s="1594"/>
      <c r="C488" s="1594"/>
      <c r="D488" s="1594"/>
      <c r="E488" s="1594"/>
      <c r="F488" s="1594"/>
      <c r="G488" s="1594"/>
      <c r="H488" s="1594"/>
      <c r="I488" s="1594"/>
      <c r="J488" s="1594"/>
      <c r="K488" s="1594"/>
      <c r="L488" s="1594"/>
      <c r="M488" s="1594"/>
      <c r="N488" s="1594"/>
      <c r="O488" s="1594"/>
      <c r="P488" s="1594"/>
      <c r="Q488" s="1594"/>
      <c r="R488" s="1594"/>
      <c r="S488" s="1594"/>
      <c r="T488" s="1594"/>
      <c r="U488" s="1594"/>
      <c r="V488" s="1594"/>
      <c r="W488" s="1594"/>
      <c r="X488" s="1594"/>
      <c r="Y488" s="1594"/>
      <c r="Z488" s="1594"/>
    </row>
    <row r="489" ht="12.75" customHeight="1">
      <c r="A489" s="1594"/>
      <c r="B489" s="1594"/>
      <c r="C489" s="1594"/>
      <c r="D489" s="1594"/>
      <c r="E489" s="1594"/>
      <c r="F489" s="1594"/>
      <c r="G489" s="1594"/>
      <c r="H489" s="1594"/>
      <c r="I489" s="1594"/>
      <c r="J489" s="1594"/>
      <c r="K489" s="1594"/>
      <c r="L489" s="1594"/>
      <c r="M489" s="1594"/>
      <c r="N489" s="1594"/>
      <c r="O489" s="1594"/>
      <c r="P489" s="1594"/>
      <c r="Q489" s="1594"/>
      <c r="R489" s="1594"/>
      <c r="S489" s="1594"/>
      <c r="T489" s="1594"/>
      <c r="U489" s="1594"/>
      <c r="V489" s="1594"/>
      <c r="W489" s="1594"/>
      <c r="X489" s="1594"/>
      <c r="Y489" s="1594"/>
      <c r="Z489" s="1594"/>
    </row>
    <row r="490" ht="12.75" customHeight="1">
      <c r="A490" s="1594"/>
      <c r="B490" s="1594"/>
      <c r="C490" s="1594"/>
      <c r="D490" s="1594"/>
      <c r="E490" s="1594"/>
      <c r="F490" s="1594"/>
      <c r="G490" s="1594"/>
      <c r="H490" s="1594"/>
      <c r="I490" s="1594"/>
      <c r="J490" s="1594"/>
      <c r="K490" s="1594"/>
      <c r="L490" s="1594"/>
      <c r="M490" s="1594"/>
      <c r="N490" s="1594"/>
      <c r="O490" s="1594"/>
      <c r="P490" s="1594"/>
      <c r="Q490" s="1594"/>
      <c r="R490" s="1594"/>
      <c r="S490" s="1594"/>
      <c r="T490" s="1594"/>
      <c r="U490" s="1594"/>
      <c r="V490" s="1594"/>
      <c r="W490" s="1594"/>
      <c r="X490" s="1594"/>
      <c r="Y490" s="1594"/>
      <c r="Z490" s="1594"/>
    </row>
    <row r="491" ht="12.75" customHeight="1">
      <c r="A491" s="1594"/>
      <c r="B491" s="1594"/>
      <c r="C491" s="1594"/>
      <c r="D491" s="1594"/>
      <c r="E491" s="1594"/>
      <c r="F491" s="1594"/>
      <c r="G491" s="1594"/>
      <c r="H491" s="1594"/>
      <c r="I491" s="1594"/>
      <c r="J491" s="1594"/>
      <c r="K491" s="1594"/>
      <c r="L491" s="1594"/>
      <c r="M491" s="1594"/>
      <c r="N491" s="1594"/>
      <c r="O491" s="1594"/>
      <c r="P491" s="1594"/>
      <c r="Q491" s="1594"/>
      <c r="R491" s="1594"/>
      <c r="S491" s="1594"/>
      <c r="T491" s="1594"/>
      <c r="U491" s="1594"/>
      <c r="V491" s="1594"/>
      <c r="W491" s="1594"/>
      <c r="X491" s="1594"/>
      <c r="Y491" s="1594"/>
      <c r="Z491" s="1594"/>
    </row>
    <row r="492" ht="12.75" customHeight="1">
      <c r="A492" s="1594"/>
      <c r="B492" s="1594"/>
      <c r="C492" s="1594"/>
      <c r="D492" s="1594"/>
      <c r="E492" s="1594"/>
      <c r="F492" s="1594"/>
      <c r="G492" s="1594"/>
      <c r="H492" s="1594"/>
      <c r="I492" s="1594"/>
      <c r="J492" s="1594"/>
      <c r="K492" s="1594"/>
      <c r="L492" s="1594"/>
      <c r="M492" s="1594"/>
      <c r="N492" s="1594"/>
      <c r="O492" s="1594"/>
      <c r="P492" s="1594"/>
      <c r="Q492" s="1594"/>
      <c r="R492" s="1594"/>
      <c r="S492" s="1594"/>
      <c r="T492" s="1594"/>
      <c r="U492" s="1594"/>
      <c r="V492" s="1594"/>
      <c r="W492" s="1594"/>
      <c r="X492" s="1594"/>
      <c r="Y492" s="1594"/>
      <c r="Z492" s="1594"/>
    </row>
    <row r="493" ht="12.75" customHeight="1">
      <c r="A493" s="1594"/>
      <c r="B493" s="1594"/>
      <c r="C493" s="1594"/>
      <c r="D493" s="1594"/>
      <c r="E493" s="1594"/>
      <c r="F493" s="1594"/>
      <c r="G493" s="1594"/>
      <c r="H493" s="1594"/>
      <c r="I493" s="1594"/>
      <c r="J493" s="1594"/>
      <c r="K493" s="1594"/>
      <c r="L493" s="1594"/>
      <c r="M493" s="1594"/>
      <c r="N493" s="1594"/>
      <c r="O493" s="1594"/>
      <c r="P493" s="1594"/>
      <c r="Q493" s="1594"/>
      <c r="R493" s="1594"/>
      <c r="S493" s="1594"/>
      <c r="T493" s="1594"/>
      <c r="U493" s="1594"/>
      <c r="V493" s="1594"/>
      <c r="W493" s="1594"/>
      <c r="X493" s="1594"/>
      <c r="Y493" s="1594"/>
      <c r="Z493" s="1594"/>
    </row>
    <row r="494" ht="12.75" customHeight="1">
      <c r="A494" s="1594"/>
      <c r="B494" s="1594"/>
      <c r="C494" s="1594"/>
      <c r="D494" s="1594"/>
      <c r="E494" s="1594"/>
      <c r="F494" s="1594"/>
      <c r="G494" s="1594"/>
      <c r="H494" s="1594"/>
      <c r="I494" s="1594"/>
      <c r="J494" s="1594"/>
      <c r="K494" s="1594"/>
      <c r="L494" s="1594"/>
      <c r="M494" s="1594"/>
      <c r="N494" s="1594"/>
      <c r="O494" s="1594"/>
      <c r="P494" s="1594"/>
      <c r="Q494" s="1594"/>
      <c r="R494" s="1594"/>
      <c r="S494" s="1594"/>
      <c r="T494" s="1594"/>
      <c r="U494" s="1594"/>
      <c r="V494" s="1594"/>
      <c r="W494" s="1594"/>
      <c r="X494" s="1594"/>
      <c r="Y494" s="1594"/>
      <c r="Z494" s="1594"/>
    </row>
    <row r="495" ht="12.75" customHeight="1">
      <c r="A495" s="1594"/>
      <c r="B495" s="1594"/>
      <c r="C495" s="1594"/>
      <c r="D495" s="1594"/>
      <c r="E495" s="1594"/>
      <c r="F495" s="1594"/>
      <c r="G495" s="1594"/>
      <c r="H495" s="1594"/>
      <c r="I495" s="1594"/>
      <c r="J495" s="1594"/>
      <c r="K495" s="1594"/>
      <c r="L495" s="1594"/>
      <c r="M495" s="1594"/>
      <c r="N495" s="1594"/>
      <c r="O495" s="1594"/>
      <c r="P495" s="1594"/>
      <c r="Q495" s="1594"/>
      <c r="R495" s="1594"/>
      <c r="S495" s="1594"/>
      <c r="T495" s="1594"/>
      <c r="U495" s="1594"/>
      <c r="V495" s="1594"/>
      <c r="W495" s="1594"/>
      <c r="X495" s="1594"/>
      <c r="Y495" s="1594"/>
      <c r="Z495" s="1594"/>
    </row>
    <row r="496" ht="12.75" customHeight="1">
      <c r="A496" s="1594"/>
      <c r="B496" s="1594"/>
      <c r="C496" s="1594"/>
      <c r="D496" s="1594"/>
      <c r="E496" s="1594"/>
      <c r="F496" s="1594"/>
      <c r="G496" s="1594"/>
      <c r="H496" s="1594"/>
      <c r="I496" s="1594"/>
      <c r="J496" s="1594"/>
      <c r="K496" s="1594"/>
      <c r="L496" s="1594"/>
      <c r="M496" s="1594"/>
      <c r="N496" s="1594"/>
      <c r="O496" s="1594"/>
      <c r="P496" s="1594"/>
      <c r="Q496" s="1594"/>
      <c r="R496" s="1594"/>
      <c r="S496" s="1594"/>
      <c r="T496" s="1594"/>
      <c r="U496" s="1594"/>
      <c r="V496" s="1594"/>
      <c r="W496" s="1594"/>
      <c r="X496" s="1594"/>
      <c r="Y496" s="1594"/>
      <c r="Z496" s="1594"/>
    </row>
    <row r="497" ht="12.75" customHeight="1">
      <c r="A497" s="1594"/>
      <c r="B497" s="1594"/>
      <c r="C497" s="1594"/>
      <c r="D497" s="1594"/>
      <c r="E497" s="1594"/>
      <c r="F497" s="1594"/>
      <c r="G497" s="1594"/>
      <c r="H497" s="1594"/>
      <c r="I497" s="1594"/>
      <c r="J497" s="1594"/>
      <c r="K497" s="1594"/>
      <c r="L497" s="1594"/>
      <c r="M497" s="1594"/>
      <c r="N497" s="1594"/>
      <c r="O497" s="1594"/>
      <c r="P497" s="1594"/>
      <c r="Q497" s="1594"/>
      <c r="R497" s="1594"/>
      <c r="S497" s="1594"/>
      <c r="T497" s="1594"/>
      <c r="U497" s="1594"/>
      <c r="V497" s="1594"/>
      <c r="W497" s="1594"/>
      <c r="X497" s="1594"/>
      <c r="Y497" s="1594"/>
      <c r="Z497" s="1594"/>
    </row>
    <row r="498" ht="12.75" customHeight="1">
      <c r="A498" s="1594"/>
      <c r="B498" s="1594"/>
      <c r="C498" s="1594"/>
      <c r="D498" s="1594"/>
      <c r="E498" s="1594"/>
      <c r="F498" s="1594"/>
      <c r="G498" s="1594"/>
      <c r="H498" s="1594"/>
      <c r="I498" s="1594"/>
      <c r="J498" s="1594"/>
      <c r="K498" s="1594"/>
      <c r="L498" s="1594"/>
      <c r="M498" s="1594"/>
      <c r="N498" s="1594"/>
      <c r="O498" s="1594"/>
      <c r="P498" s="1594"/>
      <c r="Q498" s="1594"/>
      <c r="R498" s="1594"/>
      <c r="S498" s="1594"/>
      <c r="T498" s="1594"/>
      <c r="U498" s="1594"/>
      <c r="V498" s="1594"/>
      <c r="W498" s="1594"/>
      <c r="X498" s="1594"/>
      <c r="Y498" s="1594"/>
      <c r="Z498" s="1594"/>
    </row>
    <row r="499" ht="12.75" customHeight="1">
      <c r="A499" s="1594"/>
      <c r="B499" s="1594"/>
      <c r="C499" s="1594"/>
      <c r="D499" s="1594"/>
      <c r="E499" s="1594"/>
      <c r="F499" s="1594"/>
      <c r="G499" s="1594"/>
      <c r="H499" s="1594"/>
      <c r="I499" s="1594"/>
      <c r="J499" s="1594"/>
      <c r="K499" s="1594"/>
      <c r="L499" s="1594"/>
      <c r="M499" s="1594"/>
      <c r="N499" s="1594"/>
      <c r="O499" s="1594"/>
      <c r="P499" s="1594"/>
      <c r="Q499" s="1594"/>
      <c r="R499" s="1594"/>
      <c r="S499" s="1594"/>
      <c r="T499" s="1594"/>
      <c r="U499" s="1594"/>
      <c r="V499" s="1594"/>
      <c r="W499" s="1594"/>
      <c r="X499" s="1594"/>
      <c r="Y499" s="1594"/>
      <c r="Z499" s="1594"/>
    </row>
    <row r="500" ht="12.75" customHeight="1">
      <c r="A500" s="1594"/>
      <c r="B500" s="1594"/>
      <c r="C500" s="1594"/>
      <c r="D500" s="1594"/>
      <c r="E500" s="1594"/>
      <c r="F500" s="1594"/>
      <c r="G500" s="1594"/>
      <c r="H500" s="1594"/>
      <c r="I500" s="1594"/>
      <c r="J500" s="1594"/>
      <c r="K500" s="1594"/>
      <c r="L500" s="1594"/>
      <c r="M500" s="1594"/>
      <c r="N500" s="1594"/>
      <c r="O500" s="1594"/>
      <c r="P500" s="1594"/>
      <c r="Q500" s="1594"/>
      <c r="R500" s="1594"/>
      <c r="S500" s="1594"/>
      <c r="T500" s="1594"/>
      <c r="U500" s="1594"/>
      <c r="V500" s="1594"/>
      <c r="W500" s="1594"/>
      <c r="X500" s="1594"/>
      <c r="Y500" s="1594"/>
      <c r="Z500" s="1594"/>
    </row>
    <row r="501" ht="12.75" customHeight="1">
      <c r="A501" s="1594"/>
      <c r="B501" s="1594"/>
      <c r="C501" s="1594"/>
      <c r="D501" s="1594"/>
      <c r="E501" s="1594"/>
      <c r="F501" s="1594"/>
      <c r="G501" s="1594"/>
      <c r="H501" s="1594"/>
      <c r="I501" s="1594"/>
      <c r="J501" s="1594"/>
      <c r="K501" s="1594"/>
      <c r="L501" s="1594"/>
      <c r="M501" s="1594"/>
      <c r="N501" s="1594"/>
      <c r="O501" s="1594"/>
      <c r="P501" s="1594"/>
      <c r="Q501" s="1594"/>
      <c r="R501" s="1594"/>
      <c r="S501" s="1594"/>
      <c r="T501" s="1594"/>
      <c r="U501" s="1594"/>
      <c r="V501" s="1594"/>
      <c r="W501" s="1594"/>
      <c r="X501" s="1594"/>
      <c r="Y501" s="1594"/>
      <c r="Z501" s="1594"/>
    </row>
    <row r="502" ht="12.75" customHeight="1">
      <c r="A502" s="1594"/>
      <c r="B502" s="1594"/>
      <c r="C502" s="1594"/>
      <c r="D502" s="1594"/>
      <c r="E502" s="1594"/>
      <c r="F502" s="1594"/>
      <c r="G502" s="1594"/>
      <c r="H502" s="1594"/>
      <c r="I502" s="1594"/>
      <c r="J502" s="1594"/>
      <c r="K502" s="1594"/>
      <c r="L502" s="1594"/>
      <c r="M502" s="1594"/>
      <c r="N502" s="1594"/>
      <c r="O502" s="1594"/>
      <c r="P502" s="1594"/>
      <c r="Q502" s="1594"/>
      <c r="R502" s="1594"/>
      <c r="S502" s="1594"/>
      <c r="T502" s="1594"/>
      <c r="U502" s="1594"/>
      <c r="V502" s="1594"/>
      <c r="W502" s="1594"/>
      <c r="X502" s="1594"/>
      <c r="Y502" s="1594"/>
      <c r="Z502" s="1594"/>
    </row>
    <row r="503" ht="12.75" customHeight="1">
      <c r="A503" s="1594"/>
      <c r="B503" s="1594"/>
      <c r="C503" s="1594"/>
      <c r="D503" s="1594"/>
      <c r="E503" s="1594"/>
      <c r="F503" s="1594"/>
      <c r="G503" s="1594"/>
      <c r="H503" s="1594"/>
      <c r="I503" s="1594"/>
      <c r="J503" s="1594"/>
      <c r="K503" s="1594"/>
      <c r="L503" s="1594"/>
      <c r="M503" s="1594"/>
      <c r="N503" s="1594"/>
      <c r="O503" s="1594"/>
      <c r="P503" s="1594"/>
      <c r="Q503" s="1594"/>
      <c r="R503" s="1594"/>
      <c r="S503" s="1594"/>
      <c r="T503" s="1594"/>
      <c r="U503" s="1594"/>
      <c r="V503" s="1594"/>
      <c r="W503" s="1594"/>
      <c r="X503" s="1594"/>
      <c r="Y503" s="1594"/>
      <c r="Z503" s="1594"/>
    </row>
    <row r="504" ht="12.75" customHeight="1">
      <c r="A504" s="1594"/>
      <c r="B504" s="1594"/>
      <c r="C504" s="1594"/>
      <c r="D504" s="1594"/>
      <c r="E504" s="1594"/>
      <c r="F504" s="1594"/>
      <c r="G504" s="1594"/>
      <c r="H504" s="1594"/>
      <c r="I504" s="1594"/>
      <c r="J504" s="1594"/>
      <c r="K504" s="1594"/>
      <c r="L504" s="1594"/>
      <c r="M504" s="1594"/>
      <c r="N504" s="1594"/>
      <c r="O504" s="1594"/>
      <c r="P504" s="1594"/>
      <c r="Q504" s="1594"/>
      <c r="R504" s="1594"/>
      <c r="S504" s="1594"/>
      <c r="T504" s="1594"/>
      <c r="U504" s="1594"/>
      <c r="V504" s="1594"/>
      <c r="W504" s="1594"/>
      <c r="X504" s="1594"/>
      <c r="Y504" s="1594"/>
      <c r="Z504" s="1594"/>
    </row>
    <row r="505" ht="12.75" customHeight="1">
      <c r="A505" s="1594"/>
      <c r="B505" s="1594"/>
      <c r="C505" s="1594"/>
      <c r="D505" s="1594"/>
      <c r="E505" s="1594"/>
      <c r="F505" s="1594"/>
      <c r="G505" s="1594"/>
      <c r="H505" s="1594"/>
      <c r="I505" s="1594"/>
      <c r="J505" s="1594"/>
      <c r="K505" s="1594"/>
      <c r="L505" s="1594"/>
      <c r="M505" s="1594"/>
      <c r="N505" s="1594"/>
      <c r="O505" s="1594"/>
      <c r="P505" s="1594"/>
      <c r="Q505" s="1594"/>
      <c r="R505" s="1594"/>
      <c r="S505" s="1594"/>
      <c r="T505" s="1594"/>
      <c r="U505" s="1594"/>
      <c r="V505" s="1594"/>
      <c r="W505" s="1594"/>
      <c r="X505" s="1594"/>
      <c r="Y505" s="1594"/>
      <c r="Z505" s="1594"/>
    </row>
    <row r="506" ht="12.75" customHeight="1">
      <c r="A506" s="1594"/>
      <c r="B506" s="1594"/>
      <c r="C506" s="1594"/>
      <c r="D506" s="1594"/>
      <c r="E506" s="1594"/>
      <c r="F506" s="1594"/>
      <c r="G506" s="1594"/>
      <c r="H506" s="1594"/>
      <c r="I506" s="1594"/>
      <c r="J506" s="1594"/>
      <c r="K506" s="1594"/>
      <c r="L506" s="1594"/>
      <c r="M506" s="1594"/>
      <c r="N506" s="1594"/>
      <c r="O506" s="1594"/>
      <c r="P506" s="1594"/>
      <c r="Q506" s="1594"/>
      <c r="R506" s="1594"/>
      <c r="S506" s="1594"/>
      <c r="T506" s="1594"/>
      <c r="U506" s="1594"/>
      <c r="V506" s="1594"/>
      <c r="W506" s="1594"/>
      <c r="X506" s="1594"/>
      <c r="Y506" s="1594"/>
      <c r="Z506" s="1594"/>
    </row>
    <row r="507" ht="12.75" customHeight="1">
      <c r="A507" s="1594"/>
      <c r="B507" s="1594"/>
      <c r="C507" s="1594"/>
      <c r="D507" s="1594"/>
      <c r="E507" s="1594"/>
      <c r="F507" s="1594"/>
      <c r="G507" s="1594"/>
      <c r="H507" s="1594"/>
      <c r="I507" s="1594"/>
      <c r="J507" s="1594"/>
      <c r="K507" s="1594"/>
      <c r="L507" s="1594"/>
      <c r="M507" s="1594"/>
      <c r="N507" s="1594"/>
      <c r="O507" s="1594"/>
      <c r="P507" s="1594"/>
      <c r="Q507" s="1594"/>
      <c r="R507" s="1594"/>
      <c r="S507" s="1594"/>
      <c r="T507" s="1594"/>
      <c r="U507" s="1594"/>
      <c r="V507" s="1594"/>
      <c r="W507" s="1594"/>
      <c r="X507" s="1594"/>
      <c r="Y507" s="1594"/>
      <c r="Z507" s="1594"/>
    </row>
    <row r="508" ht="12.75" customHeight="1">
      <c r="A508" s="1594"/>
      <c r="B508" s="1594"/>
      <c r="C508" s="1594"/>
      <c r="D508" s="1594"/>
      <c r="E508" s="1594"/>
      <c r="F508" s="1594"/>
      <c r="G508" s="1594"/>
      <c r="H508" s="1594"/>
      <c r="I508" s="1594"/>
      <c r="J508" s="1594"/>
      <c r="K508" s="1594"/>
      <c r="L508" s="1594"/>
      <c r="M508" s="1594"/>
      <c r="N508" s="1594"/>
      <c r="O508" s="1594"/>
      <c r="P508" s="1594"/>
      <c r="Q508" s="1594"/>
      <c r="R508" s="1594"/>
      <c r="S508" s="1594"/>
      <c r="T508" s="1594"/>
      <c r="U508" s="1594"/>
      <c r="V508" s="1594"/>
      <c r="W508" s="1594"/>
      <c r="X508" s="1594"/>
      <c r="Y508" s="1594"/>
      <c r="Z508" s="1594"/>
    </row>
    <row r="509" ht="12.75" customHeight="1">
      <c r="A509" s="1594"/>
      <c r="B509" s="1594"/>
      <c r="C509" s="1594"/>
      <c r="D509" s="1594"/>
      <c r="E509" s="1594"/>
      <c r="F509" s="1594"/>
      <c r="G509" s="1594"/>
      <c r="H509" s="1594"/>
      <c r="I509" s="1594"/>
      <c r="J509" s="1594"/>
      <c r="K509" s="1594"/>
      <c r="L509" s="1594"/>
      <c r="M509" s="1594"/>
      <c r="N509" s="1594"/>
      <c r="O509" s="1594"/>
      <c r="P509" s="1594"/>
      <c r="Q509" s="1594"/>
      <c r="R509" s="1594"/>
      <c r="S509" s="1594"/>
      <c r="T509" s="1594"/>
      <c r="U509" s="1594"/>
      <c r="V509" s="1594"/>
      <c r="W509" s="1594"/>
      <c r="X509" s="1594"/>
      <c r="Y509" s="1594"/>
      <c r="Z509" s="1594"/>
    </row>
    <row r="510" ht="12.75" customHeight="1">
      <c r="A510" s="1594"/>
      <c r="B510" s="1594"/>
      <c r="C510" s="1594"/>
      <c r="D510" s="1594"/>
      <c r="E510" s="1594"/>
      <c r="F510" s="1594"/>
      <c r="G510" s="1594"/>
      <c r="H510" s="1594"/>
      <c r="I510" s="1594"/>
      <c r="J510" s="1594"/>
      <c r="K510" s="1594"/>
      <c r="L510" s="1594"/>
      <c r="M510" s="1594"/>
      <c r="N510" s="1594"/>
      <c r="O510" s="1594"/>
      <c r="P510" s="1594"/>
      <c r="Q510" s="1594"/>
      <c r="R510" s="1594"/>
      <c r="S510" s="1594"/>
      <c r="T510" s="1594"/>
      <c r="U510" s="1594"/>
      <c r="V510" s="1594"/>
      <c r="W510" s="1594"/>
      <c r="X510" s="1594"/>
      <c r="Y510" s="1594"/>
      <c r="Z510" s="1594"/>
    </row>
    <row r="511" ht="12.75" customHeight="1">
      <c r="A511" s="1594"/>
      <c r="B511" s="1594"/>
      <c r="C511" s="1594"/>
      <c r="D511" s="1594"/>
      <c r="E511" s="1594"/>
      <c r="F511" s="1594"/>
      <c r="G511" s="1594"/>
      <c r="H511" s="1594"/>
      <c r="I511" s="1594"/>
      <c r="J511" s="1594"/>
      <c r="K511" s="1594"/>
      <c r="L511" s="1594"/>
      <c r="M511" s="1594"/>
      <c r="N511" s="1594"/>
      <c r="O511" s="1594"/>
      <c r="P511" s="1594"/>
      <c r="Q511" s="1594"/>
      <c r="R511" s="1594"/>
      <c r="S511" s="1594"/>
      <c r="T511" s="1594"/>
      <c r="U511" s="1594"/>
      <c r="V511" s="1594"/>
      <c r="W511" s="1594"/>
      <c r="X511" s="1594"/>
      <c r="Y511" s="1594"/>
      <c r="Z511" s="1594"/>
    </row>
    <row r="512" ht="12.75" customHeight="1">
      <c r="A512" s="1594"/>
      <c r="B512" s="1594"/>
      <c r="C512" s="1594"/>
      <c r="D512" s="1594"/>
      <c r="E512" s="1594"/>
      <c r="F512" s="1594"/>
      <c r="G512" s="1594"/>
      <c r="H512" s="1594"/>
      <c r="I512" s="1594"/>
      <c r="J512" s="1594"/>
      <c r="K512" s="1594"/>
      <c r="L512" s="1594"/>
      <c r="M512" s="1594"/>
      <c r="N512" s="1594"/>
      <c r="O512" s="1594"/>
      <c r="P512" s="1594"/>
      <c r="Q512" s="1594"/>
      <c r="R512" s="1594"/>
      <c r="S512" s="1594"/>
      <c r="T512" s="1594"/>
      <c r="U512" s="1594"/>
      <c r="V512" s="1594"/>
      <c r="W512" s="1594"/>
      <c r="X512" s="1594"/>
      <c r="Y512" s="1594"/>
      <c r="Z512" s="1594"/>
    </row>
    <row r="513" ht="12.75" customHeight="1">
      <c r="A513" s="1594"/>
      <c r="B513" s="1594"/>
      <c r="C513" s="1594"/>
      <c r="D513" s="1594"/>
      <c r="E513" s="1594"/>
      <c r="F513" s="1594"/>
      <c r="G513" s="1594"/>
      <c r="H513" s="1594"/>
      <c r="I513" s="1594"/>
      <c r="J513" s="1594"/>
      <c r="K513" s="1594"/>
      <c r="L513" s="1594"/>
      <c r="M513" s="1594"/>
      <c r="N513" s="1594"/>
      <c r="O513" s="1594"/>
      <c r="P513" s="1594"/>
      <c r="Q513" s="1594"/>
      <c r="R513" s="1594"/>
      <c r="S513" s="1594"/>
      <c r="T513" s="1594"/>
      <c r="U513" s="1594"/>
      <c r="V513" s="1594"/>
      <c r="W513" s="1594"/>
      <c r="X513" s="1594"/>
      <c r="Y513" s="1594"/>
      <c r="Z513" s="1594"/>
    </row>
    <row r="514" ht="12.75" customHeight="1">
      <c r="A514" s="1594"/>
      <c r="B514" s="1594"/>
      <c r="C514" s="1594"/>
      <c r="D514" s="1594"/>
      <c r="E514" s="1594"/>
      <c r="F514" s="1594"/>
      <c r="G514" s="1594"/>
      <c r="H514" s="1594"/>
      <c r="I514" s="1594"/>
      <c r="J514" s="1594"/>
      <c r="K514" s="1594"/>
      <c r="L514" s="1594"/>
      <c r="M514" s="1594"/>
      <c r="N514" s="1594"/>
      <c r="O514" s="1594"/>
      <c r="P514" s="1594"/>
      <c r="Q514" s="1594"/>
      <c r="R514" s="1594"/>
      <c r="S514" s="1594"/>
      <c r="T514" s="1594"/>
      <c r="U514" s="1594"/>
      <c r="V514" s="1594"/>
      <c r="W514" s="1594"/>
      <c r="X514" s="1594"/>
      <c r="Y514" s="1594"/>
      <c r="Z514" s="1594"/>
    </row>
    <row r="515" ht="12.75" customHeight="1">
      <c r="A515" s="1594"/>
      <c r="B515" s="1594"/>
      <c r="C515" s="1594"/>
      <c r="D515" s="1594"/>
      <c r="E515" s="1594"/>
      <c r="F515" s="1594"/>
      <c r="G515" s="1594"/>
      <c r="H515" s="1594"/>
      <c r="I515" s="1594"/>
      <c r="J515" s="1594"/>
      <c r="K515" s="1594"/>
      <c r="L515" s="1594"/>
      <c r="M515" s="1594"/>
      <c r="N515" s="1594"/>
      <c r="O515" s="1594"/>
      <c r="P515" s="1594"/>
      <c r="Q515" s="1594"/>
      <c r="R515" s="1594"/>
      <c r="S515" s="1594"/>
      <c r="T515" s="1594"/>
      <c r="U515" s="1594"/>
      <c r="V515" s="1594"/>
      <c r="W515" s="1594"/>
      <c r="X515" s="1594"/>
      <c r="Y515" s="1594"/>
      <c r="Z515" s="1594"/>
    </row>
    <row r="516" ht="12.75" customHeight="1">
      <c r="A516" s="1594"/>
      <c r="B516" s="1594"/>
      <c r="C516" s="1594"/>
      <c r="D516" s="1594"/>
      <c r="E516" s="1594"/>
      <c r="F516" s="1594"/>
      <c r="G516" s="1594"/>
      <c r="H516" s="1594"/>
      <c r="I516" s="1594"/>
      <c r="J516" s="1594"/>
      <c r="K516" s="1594"/>
      <c r="L516" s="1594"/>
      <c r="M516" s="1594"/>
      <c r="N516" s="1594"/>
      <c r="O516" s="1594"/>
      <c r="P516" s="1594"/>
      <c r="Q516" s="1594"/>
      <c r="R516" s="1594"/>
      <c r="S516" s="1594"/>
      <c r="T516" s="1594"/>
      <c r="U516" s="1594"/>
      <c r="V516" s="1594"/>
      <c r="W516" s="1594"/>
      <c r="X516" s="1594"/>
      <c r="Y516" s="1594"/>
      <c r="Z516" s="1594"/>
    </row>
    <row r="517" ht="12.75" customHeight="1">
      <c r="A517" s="1594"/>
      <c r="B517" s="1594"/>
      <c r="C517" s="1594"/>
      <c r="D517" s="1594"/>
      <c r="E517" s="1594"/>
      <c r="F517" s="1594"/>
      <c r="G517" s="1594"/>
      <c r="H517" s="1594"/>
      <c r="I517" s="1594"/>
      <c r="J517" s="1594"/>
      <c r="K517" s="1594"/>
      <c r="L517" s="1594"/>
      <c r="M517" s="1594"/>
      <c r="N517" s="1594"/>
      <c r="O517" s="1594"/>
      <c r="P517" s="1594"/>
      <c r="Q517" s="1594"/>
      <c r="R517" s="1594"/>
      <c r="S517" s="1594"/>
      <c r="T517" s="1594"/>
      <c r="U517" s="1594"/>
      <c r="V517" s="1594"/>
      <c r="W517" s="1594"/>
      <c r="X517" s="1594"/>
      <c r="Y517" s="1594"/>
      <c r="Z517" s="1594"/>
    </row>
    <row r="518" ht="12.75" customHeight="1">
      <c r="A518" s="1594"/>
      <c r="B518" s="1594"/>
      <c r="C518" s="1594"/>
      <c r="D518" s="1594"/>
      <c r="E518" s="1594"/>
      <c r="F518" s="1594"/>
      <c r="G518" s="1594"/>
      <c r="H518" s="1594"/>
      <c r="I518" s="1594"/>
      <c r="J518" s="1594"/>
      <c r="K518" s="1594"/>
      <c r="L518" s="1594"/>
      <c r="M518" s="1594"/>
      <c r="N518" s="1594"/>
      <c r="O518" s="1594"/>
      <c r="P518" s="1594"/>
      <c r="Q518" s="1594"/>
      <c r="R518" s="1594"/>
      <c r="S518" s="1594"/>
      <c r="T518" s="1594"/>
      <c r="U518" s="1594"/>
      <c r="V518" s="1594"/>
      <c r="W518" s="1594"/>
      <c r="X518" s="1594"/>
      <c r="Y518" s="1594"/>
      <c r="Z518" s="1594"/>
    </row>
    <row r="519" ht="12.75" customHeight="1">
      <c r="A519" s="1594"/>
      <c r="B519" s="1594"/>
      <c r="C519" s="1594"/>
      <c r="D519" s="1594"/>
      <c r="E519" s="1594"/>
      <c r="F519" s="1594"/>
      <c r="G519" s="1594"/>
      <c r="H519" s="1594"/>
      <c r="I519" s="1594"/>
      <c r="J519" s="1594"/>
      <c r="K519" s="1594"/>
      <c r="L519" s="1594"/>
      <c r="M519" s="1594"/>
      <c r="N519" s="1594"/>
      <c r="O519" s="1594"/>
      <c r="P519" s="1594"/>
      <c r="Q519" s="1594"/>
      <c r="R519" s="1594"/>
      <c r="S519" s="1594"/>
      <c r="T519" s="1594"/>
      <c r="U519" s="1594"/>
      <c r="V519" s="1594"/>
      <c r="W519" s="1594"/>
      <c r="X519" s="1594"/>
      <c r="Y519" s="1594"/>
      <c r="Z519" s="1594"/>
    </row>
    <row r="520" ht="12.75" customHeight="1">
      <c r="A520" s="1594"/>
      <c r="B520" s="1594"/>
      <c r="C520" s="1594"/>
      <c r="D520" s="1594"/>
      <c r="E520" s="1594"/>
      <c r="F520" s="1594"/>
      <c r="G520" s="1594"/>
      <c r="H520" s="1594"/>
      <c r="I520" s="1594"/>
      <c r="J520" s="1594"/>
      <c r="K520" s="1594"/>
      <c r="L520" s="1594"/>
      <c r="M520" s="1594"/>
      <c r="N520" s="1594"/>
      <c r="O520" s="1594"/>
      <c r="P520" s="1594"/>
      <c r="Q520" s="1594"/>
      <c r="R520" s="1594"/>
      <c r="S520" s="1594"/>
      <c r="T520" s="1594"/>
      <c r="U520" s="1594"/>
      <c r="V520" s="1594"/>
      <c r="W520" s="1594"/>
      <c r="X520" s="1594"/>
      <c r="Y520" s="1594"/>
      <c r="Z520" s="1594"/>
    </row>
    <row r="521" ht="12.75" customHeight="1">
      <c r="A521" s="1594"/>
      <c r="B521" s="1594"/>
      <c r="C521" s="1594"/>
      <c r="D521" s="1594"/>
      <c r="E521" s="1594"/>
      <c r="F521" s="1594"/>
      <c r="G521" s="1594"/>
      <c r="H521" s="1594"/>
      <c r="I521" s="1594"/>
      <c r="J521" s="1594"/>
      <c r="K521" s="1594"/>
      <c r="L521" s="1594"/>
      <c r="M521" s="1594"/>
      <c r="N521" s="1594"/>
      <c r="O521" s="1594"/>
      <c r="P521" s="1594"/>
      <c r="Q521" s="1594"/>
      <c r="R521" s="1594"/>
      <c r="S521" s="1594"/>
      <c r="T521" s="1594"/>
      <c r="U521" s="1594"/>
      <c r="V521" s="1594"/>
      <c r="W521" s="1594"/>
      <c r="X521" s="1594"/>
      <c r="Y521" s="1594"/>
      <c r="Z521" s="1594"/>
    </row>
    <row r="522" ht="12.75" customHeight="1">
      <c r="A522" s="1594"/>
      <c r="B522" s="1594"/>
      <c r="C522" s="1594"/>
      <c r="D522" s="1594"/>
      <c r="E522" s="1594"/>
      <c r="F522" s="1594"/>
      <c r="G522" s="1594"/>
      <c r="H522" s="1594"/>
      <c r="I522" s="1594"/>
      <c r="J522" s="1594"/>
      <c r="K522" s="1594"/>
      <c r="L522" s="1594"/>
      <c r="M522" s="1594"/>
      <c r="N522" s="1594"/>
      <c r="O522" s="1594"/>
      <c r="P522" s="1594"/>
      <c r="Q522" s="1594"/>
      <c r="R522" s="1594"/>
      <c r="S522" s="1594"/>
      <c r="T522" s="1594"/>
      <c r="U522" s="1594"/>
      <c r="V522" s="1594"/>
      <c r="W522" s="1594"/>
      <c r="X522" s="1594"/>
      <c r="Y522" s="1594"/>
      <c r="Z522" s="1594"/>
    </row>
    <row r="523" ht="12.75" customHeight="1">
      <c r="A523" s="1594"/>
      <c r="B523" s="1594"/>
      <c r="C523" s="1594"/>
      <c r="D523" s="1594"/>
      <c r="E523" s="1594"/>
      <c r="F523" s="1594"/>
      <c r="G523" s="1594"/>
      <c r="H523" s="1594"/>
      <c r="I523" s="1594"/>
      <c r="J523" s="1594"/>
      <c r="K523" s="1594"/>
      <c r="L523" s="1594"/>
      <c r="M523" s="1594"/>
      <c r="N523" s="1594"/>
      <c r="O523" s="1594"/>
      <c r="P523" s="1594"/>
      <c r="Q523" s="1594"/>
      <c r="R523" s="1594"/>
      <c r="S523" s="1594"/>
      <c r="T523" s="1594"/>
      <c r="U523" s="1594"/>
      <c r="V523" s="1594"/>
      <c r="W523" s="1594"/>
      <c r="X523" s="1594"/>
      <c r="Y523" s="1594"/>
      <c r="Z523" s="1594"/>
    </row>
    <row r="524" ht="12.75" customHeight="1">
      <c r="A524" s="1594"/>
      <c r="B524" s="1594"/>
      <c r="C524" s="1594"/>
      <c r="D524" s="1594"/>
      <c r="E524" s="1594"/>
      <c r="F524" s="1594"/>
      <c r="G524" s="1594"/>
      <c r="H524" s="1594"/>
      <c r="I524" s="1594"/>
      <c r="J524" s="1594"/>
      <c r="K524" s="1594"/>
      <c r="L524" s="1594"/>
      <c r="M524" s="1594"/>
      <c r="N524" s="1594"/>
      <c r="O524" s="1594"/>
      <c r="P524" s="1594"/>
      <c r="Q524" s="1594"/>
      <c r="R524" s="1594"/>
      <c r="S524" s="1594"/>
      <c r="T524" s="1594"/>
      <c r="U524" s="1594"/>
      <c r="V524" s="1594"/>
      <c r="W524" s="1594"/>
      <c r="X524" s="1594"/>
      <c r="Y524" s="1594"/>
      <c r="Z524" s="1594"/>
    </row>
    <row r="525" ht="12.75" customHeight="1">
      <c r="A525" s="1594"/>
      <c r="B525" s="1594"/>
      <c r="C525" s="1594"/>
      <c r="D525" s="1594"/>
      <c r="E525" s="1594"/>
      <c r="F525" s="1594"/>
      <c r="G525" s="1594"/>
      <c r="H525" s="1594"/>
      <c r="I525" s="1594"/>
      <c r="J525" s="1594"/>
      <c r="K525" s="1594"/>
      <c r="L525" s="1594"/>
      <c r="M525" s="1594"/>
      <c r="N525" s="1594"/>
      <c r="O525" s="1594"/>
      <c r="P525" s="1594"/>
      <c r="Q525" s="1594"/>
      <c r="R525" s="1594"/>
      <c r="S525" s="1594"/>
      <c r="T525" s="1594"/>
      <c r="U525" s="1594"/>
      <c r="V525" s="1594"/>
      <c r="W525" s="1594"/>
      <c r="X525" s="1594"/>
      <c r="Y525" s="1594"/>
      <c r="Z525" s="1594"/>
    </row>
    <row r="526" ht="12.75" customHeight="1">
      <c r="A526" s="1594"/>
      <c r="B526" s="1594"/>
      <c r="C526" s="1594"/>
      <c r="D526" s="1594"/>
      <c r="E526" s="1594"/>
      <c r="F526" s="1594"/>
      <c r="G526" s="1594"/>
      <c r="H526" s="1594"/>
      <c r="I526" s="1594"/>
      <c r="J526" s="1594"/>
      <c r="K526" s="1594"/>
      <c r="L526" s="1594"/>
      <c r="M526" s="1594"/>
      <c r="N526" s="1594"/>
      <c r="O526" s="1594"/>
      <c r="P526" s="1594"/>
      <c r="Q526" s="1594"/>
      <c r="R526" s="1594"/>
      <c r="S526" s="1594"/>
      <c r="T526" s="1594"/>
      <c r="U526" s="1594"/>
      <c r="V526" s="1594"/>
      <c r="W526" s="1594"/>
      <c r="X526" s="1594"/>
      <c r="Y526" s="1594"/>
      <c r="Z526" s="1594"/>
    </row>
    <row r="527" ht="12.75" customHeight="1">
      <c r="A527" s="1594"/>
      <c r="B527" s="1594"/>
      <c r="C527" s="1594"/>
      <c r="D527" s="1594"/>
      <c r="E527" s="1594"/>
      <c r="F527" s="1594"/>
      <c r="G527" s="1594"/>
      <c r="H527" s="1594"/>
      <c r="I527" s="1594"/>
      <c r="J527" s="1594"/>
      <c r="K527" s="1594"/>
      <c r="L527" s="1594"/>
      <c r="M527" s="1594"/>
      <c r="N527" s="1594"/>
      <c r="O527" s="1594"/>
      <c r="P527" s="1594"/>
      <c r="Q527" s="1594"/>
      <c r="R527" s="1594"/>
      <c r="S527" s="1594"/>
      <c r="T527" s="1594"/>
      <c r="U527" s="1594"/>
      <c r="V527" s="1594"/>
      <c r="W527" s="1594"/>
      <c r="X527" s="1594"/>
      <c r="Y527" s="1594"/>
      <c r="Z527" s="1594"/>
    </row>
    <row r="528" ht="12.75" customHeight="1">
      <c r="A528" s="1594"/>
      <c r="B528" s="1594"/>
      <c r="C528" s="1594"/>
      <c r="D528" s="1594"/>
      <c r="E528" s="1594"/>
      <c r="F528" s="1594"/>
      <c r="G528" s="1594"/>
      <c r="H528" s="1594"/>
      <c r="I528" s="1594"/>
      <c r="J528" s="1594"/>
      <c r="K528" s="1594"/>
      <c r="L528" s="1594"/>
      <c r="M528" s="1594"/>
      <c r="N528" s="1594"/>
      <c r="O528" s="1594"/>
      <c r="P528" s="1594"/>
      <c r="Q528" s="1594"/>
      <c r="R528" s="1594"/>
      <c r="S528" s="1594"/>
      <c r="T528" s="1594"/>
      <c r="U528" s="1594"/>
      <c r="V528" s="1594"/>
      <c r="W528" s="1594"/>
      <c r="X528" s="1594"/>
      <c r="Y528" s="1594"/>
      <c r="Z528" s="1594"/>
    </row>
    <row r="529" ht="12.75" customHeight="1">
      <c r="A529" s="1594"/>
      <c r="B529" s="1594"/>
      <c r="C529" s="1594"/>
      <c r="D529" s="1594"/>
      <c r="E529" s="1594"/>
      <c r="F529" s="1594"/>
      <c r="G529" s="1594"/>
      <c r="H529" s="1594"/>
      <c r="I529" s="1594"/>
      <c r="J529" s="1594"/>
      <c r="K529" s="1594"/>
      <c r="L529" s="1594"/>
      <c r="M529" s="1594"/>
      <c r="N529" s="1594"/>
      <c r="O529" s="1594"/>
      <c r="P529" s="1594"/>
      <c r="Q529" s="1594"/>
      <c r="R529" s="1594"/>
      <c r="S529" s="1594"/>
      <c r="T529" s="1594"/>
      <c r="U529" s="1594"/>
      <c r="V529" s="1594"/>
      <c r="W529" s="1594"/>
      <c r="X529" s="1594"/>
      <c r="Y529" s="1594"/>
      <c r="Z529" s="1594"/>
    </row>
    <row r="530" ht="12.75" customHeight="1">
      <c r="A530" s="1594"/>
      <c r="B530" s="1594"/>
      <c r="C530" s="1594"/>
      <c r="D530" s="1594"/>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row>
    <row r="531" ht="12.75" customHeight="1">
      <c r="A531" s="1594"/>
      <c r="B531" s="1594"/>
      <c r="C531" s="1594"/>
      <c r="D531" s="1594"/>
      <c r="E531" s="1594"/>
      <c r="F531" s="1594"/>
      <c r="G531" s="1594"/>
      <c r="H531" s="1594"/>
      <c r="I531" s="1594"/>
      <c r="J531" s="1594"/>
      <c r="K531" s="1594"/>
      <c r="L531" s="1594"/>
      <c r="M531" s="1594"/>
      <c r="N531" s="1594"/>
      <c r="O531" s="1594"/>
      <c r="P531" s="1594"/>
      <c r="Q531" s="1594"/>
      <c r="R531" s="1594"/>
      <c r="S531" s="1594"/>
      <c r="T531" s="1594"/>
      <c r="U531" s="1594"/>
      <c r="V531" s="1594"/>
      <c r="W531" s="1594"/>
      <c r="X531" s="1594"/>
      <c r="Y531" s="1594"/>
      <c r="Z531" s="1594"/>
    </row>
    <row r="532" ht="12.75" customHeight="1">
      <c r="A532" s="1594"/>
      <c r="B532" s="1594"/>
      <c r="C532" s="1594"/>
      <c r="D532" s="1594"/>
      <c r="E532" s="1594"/>
      <c r="F532" s="1594"/>
      <c r="G532" s="1594"/>
      <c r="H532" s="1594"/>
      <c r="I532" s="1594"/>
      <c r="J532" s="1594"/>
      <c r="K532" s="1594"/>
      <c r="L532" s="1594"/>
      <c r="M532" s="1594"/>
      <c r="N532" s="1594"/>
      <c r="O532" s="1594"/>
      <c r="P532" s="1594"/>
      <c r="Q532" s="1594"/>
      <c r="R532" s="1594"/>
      <c r="S532" s="1594"/>
      <c r="T532" s="1594"/>
      <c r="U532" s="1594"/>
      <c r="V532" s="1594"/>
      <c r="W532" s="1594"/>
      <c r="X532" s="1594"/>
      <c r="Y532" s="1594"/>
      <c r="Z532" s="1594"/>
    </row>
    <row r="533" ht="12.75" customHeight="1">
      <c r="A533" s="1594"/>
      <c r="B533" s="1594"/>
      <c r="C533" s="1594"/>
      <c r="D533" s="1594"/>
      <c r="E533" s="1594"/>
      <c r="F533" s="1594"/>
      <c r="G533" s="1594"/>
      <c r="H533" s="1594"/>
      <c r="I533" s="1594"/>
      <c r="J533" s="1594"/>
      <c r="K533" s="1594"/>
      <c r="L533" s="1594"/>
      <c r="M533" s="1594"/>
      <c r="N533" s="1594"/>
      <c r="O533" s="1594"/>
      <c r="P533" s="1594"/>
      <c r="Q533" s="1594"/>
      <c r="R533" s="1594"/>
      <c r="S533" s="1594"/>
      <c r="T533" s="1594"/>
      <c r="U533" s="1594"/>
      <c r="V533" s="1594"/>
      <c r="W533" s="1594"/>
      <c r="X533" s="1594"/>
      <c r="Y533" s="1594"/>
      <c r="Z533" s="1594"/>
    </row>
    <row r="534" ht="12.75" customHeight="1">
      <c r="A534" s="1594"/>
      <c r="B534" s="1594"/>
      <c r="C534" s="1594"/>
      <c r="D534" s="1594"/>
      <c r="E534" s="1594"/>
      <c r="F534" s="1594"/>
      <c r="G534" s="1594"/>
      <c r="H534" s="1594"/>
      <c r="I534" s="1594"/>
      <c r="J534" s="1594"/>
      <c r="K534" s="1594"/>
      <c r="L534" s="1594"/>
      <c r="M534" s="1594"/>
      <c r="N534" s="1594"/>
      <c r="O534" s="1594"/>
      <c r="P534" s="1594"/>
      <c r="Q534" s="1594"/>
      <c r="R534" s="1594"/>
      <c r="S534" s="1594"/>
      <c r="T534" s="1594"/>
      <c r="U534" s="1594"/>
      <c r="V534" s="1594"/>
      <c r="W534" s="1594"/>
      <c r="X534" s="1594"/>
      <c r="Y534" s="1594"/>
      <c r="Z534" s="1594"/>
    </row>
    <row r="535" ht="12.75" customHeight="1">
      <c r="A535" s="1594"/>
      <c r="B535" s="1594"/>
      <c r="C535" s="1594"/>
      <c r="D535" s="1594"/>
      <c r="E535" s="1594"/>
      <c r="F535" s="1594"/>
      <c r="G535" s="1594"/>
      <c r="H535" s="1594"/>
      <c r="I535" s="1594"/>
      <c r="J535" s="1594"/>
      <c r="K535" s="1594"/>
      <c r="L535" s="1594"/>
      <c r="M535" s="1594"/>
      <c r="N535" s="1594"/>
      <c r="O535" s="1594"/>
      <c r="P535" s="1594"/>
      <c r="Q535" s="1594"/>
      <c r="R535" s="1594"/>
      <c r="S535" s="1594"/>
      <c r="T535" s="1594"/>
      <c r="U535" s="1594"/>
      <c r="V535" s="1594"/>
      <c r="W535" s="1594"/>
      <c r="X535" s="1594"/>
      <c r="Y535" s="1594"/>
      <c r="Z535" s="1594"/>
    </row>
    <row r="536" ht="12.75" customHeight="1">
      <c r="A536" s="1594"/>
      <c r="B536" s="1594"/>
      <c r="C536" s="1594"/>
      <c r="D536" s="1594"/>
      <c r="E536" s="1594"/>
      <c r="F536" s="1594"/>
      <c r="G536" s="1594"/>
      <c r="H536" s="1594"/>
      <c r="I536" s="1594"/>
      <c r="J536" s="1594"/>
      <c r="K536" s="1594"/>
      <c r="L536" s="1594"/>
      <c r="M536" s="1594"/>
      <c r="N536" s="1594"/>
      <c r="O536" s="1594"/>
      <c r="P536" s="1594"/>
      <c r="Q536" s="1594"/>
      <c r="R536" s="1594"/>
      <c r="S536" s="1594"/>
      <c r="T536" s="1594"/>
      <c r="U536" s="1594"/>
      <c r="V536" s="1594"/>
      <c r="W536" s="1594"/>
      <c r="X536" s="1594"/>
      <c r="Y536" s="1594"/>
      <c r="Z536" s="1594"/>
    </row>
    <row r="537" ht="12.75" customHeight="1">
      <c r="A537" s="1594"/>
      <c r="B537" s="1594"/>
      <c r="C537" s="1594"/>
      <c r="D537" s="1594"/>
      <c r="E537" s="1594"/>
      <c r="F537" s="1594"/>
      <c r="G537" s="1594"/>
      <c r="H537" s="1594"/>
      <c r="I537" s="1594"/>
      <c r="J537" s="1594"/>
      <c r="K537" s="1594"/>
      <c r="L537" s="1594"/>
      <c r="M537" s="1594"/>
      <c r="N537" s="1594"/>
      <c r="O537" s="1594"/>
      <c r="P537" s="1594"/>
      <c r="Q537" s="1594"/>
      <c r="R537" s="1594"/>
      <c r="S537" s="1594"/>
      <c r="T537" s="1594"/>
      <c r="U537" s="1594"/>
      <c r="V537" s="1594"/>
      <c r="W537" s="1594"/>
      <c r="X537" s="1594"/>
      <c r="Y537" s="1594"/>
      <c r="Z537" s="1594"/>
    </row>
    <row r="538" ht="12.75" customHeight="1">
      <c r="A538" s="1594"/>
      <c r="B538" s="1594"/>
      <c r="C538" s="1594"/>
      <c r="D538" s="1594"/>
      <c r="E538" s="1594"/>
      <c r="F538" s="1594"/>
      <c r="G538" s="1594"/>
      <c r="H538" s="1594"/>
      <c r="I538" s="1594"/>
      <c r="J538" s="1594"/>
      <c r="K538" s="1594"/>
      <c r="L538" s="1594"/>
      <c r="M538" s="1594"/>
      <c r="N538" s="1594"/>
      <c r="O538" s="1594"/>
      <c r="P538" s="1594"/>
      <c r="Q538" s="1594"/>
      <c r="R538" s="1594"/>
      <c r="S538" s="1594"/>
      <c r="T538" s="1594"/>
      <c r="U538" s="1594"/>
      <c r="V538" s="1594"/>
      <c r="W538" s="1594"/>
      <c r="X538" s="1594"/>
      <c r="Y538" s="1594"/>
      <c r="Z538" s="1594"/>
    </row>
    <row r="539" ht="12.75" customHeight="1">
      <c r="A539" s="1594"/>
      <c r="B539" s="1594"/>
      <c r="C539" s="1594"/>
      <c r="D539" s="1594"/>
      <c r="E539" s="1594"/>
      <c r="F539" s="1594"/>
      <c r="G539" s="1594"/>
      <c r="H539" s="1594"/>
      <c r="I539" s="1594"/>
      <c r="J539" s="1594"/>
      <c r="K539" s="1594"/>
      <c r="L539" s="1594"/>
      <c r="M539" s="1594"/>
      <c r="N539" s="1594"/>
      <c r="O539" s="1594"/>
      <c r="P539" s="1594"/>
      <c r="Q539" s="1594"/>
      <c r="R539" s="1594"/>
      <c r="S539" s="1594"/>
      <c r="T539" s="1594"/>
      <c r="U539" s="1594"/>
      <c r="V539" s="1594"/>
      <c r="W539" s="1594"/>
      <c r="X539" s="1594"/>
      <c r="Y539" s="1594"/>
      <c r="Z539" s="1594"/>
    </row>
    <row r="540" ht="12.75" customHeight="1">
      <c r="A540" s="1594"/>
      <c r="B540" s="1594"/>
      <c r="C540" s="1594"/>
      <c r="D540" s="1594"/>
      <c r="E540" s="1594"/>
      <c r="F540" s="1594"/>
      <c r="G540" s="1594"/>
      <c r="H540" s="1594"/>
      <c r="I540" s="1594"/>
      <c r="J540" s="1594"/>
      <c r="K540" s="1594"/>
      <c r="L540" s="1594"/>
      <c r="M540" s="1594"/>
      <c r="N540" s="1594"/>
      <c r="O540" s="1594"/>
      <c r="P540" s="1594"/>
      <c r="Q540" s="1594"/>
      <c r="R540" s="1594"/>
      <c r="S540" s="1594"/>
      <c r="T540" s="1594"/>
      <c r="U540" s="1594"/>
      <c r="V540" s="1594"/>
      <c r="W540" s="1594"/>
      <c r="X540" s="1594"/>
      <c r="Y540" s="1594"/>
      <c r="Z540" s="1594"/>
    </row>
    <row r="541" ht="12.75" customHeight="1">
      <c r="A541" s="1594"/>
      <c r="B541" s="1594"/>
      <c r="C541" s="1594"/>
      <c r="D541" s="1594"/>
      <c r="E541" s="1594"/>
      <c r="F541" s="1594"/>
      <c r="G541" s="1594"/>
      <c r="H541" s="1594"/>
      <c r="I541" s="1594"/>
      <c r="J541" s="1594"/>
      <c r="K541" s="1594"/>
      <c r="L541" s="1594"/>
      <c r="M541" s="1594"/>
      <c r="N541" s="1594"/>
      <c r="O541" s="1594"/>
      <c r="P541" s="1594"/>
      <c r="Q541" s="1594"/>
      <c r="R541" s="1594"/>
      <c r="S541" s="1594"/>
      <c r="T541" s="1594"/>
      <c r="U541" s="1594"/>
      <c r="V541" s="1594"/>
      <c r="W541" s="1594"/>
      <c r="X541" s="1594"/>
      <c r="Y541" s="1594"/>
      <c r="Z541" s="1594"/>
    </row>
    <row r="542" ht="12.75" customHeight="1">
      <c r="A542" s="1594"/>
      <c r="B542" s="1594"/>
      <c r="C542" s="1594"/>
      <c r="D542" s="1594"/>
      <c r="E542" s="1594"/>
      <c r="F542" s="1594"/>
      <c r="G542" s="1594"/>
      <c r="H542" s="1594"/>
      <c r="I542" s="1594"/>
      <c r="J542" s="1594"/>
      <c r="K542" s="1594"/>
      <c r="L542" s="1594"/>
      <c r="M542" s="1594"/>
      <c r="N542" s="1594"/>
      <c r="O542" s="1594"/>
      <c r="P542" s="1594"/>
      <c r="Q542" s="1594"/>
      <c r="R542" s="1594"/>
      <c r="S542" s="1594"/>
      <c r="T542" s="1594"/>
      <c r="U542" s="1594"/>
      <c r="V542" s="1594"/>
      <c r="W542" s="1594"/>
      <c r="X542" s="1594"/>
      <c r="Y542" s="1594"/>
      <c r="Z542" s="1594"/>
    </row>
    <row r="543" ht="12.75" customHeight="1">
      <c r="A543" s="1594"/>
      <c r="B543" s="1594"/>
      <c r="C543" s="1594"/>
      <c r="D543" s="1594"/>
      <c r="E543" s="1594"/>
      <c r="F543" s="1594"/>
      <c r="G543" s="1594"/>
      <c r="H543" s="1594"/>
      <c r="I543" s="1594"/>
      <c r="J543" s="1594"/>
      <c r="K543" s="1594"/>
      <c r="L543" s="1594"/>
      <c r="M543" s="1594"/>
      <c r="N543" s="1594"/>
      <c r="O543" s="1594"/>
      <c r="P543" s="1594"/>
      <c r="Q543" s="1594"/>
      <c r="R543" s="1594"/>
      <c r="S543" s="1594"/>
      <c r="T543" s="1594"/>
      <c r="U543" s="1594"/>
      <c r="V543" s="1594"/>
      <c r="W543" s="1594"/>
      <c r="X543" s="1594"/>
      <c r="Y543" s="1594"/>
      <c r="Z543" s="1594"/>
    </row>
    <row r="544" ht="12.75" customHeight="1">
      <c r="A544" s="1594"/>
      <c r="B544" s="1594"/>
      <c r="C544" s="1594"/>
      <c r="D544" s="1594"/>
      <c r="E544" s="1594"/>
      <c r="F544" s="1594"/>
      <c r="G544" s="1594"/>
      <c r="H544" s="1594"/>
      <c r="I544" s="1594"/>
      <c r="J544" s="1594"/>
      <c r="K544" s="1594"/>
      <c r="L544" s="1594"/>
      <c r="M544" s="1594"/>
      <c r="N544" s="1594"/>
      <c r="O544" s="1594"/>
      <c r="P544" s="1594"/>
      <c r="Q544" s="1594"/>
      <c r="R544" s="1594"/>
      <c r="S544" s="1594"/>
      <c r="T544" s="1594"/>
      <c r="U544" s="1594"/>
      <c r="V544" s="1594"/>
      <c r="W544" s="1594"/>
      <c r="X544" s="1594"/>
      <c r="Y544" s="1594"/>
      <c r="Z544" s="1594"/>
    </row>
    <row r="545" ht="12.75" customHeight="1">
      <c r="A545" s="1594"/>
      <c r="B545" s="1594"/>
      <c r="C545" s="1594"/>
      <c r="D545" s="1594"/>
      <c r="E545" s="1594"/>
      <c r="F545" s="1594"/>
      <c r="G545" s="1594"/>
      <c r="H545" s="1594"/>
      <c r="I545" s="1594"/>
      <c r="J545" s="1594"/>
      <c r="K545" s="1594"/>
      <c r="L545" s="1594"/>
      <c r="M545" s="1594"/>
      <c r="N545" s="1594"/>
      <c r="O545" s="1594"/>
      <c r="P545" s="1594"/>
      <c r="Q545" s="1594"/>
      <c r="R545" s="1594"/>
      <c r="S545" s="1594"/>
      <c r="T545" s="1594"/>
      <c r="U545" s="1594"/>
      <c r="V545" s="1594"/>
      <c r="W545" s="1594"/>
      <c r="X545" s="1594"/>
      <c r="Y545" s="1594"/>
      <c r="Z545" s="1594"/>
    </row>
    <row r="546" ht="12.75" customHeight="1">
      <c r="A546" s="1594"/>
      <c r="B546" s="1594"/>
      <c r="C546" s="1594"/>
      <c r="D546" s="1594"/>
      <c r="E546" s="1594"/>
      <c r="F546" s="1594"/>
      <c r="G546" s="1594"/>
      <c r="H546" s="1594"/>
      <c r="I546" s="1594"/>
      <c r="J546" s="1594"/>
      <c r="K546" s="1594"/>
      <c r="L546" s="1594"/>
      <c r="M546" s="1594"/>
      <c r="N546" s="1594"/>
      <c r="O546" s="1594"/>
      <c r="P546" s="1594"/>
      <c r="Q546" s="1594"/>
      <c r="R546" s="1594"/>
      <c r="S546" s="1594"/>
      <c r="T546" s="1594"/>
      <c r="U546" s="1594"/>
      <c r="V546" s="1594"/>
      <c r="W546" s="1594"/>
      <c r="X546" s="1594"/>
      <c r="Y546" s="1594"/>
      <c r="Z546" s="1594"/>
    </row>
    <row r="547" ht="12.75" customHeight="1">
      <c r="A547" s="1594"/>
      <c r="B547" s="1594"/>
      <c r="C547" s="1594"/>
      <c r="D547" s="1594"/>
      <c r="E547" s="1594"/>
      <c r="F547" s="1594"/>
      <c r="G547" s="1594"/>
      <c r="H547" s="1594"/>
      <c r="I547" s="1594"/>
      <c r="J547" s="1594"/>
      <c r="K547" s="1594"/>
      <c r="L547" s="1594"/>
      <c r="M547" s="1594"/>
      <c r="N547" s="1594"/>
      <c r="O547" s="1594"/>
      <c r="P547" s="1594"/>
      <c r="Q547" s="1594"/>
      <c r="R547" s="1594"/>
      <c r="S547" s="1594"/>
      <c r="T547" s="1594"/>
      <c r="U547" s="1594"/>
      <c r="V547" s="1594"/>
      <c r="W547" s="1594"/>
      <c r="X547" s="1594"/>
      <c r="Y547" s="1594"/>
      <c r="Z547" s="1594"/>
    </row>
    <row r="548" ht="12.75" customHeight="1">
      <c r="A548" s="1594"/>
      <c r="B548" s="1594"/>
      <c r="C548" s="1594"/>
      <c r="D548" s="1594"/>
      <c r="E548" s="1594"/>
      <c r="F548" s="1594"/>
      <c r="G548" s="1594"/>
      <c r="H548" s="1594"/>
      <c r="I548" s="1594"/>
      <c r="J548" s="1594"/>
      <c r="K548" s="1594"/>
      <c r="L548" s="1594"/>
      <c r="M548" s="1594"/>
      <c r="N548" s="1594"/>
      <c r="O548" s="1594"/>
      <c r="P548" s="1594"/>
      <c r="Q548" s="1594"/>
      <c r="R548" s="1594"/>
      <c r="S548" s="1594"/>
      <c r="T548" s="1594"/>
      <c r="U548" s="1594"/>
      <c r="V548" s="1594"/>
      <c r="W548" s="1594"/>
      <c r="X548" s="1594"/>
      <c r="Y548" s="1594"/>
      <c r="Z548" s="1594"/>
    </row>
    <row r="549" ht="12.75" customHeight="1">
      <c r="A549" s="1594"/>
      <c r="B549" s="1594"/>
      <c r="C549" s="1594"/>
      <c r="D549" s="1594"/>
      <c r="E549" s="1594"/>
      <c r="F549" s="1594"/>
      <c r="G549" s="1594"/>
      <c r="H549" s="1594"/>
      <c r="I549" s="1594"/>
      <c r="J549" s="1594"/>
      <c r="K549" s="1594"/>
      <c r="L549" s="1594"/>
      <c r="M549" s="1594"/>
      <c r="N549" s="1594"/>
      <c r="O549" s="1594"/>
      <c r="P549" s="1594"/>
      <c r="Q549" s="1594"/>
      <c r="R549" s="1594"/>
      <c r="S549" s="1594"/>
      <c r="T549" s="1594"/>
      <c r="U549" s="1594"/>
      <c r="V549" s="1594"/>
      <c r="W549" s="1594"/>
      <c r="X549" s="1594"/>
      <c r="Y549" s="1594"/>
      <c r="Z549" s="1594"/>
    </row>
    <row r="550" ht="12.75" customHeight="1">
      <c r="A550" s="1594"/>
      <c r="B550" s="1594"/>
      <c r="C550" s="1594"/>
      <c r="D550" s="1594"/>
      <c r="E550" s="1594"/>
      <c r="F550" s="1594"/>
      <c r="G550" s="1594"/>
      <c r="H550" s="1594"/>
      <c r="I550" s="1594"/>
      <c r="J550" s="1594"/>
      <c r="K550" s="1594"/>
      <c r="L550" s="1594"/>
      <c r="M550" s="1594"/>
      <c r="N550" s="1594"/>
      <c r="O550" s="1594"/>
      <c r="P550" s="1594"/>
      <c r="Q550" s="1594"/>
      <c r="R550" s="1594"/>
      <c r="S550" s="1594"/>
      <c r="T550" s="1594"/>
      <c r="U550" s="1594"/>
      <c r="V550" s="1594"/>
      <c r="W550" s="1594"/>
      <c r="X550" s="1594"/>
      <c r="Y550" s="1594"/>
      <c r="Z550" s="1594"/>
    </row>
    <row r="551" ht="12.75" customHeight="1">
      <c r="A551" s="1594"/>
      <c r="B551" s="1594"/>
      <c r="C551" s="1594"/>
      <c r="D551" s="1594"/>
      <c r="E551" s="1594"/>
      <c r="F551" s="1594"/>
      <c r="G551" s="1594"/>
      <c r="H551" s="1594"/>
      <c r="I551" s="1594"/>
      <c r="J551" s="1594"/>
      <c r="K551" s="1594"/>
      <c r="L551" s="1594"/>
      <c r="M551" s="1594"/>
      <c r="N551" s="1594"/>
      <c r="O551" s="1594"/>
      <c r="P551" s="1594"/>
      <c r="Q551" s="1594"/>
      <c r="R551" s="1594"/>
      <c r="S551" s="1594"/>
      <c r="T551" s="1594"/>
      <c r="U551" s="1594"/>
      <c r="V551" s="1594"/>
      <c r="W551" s="1594"/>
      <c r="X551" s="1594"/>
      <c r="Y551" s="1594"/>
      <c r="Z551" s="1594"/>
    </row>
    <row r="552" ht="12.75" customHeight="1">
      <c r="A552" s="1594"/>
      <c r="B552" s="1594"/>
      <c r="C552" s="1594"/>
      <c r="D552" s="1594"/>
      <c r="E552" s="1594"/>
      <c r="F552" s="1594"/>
      <c r="G552" s="1594"/>
      <c r="H552" s="1594"/>
      <c r="I552" s="1594"/>
      <c r="J552" s="1594"/>
      <c r="K552" s="1594"/>
      <c r="L552" s="1594"/>
      <c r="M552" s="1594"/>
      <c r="N552" s="1594"/>
      <c r="O552" s="1594"/>
      <c r="P552" s="1594"/>
      <c r="Q552" s="1594"/>
      <c r="R552" s="1594"/>
      <c r="S552" s="1594"/>
      <c r="T552" s="1594"/>
      <c r="U552" s="1594"/>
      <c r="V552" s="1594"/>
      <c r="W552" s="1594"/>
      <c r="X552" s="1594"/>
      <c r="Y552" s="1594"/>
      <c r="Z552" s="1594"/>
    </row>
    <row r="553" ht="12.75" customHeight="1">
      <c r="A553" s="1594"/>
      <c r="B553" s="1594"/>
      <c r="C553" s="1594"/>
      <c r="D553" s="1594"/>
      <c r="E553" s="1594"/>
      <c r="F553" s="1594"/>
      <c r="G553" s="1594"/>
      <c r="H553" s="1594"/>
      <c r="I553" s="1594"/>
      <c r="J553" s="1594"/>
      <c r="K553" s="1594"/>
      <c r="L553" s="1594"/>
      <c r="M553" s="1594"/>
      <c r="N553" s="1594"/>
      <c r="O553" s="1594"/>
      <c r="P553" s="1594"/>
      <c r="Q553" s="1594"/>
      <c r="R553" s="1594"/>
      <c r="S553" s="1594"/>
      <c r="T553" s="1594"/>
      <c r="U553" s="1594"/>
      <c r="V553" s="1594"/>
      <c r="W553" s="1594"/>
      <c r="X553" s="1594"/>
      <c r="Y553" s="1594"/>
      <c r="Z553" s="1594"/>
    </row>
    <row r="554" ht="12.75" customHeight="1">
      <c r="A554" s="1594"/>
      <c r="B554" s="1594"/>
      <c r="C554" s="1594"/>
      <c r="D554" s="1594"/>
      <c r="E554" s="1594"/>
      <c r="F554" s="1594"/>
      <c r="G554" s="1594"/>
      <c r="H554" s="1594"/>
      <c r="I554" s="1594"/>
      <c r="J554" s="1594"/>
      <c r="K554" s="1594"/>
      <c r="L554" s="1594"/>
      <c r="M554" s="1594"/>
      <c r="N554" s="1594"/>
      <c r="O554" s="1594"/>
      <c r="P554" s="1594"/>
      <c r="Q554" s="1594"/>
      <c r="R554" s="1594"/>
      <c r="S554" s="1594"/>
      <c r="T554" s="1594"/>
      <c r="U554" s="1594"/>
      <c r="V554" s="1594"/>
      <c r="W554" s="1594"/>
      <c r="X554" s="1594"/>
      <c r="Y554" s="1594"/>
      <c r="Z554" s="1594"/>
    </row>
    <row r="555" ht="12.75" customHeight="1">
      <c r="A555" s="1594"/>
      <c r="B555" s="1594"/>
      <c r="C555" s="1594"/>
      <c r="D555" s="1594"/>
      <c r="E555" s="1594"/>
      <c r="F555" s="1594"/>
      <c r="G555" s="1594"/>
      <c r="H555" s="1594"/>
      <c r="I555" s="1594"/>
      <c r="J555" s="1594"/>
      <c r="K555" s="1594"/>
      <c r="L555" s="1594"/>
      <c r="M555" s="1594"/>
      <c r="N555" s="1594"/>
      <c r="O555" s="1594"/>
      <c r="P555" s="1594"/>
      <c r="Q555" s="1594"/>
      <c r="R555" s="1594"/>
      <c r="S555" s="1594"/>
      <c r="T555" s="1594"/>
      <c r="U555" s="1594"/>
      <c r="V555" s="1594"/>
      <c r="W555" s="1594"/>
      <c r="X555" s="1594"/>
      <c r="Y555" s="1594"/>
      <c r="Z555" s="1594"/>
    </row>
    <row r="556" ht="12.75" customHeight="1">
      <c r="A556" s="1594"/>
      <c r="B556" s="1594"/>
      <c r="C556" s="1594"/>
      <c r="D556" s="1594"/>
      <c r="E556" s="1594"/>
      <c r="F556" s="1594"/>
      <c r="G556" s="1594"/>
      <c r="H556" s="1594"/>
      <c r="I556" s="1594"/>
      <c r="J556" s="1594"/>
      <c r="K556" s="1594"/>
      <c r="L556" s="1594"/>
      <c r="M556" s="1594"/>
      <c r="N556" s="1594"/>
      <c r="O556" s="1594"/>
      <c r="P556" s="1594"/>
      <c r="Q556" s="1594"/>
      <c r="R556" s="1594"/>
      <c r="S556" s="1594"/>
      <c r="T556" s="1594"/>
      <c r="U556" s="1594"/>
      <c r="V556" s="1594"/>
      <c r="W556" s="1594"/>
      <c r="X556" s="1594"/>
      <c r="Y556" s="1594"/>
      <c r="Z556" s="1594"/>
    </row>
    <row r="557" ht="12.75" customHeight="1">
      <c r="A557" s="1594"/>
      <c r="B557" s="1594"/>
      <c r="C557" s="1594"/>
      <c r="D557" s="1594"/>
      <c r="E557" s="1594"/>
      <c r="F557" s="1594"/>
      <c r="G557" s="1594"/>
      <c r="H557" s="1594"/>
      <c r="I557" s="1594"/>
      <c r="J557" s="1594"/>
      <c r="K557" s="1594"/>
      <c r="L557" s="1594"/>
      <c r="M557" s="1594"/>
      <c r="N557" s="1594"/>
      <c r="O557" s="1594"/>
      <c r="P557" s="1594"/>
      <c r="Q557" s="1594"/>
      <c r="R557" s="1594"/>
      <c r="S557" s="1594"/>
      <c r="T557" s="1594"/>
      <c r="U557" s="1594"/>
      <c r="V557" s="1594"/>
      <c r="W557" s="1594"/>
      <c r="X557" s="1594"/>
      <c r="Y557" s="1594"/>
      <c r="Z557" s="1594"/>
    </row>
    <row r="558" ht="12.75" customHeight="1">
      <c r="A558" s="1594"/>
      <c r="B558" s="1594"/>
      <c r="C558" s="1594"/>
      <c r="D558" s="1594"/>
      <c r="E558" s="1594"/>
      <c r="F558" s="1594"/>
      <c r="G558" s="1594"/>
      <c r="H558" s="1594"/>
      <c r="I558" s="1594"/>
      <c r="J558" s="1594"/>
      <c r="K558" s="1594"/>
      <c r="L558" s="1594"/>
      <c r="M558" s="1594"/>
      <c r="N558" s="1594"/>
      <c r="O558" s="1594"/>
      <c r="P558" s="1594"/>
      <c r="Q558" s="1594"/>
      <c r="R558" s="1594"/>
      <c r="S558" s="1594"/>
      <c r="T558" s="1594"/>
      <c r="U558" s="1594"/>
      <c r="V558" s="1594"/>
      <c r="W558" s="1594"/>
      <c r="X558" s="1594"/>
      <c r="Y558" s="1594"/>
      <c r="Z558" s="1594"/>
    </row>
    <row r="559" ht="12.75" customHeight="1">
      <c r="A559" s="1594"/>
      <c r="B559" s="1594"/>
      <c r="C559" s="1594"/>
      <c r="D559" s="1594"/>
      <c r="E559" s="1594"/>
      <c r="F559" s="1594"/>
      <c r="G559" s="1594"/>
      <c r="H559" s="1594"/>
      <c r="I559" s="1594"/>
      <c r="J559" s="1594"/>
      <c r="K559" s="1594"/>
      <c r="L559" s="1594"/>
      <c r="M559" s="1594"/>
      <c r="N559" s="1594"/>
      <c r="O559" s="1594"/>
      <c r="P559" s="1594"/>
      <c r="Q559" s="1594"/>
      <c r="R559" s="1594"/>
      <c r="S559" s="1594"/>
      <c r="T559" s="1594"/>
      <c r="U559" s="1594"/>
      <c r="V559" s="1594"/>
      <c r="W559" s="1594"/>
      <c r="X559" s="1594"/>
      <c r="Y559" s="1594"/>
      <c r="Z559" s="1594"/>
    </row>
    <row r="560" ht="12.75" customHeight="1">
      <c r="A560" s="1594"/>
      <c r="B560" s="1594"/>
      <c r="C560" s="1594"/>
      <c r="D560" s="1594"/>
      <c r="E560" s="1594"/>
      <c r="F560" s="1594"/>
      <c r="G560" s="1594"/>
      <c r="H560" s="1594"/>
      <c r="I560" s="1594"/>
      <c r="J560" s="1594"/>
      <c r="K560" s="1594"/>
      <c r="L560" s="1594"/>
      <c r="M560" s="1594"/>
      <c r="N560" s="1594"/>
      <c r="O560" s="1594"/>
      <c r="P560" s="1594"/>
      <c r="Q560" s="1594"/>
      <c r="R560" s="1594"/>
      <c r="S560" s="1594"/>
      <c r="T560" s="1594"/>
      <c r="U560" s="1594"/>
      <c r="V560" s="1594"/>
      <c r="W560" s="1594"/>
      <c r="X560" s="1594"/>
      <c r="Y560" s="1594"/>
      <c r="Z560" s="1594"/>
    </row>
    <row r="561" ht="12.75" customHeight="1">
      <c r="A561" s="1594"/>
      <c r="B561" s="1594"/>
      <c r="C561" s="1594"/>
      <c r="D561" s="1594"/>
      <c r="E561" s="1594"/>
      <c r="F561" s="1594"/>
      <c r="G561" s="1594"/>
      <c r="H561" s="1594"/>
      <c r="I561" s="1594"/>
      <c r="J561" s="1594"/>
      <c r="K561" s="1594"/>
      <c r="L561" s="1594"/>
      <c r="M561" s="1594"/>
      <c r="N561" s="1594"/>
      <c r="O561" s="1594"/>
      <c r="P561" s="1594"/>
      <c r="Q561" s="1594"/>
      <c r="R561" s="1594"/>
      <c r="S561" s="1594"/>
      <c r="T561" s="1594"/>
      <c r="U561" s="1594"/>
      <c r="V561" s="1594"/>
      <c r="W561" s="1594"/>
      <c r="X561" s="1594"/>
      <c r="Y561" s="1594"/>
      <c r="Z561" s="1594"/>
    </row>
    <row r="562" ht="12.75" customHeight="1">
      <c r="A562" s="1594"/>
      <c r="B562" s="1594"/>
      <c r="C562" s="1594"/>
      <c r="D562" s="1594"/>
      <c r="E562" s="1594"/>
      <c r="F562" s="1594"/>
      <c r="G562" s="1594"/>
      <c r="H562" s="1594"/>
      <c r="I562" s="1594"/>
      <c r="J562" s="1594"/>
      <c r="K562" s="1594"/>
      <c r="L562" s="1594"/>
      <c r="M562" s="1594"/>
      <c r="N562" s="1594"/>
      <c r="O562" s="1594"/>
      <c r="P562" s="1594"/>
      <c r="Q562" s="1594"/>
      <c r="R562" s="1594"/>
      <c r="S562" s="1594"/>
      <c r="T562" s="1594"/>
      <c r="U562" s="1594"/>
      <c r="V562" s="1594"/>
      <c r="W562" s="1594"/>
      <c r="X562" s="1594"/>
      <c r="Y562" s="1594"/>
      <c r="Z562" s="1594"/>
    </row>
    <row r="563" ht="12.75" customHeight="1">
      <c r="A563" s="1594"/>
      <c r="B563" s="1594"/>
      <c r="C563" s="1594"/>
      <c r="D563" s="1594"/>
      <c r="E563" s="1594"/>
      <c r="F563" s="1594"/>
      <c r="G563" s="1594"/>
      <c r="H563" s="1594"/>
      <c r="I563" s="1594"/>
      <c r="J563" s="1594"/>
      <c r="K563" s="1594"/>
      <c r="L563" s="1594"/>
      <c r="M563" s="1594"/>
      <c r="N563" s="1594"/>
      <c r="O563" s="1594"/>
      <c r="P563" s="1594"/>
      <c r="Q563" s="1594"/>
      <c r="R563" s="1594"/>
      <c r="S563" s="1594"/>
      <c r="T563" s="1594"/>
      <c r="U563" s="1594"/>
      <c r="V563" s="1594"/>
      <c r="W563" s="1594"/>
      <c r="X563" s="1594"/>
      <c r="Y563" s="1594"/>
      <c r="Z563" s="1594"/>
    </row>
    <row r="564" ht="12.75" customHeight="1">
      <c r="A564" s="1594"/>
      <c r="B564" s="1594"/>
      <c r="C564" s="1594"/>
      <c r="D564" s="1594"/>
      <c r="E564" s="1594"/>
      <c r="F564" s="1594"/>
      <c r="G564" s="1594"/>
      <c r="H564" s="1594"/>
      <c r="I564" s="1594"/>
      <c r="J564" s="1594"/>
      <c r="K564" s="1594"/>
      <c r="L564" s="1594"/>
      <c r="M564" s="1594"/>
      <c r="N564" s="1594"/>
      <c r="O564" s="1594"/>
      <c r="P564" s="1594"/>
      <c r="Q564" s="1594"/>
      <c r="R564" s="1594"/>
      <c r="S564" s="1594"/>
      <c r="T564" s="1594"/>
      <c r="U564" s="1594"/>
      <c r="V564" s="1594"/>
      <c r="W564" s="1594"/>
      <c r="X564" s="1594"/>
      <c r="Y564" s="1594"/>
      <c r="Z564" s="1594"/>
    </row>
    <row r="565" ht="12.75" customHeight="1">
      <c r="A565" s="1594"/>
      <c r="B565" s="1594"/>
      <c r="C565" s="1594"/>
      <c r="D565" s="1594"/>
      <c r="E565" s="1594"/>
      <c r="F565" s="1594"/>
      <c r="G565" s="1594"/>
      <c r="H565" s="1594"/>
      <c r="I565" s="1594"/>
      <c r="J565" s="1594"/>
      <c r="K565" s="1594"/>
      <c r="L565" s="1594"/>
      <c r="M565" s="1594"/>
      <c r="N565" s="1594"/>
      <c r="O565" s="1594"/>
      <c r="P565" s="1594"/>
      <c r="Q565" s="1594"/>
      <c r="R565" s="1594"/>
      <c r="S565" s="1594"/>
      <c r="T565" s="1594"/>
      <c r="U565" s="1594"/>
      <c r="V565" s="1594"/>
      <c r="W565" s="1594"/>
      <c r="X565" s="1594"/>
      <c r="Y565" s="1594"/>
      <c r="Z565" s="1594"/>
    </row>
    <row r="566" ht="12.75" customHeight="1">
      <c r="A566" s="1594"/>
      <c r="B566" s="1594"/>
      <c r="C566" s="1594"/>
      <c r="D566" s="1594"/>
      <c r="E566" s="1594"/>
      <c r="F566" s="1594"/>
      <c r="G566" s="1594"/>
      <c r="H566" s="1594"/>
      <c r="I566" s="1594"/>
      <c r="J566" s="1594"/>
      <c r="K566" s="1594"/>
      <c r="L566" s="1594"/>
      <c r="M566" s="1594"/>
      <c r="N566" s="1594"/>
      <c r="O566" s="1594"/>
      <c r="P566" s="1594"/>
      <c r="Q566" s="1594"/>
      <c r="R566" s="1594"/>
      <c r="S566" s="1594"/>
      <c r="T566" s="1594"/>
      <c r="U566" s="1594"/>
      <c r="V566" s="1594"/>
      <c r="W566" s="1594"/>
      <c r="X566" s="1594"/>
      <c r="Y566" s="1594"/>
      <c r="Z566" s="1594"/>
    </row>
    <row r="567" ht="12.75" customHeight="1">
      <c r="A567" s="1594"/>
      <c r="B567" s="1594"/>
      <c r="C567" s="1594"/>
      <c r="D567" s="1594"/>
      <c r="E567" s="1594"/>
      <c r="F567" s="1594"/>
      <c r="G567" s="1594"/>
      <c r="H567" s="1594"/>
      <c r="I567" s="1594"/>
      <c r="J567" s="1594"/>
      <c r="K567" s="1594"/>
      <c r="L567" s="1594"/>
      <c r="M567" s="1594"/>
      <c r="N567" s="1594"/>
      <c r="O567" s="1594"/>
      <c r="P567" s="1594"/>
      <c r="Q567" s="1594"/>
      <c r="R567" s="1594"/>
      <c r="S567" s="1594"/>
      <c r="T567" s="1594"/>
      <c r="U567" s="1594"/>
      <c r="V567" s="1594"/>
      <c r="W567" s="1594"/>
      <c r="X567" s="1594"/>
      <c r="Y567" s="1594"/>
      <c r="Z567" s="1594"/>
    </row>
    <row r="568" ht="12.75" customHeight="1">
      <c r="A568" s="1594"/>
      <c r="B568" s="1594"/>
      <c r="C568" s="1594"/>
      <c r="D568" s="1594"/>
      <c r="E568" s="1594"/>
      <c r="F568" s="1594"/>
      <c r="G568" s="1594"/>
      <c r="H568" s="1594"/>
      <c r="I568" s="1594"/>
      <c r="J568" s="1594"/>
      <c r="K568" s="1594"/>
      <c r="L568" s="1594"/>
      <c r="M568" s="1594"/>
      <c r="N568" s="1594"/>
      <c r="O568" s="1594"/>
      <c r="P568" s="1594"/>
      <c r="Q568" s="1594"/>
      <c r="R568" s="1594"/>
      <c r="S568" s="1594"/>
      <c r="T568" s="1594"/>
      <c r="U568" s="1594"/>
      <c r="V568" s="1594"/>
      <c r="W568" s="1594"/>
      <c r="X568" s="1594"/>
      <c r="Y568" s="1594"/>
      <c r="Z568" s="1594"/>
    </row>
    <row r="569" ht="12.75" customHeight="1">
      <c r="A569" s="1594"/>
      <c r="B569" s="1594"/>
      <c r="C569" s="1594"/>
      <c r="D569" s="1594"/>
      <c r="E569" s="1594"/>
      <c r="F569" s="1594"/>
      <c r="G569" s="1594"/>
      <c r="H569" s="1594"/>
      <c r="I569" s="1594"/>
      <c r="J569" s="1594"/>
      <c r="K569" s="1594"/>
      <c r="L569" s="1594"/>
      <c r="M569" s="1594"/>
      <c r="N569" s="1594"/>
      <c r="O569" s="1594"/>
      <c r="P569" s="1594"/>
      <c r="Q569" s="1594"/>
      <c r="R569" s="1594"/>
      <c r="S569" s="1594"/>
      <c r="T569" s="1594"/>
      <c r="U569" s="1594"/>
      <c r="V569" s="1594"/>
      <c r="W569" s="1594"/>
      <c r="X569" s="1594"/>
      <c r="Y569" s="1594"/>
      <c r="Z569" s="1594"/>
    </row>
    <row r="570" ht="12.75" customHeight="1">
      <c r="A570" s="1594"/>
      <c r="B570" s="1594"/>
      <c r="C570" s="1594"/>
      <c r="D570" s="1594"/>
      <c r="E570" s="1594"/>
      <c r="F570" s="1594"/>
      <c r="G570" s="1594"/>
      <c r="H570" s="1594"/>
      <c r="I570" s="1594"/>
      <c r="J570" s="1594"/>
      <c r="K570" s="1594"/>
      <c r="L570" s="1594"/>
      <c r="M570" s="1594"/>
      <c r="N570" s="1594"/>
      <c r="O570" s="1594"/>
      <c r="P570" s="1594"/>
      <c r="Q570" s="1594"/>
      <c r="R570" s="1594"/>
      <c r="S570" s="1594"/>
      <c r="T570" s="1594"/>
      <c r="U570" s="1594"/>
      <c r="V570" s="1594"/>
      <c r="W570" s="1594"/>
      <c r="X570" s="1594"/>
      <c r="Y570" s="1594"/>
      <c r="Z570" s="1594"/>
    </row>
    <row r="571" ht="12.75" customHeight="1">
      <c r="A571" s="1594"/>
      <c r="B571" s="1594"/>
      <c r="C571" s="1594"/>
      <c r="D571" s="1594"/>
      <c r="E571" s="1594"/>
      <c r="F571" s="1594"/>
      <c r="G571" s="1594"/>
      <c r="H571" s="1594"/>
      <c r="I571" s="1594"/>
      <c r="J571" s="1594"/>
      <c r="K571" s="1594"/>
      <c r="L571" s="1594"/>
      <c r="M571" s="1594"/>
      <c r="N571" s="1594"/>
      <c r="O571" s="1594"/>
      <c r="P571" s="1594"/>
      <c r="Q571" s="1594"/>
      <c r="R571" s="1594"/>
      <c r="S571" s="1594"/>
      <c r="T571" s="1594"/>
      <c r="U571" s="1594"/>
      <c r="V571" s="1594"/>
      <c r="W571" s="1594"/>
      <c r="X571" s="1594"/>
      <c r="Y571" s="1594"/>
      <c r="Z571" s="1594"/>
    </row>
    <row r="572" ht="12.75" customHeight="1">
      <c r="A572" s="1594"/>
      <c r="B572" s="1594"/>
      <c r="C572" s="1594"/>
      <c r="D572" s="1594"/>
      <c r="E572" s="1594"/>
      <c r="F572" s="1594"/>
      <c r="G572" s="1594"/>
      <c r="H572" s="1594"/>
      <c r="I572" s="1594"/>
      <c r="J572" s="1594"/>
      <c r="K572" s="1594"/>
      <c r="L572" s="1594"/>
      <c r="M572" s="1594"/>
      <c r="N572" s="1594"/>
      <c r="O572" s="1594"/>
      <c r="P572" s="1594"/>
      <c r="Q572" s="1594"/>
      <c r="R572" s="1594"/>
      <c r="S572" s="1594"/>
      <c r="T572" s="1594"/>
      <c r="U572" s="1594"/>
      <c r="V572" s="1594"/>
      <c r="W572" s="1594"/>
      <c r="X572" s="1594"/>
      <c r="Y572" s="1594"/>
      <c r="Z572" s="1594"/>
    </row>
    <row r="573" ht="12.75" customHeight="1">
      <c r="A573" s="1594"/>
      <c r="B573" s="1594"/>
      <c r="C573" s="1594"/>
      <c r="D573" s="1594"/>
      <c r="E573" s="1594"/>
      <c r="F573" s="1594"/>
      <c r="G573" s="1594"/>
      <c r="H573" s="1594"/>
      <c r="I573" s="1594"/>
      <c r="J573" s="1594"/>
      <c r="K573" s="1594"/>
      <c r="L573" s="1594"/>
      <c r="M573" s="1594"/>
      <c r="N573" s="1594"/>
      <c r="O573" s="1594"/>
      <c r="P573" s="1594"/>
      <c r="Q573" s="1594"/>
      <c r="R573" s="1594"/>
      <c r="S573" s="1594"/>
      <c r="T573" s="1594"/>
      <c r="U573" s="1594"/>
      <c r="V573" s="1594"/>
      <c r="W573" s="1594"/>
      <c r="X573" s="1594"/>
      <c r="Y573" s="1594"/>
      <c r="Z573" s="1594"/>
    </row>
    <row r="574" ht="12.75" customHeight="1">
      <c r="A574" s="1594"/>
      <c r="B574" s="1594"/>
      <c r="C574" s="1594"/>
      <c r="D574" s="1594"/>
      <c r="E574" s="1594"/>
      <c r="F574" s="1594"/>
      <c r="G574" s="1594"/>
      <c r="H574" s="1594"/>
      <c r="I574" s="1594"/>
      <c r="J574" s="1594"/>
      <c r="K574" s="1594"/>
      <c r="L574" s="1594"/>
      <c r="M574" s="1594"/>
      <c r="N574" s="1594"/>
      <c r="O574" s="1594"/>
      <c r="P574" s="1594"/>
      <c r="Q574" s="1594"/>
      <c r="R574" s="1594"/>
      <c r="S574" s="1594"/>
      <c r="T574" s="1594"/>
      <c r="U574" s="1594"/>
      <c r="V574" s="1594"/>
      <c r="W574" s="1594"/>
      <c r="X574" s="1594"/>
      <c r="Y574" s="1594"/>
      <c r="Z574" s="1594"/>
    </row>
    <row r="575" ht="12.75" customHeight="1">
      <c r="A575" s="1594"/>
      <c r="B575" s="1594"/>
      <c r="C575" s="1594"/>
      <c r="D575" s="1594"/>
      <c r="E575" s="1594"/>
      <c r="F575" s="1594"/>
      <c r="G575" s="1594"/>
      <c r="H575" s="1594"/>
      <c r="I575" s="1594"/>
      <c r="J575" s="1594"/>
      <c r="K575" s="1594"/>
      <c r="L575" s="1594"/>
      <c r="M575" s="1594"/>
      <c r="N575" s="1594"/>
      <c r="O575" s="1594"/>
      <c r="P575" s="1594"/>
      <c r="Q575" s="1594"/>
      <c r="R575" s="1594"/>
      <c r="S575" s="1594"/>
      <c r="T575" s="1594"/>
      <c r="U575" s="1594"/>
      <c r="V575" s="1594"/>
      <c r="W575" s="1594"/>
      <c r="X575" s="1594"/>
      <c r="Y575" s="1594"/>
      <c r="Z575" s="1594"/>
    </row>
    <row r="576" ht="12.75" customHeight="1">
      <c r="A576" s="1594"/>
      <c r="B576" s="1594"/>
      <c r="C576" s="1594"/>
      <c r="D576" s="1594"/>
      <c r="E576" s="1594"/>
      <c r="F576" s="1594"/>
      <c r="G576" s="1594"/>
      <c r="H576" s="1594"/>
      <c r="I576" s="1594"/>
      <c r="J576" s="1594"/>
      <c r="K576" s="1594"/>
      <c r="L576" s="1594"/>
      <c r="M576" s="1594"/>
      <c r="N576" s="1594"/>
      <c r="O576" s="1594"/>
      <c r="P576" s="1594"/>
      <c r="Q576" s="1594"/>
      <c r="R576" s="1594"/>
      <c r="S576" s="1594"/>
      <c r="T576" s="1594"/>
      <c r="U576" s="1594"/>
      <c r="V576" s="1594"/>
      <c r="W576" s="1594"/>
      <c r="X576" s="1594"/>
      <c r="Y576" s="1594"/>
      <c r="Z576" s="1594"/>
    </row>
    <row r="577" ht="12.75" customHeight="1">
      <c r="A577" s="1594"/>
      <c r="B577" s="1594"/>
      <c r="C577" s="1594"/>
      <c r="D577" s="1594"/>
      <c r="E577" s="1594"/>
      <c r="F577" s="1594"/>
      <c r="G577" s="1594"/>
      <c r="H577" s="1594"/>
      <c r="I577" s="1594"/>
      <c r="J577" s="1594"/>
      <c r="K577" s="1594"/>
      <c r="L577" s="1594"/>
      <c r="M577" s="1594"/>
      <c r="N577" s="1594"/>
      <c r="O577" s="1594"/>
      <c r="P577" s="1594"/>
      <c r="Q577" s="1594"/>
      <c r="R577" s="1594"/>
      <c r="S577" s="1594"/>
      <c r="T577" s="1594"/>
      <c r="U577" s="1594"/>
      <c r="V577" s="1594"/>
      <c r="W577" s="1594"/>
      <c r="X577" s="1594"/>
      <c r="Y577" s="1594"/>
      <c r="Z577" s="1594"/>
    </row>
    <row r="578" ht="12.75" customHeight="1">
      <c r="A578" s="1594"/>
      <c r="B578" s="1594"/>
      <c r="C578" s="1594"/>
      <c r="D578" s="1594"/>
      <c r="E578" s="1594"/>
      <c r="F578" s="1594"/>
      <c r="G578" s="1594"/>
      <c r="H578" s="1594"/>
      <c r="I578" s="1594"/>
      <c r="J578" s="1594"/>
      <c r="K578" s="1594"/>
      <c r="L578" s="1594"/>
      <c r="M578" s="1594"/>
      <c r="N578" s="1594"/>
      <c r="O578" s="1594"/>
      <c r="P578" s="1594"/>
      <c r="Q578" s="1594"/>
      <c r="R578" s="1594"/>
      <c r="S578" s="1594"/>
      <c r="T578" s="1594"/>
      <c r="U578" s="1594"/>
      <c r="V578" s="1594"/>
      <c r="W578" s="1594"/>
      <c r="X578" s="1594"/>
      <c r="Y578" s="1594"/>
      <c r="Z578" s="1594"/>
    </row>
    <row r="579" ht="12.75" customHeight="1">
      <c r="A579" s="1594"/>
      <c r="B579" s="1594"/>
      <c r="C579" s="1594"/>
      <c r="D579" s="1594"/>
      <c r="E579" s="1594"/>
      <c r="F579" s="1594"/>
      <c r="G579" s="1594"/>
      <c r="H579" s="1594"/>
      <c r="I579" s="1594"/>
      <c r="J579" s="1594"/>
      <c r="K579" s="1594"/>
      <c r="L579" s="1594"/>
      <c r="M579" s="1594"/>
      <c r="N579" s="1594"/>
      <c r="O579" s="1594"/>
      <c r="P579" s="1594"/>
      <c r="Q579" s="1594"/>
      <c r="R579" s="1594"/>
      <c r="S579" s="1594"/>
      <c r="T579" s="1594"/>
      <c r="U579" s="1594"/>
      <c r="V579" s="1594"/>
      <c r="W579" s="1594"/>
      <c r="X579" s="1594"/>
      <c r="Y579" s="1594"/>
      <c r="Z579" s="1594"/>
    </row>
    <row r="580" ht="12.75" customHeight="1">
      <c r="A580" s="1594"/>
      <c r="B580" s="1594"/>
      <c r="C580" s="1594"/>
      <c r="D580" s="1594"/>
      <c r="E580" s="1594"/>
      <c r="F580" s="1594"/>
      <c r="G580" s="1594"/>
      <c r="H580" s="1594"/>
      <c r="I580" s="1594"/>
      <c r="J580" s="1594"/>
      <c r="K580" s="1594"/>
      <c r="L580" s="1594"/>
      <c r="M580" s="1594"/>
      <c r="N580" s="1594"/>
      <c r="O580" s="1594"/>
      <c r="P580" s="1594"/>
      <c r="Q580" s="1594"/>
      <c r="R580" s="1594"/>
      <c r="S580" s="1594"/>
      <c r="T580" s="1594"/>
      <c r="U580" s="1594"/>
      <c r="V580" s="1594"/>
      <c r="W580" s="1594"/>
      <c r="X580" s="1594"/>
      <c r="Y580" s="1594"/>
      <c r="Z580" s="1594"/>
    </row>
    <row r="581" ht="12.75" customHeight="1">
      <c r="A581" s="1594"/>
      <c r="B581" s="1594"/>
      <c r="C581" s="1594"/>
      <c r="D581" s="1594"/>
      <c r="E581" s="1594"/>
      <c r="F581" s="1594"/>
      <c r="G581" s="1594"/>
      <c r="H581" s="1594"/>
      <c r="I581" s="1594"/>
      <c r="J581" s="1594"/>
      <c r="K581" s="1594"/>
      <c r="L581" s="1594"/>
      <c r="M581" s="1594"/>
      <c r="N581" s="1594"/>
      <c r="O581" s="1594"/>
      <c r="P581" s="1594"/>
      <c r="Q581" s="1594"/>
      <c r="R581" s="1594"/>
      <c r="S581" s="1594"/>
      <c r="T581" s="1594"/>
      <c r="U581" s="1594"/>
      <c r="V581" s="1594"/>
      <c r="W581" s="1594"/>
      <c r="X581" s="1594"/>
      <c r="Y581" s="1594"/>
      <c r="Z581" s="1594"/>
    </row>
    <row r="582" ht="12.75" customHeight="1">
      <c r="A582" s="1594"/>
      <c r="B582" s="1594"/>
      <c r="C582" s="1594"/>
      <c r="D582" s="1594"/>
      <c r="E582" s="1594"/>
      <c r="F582" s="1594"/>
      <c r="G582" s="1594"/>
      <c r="H582" s="1594"/>
      <c r="I582" s="1594"/>
      <c r="J582" s="1594"/>
      <c r="K582" s="1594"/>
      <c r="L582" s="1594"/>
      <c r="M582" s="1594"/>
      <c r="N582" s="1594"/>
      <c r="O582" s="1594"/>
      <c r="P582" s="1594"/>
      <c r="Q582" s="1594"/>
      <c r="R582" s="1594"/>
      <c r="S582" s="1594"/>
      <c r="T582" s="1594"/>
      <c r="U582" s="1594"/>
      <c r="V582" s="1594"/>
      <c r="W582" s="1594"/>
      <c r="X582" s="1594"/>
      <c r="Y582" s="1594"/>
      <c r="Z582" s="1594"/>
    </row>
    <row r="583" ht="12.75" customHeight="1">
      <c r="A583" s="1594"/>
      <c r="B583" s="1594"/>
      <c r="C583" s="1594"/>
      <c r="D583" s="1594"/>
      <c r="E583" s="1594"/>
      <c r="F583" s="1594"/>
      <c r="G583" s="1594"/>
      <c r="H583" s="1594"/>
      <c r="I583" s="1594"/>
      <c r="J583" s="1594"/>
      <c r="K583" s="1594"/>
      <c r="L583" s="1594"/>
      <c r="M583" s="1594"/>
      <c r="N583" s="1594"/>
      <c r="O583" s="1594"/>
      <c r="P583" s="1594"/>
      <c r="Q583" s="1594"/>
      <c r="R583" s="1594"/>
      <c r="S583" s="1594"/>
      <c r="T583" s="1594"/>
      <c r="U583" s="1594"/>
      <c r="V583" s="1594"/>
      <c r="W583" s="1594"/>
      <c r="X583" s="1594"/>
      <c r="Y583" s="1594"/>
      <c r="Z583" s="1594"/>
    </row>
    <row r="584" ht="12.75" customHeight="1">
      <c r="A584" s="1594"/>
      <c r="B584" s="1594"/>
      <c r="C584" s="1594"/>
      <c r="D584" s="1594"/>
      <c r="E584" s="1594"/>
      <c r="F584" s="1594"/>
      <c r="G584" s="1594"/>
      <c r="H584" s="1594"/>
      <c r="I584" s="1594"/>
      <c r="J584" s="1594"/>
      <c r="K584" s="1594"/>
      <c r="L584" s="1594"/>
      <c r="M584" s="1594"/>
      <c r="N584" s="1594"/>
      <c r="O584" s="1594"/>
      <c r="P584" s="1594"/>
      <c r="Q584" s="1594"/>
      <c r="R584" s="1594"/>
      <c r="S584" s="1594"/>
      <c r="T584" s="1594"/>
      <c r="U584" s="1594"/>
      <c r="V584" s="1594"/>
      <c r="W584" s="1594"/>
      <c r="X584" s="1594"/>
      <c r="Y584" s="1594"/>
      <c r="Z584" s="1594"/>
    </row>
    <row r="585" ht="12.75" customHeight="1">
      <c r="A585" s="1594"/>
      <c r="B585" s="1594"/>
      <c r="C585" s="1594"/>
      <c r="D585" s="1594"/>
      <c r="E585" s="1594"/>
      <c r="F585" s="1594"/>
      <c r="G585" s="1594"/>
      <c r="H585" s="1594"/>
      <c r="I585" s="1594"/>
      <c r="J585" s="1594"/>
      <c r="K585" s="1594"/>
      <c r="L585" s="1594"/>
      <c r="M585" s="1594"/>
      <c r="N585" s="1594"/>
      <c r="O585" s="1594"/>
      <c r="P585" s="1594"/>
      <c r="Q585" s="1594"/>
      <c r="R585" s="1594"/>
      <c r="S585" s="1594"/>
      <c r="T585" s="1594"/>
      <c r="U585" s="1594"/>
      <c r="V585" s="1594"/>
      <c r="W585" s="1594"/>
      <c r="X585" s="1594"/>
      <c r="Y585" s="1594"/>
      <c r="Z585" s="1594"/>
    </row>
    <row r="586" ht="12.75" customHeight="1">
      <c r="A586" s="1594"/>
      <c r="B586" s="1594"/>
      <c r="C586" s="1594"/>
      <c r="D586" s="1594"/>
      <c r="E586" s="1594"/>
      <c r="F586" s="1594"/>
      <c r="G586" s="1594"/>
      <c r="H586" s="1594"/>
      <c r="I586" s="1594"/>
      <c r="J586" s="1594"/>
      <c r="K586" s="1594"/>
      <c r="L586" s="1594"/>
      <c r="M586" s="1594"/>
      <c r="N586" s="1594"/>
      <c r="O586" s="1594"/>
      <c r="P586" s="1594"/>
      <c r="Q586" s="1594"/>
      <c r="R586" s="1594"/>
      <c r="S586" s="1594"/>
      <c r="T586" s="1594"/>
      <c r="U586" s="1594"/>
      <c r="V586" s="1594"/>
      <c r="W586" s="1594"/>
      <c r="X586" s="1594"/>
      <c r="Y586" s="1594"/>
      <c r="Z586" s="1594"/>
    </row>
    <row r="587" ht="12.75" customHeight="1">
      <c r="A587" s="1594"/>
      <c r="B587" s="1594"/>
      <c r="C587" s="1594"/>
      <c r="D587" s="1594"/>
      <c r="E587" s="1594"/>
      <c r="F587" s="1594"/>
      <c r="G587" s="1594"/>
      <c r="H587" s="1594"/>
      <c r="I587" s="1594"/>
      <c r="J587" s="1594"/>
      <c r="K587" s="1594"/>
      <c r="L587" s="1594"/>
      <c r="M587" s="1594"/>
      <c r="N587" s="1594"/>
      <c r="O587" s="1594"/>
      <c r="P587" s="1594"/>
      <c r="Q587" s="1594"/>
      <c r="R587" s="1594"/>
      <c r="S587" s="1594"/>
      <c r="T587" s="1594"/>
      <c r="U587" s="1594"/>
      <c r="V587" s="1594"/>
      <c r="W587" s="1594"/>
      <c r="X587" s="1594"/>
      <c r="Y587" s="1594"/>
      <c r="Z587" s="1594"/>
    </row>
    <row r="588" ht="12.75" customHeight="1">
      <c r="A588" s="1594"/>
      <c r="B588" s="1594"/>
      <c r="C588" s="1594"/>
      <c r="D588" s="1594"/>
      <c r="E588" s="1594"/>
      <c r="F588" s="1594"/>
      <c r="G588" s="1594"/>
      <c r="H588" s="1594"/>
      <c r="I588" s="1594"/>
      <c r="J588" s="1594"/>
      <c r="K588" s="1594"/>
      <c r="L588" s="1594"/>
      <c r="M588" s="1594"/>
      <c r="N588" s="1594"/>
      <c r="O588" s="1594"/>
      <c r="P588" s="1594"/>
      <c r="Q588" s="1594"/>
      <c r="R588" s="1594"/>
      <c r="S588" s="1594"/>
      <c r="T588" s="1594"/>
      <c r="U588" s="1594"/>
      <c r="V588" s="1594"/>
      <c r="W588" s="1594"/>
      <c r="X588" s="1594"/>
      <c r="Y588" s="1594"/>
      <c r="Z588" s="1594"/>
    </row>
    <row r="589" ht="12.75" customHeight="1">
      <c r="A589" s="1594"/>
      <c r="B589" s="1594"/>
      <c r="C589" s="1594"/>
      <c r="D589" s="1594"/>
      <c r="E589" s="1594"/>
      <c r="F589" s="1594"/>
      <c r="G589" s="1594"/>
      <c r="H589" s="1594"/>
      <c r="I589" s="1594"/>
      <c r="J589" s="1594"/>
      <c r="K589" s="1594"/>
      <c r="L589" s="1594"/>
      <c r="M589" s="1594"/>
      <c r="N589" s="1594"/>
      <c r="O589" s="1594"/>
      <c r="P589" s="1594"/>
      <c r="Q589" s="1594"/>
      <c r="R589" s="1594"/>
      <c r="S589" s="1594"/>
      <c r="T589" s="1594"/>
      <c r="U589" s="1594"/>
      <c r="V589" s="1594"/>
      <c r="W589" s="1594"/>
      <c r="X589" s="1594"/>
      <c r="Y589" s="1594"/>
      <c r="Z589" s="1594"/>
    </row>
    <row r="590" ht="12.75" customHeight="1">
      <c r="A590" s="1594"/>
      <c r="B590" s="1594"/>
      <c r="C590" s="1594"/>
      <c r="D590" s="1594"/>
      <c r="E590" s="1594"/>
      <c r="F590" s="1594"/>
      <c r="G590" s="1594"/>
      <c r="H590" s="1594"/>
      <c r="I590" s="1594"/>
      <c r="J590" s="1594"/>
      <c r="K590" s="1594"/>
      <c r="L590" s="1594"/>
      <c r="M590" s="1594"/>
      <c r="N590" s="1594"/>
      <c r="O590" s="1594"/>
      <c r="P590" s="1594"/>
      <c r="Q590" s="1594"/>
      <c r="R590" s="1594"/>
      <c r="S590" s="1594"/>
      <c r="T590" s="1594"/>
      <c r="U590" s="1594"/>
      <c r="V590" s="1594"/>
      <c r="W590" s="1594"/>
      <c r="X590" s="1594"/>
      <c r="Y590" s="1594"/>
      <c r="Z590" s="1594"/>
    </row>
    <row r="591" ht="12.75" customHeight="1">
      <c r="A591" s="1594"/>
      <c r="B591" s="1594"/>
      <c r="C591" s="1594"/>
      <c r="D591" s="1594"/>
      <c r="E591" s="1594"/>
      <c r="F591" s="1594"/>
      <c r="G591" s="1594"/>
      <c r="H591" s="1594"/>
      <c r="I591" s="1594"/>
      <c r="J591" s="1594"/>
      <c r="K591" s="1594"/>
      <c r="L591" s="1594"/>
      <c r="M591" s="1594"/>
      <c r="N591" s="1594"/>
      <c r="O591" s="1594"/>
      <c r="P591" s="1594"/>
      <c r="Q591" s="1594"/>
      <c r="R591" s="1594"/>
      <c r="S591" s="1594"/>
      <c r="T591" s="1594"/>
      <c r="U591" s="1594"/>
      <c r="V591" s="1594"/>
      <c r="W591" s="1594"/>
      <c r="X591" s="1594"/>
      <c r="Y591" s="1594"/>
      <c r="Z591" s="1594"/>
    </row>
    <row r="592" ht="12.75" customHeight="1">
      <c r="A592" s="1594"/>
      <c r="B592" s="1594"/>
      <c r="C592" s="1594"/>
      <c r="D592" s="1594"/>
      <c r="E592" s="1594"/>
      <c r="F592" s="1594"/>
      <c r="G592" s="1594"/>
      <c r="H592" s="1594"/>
      <c r="I592" s="1594"/>
      <c r="J592" s="1594"/>
      <c r="K592" s="1594"/>
      <c r="L592" s="1594"/>
      <c r="M592" s="1594"/>
      <c r="N592" s="1594"/>
      <c r="O592" s="1594"/>
      <c r="P592" s="1594"/>
      <c r="Q592" s="1594"/>
      <c r="R592" s="1594"/>
      <c r="S592" s="1594"/>
      <c r="T592" s="1594"/>
      <c r="U592" s="1594"/>
      <c r="V592" s="1594"/>
      <c r="W592" s="1594"/>
      <c r="X592" s="1594"/>
      <c r="Y592" s="1594"/>
      <c r="Z592" s="1594"/>
    </row>
    <row r="593" ht="12.75" customHeight="1">
      <c r="A593" s="1594"/>
      <c r="B593" s="1594"/>
      <c r="C593" s="1594"/>
      <c r="D593" s="1594"/>
      <c r="E593" s="1594"/>
      <c r="F593" s="1594"/>
      <c r="G593" s="1594"/>
      <c r="H593" s="1594"/>
      <c r="I593" s="1594"/>
      <c r="J593" s="1594"/>
      <c r="K593" s="1594"/>
      <c r="L593" s="1594"/>
      <c r="M593" s="1594"/>
      <c r="N593" s="1594"/>
      <c r="O593" s="1594"/>
      <c r="P593" s="1594"/>
      <c r="Q593" s="1594"/>
      <c r="R593" s="1594"/>
      <c r="S593" s="1594"/>
      <c r="T593" s="1594"/>
      <c r="U593" s="1594"/>
      <c r="V593" s="1594"/>
      <c r="W593" s="1594"/>
      <c r="X593" s="1594"/>
      <c r="Y593" s="1594"/>
      <c r="Z593" s="1594"/>
    </row>
    <row r="594" ht="12.75" customHeight="1">
      <c r="A594" s="1594"/>
      <c r="B594" s="1594"/>
      <c r="C594" s="1594"/>
      <c r="D594" s="1594"/>
      <c r="E594" s="1594"/>
      <c r="F594" s="1594"/>
      <c r="G594" s="1594"/>
      <c r="H594" s="1594"/>
      <c r="I594" s="1594"/>
      <c r="J594" s="1594"/>
      <c r="K594" s="1594"/>
      <c r="L594" s="1594"/>
      <c r="M594" s="1594"/>
      <c r="N594" s="1594"/>
      <c r="O594" s="1594"/>
      <c r="P594" s="1594"/>
      <c r="Q594" s="1594"/>
      <c r="R594" s="1594"/>
      <c r="S594" s="1594"/>
      <c r="T594" s="1594"/>
      <c r="U594" s="1594"/>
      <c r="V594" s="1594"/>
      <c r="W594" s="1594"/>
      <c r="X594" s="1594"/>
      <c r="Y594" s="1594"/>
      <c r="Z594" s="1594"/>
    </row>
    <row r="595" ht="12.75" customHeight="1">
      <c r="A595" s="1594"/>
      <c r="B595" s="1594"/>
      <c r="C595" s="1594"/>
      <c r="D595" s="1594"/>
      <c r="E595" s="1594"/>
      <c r="F595" s="1594"/>
      <c r="G595" s="1594"/>
      <c r="H595" s="1594"/>
      <c r="I595" s="1594"/>
      <c r="J595" s="1594"/>
      <c r="K595" s="1594"/>
      <c r="L595" s="1594"/>
      <c r="M595" s="1594"/>
      <c r="N595" s="1594"/>
      <c r="O595" s="1594"/>
      <c r="P595" s="1594"/>
      <c r="Q595" s="1594"/>
      <c r="R595" s="1594"/>
      <c r="S595" s="1594"/>
      <c r="T595" s="1594"/>
      <c r="U595" s="1594"/>
      <c r="V595" s="1594"/>
      <c r="W595" s="1594"/>
      <c r="X595" s="1594"/>
      <c r="Y595" s="1594"/>
      <c r="Z595" s="1594"/>
    </row>
    <row r="596" ht="12.75" customHeight="1">
      <c r="A596" s="1594"/>
      <c r="B596" s="1594"/>
      <c r="C596" s="1594"/>
      <c r="D596" s="1594"/>
      <c r="E596" s="1594"/>
      <c r="F596" s="1594"/>
      <c r="G596" s="1594"/>
      <c r="H596" s="1594"/>
      <c r="I596" s="1594"/>
      <c r="J596" s="1594"/>
      <c r="K596" s="1594"/>
      <c r="L596" s="1594"/>
      <c r="M596" s="1594"/>
      <c r="N596" s="1594"/>
      <c r="O596" s="1594"/>
      <c r="P596" s="1594"/>
      <c r="Q596" s="1594"/>
      <c r="R596" s="1594"/>
      <c r="S596" s="1594"/>
      <c r="T596" s="1594"/>
      <c r="U596" s="1594"/>
      <c r="V596" s="1594"/>
      <c r="W596" s="1594"/>
      <c r="X596" s="1594"/>
      <c r="Y596" s="1594"/>
      <c r="Z596" s="1594"/>
    </row>
    <row r="597" ht="12.75" customHeight="1">
      <c r="A597" s="1594"/>
      <c r="B597" s="1594"/>
      <c r="C597" s="1594"/>
      <c r="D597" s="1594"/>
      <c r="E597" s="1594"/>
      <c r="F597" s="1594"/>
      <c r="G597" s="1594"/>
      <c r="H597" s="1594"/>
      <c r="I597" s="1594"/>
      <c r="J597" s="1594"/>
      <c r="K597" s="1594"/>
      <c r="L597" s="1594"/>
      <c r="M597" s="1594"/>
      <c r="N597" s="1594"/>
      <c r="O597" s="1594"/>
      <c r="P597" s="1594"/>
      <c r="Q597" s="1594"/>
      <c r="R597" s="1594"/>
      <c r="S597" s="1594"/>
      <c r="T597" s="1594"/>
      <c r="U597" s="1594"/>
      <c r="V597" s="1594"/>
      <c r="W597" s="1594"/>
      <c r="X597" s="1594"/>
      <c r="Y597" s="1594"/>
      <c r="Z597" s="1594"/>
    </row>
    <row r="598" ht="12.75" customHeight="1">
      <c r="A598" s="1594"/>
      <c r="B598" s="1594"/>
      <c r="C598" s="1594"/>
      <c r="D598" s="1594"/>
      <c r="E598" s="1594"/>
      <c r="F598" s="1594"/>
      <c r="G598" s="1594"/>
      <c r="H598" s="1594"/>
      <c r="I598" s="1594"/>
      <c r="J598" s="1594"/>
      <c r="K598" s="1594"/>
      <c r="L598" s="1594"/>
      <c r="M598" s="1594"/>
      <c r="N598" s="1594"/>
      <c r="O598" s="1594"/>
      <c r="P598" s="1594"/>
      <c r="Q598" s="1594"/>
      <c r="R598" s="1594"/>
      <c r="S598" s="1594"/>
      <c r="T598" s="1594"/>
      <c r="U598" s="1594"/>
      <c r="V598" s="1594"/>
      <c r="W598" s="1594"/>
      <c r="X598" s="1594"/>
      <c r="Y598" s="1594"/>
      <c r="Z598" s="1594"/>
    </row>
    <row r="599" ht="12.75" customHeight="1">
      <c r="A599" s="1594"/>
      <c r="B599" s="1594"/>
      <c r="C599" s="1594"/>
      <c r="D599" s="1594"/>
      <c r="E599" s="1594"/>
      <c r="F599" s="1594"/>
      <c r="G599" s="1594"/>
      <c r="H599" s="1594"/>
      <c r="I599" s="1594"/>
      <c r="J599" s="1594"/>
      <c r="K599" s="1594"/>
      <c r="L599" s="1594"/>
      <c r="M599" s="1594"/>
      <c r="N599" s="1594"/>
      <c r="O599" s="1594"/>
      <c r="P599" s="1594"/>
      <c r="Q599" s="1594"/>
      <c r="R599" s="1594"/>
      <c r="S599" s="1594"/>
      <c r="T599" s="1594"/>
      <c r="U599" s="1594"/>
      <c r="V599" s="1594"/>
      <c r="W599" s="1594"/>
      <c r="X599" s="1594"/>
      <c r="Y599" s="1594"/>
      <c r="Z599" s="1594"/>
    </row>
    <row r="600" ht="12.75" customHeight="1">
      <c r="A600" s="1594"/>
      <c r="B600" s="1594"/>
      <c r="C600" s="1594"/>
      <c r="D600" s="1594"/>
      <c r="E600" s="1594"/>
      <c r="F600" s="1594"/>
      <c r="G600" s="1594"/>
      <c r="H600" s="1594"/>
      <c r="I600" s="1594"/>
      <c r="J600" s="1594"/>
      <c r="K600" s="1594"/>
      <c r="L600" s="1594"/>
      <c r="M600" s="1594"/>
      <c r="N600" s="1594"/>
      <c r="O600" s="1594"/>
      <c r="P600" s="1594"/>
      <c r="Q600" s="1594"/>
      <c r="R600" s="1594"/>
      <c r="S600" s="1594"/>
      <c r="T600" s="1594"/>
      <c r="U600" s="1594"/>
      <c r="V600" s="1594"/>
      <c r="W600" s="1594"/>
      <c r="X600" s="1594"/>
      <c r="Y600" s="1594"/>
      <c r="Z600" s="1594"/>
    </row>
    <row r="601" ht="12.75" customHeight="1">
      <c r="A601" s="1594"/>
      <c r="B601" s="1594"/>
      <c r="C601" s="1594"/>
      <c r="D601" s="1594"/>
      <c r="E601" s="1594"/>
      <c r="F601" s="1594"/>
      <c r="G601" s="1594"/>
      <c r="H601" s="1594"/>
      <c r="I601" s="1594"/>
      <c r="J601" s="1594"/>
      <c r="K601" s="1594"/>
      <c r="L601" s="1594"/>
      <c r="M601" s="1594"/>
      <c r="N601" s="1594"/>
      <c r="O601" s="1594"/>
      <c r="P601" s="1594"/>
      <c r="Q601" s="1594"/>
      <c r="R601" s="1594"/>
      <c r="S601" s="1594"/>
      <c r="T601" s="1594"/>
      <c r="U601" s="1594"/>
      <c r="V601" s="1594"/>
      <c r="W601" s="1594"/>
      <c r="X601" s="1594"/>
      <c r="Y601" s="1594"/>
      <c r="Z601" s="1594"/>
    </row>
    <row r="602" ht="12.75" customHeight="1">
      <c r="A602" s="1594"/>
      <c r="B602" s="1594"/>
      <c r="C602" s="1594"/>
      <c r="D602" s="1594"/>
      <c r="E602" s="1594"/>
      <c r="F602" s="1594"/>
      <c r="G602" s="1594"/>
      <c r="H602" s="1594"/>
      <c r="I602" s="1594"/>
      <c r="J602" s="1594"/>
      <c r="K602" s="1594"/>
      <c r="L602" s="1594"/>
      <c r="M602" s="1594"/>
      <c r="N602" s="1594"/>
      <c r="O602" s="1594"/>
      <c r="P602" s="1594"/>
      <c r="Q602" s="1594"/>
      <c r="R602" s="1594"/>
      <c r="S602" s="1594"/>
      <c r="T602" s="1594"/>
      <c r="U602" s="1594"/>
      <c r="V602" s="1594"/>
      <c r="W602" s="1594"/>
      <c r="X602" s="1594"/>
      <c r="Y602" s="1594"/>
      <c r="Z602" s="1594"/>
    </row>
    <row r="603" ht="12.75" customHeight="1">
      <c r="A603" s="1594"/>
      <c r="B603" s="1594"/>
      <c r="C603" s="1594"/>
      <c r="D603" s="1594"/>
      <c r="E603" s="1594"/>
      <c r="F603" s="1594"/>
      <c r="G603" s="1594"/>
      <c r="H603" s="1594"/>
      <c r="I603" s="1594"/>
      <c r="J603" s="1594"/>
      <c r="K603" s="1594"/>
      <c r="L603" s="1594"/>
      <c r="M603" s="1594"/>
      <c r="N603" s="1594"/>
      <c r="O603" s="1594"/>
      <c r="P603" s="1594"/>
      <c r="Q603" s="1594"/>
      <c r="R603" s="1594"/>
      <c r="S603" s="1594"/>
      <c r="T603" s="1594"/>
      <c r="U603" s="1594"/>
      <c r="V603" s="1594"/>
      <c r="W603" s="1594"/>
      <c r="X603" s="1594"/>
      <c r="Y603" s="1594"/>
      <c r="Z603" s="1594"/>
    </row>
    <row r="604" ht="12.75" customHeight="1">
      <c r="A604" s="1594"/>
      <c r="B604" s="1594"/>
      <c r="C604" s="1594"/>
      <c r="D604" s="1594"/>
      <c r="E604" s="1594"/>
      <c r="F604" s="1594"/>
      <c r="G604" s="1594"/>
      <c r="H604" s="1594"/>
      <c r="I604" s="1594"/>
      <c r="J604" s="1594"/>
      <c r="K604" s="1594"/>
      <c r="L604" s="1594"/>
      <c r="M604" s="1594"/>
      <c r="N604" s="1594"/>
      <c r="O604" s="1594"/>
      <c r="P604" s="1594"/>
      <c r="Q604" s="1594"/>
      <c r="R604" s="1594"/>
      <c r="S604" s="1594"/>
      <c r="T604" s="1594"/>
      <c r="U604" s="1594"/>
      <c r="V604" s="1594"/>
      <c r="W604" s="1594"/>
      <c r="X604" s="1594"/>
      <c r="Y604" s="1594"/>
      <c r="Z604" s="1594"/>
    </row>
    <row r="605" ht="12.75" customHeight="1">
      <c r="A605" s="1594"/>
      <c r="B605" s="1594"/>
      <c r="C605" s="1594"/>
      <c r="D605" s="1594"/>
      <c r="E605" s="1594"/>
      <c r="F605" s="1594"/>
      <c r="G605" s="1594"/>
      <c r="H605" s="1594"/>
      <c r="I605" s="1594"/>
      <c r="J605" s="1594"/>
      <c r="K605" s="1594"/>
      <c r="L605" s="1594"/>
      <c r="M605" s="1594"/>
      <c r="N605" s="1594"/>
      <c r="O605" s="1594"/>
      <c r="P605" s="1594"/>
      <c r="Q605" s="1594"/>
      <c r="R605" s="1594"/>
      <c r="S605" s="1594"/>
      <c r="T605" s="1594"/>
      <c r="U605" s="1594"/>
      <c r="V605" s="1594"/>
      <c r="W605" s="1594"/>
      <c r="X605" s="1594"/>
      <c r="Y605" s="1594"/>
      <c r="Z605" s="1594"/>
    </row>
    <row r="606" ht="12.75" customHeight="1">
      <c r="A606" s="1594"/>
      <c r="B606" s="1594"/>
      <c r="C606" s="1594"/>
      <c r="D606" s="1594"/>
      <c r="E606" s="1594"/>
      <c r="F606" s="1594"/>
      <c r="G606" s="1594"/>
      <c r="H606" s="1594"/>
      <c r="I606" s="1594"/>
      <c r="J606" s="1594"/>
      <c r="K606" s="1594"/>
      <c r="L606" s="1594"/>
      <c r="M606" s="1594"/>
      <c r="N606" s="1594"/>
      <c r="O606" s="1594"/>
      <c r="P606" s="1594"/>
      <c r="Q606" s="1594"/>
      <c r="R606" s="1594"/>
      <c r="S606" s="1594"/>
      <c r="T606" s="1594"/>
      <c r="U606" s="1594"/>
      <c r="V606" s="1594"/>
      <c r="W606" s="1594"/>
      <c r="X606" s="1594"/>
      <c r="Y606" s="1594"/>
      <c r="Z606" s="1594"/>
    </row>
    <row r="607" ht="12.75" customHeight="1">
      <c r="A607" s="1594"/>
      <c r="B607" s="1594"/>
      <c r="C607" s="1594"/>
      <c r="D607" s="1594"/>
      <c r="E607" s="1594"/>
      <c r="F607" s="1594"/>
      <c r="G607" s="1594"/>
      <c r="H607" s="1594"/>
      <c r="I607" s="1594"/>
      <c r="J607" s="1594"/>
      <c r="K607" s="1594"/>
      <c r="L607" s="1594"/>
      <c r="M607" s="1594"/>
      <c r="N607" s="1594"/>
      <c r="O607" s="1594"/>
      <c r="P607" s="1594"/>
      <c r="Q607" s="1594"/>
      <c r="R607" s="1594"/>
      <c r="S607" s="1594"/>
      <c r="T607" s="1594"/>
      <c r="U607" s="1594"/>
      <c r="V607" s="1594"/>
      <c r="W607" s="1594"/>
      <c r="X607" s="1594"/>
      <c r="Y607" s="1594"/>
      <c r="Z607" s="1594"/>
    </row>
    <row r="608" ht="12.75" customHeight="1">
      <c r="A608" s="1594"/>
      <c r="B608" s="1594"/>
      <c r="C608" s="1594"/>
      <c r="D608" s="1594"/>
      <c r="E608" s="1594"/>
      <c r="F608" s="1594"/>
      <c r="G608" s="1594"/>
      <c r="H608" s="1594"/>
      <c r="I608" s="1594"/>
      <c r="J608" s="1594"/>
      <c r="K608" s="1594"/>
      <c r="L608" s="1594"/>
      <c r="M608" s="1594"/>
      <c r="N608" s="1594"/>
      <c r="O608" s="1594"/>
      <c r="P608" s="1594"/>
      <c r="Q608" s="1594"/>
      <c r="R608" s="1594"/>
      <c r="S608" s="1594"/>
      <c r="T608" s="1594"/>
      <c r="U608" s="1594"/>
      <c r="V608" s="1594"/>
      <c r="W608" s="1594"/>
      <c r="X608" s="1594"/>
      <c r="Y608" s="1594"/>
      <c r="Z608" s="1594"/>
    </row>
    <row r="609" ht="12.75" customHeight="1">
      <c r="A609" s="1594"/>
      <c r="B609" s="1594"/>
      <c r="C609" s="1594"/>
      <c r="D609" s="1594"/>
      <c r="E609" s="1594"/>
      <c r="F609" s="1594"/>
      <c r="G609" s="1594"/>
      <c r="H609" s="1594"/>
      <c r="I609" s="1594"/>
      <c r="J609" s="1594"/>
      <c r="K609" s="1594"/>
      <c r="L609" s="1594"/>
      <c r="M609" s="1594"/>
      <c r="N609" s="1594"/>
      <c r="O609" s="1594"/>
      <c r="P609" s="1594"/>
      <c r="Q609" s="1594"/>
      <c r="R609" s="1594"/>
      <c r="S609" s="1594"/>
      <c r="T609" s="1594"/>
      <c r="U609" s="1594"/>
      <c r="V609" s="1594"/>
      <c r="W609" s="1594"/>
      <c r="X609" s="1594"/>
      <c r="Y609" s="1594"/>
      <c r="Z609" s="1594"/>
    </row>
    <row r="610" ht="12.75" customHeight="1">
      <c r="A610" s="1594"/>
      <c r="B610" s="1594"/>
      <c r="C610" s="1594"/>
      <c r="D610" s="1594"/>
      <c r="E610" s="1594"/>
      <c r="F610" s="1594"/>
      <c r="G610" s="1594"/>
      <c r="H610" s="1594"/>
      <c r="I610" s="1594"/>
      <c r="J610" s="1594"/>
      <c r="K610" s="1594"/>
      <c r="L610" s="1594"/>
      <c r="M610" s="1594"/>
      <c r="N610" s="1594"/>
      <c r="O610" s="1594"/>
      <c r="P610" s="1594"/>
      <c r="Q610" s="1594"/>
      <c r="R610" s="1594"/>
      <c r="S610" s="1594"/>
      <c r="T610" s="1594"/>
      <c r="U610" s="1594"/>
      <c r="V610" s="1594"/>
      <c r="W610" s="1594"/>
      <c r="X610" s="1594"/>
      <c r="Y610" s="1594"/>
      <c r="Z610" s="1594"/>
    </row>
    <row r="611" ht="12.75" customHeight="1">
      <c r="A611" s="1594"/>
      <c r="B611" s="1594"/>
      <c r="C611" s="1594"/>
      <c r="D611" s="1594"/>
      <c r="E611" s="1594"/>
      <c r="F611" s="1594"/>
      <c r="G611" s="1594"/>
      <c r="H611" s="1594"/>
      <c r="I611" s="1594"/>
      <c r="J611" s="1594"/>
      <c r="K611" s="1594"/>
      <c r="L611" s="1594"/>
      <c r="M611" s="1594"/>
      <c r="N611" s="1594"/>
      <c r="O611" s="1594"/>
      <c r="P611" s="1594"/>
      <c r="Q611" s="1594"/>
      <c r="R611" s="1594"/>
      <c r="S611" s="1594"/>
      <c r="T611" s="1594"/>
      <c r="U611" s="1594"/>
      <c r="V611" s="1594"/>
      <c r="W611" s="1594"/>
      <c r="X611" s="1594"/>
      <c r="Y611" s="1594"/>
      <c r="Z611" s="1594"/>
    </row>
    <row r="612" ht="12.75" customHeight="1">
      <c r="A612" s="1594"/>
      <c r="B612" s="1594"/>
      <c r="C612" s="1594"/>
      <c r="D612" s="1594"/>
      <c r="E612" s="1594"/>
      <c r="F612" s="1594"/>
      <c r="G612" s="1594"/>
      <c r="H612" s="1594"/>
      <c r="I612" s="1594"/>
      <c r="J612" s="1594"/>
      <c r="K612" s="1594"/>
      <c r="L612" s="1594"/>
      <c r="M612" s="1594"/>
      <c r="N612" s="1594"/>
      <c r="O612" s="1594"/>
      <c r="P612" s="1594"/>
      <c r="Q612" s="1594"/>
      <c r="R612" s="1594"/>
      <c r="S612" s="1594"/>
      <c r="T612" s="1594"/>
      <c r="U612" s="1594"/>
      <c r="V612" s="1594"/>
      <c r="W612" s="1594"/>
      <c r="X612" s="1594"/>
      <c r="Y612" s="1594"/>
      <c r="Z612" s="1594"/>
    </row>
    <row r="613" ht="12.75" customHeight="1">
      <c r="A613" s="1594"/>
      <c r="B613" s="1594"/>
      <c r="C613" s="1594"/>
      <c r="D613" s="1594"/>
      <c r="E613" s="1594"/>
      <c r="F613" s="1594"/>
      <c r="G613" s="1594"/>
      <c r="H613" s="1594"/>
      <c r="I613" s="1594"/>
      <c r="J613" s="1594"/>
      <c r="K613" s="1594"/>
      <c r="L613" s="1594"/>
      <c r="M613" s="1594"/>
      <c r="N613" s="1594"/>
      <c r="O613" s="1594"/>
      <c r="P613" s="1594"/>
      <c r="Q613" s="1594"/>
      <c r="R613" s="1594"/>
      <c r="S613" s="1594"/>
      <c r="T613" s="1594"/>
      <c r="U613" s="1594"/>
      <c r="V613" s="1594"/>
      <c r="W613" s="1594"/>
      <c r="X613" s="1594"/>
      <c r="Y613" s="1594"/>
      <c r="Z613" s="1594"/>
    </row>
    <row r="614" ht="12.75" customHeight="1">
      <c r="A614" s="1594"/>
      <c r="B614" s="1594"/>
      <c r="C614" s="1594"/>
      <c r="D614" s="1594"/>
      <c r="E614" s="1594"/>
      <c r="F614" s="1594"/>
      <c r="G614" s="1594"/>
      <c r="H614" s="1594"/>
      <c r="I614" s="1594"/>
      <c r="J614" s="1594"/>
      <c r="K614" s="1594"/>
      <c r="L614" s="1594"/>
      <c r="M614" s="1594"/>
      <c r="N614" s="1594"/>
      <c r="O614" s="1594"/>
      <c r="P614" s="1594"/>
      <c r="Q614" s="1594"/>
      <c r="R614" s="1594"/>
      <c r="S614" s="1594"/>
      <c r="T614" s="1594"/>
      <c r="U614" s="1594"/>
      <c r="V614" s="1594"/>
      <c r="W614" s="1594"/>
      <c r="X614" s="1594"/>
      <c r="Y614" s="1594"/>
      <c r="Z614" s="1594"/>
    </row>
    <row r="615" ht="12.75" customHeight="1">
      <c r="A615" s="1594"/>
      <c r="B615" s="1594"/>
      <c r="C615" s="1594"/>
      <c r="D615" s="1594"/>
      <c r="E615" s="1594"/>
      <c r="F615" s="1594"/>
      <c r="G615" s="1594"/>
      <c r="H615" s="1594"/>
      <c r="I615" s="1594"/>
      <c r="J615" s="1594"/>
      <c r="K615" s="1594"/>
      <c r="L615" s="1594"/>
      <c r="M615" s="1594"/>
      <c r="N615" s="1594"/>
      <c r="O615" s="1594"/>
      <c r="P615" s="1594"/>
      <c r="Q615" s="1594"/>
      <c r="R615" s="1594"/>
      <c r="S615" s="1594"/>
      <c r="T615" s="1594"/>
      <c r="U615" s="1594"/>
      <c r="V615" s="1594"/>
      <c r="W615" s="1594"/>
      <c r="X615" s="1594"/>
      <c r="Y615" s="1594"/>
      <c r="Z615" s="1594"/>
    </row>
    <row r="616" ht="12.75" customHeight="1">
      <c r="A616" s="1594"/>
      <c r="B616" s="1594"/>
      <c r="C616" s="1594"/>
      <c r="D616" s="1594"/>
      <c r="E616" s="1594"/>
      <c r="F616" s="1594"/>
      <c r="G616" s="1594"/>
      <c r="H616" s="1594"/>
      <c r="I616" s="1594"/>
      <c r="J616" s="1594"/>
      <c r="K616" s="1594"/>
      <c r="L616" s="1594"/>
      <c r="M616" s="1594"/>
      <c r="N616" s="1594"/>
      <c r="O616" s="1594"/>
      <c r="P616" s="1594"/>
      <c r="Q616" s="1594"/>
      <c r="R616" s="1594"/>
      <c r="S616" s="1594"/>
      <c r="T616" s="1594"/>
      <c r="U616" s="1594"/>
      <c r="V616" s="1594"/>
      <c r="W616" s="1594"/>
      <c r="X616" s="1594"/>
      <c r="Y616" s="1594"/>
      <c r="Z616" s="1594"/>
    </row>
    <row r="617" ht="12.75" customHeight="1">
      <c r="A617" s="1594"/>
      <c r="B617" s="1594"/>
      <c r="C617" s="1594"/>
      <c r="D617" s="1594"/>
      <c r="E617" s="1594"/>
      <c r="F617" s="1594"/>
      <c r="G617" s="1594"/>
      <c r="H617" s="1594"/>
      <c r="I617" s="1594"/>
      <c r="J617" s="1594"/>
      <c r="K617" s="1594"/>
      <c r="L617" s="1594"/>
      <c r="M617" s="1594"/>
      <c r="N617" s="1594"/>
      <c r="O617" s="1594"/>
      <c r="P617" s="1594"/>
      <c r="Q617" s="1594"/>
      <c r="R617" s="1594"/>
      <c r="S617" s="1594"/>
      <c r="T617" s="1594"/>
      <c r="U617" s="1594"/>
      <c r="V617" s="1594"/>
      <c r="W617" s="1594"/>
      <c r="X617" s="1594"/>
      <c r="Y617" s="1594"/>
      <c r="Z617" s="1594"/>
    </row>
    <row r="618" ht="12.75" customHeight="1">
      <c r="A618" s="1594"/>
      <c r="B618" s="1594"/>
      <c r="C618" s="1594"/>
      <c r="D618" s="1594"/>
      <c r="E618" s="1594"/>
      <c r="F618" s="1594"/>
      <c r="G618" s="1594"/>
      <c r="H618" s="1594"/>
      <c r="I618" s="1594"/>
      <c r="J618" s="1594"/>
      <c r="K618" s="1594"/>
      <c r="L618" s="1594"/>
      <c r="M618" s="1594"/>
      <c r="N618" s="1594"/>
      <c r="O618" s="1594"/>
      <c r="P618" s="1594"/>
      <c r="Q618" s="1594"/>
      <c r="R618" s="1594"/>
      <c r="S618" s="1594"/>
      <c r="T618" s="1594"/>
      <c r="U618" s="1594"/>
      <c r="V618" s="1594"/>
      <c r="W618" s="1594"/>
      <c r="X618" s="1594"/>
      <c r="Y618" s="1594"/>
      <c r="Z618" s="1594"/>
    </row>
    <row r="619" ht="12.75" customHeight="1">
      <c r="A619" s="1594"/>
      <c r="B619" s="1594"/>
      <c r="C619" s="1594"/>
      <c r="D619" s="1594"/>
      <c r="E619" s="1594"/>
      <c r="F619" s="1594"/>
      <c r="G619" s="1594"/>
      <c r="H619" s="1594"/>
      <c r="I619" s="1594"/>
      <c r="J619" s="1594"/>
      <c r="K619" s="1594"/>
      <c r="L619" s="1594"/>
      <c r="M619" s="1594"/>
      <c r="N619" s="1594"/>
      <c r="O619" s="1594"/>
      <c r="P619" s="1594"/>
      <c r="Q619" s="1594"/>
      <c r="R619" s="1594"/>
      <c r="S619" s="1594"/>
      <c r="T619" s="1594"/>
      <c r="U619" s="1594"/>
      <c r="V619" s="1594"/>
      <c r="W619" s="1594"/>
      <c r="X619" s="1594"/>
      <c r="Y619" s="1594"/>
      <c r="Z619" s="1594"/>
    </row>
    <row r="620" ht="12.75" customHeight="1">
      <c r="A620" s="1594"/>
      <c r="B620" s="1594"/>
      <c r="C620" s="1594"/>
      <c r="D620" s="1594"/>
      <c r="E620" s="1594"/>
      <c r="F620" s="1594"/>
      <c r="G620" s="1594"/>
      <c r="H620" s="1594"/>
      <c r="I620" s="1594"/>
      <c r="J620" s="1594"/>
      <c r="K620" s="1594"/>
      <c r="L620" s="1594"/>
      <c r="M620" s="1594"/>
      <c r="N620" s="1594"/>
      <c r="O620" s="1594"/>
      <c r="P620" s="1594"/>
      <c r="Q620" s="1594"/>
      <c r="R620" s="1594"/>
      <c r="S620" s="1594"/>
      <c r="T620" s="1594"/>
      <c r="U620" s="1594"/>
      <c r="V620" s="1594"/>
      <c r="W620" s="1594"/>
      <c r="X620" s="1594"/>
      <c r="Y620" s="1594"/>
      <c r="Z620" s="1594"/>
    </row>
    <row r="621" ht="12.75" customHeight="1">
      <c r="A621" s="1594"/>
      <c r="B621" s="1594"/>
      <c r="C621" s="1594"/>
      <c r="D621" s="1594"/>
      <c r="E621" s="1594"/>
      <c r="F621" s="1594"/>
      <c r="G621" s="1594"/>
      <c r="H621" s="1594"/>
      <c r="I621" s="1594"/>
      <c r="J621" s="1594"/>
      <c r="K621" s="1594"/>
      <c r="L621" s="1594"/>
      <c r="M621" s="1594"/>
      <c r="N621" s="1594"/>
      <c r="O621" s="1594"/>
      <c r="P621" s="1594"/>
      <c r="Q621" s="1594"/>
      <c r="R621" s="1594"/>
      <c r="S621" s="1594"/>
      <c r="T621" s="1594"/>
      <c r="U621" s="1594"/>
      <c r="V621" s="1594"/>
      <c r="W621" s="1594"/>
      <c r="X621" s="1594"/>
      <c r="Y621" s="1594"/>
      <c r="Z621" s="1594"/>
    </row>
    <row r="622" ht="12.75" customHeight="1">
      <c r="A622" s="1594"/>
      <c r="B622" s="1594"/>
      <c r="C622" s="1594"/>
      <c r="D622" s="1594"/>
      <c r="E622" s="1594"/>
      <c r="F622" s="1594"/>
      <c r="G622" s="1594"/>
      <c r="H622" s="1594"/>
      <c r="I622" s="1594"/>
      <c r="J622" s="1594"/>
      <c r="K622" s="1594"/>
      <c r="L622" s="1594"/>
      <c r="M622" s="1594"/>
      <c r="N622" s="1594"/>
      <c r="O622" s="1594"/>
      <c r="P622" s="1594"/>
      <c r="Q622" s="1594"/>
      <c r="R622" s="1594"/>
      <c r="S622" s="1594"/>
      <c r="T622" s="1594"/>
      <c r="U622" s="1594"/>
      <c r="V622" s="1594"/>
      <c r="W622" s="1594"/>
      <c r="X622" s="1594"/>
      <c r="Y622" s="1594"/>
      <c r="Z622" s="1594"/>
    </row>
    <row r="623" ht="12.75" customHeight="1">
      <c r="A623" s="1594"/>
      <c r="B623" s="1594"/>
      <c r="C623" s="1594"/>
      <c r="D623" s="1594"/>
      <c r="E623" s="1594"/>
      <c r="F623" s="1594"/>
      <c r="G623" s="1594"/>
      <c r="H623" s="1594"/>
      <c r="I623" s="1594"/>
      <c r="J623" s="1594"/>
      <c r="K623" s="1594"/>
      <c r="L623" s="1594"/>
      <c r="M623" s="1594"/>
      <c r="N623" s="1594"/>
      <c r="O623" s="1594"/>
      <c r="P623" s="1594"/>
      <c r="Q623" s="1594"/>
      <c r="R623" s="1594"/>
      <c r="S623" s="1594"/>
      <c r="T623" s="1594"/>
      <c r="U623" s="1594"/>
      <c r="V623" s="1594"/>
      <c r="W623" s="1594"/>
      <c r="X623" s="1594"/>
      <c r="Y623" s="1594"/>
      <c r="Z623" s="1594"/>
    </row>
    <row r="624" ht="12.75" customHeight="1">
      <c r="A624" s="1594"/>
      <c r="B624" s="1594"/>
      <c r="C624" s="1594"/>
      <c r="D624" s="1594"/>
      <c r="E624" s="1594"/>
      <c r="F624" s="1594"/>
      <c r="G624" s="1594"/>
      <c r="H624" s="1594"/>
      <c r="I624" s="1594"/>
      <c r="J624" s="1594"/>
      <c r="K624" s="1594"/>
      <c r="L624" s="1594"/>
      <c r="M624" s="1594"/>
      <c r="N624" s="1594"/>
      <c r="O624" s="1594"/>
      <c r="P624" s="1594"/>
      <c r="Q624" s="1594"/>
      <c r="R624" s="1594"/>
      <c r="S624" s="1594"/>
      <c r="T624" s="1594"/>
      <c r="U624" s="1594"/>
      <c r="V624" s="1594"/>
      <c r="W624" s="1594"/>
      <c r="X624" s="1594"/>
      <c r="Y624" s="1594"/>
      <c r="Z624" s="1594"/>
    </row>
    <row r="625" ht="12.75" customHeight="1">
      <c r="A625" s="1594"/>
      <c r="B625" s="1594"/>
      <c r="C625" s="1594"/>
      <c r="D625" s="1594"/>
      <c r="E625" s="1594"/>
      <c r="F625" s="1594"/>
      <c r="G625" s="1594"/>
      <c r="H625" s="1594"/>
      <c r="I625" s="1594"/>
      <c r="J625" s="1594"/>
      <c r="K625" s="1594"/>
      <c r="L625" s="1594"/>
      <c r="M625" s="1594"/>
      <c r="N625" s="1594"/>
      <c r="O625" s="1594"/>
      <c r="P625" s="1594"/>
      <c r="Q625" s="1594"/>
      <c r="R625" s="1594"/>
      <c r="S625" s="1594"/>
      <c r="T625" s="1594"/>
      <c r="U625" s="1594"/>
      <c r="V625" s="1594"/>
      <c r="W625" s="1594"/>
      <c r="X625" s="1594"/>
      <c r="Y625" s="1594"/>
      <c r="Z625" s="1594"/>
    </row>
    <row r="626" ht="12.75" customHeight="1">
      <c r="A626" s="1594"/>
      <c r="B626" s="1594"/>
      <c r="C626" s="1594"/>
      <c r="D626" s="1594"/>
      <c r="E626" s="1594"/>
      <c r="F626" s="1594"/>
      <c r="G626" s="1594"/>
      <c r="H626" s="1594"/>
      <c r="I626" s="1594"/>
      <c r="J626" s="1594"/>
      <c r="K626" s="1594"/>
      <c r="L626" s="1594"/>
      <c r="M626" s="1594"/>
      <c r="N626" s="1594"/>
      <c r="O626" s="1594"/>
      <c r="P626" s="1594"/>
      <c r="Q626" s="1594"/>
      <c r="R626" s="1594"/>
      <c r="S626" s="1594"/>
      <c r="T626" s="1594"/>
      <c r="U626" s="1594"/>
      <c r="V626" s="1594"/>
      <c r="W626" s="1594"/>
      <c r="X626" s="1594"/>
      <c r="Y626" s="1594"/>
      <c r="Z626" s="1594"/>
    </row>
    <row r="627" ht="12.75" customHeight="1">
      <c r="A627" s="1594"/>
      <c r="B627" s="1594"/>
      <c r="C627" s="1594"/>
      <c r="D627" s="1594"/>
      <c r="E627" s="1594"/>
      <c r="F627" s="1594"/>
      <c r="G627" s="1594"/>
      <c r="H627" s="1594"/>
      <c r="I627" s="1594"/>
      <c r="J627" s="1594"/>
      <c r="K627" s="1594"/>
      <c r="L627" s="1594"/>
      <c r="M627" s="1594"/>
      <c r="N627" s="1594"/>
      <c r="O627" s="1594"/>
      <c r="P627" s="1594"/>
      <c r="Q627" s="1594"/>
      <c r="R627" s="1594"/>
      <c r="S627" s="1594"/>
      <c r="T627" s="1594"/>
      <c r="U627" s="1594"/>
      <c r="V627" s="1594"/>
      <c r="W627" s="1594"/>
      <c r="X627" s="1594"/>
      <c r="Y627" s="1594"/>
      <c r="Z627" s="1594"/>
    </row>
    <row r="628" ht="12.75" customHeight="1">
      <c r="A628" s="1594"/>
      <c r="B628" s="1594"/>
      <c r="C628" s="1594"/>
      <c r="D628" s="1594"/>
      <c r="E628" s="1594"/>
      <c r="F628" s="1594"/>
      <c r="G628" s="1594"/>
      <c r="H628" s="1594"/>
      <c r="I628" s="1594"/>
      <c r="J628" s="1594"/>
      <c r="K628" s="1594"/>
      <c r="L628" s="1594"/>
      <c r="M628" s="1594"/>
      <c r="N628" s="1594"/>
      <c r="O628" s="1594"/>
      <c r="P628" s="1594"/>
      <c r="Q628" s="1594"/>
      <c r="R628" s="1594"/>
      <c r="S628" s="1594"/>
      <c r="T628" s="1594"/>
      <c r="U628" s="1594"/>
      <c r="V628" s="1594"/>
      <c r="W628" s="1594"/>
      <c r="X628" s="1594"/>
      <c r="Y628" s="1594"/>
      <c r="Z628" s="1594"/>
    </row>
    <row r="629" ht="12.75" customHeight="1">
      <c r="A629" s="1594"/>
      <c r="B629" s="1594"/>
      <c r="C629" s="1594"/>
      <c r="D629" s="1594"/>
      <c r="E629" s="1594"/>
      <c r="F629" s="1594"/>
      <c r="G629" s="1594"/>
      <c r="H629" s="1594"/>
      <c r="I629" s="1594"/>
      <c r="J629" s="1594"/>
      <c r="K629" s="1594"/>
      <c r="L629" s="1594"/>
      <c r="M629" s="1594"/>
      <c r="N629" s="1594"/>
      <c r="O629" s="1594"/>
      <c r="P629" s="1594"/>
      <c r="Q629" s="1594"/>
      <c r="R629" s="1594"/>
      <c r="S629" s="1594"/>
      <c r="T629" s="1594"/>
      <c r="U629" s="1594"/>
      <c r="V629" s="1594"/>
      <c r="W629" s="1594"/>
      <c r="X629" s="1594"/>
      <c r="Y629" s="1594"/>
      <c r="Z629" s="1594"/>
    </row>
    <row r="630" ht="12.75" customHeight="1">
      <c r="A630" s="1594"/>
      <c r="B630" s="1594"/>
      <c r="C630" s="1594"/>
      <c r="D630" s="1594"/>
      <c r="E630" s="1594"/>
      <c r="F630" s="1594"/>
      <c r="G630" s="1594"/>
      <c r="H630" s="1594"/>
      <c r="I630" s="1594"/>
      <c r="J630" s="1594"/>
      <c r="K630" s="1594"/>
      <c r="L630" s="1594"/>
      <c r="M630" s="1594"/>
      <c r="N630" s="1594"/>
      <c r="O630" s="1594"/>
      <c r="P630" s="1594"/>
      <c r="Q630" s="1594"/>
      <c r="R630" s="1594"/>
      <c r="S630" s="1594"/>
      <c r="T630" s="1594"/>
      <c r="U630" s="1594"/>
      <c r="V630" s="1594"/>
      <c r="W630" s="1594"/>
      <c r="X630" s="1594"/>
      <c r="Y630" s="1594"/>
      <c r="Z630" s="1594"/>
    </row>
    <row r="631" ht="12.75" customHeight="1">
      <c r="A631" s="1594"/>
      <c r="B631" s="1594"/>
      <c r="C631" s="1594"/>
      <c r="D631" s="1594"/>
      <c r="E631" s="1594"/>
      <c r="F631" s="1594"/>
      <c r="G631" s="1594"/>
      <c r="H631" s="1594"/>
      <c r="I631" s="1594"/>
      <c r="J631" s="1594"/>
      <c r="K631" s="1594"/>
      <c r="L631" s="1594"/>
      <c r="M631" s="1594"/>
      <c r="N631" s="1594"/>
      <c r="O631" s="1594"/>
      <c r="P631" s="1594"/>
      <c r="Q631" s="1594"/>
      <c r="R631" s="1594"/>
      <c r="S631" s="1594"/>
      <c r="T631" s="1594"/>
      <c r="U631" s="1594"/>
      <c r="V631" s="1594"/>
      <c r="W631" s="1594"/>
      <c r="X631" s="1594"/>
      <c r="Y631" s="1594"/>
      <c r="Z631" s="1594"/>
    </row>
    <row r="632" ht="12.75" customHeight="1">
      <c r="A632" s="1594"/>
      <c r="B632" s="1594"/>
      <c r="C632" s="1594"/>
      <c r="D632" s="1594"/>
      <c r="E632" s="1594"/>
      <c r="F632" s="1594"/>
      <c r="G632" s="1594"/>
      <c r="H632" s="1594"/>
      <c r="I632" s="1594"/>
      <c r="J632" s="1594"/>
      <c r="K632" s="1594"/>
      <c r="L632" s="1594"/>
      <c r="M632" s="1594"/>
      <c r="N632" s="1594"/>
      <c r="O632" s="1594"/>
      <c r="P632" s="1594"/>
      <c r="Q632" s="1594"/>
      <c r="R632" s="1594"/>
      <c r="S632" s="1594"/>
      <c r="T632" s="1594"/>
      <c r="U632" s="1594"/>
      <c r="V632" s="1594"/>
      <c r="W632" s="1594"/>
      <c r="X632" s="1594"/>
      <c r="Y632" s="1594"/>
      <c r="Z632" s="1594"/>
    </row>
    <row r="633" ht="12.75" customHeight="1">
      <c r="A633" s="1594"/>
      <c r="B633" s="1594"/>
      <c r="C633" s="1594"/>
      <c r="D633" s="1594"/>
      <c r="E633" s="1594"/>
      <c r="F633" s="1594"/>
      <c r="G633" s="1594"/>
      <c r="H633" s="1594"/>
      <c r="I633" s="1594"/>
      <c r="J633" s="1594"/>
      <c r="K633" s="1594"/>
      <c r="L633" s="1594"/>
      <c r="M633" s="1594"/>
      <c r="N633" s="1594"/>
      <c r="O633" s="1594"/>
      <c r="P633" s="1594"/>
      <c r="Q633" s="1594"/>
      <c r="R633" s="1594"/>
      <c r="S633" s="1594"/>
      <c r="T633" s="1594"/>
      <c r="U633" s="1594"/>
      <c r="V633" s="1594"/>
      <c r="W633" s="1594"/>
      <c r="X633" s="1594"/>
      <c r="Y633" s="1594"/>
      <c r="Z633" s="1594"/>
    </row>
    <row r="634" ht="12.75" customHeight="1">
      <c r="A634" s="1594"/>
      <c r="B634" s="1594"/>
      <c r="C634" s="1594"/>
      <c r="D634" s="1594"/>
      <c r="E634" s="1594"/>
      <c r="F634" s="1594"/>
      <c r="G634" s="1594"/>
      <c r="H634" s="1594"/>
      <c r="I634" s="1594"/>
      <c r="J634" s="1594"/>
      <c r="K634" s="1594"/>
      <c r="L634" s="1594"/>
      <c r="M634" s="1594"/>
      <c r="N634" s="1594"/>
      <c r="O634" s="1594"/>
      <c r="P634" s="1594"/>
      <c r="Q634" s="1594"/>
      <c r="R634" s="1594"/>
      <c r="S634" s="1594"/>
      <c r="T634" s="1594"/>
      <c r="U634" s="1594"/>
      <c r="V634" s="1594"/>
      <c r="W634" s="1594"/>
      <c r="X634" s="1594"/>
      <c r="Y634" s="1594"/>
      <c r="Z634" s="1594"/>
    </row>
    <row r="635" ht="12.75" customHeight="1">
      <c r="A635" s="1594"/>
      <c r="B635" s="1594"/>
      <c r="C635" s="1594"/>
      <c r="D635" s="1594"/>
      <c r="E635" s="1594"/>
      <c r="F635" s="1594"/>
      <c r="G635" s="1594"/>
      <c r="H635" s="1594"/>
      <c r="I635" s="1594"/>
      <c r="J635" s="1594"/>
      <c r="K635" s="1594"/>
      <c r="L635" s="1594"/>
      <c r="M635" s="1594"/>
      <c r="N635" s="1594"/>
      <c r="O635" s="1594"/>
      <c r="P635" s="1594"/>
      <c r="Q635" s="1594"/>
      <c r="R635" s="1594"/>
      <c r="S635" s="1594"/>
      <c r="T635" s="1594"/>
      <c r="U635" s="1594"/>
      <c r="V635" s="1594"/>
      <c r="W635" s="1594"/>
      <c r="X635" s="1594"/>
      <c r="Y635" s="1594"/>
      <c r="Z635" s="1594"/>
    </row>
    <row r="636" ht="12.75" customHeight="1">
      <c r="A636" s="1594"/>
      <c r="B636" s="1594"/>
      <c r="C636" s="1594"/>
      <c r="D636" s="1594"/>
      <c r="E636" s="1594"/>
      <c r="F636" s="1594"/>
      <c r="G636" s="1594"/>
      <c r="H636" s="1594"/>
      <c r="I636" s="1594"/>
      <c r="J636" s="1594"/>
      <c r="K636" s="1594"/>
      <c r="L636" s="1594"/>
      <c r="M636" s="1594"/>
      <c r="N636" s="1594"/>
      <c r="O636" s="1594"/>
      <c r="P636" s="1594"/>
      <c r="Q636" s="1594"/>
      <c r="R636" s="1594"/>
      <c r="S636" s="1594"/>
      <c r="T636" s="1594"/>
      <c r="U636" s="1594"/>
      <c r="V636" s="1594"/>
      <c r="W636" s="1594"/>
      <c r="X636" s="1594"/>
      <c r="Y636" s="1594"/>
      <c r="Z636" s="1594"/>
    </row>
    <row r="637" ht="12.75" customHeight="1">
      <c r="A637" s="1594"/>
      <c r="B637" s="1594"/>
      <c r="C637" s="1594"/>
      <c r="D637" s="1594"/>
      <c r="E637" s="1594"/>
      <c r="F637" s="1594"/>
      <c r="G637" s="1594"/>
      <c r="H637" s="1594"/>
      <c r="I637" s="1594"/>
      <c r="J637" s="1594"/>
      <c r="K637" s="1594"/>
      <c r="L637" s="1594"/>
      <c r="M637" s="1594"/>
      <c r="N637" s="1594"/>
      <c r="O637" s="1594"/>
      <c r="P637" s="1594"/>
      <c r="Q637" s="1594"/>
      <c r="R637" s="1594"/>
      <c r="S637" s="1594"/>
      <c r="T637" s="1594"/>
      <c r="U637" s="1594"/>
      <c r="V637" s="1594"/>
      <c r="W637" s="1594"/>
      <c r="X637" s="1594"/>
      <c r="Y637" s="1594"/>
      <c r="Z637" s="1594"/>
    </row>
    <row r="638" ht="12.75" customHeight="1">
      <c r="A638" s="1594"/>
      <c r="B638" s="1594"/>
      <c r="C638" s="1594"/>
      <c r="D638" s="1594"/>
      <c r="E638" s="1594"/>
      <c r="F638" s="1594"/>
      <c r="G638" s="1594"/>
      <c r="H638" s="1594"/>
      <c r="I638" s="1594"/>
      <c r="J638" s="1594"/>
      <c r="K638" s="1594"/>
      <c r="L638" s="1594"/>
      <c r="M638" s="1594"/>
      <c r="N638" s="1594"/>
      <c r="O638" s="1594"/>
      <c r="P638" s="1594"/>
      <c r="Q638" s="1594"/>
      <c r="R638" s="1594"/>
      <c r="S638" s="1594"/>
      <c r="T638" s="1594"/>
      <c r="U638" s="1594"/>
      <c r="V638" s="1594"/>
      <c r="W638" s="1594"/>
      <c r="X638" s="1594"/>
      <c r="Y638" s="1594"/>
      <c r="Z638" s="1594"/>
    </row>
    <row r="639" ht="12.75" customHeight="1">
      <c r="A639" s="1594"/>
      <c r="B639" s="1594"/>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row>
    <row r="640" ht="12.75" customHeight="1">
      <c r="A640" s="1594"/>
      <c r="B640" s="1594"/>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row>
    <row r="641" ht="12.75" customHeight="1">
      <c r="A641" s="1594"/>
      <c r="B641" s="1594"/>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row>
    <row r="642" ht="12.75" customHeight="1">
      <c r="A642" s="1594"/>
      <c r="B642" s="1594"/>
      <c r="C642" s="1594"/>
      <c r="D642" s="1594"/>
      <c r="E642" s="1594"/>
      <c r="F642" s="1594"/>
      <c r="G642" s="1594"/>
      <c r="H642" s="1594"/>
      <c r="I642" s="1594"/>
      <c r="J642" s="1594"/>
      <c r="K642" s="1594"/>
      <c r="L642" s="1594"/>
      <c r="M642" s="1594"/>
      <c r="N642" s="1594"/>
      <c r="O642" s="1594"/>
      <c r="P642" s="1594"/>
      <c r="Q642" s="1594"/>
      <c r="R642" s="1594"/>
      <c r="S642" s="1594"/>
      <c r="T642" s="1594"/>
      <c r="U642" s="1594"/>
      <c r="V642" s="1594"/>
      <c r="W642" s="1594"/>
      <c r="X642" s="1594"/>
      <c r="Y642" s="1594"/>
      <c r="Z642" s="1594"/>
    </row>
    <row r="643" ht="12.75" customHeight="1">
      <c r="A643" s="1594"/>
      <c r="B643" s="1594"/>
      <c r="C643" s="1594"/>
      <c r="D643" s="1594"/>
      <c r="E643" s="1594"/>
      <c r="F643" s="1594"/>
      <c r="G643" s="1594"/>
      <c r="H643" s="1594"/>
      <c r="I643" s="1594"/>
      <c r="J643" s="1594"/>
      <c r="K643" s="1594"/>
      <c r="L643" s="1594"/>
      <c r="M643" s="1594"/>
      <c r="N643" s="1594"/>
      <c r="O643" s="1594"/>
      <c r="P643" s="1594"/>
      <c r="Q643" s="1594"/>
      <c r="R643" s="1594"/>
      <c r="S643" s="1594"/>
      <c r="T643" s="1594"/>
      <c r="U643" s="1594"/>
      <c r="V643" s="1594"/>
      <c r="W643" s="1594"/>
      <c r="X643" s="1594"/>
      <c r="Y643" s="1594"/>
      <c r="Z643" s="1594"/>
    </row>
    <row r="644" ht="12.75" customHeight="1">
      <c r="A644" s="1594"/>
      <c r="B644" s="1594"/>
      <c r="C644" s="1594"/>
      <c r="D644" s="1594"/>
      <c r="E644" s="1594"/>
      <c r="F644" s="1594"/>
      <c r="G644" s="1594"/>
      <c r="H644" s="1594"/>
      <c r="I644" s="1594"/>
      <c r="J644" s="1594"/>
      <c r="K644" s="1594"/>
      <c r="L644" s="1594"/>
      <c r="M644" s="1594"/>
      <c r="N644" s="1594"/>
      <c r="O644" s="1594"/>
      <c r="P644" s="1594"/>
      <c r="Q644" s="1594"/>
      <c r="R644" s="1594"/>
      <c r="S644" s="1594"/>
      <c r="T644" s="1594"/>
      <c r="U644" s="1594"/>
      <c r="V644" s="1594"/>
      <c r="W644" s="1594"/>
      <c r="X644" s="1594"/>
      <c r="Y644" s="1594"/>
      <c r="Z644" s="1594"/>
    </row>
    <row r="645" ht="12.75" customHeight="1">
      <c r="A645" s="1594"/>
      <c r="B645" s="1594"/>
      <c r="C645" s="1594"/>
      <c r="D645" s="1594"/>
      <c r="E645" s="1594"/>
      <c r="F645" s="1594"/>
      <c r="G645" s="1594"/>
      <c r="H645" s="1594"/>
      <c r="I645" s="1594"/>
      <c r="J645" s="1594"/>
      <c r="K645" s="1594"/>
      <c r="L645" s="1594"/>
      <c r="M645" s="1594"/>
      <c r="N645" s="1594"/>
      <c r="O645" s="1594"/>
      <c r="P645" s="1594"/>
      <c r="Q645" s="1594"/>
      <c r="R645" s="1594"/>
      <c r="S645" s="1594"/>
      <c r="T645" s="1594"/>
      <c r="U645" s="1594"/>
      <c r="V645" s="1594"/>
      <c r="W645" s="1594"/>
      <c r="X645" s="1594"/>
      <c r="Y645" s="1594"/>
      <c r="Z645" s="1594"/>
    </row>
    <row r="646" ht="12.75" customHeight="1">
      <c r="A646" s="1594"/>
      <c r="B646" s="1594"/>
      <c r="C646" s="1594"/>
      <c r="D646" s="1594"/>
      <c r="E646" s="1594"/>
      <c r="F646" s="1594"/>
      <c r="G646" s="1594"/>
      <c r="H646" s="1594"/>
      <c r="I646" s="1594"/>
      <c r="J646" s="1594"/>
      <c r="K646" s="1594"/>
      <c r="L646" s="1594"/>
      <c r="M646" s="1594"/>
      <c r="N646" s="1594"/>
      <c r="O646" s="1594"/>
      <c r="P646" s="1594"/>
      <c r="Q646" s="1594"/>
      <c r="R646" s="1594"/>
      <c r="S646" s="1594"/>
      <c r="T646" s="1594"/>
      <c r="U646" s="1594"/>
      <c r="V646" s="1594"/>
      <c r="W646" s="1594"/>
      <c r="X646" s="1594"/>
      <c r="Y646" s="1594"/>
      <c r="Z646" s="1594"/>
    </row>
    <row r="647" ht="12.75" customHeight="1">
      <c r="A647" s="1594"/>
      <c r="B647" s="1594"/>
      <c r="C647" s="1594"/>
      <c r="D647" s="1594"/>
      <c r="E647" s="1594"/>
      <c r="F647" s="1594"/>
      <c r="G647" s="1594"/>
      <c r="H647" s="1594"/>
      <c r="I647" s="1594"/>
      <c r="J647" s="1594"/>
      <c r="K647" s="1594"/>
      <c r="L647" s="1594"/>
      <c r="M647" s="1594"/>
      <c r="N647" s="1594"/>
      <c r="O647" s="1594"/>
      <c r="P647" s="1594"/>
      <c r="Q647" s="1594"/>
      <c r="R647" s="1594"/>
      <c r="S647" s="1594"/>
      <c r="T647" s="1594"/>
      <c r="U647" s="1594"/>
      <c r="V647" s="1594"/>
      <c r="W647" s="1594"/>
      <c r="X647" s="1594"/>
      <c r="Y647" s="1594"/>
      <c r="Z647" s="1594"/>
    </row>
    <row r="648" ht="12.75" customHeight="1">
      <c r="A648" s="1594"/>
      <c r="B648" s="1594"/>
      <c r="C648" s="1594"/>
      <c r="D648" s="1594"/>
      <c r="E648" s="1594"/>
      <c r="F648" s="1594"/>
      <c r="G648" s="1594"/>
      <c r="H648" s="1594"/>
      <c r="I648" s="1594"/>
      <c r="J648" s="1594"/>
      <c r="K648" s="1594"/>
      <c r="L648" s="1594"/>
      <c r="M648" s="1594"/>
      <c r="N648" s="1594"/>
      <c r="O648" s="1594"/>
      <c r="P648" s="1594"/>
      <c r="Q648" s="1594"/>
      <c r="R648" s="1594"/>
      <c r="S648" s="1594"/>
      <c r="T648" s="1594"/>
      <c r="U648" s="1594"/>
      <c r="V648" s="1594"/>
      <c r="W648" s="1594"/>
      <c r="X648" s="1594"/>
      <c r="Y648" s="1594"/>
      <c r="Z648" s="1594"/>
    </row>
    <row r="649" ht="12.75" customHeight="1">
      <c r="A649" s="1594"/>
      <c r="B649" s="1594"/>
      <c r="C649" s="1594"/>
      <c r="D649" s="1594"/>
      <c r="E649" s="1594"/>
      <c r="F649" s="1594"/>
      <c r="G649" s="1594"/>
      <c r="H649" s="1594"/>
      <c r="I649" s="1594"/>
      <c r="J649" s="1594"/>
      <c r="K649" s="1594"/>
      <c r="L649" s="1594"/>
      <c r="M649" s="1594"/>
      <c r="N649" s="1594"/>
      <c r="O649" s="1594"/>
      <c r="P649" s="1594"/>
      <c r="Q649" s="1594"/>
      <c r="R649" s="1594"/>
      <c r="S649" s="1594"/>
      <c r="T649" s="1594"/>
      <c r="U649" s="1594"/>
      <c r="V649" s="1594"/>
      <c r="W649" s="1594"/>
      <c r="X649" s="1594"/>
      <c r="Y649" s="1594"/>
      <c r="Z649" s="1594"/>
    </row>
    <row r="650" ht="12.75" customHeight="1">
      <c r="A650" s="1594"/>
      <c r="B650" s="1594"/>
      <c r="C650" s="1594"/>
      <c r="D650" s="1594"/>
      <c r="E650" s="1594"/>
      <c r="F650" s="1594"/>
      <c r="G650" s="1594"/>
      <c r="H650" s="1594"/>
      <c r="I650" s="1594"/>
      <c r="J650" s="1594"/>
      <c r="K650" s="1594"/>
      <c r="L650" s="1594"/>
      <c r="M650" s="1594"/>
      <c r="N650" s="1594"/>
      <c r="O650" s="1594"/>
      <c r="P650" s="1594"/>
      <c r="Q650" s="1594"/>
      <c r="R650" s="1594"/>
      <c r="S650" s="1594"/>
      <c r="T650" s="1594"/>
      <c r="U650" s="1594"/>
      <c r="V650" s="1594"/>
      <c r="W650" s="1594"/>
      <c r="X650" s="1594"/>
      <c r="Y650" s="1594"/>
      <c r="Z650" s="1594"/>
    </row>
    <row r="651" ht="12.75" customHeight="1">
      <c r="A651" s="1594"/>
      <c r="B651" s="1594"/>
      <c r="C651" s="1594"/>
      <c r="D651" s="1594"/>
      <c r="E651" s="1594"/>
      <c r="F651" s="1594"/>
      <c r="G651" s="1594"/>
      <c r="H651" s="1594"/>
      <c r="I651" s="1594"/>
      <c r="J651" s="1594"/>
      <c r="K651" s="1594"/>
      <c r="L651" s="1594"/>
      <c r="M651" s="1594"/>
      <c r="N651" s="1594"/>
      <c r="O651" s="1594"/>
      <c r="P651" s="1594"/>
      <c r="Q651" s="1594"/>
      <c r="R651" s="1594"/>
      <c r="S651" s="1594"/>
      <c r="T651" s="1594"/>
      <c r="U651" s="1594"/>
      <c r="V651" s="1594"/>
      <c r="W651" s="1594"/>
      <c r="X651" s="1594"/>
      <c r="Y651" s="1594"/>
      <c r="Z651" s="1594"/>
    </row>
    <row r="652" ht="12.75" customHeight="1">
      <c r="A652" s="1594"/>
      <c r="B652" s="1594"/>
      <c r="C652" s="1594"/>
      <c r="D652" s="1594"/>
      <c r="E652" s="1594"/>
      <c r="F652" s="1594"/>
      <c r="G652" s="1594"/>
      <c r="H652" s="1594"/>
      <c r="I652" s="1594"/>
      <c r="J652" s="1594"/>
      <c r="K652" s="1594"/>
      <c r="L652" s="1594"/>
      <c r="M652" s="1594"/>
      <c r="N652" s="1594"/>
      <c r="O652" s="1594"/>
      <c r="P652" s="1594"/>
      <c r="Q652" s="1594"/>
      <c r="R652" s="1594"/>
      <c r="S652" s="1594"/>
      <c r="T652" s="1594"/>
      <c r="U652" s="1594"/>
      <c r="V652" s="1594"/>
      <c r="W652" s="1594"/>
      <c r="X652" s="1594"/>
      <c r="Y652" s="1594"/>
      <c r="Z652" s="1594"/>
    </row>
    <row r="653" ht="12.75" customHeight="1">
      <c r="A653" s="1594"/>
      <c r="B653" s="1594"/>
      <c r="C653" s="1594"/>
      <c r="D653" s="1594"/>
      <c r="E653" s="1594"/>
      <c r="F653" s="1594"/>
      <c r="G653" s="1594"/>
      <c r="H653" s="1594"/>
      <c r="I653" s="1594"/>
      <c r="J653" s="1594"/>
      <c r="K653" s="1594"/>
      <c r="L653" s="1594"/>
      <c r="M653" s="1594"/>
      <c r="N653" s="1594"/>
      <c r="O653" s="1594"/>
      <c r="P653" s="1594"/>
      <c r="Q653" s="1594"/>
      <c r="R653" s="1594"/>
      <c r="S653" s="1594"/>
      <c r="T653" s="1594"/>
      <c r="U653" s="1594"/>
      <c r="V653" s="1594"/>
      <c r="W653" s="1594"/>
      <c r="X653" s="1594"/>
      <c r="Y653" s="1594"/>
      <c r="Z653" s="1594"/>
    </row>
    <row r="654" ht="12.75" customHeight="1">
      <c r="A654" s="1594"/>
      <c r="B654" s="1594"/>
      <c r="C654" s="1594"/>
      <c r="D654" s="1594"/>
      <c r="E654" s="1594"/>
      <c r="F654" s="1594"/>
      <c r="G654" s="1594"/>
      <c r="H654" s="1594"/>
      <c r="I654" s="1594"/>
      <c r="J654" s="1594"/>
      <c r="K654" s="1594"/>
      <c r="L654" s="1594"/>
      <c r="M654" s="1594"/>
      <c r="N654" s="1594"/>
      <c r="O654" s="1594"/>
      <c r="P654" s="1594"/>
      <c r="Q654" s="1594"/>
      <c r="R654" s="1594"/>
      <c r="S654" s="1594"/>
      <c r="T654" s="1594"/>
      <c r="U654" s="1594"/>
      <c r="V654" s="1594"/>
      <c r="W654" s="1594"/>
      <c r="X654" s="1594"/>
      <c r="Y654" s="1594"/>
      <c r="Z654" s="1594"/>
    </row>
    <row r="655" ht="12.75" customHeight="1">
      <c r="A655" s="1594"/>
      <c r="B655" s="1594"/>
      <c r="C655" s="1594"/>
      <c r="D655" s="1594"/>
      <c r="E655" s="1594"/>
      <c r="F655" s="1594"/>
      <c r="G655" s="1594"/>
      <c r="H655" s="1594"/>
      <c r="I655" s="1594"/>
      <c r="J655" s="1594"/>
      <c r="K655" s="1594"/>
      <c r="L655" s="1594"/>
      <c r="M655" s="1594"/>
      <c r="N655" s="1594"/>
      <c r="O655" s="1594"/>
      <c r="P655" s="1594"/>
      <c r="Q655" s="1594"/>
      <c r="R655" s="1594"/>
      <c r="S655" s="1594"/>
      <c r="T655" s="1594"/>
      <c r="U655" s="1594"/>
      <c r="V655" s="1594"/>
      <c r="W655" s="1594"/>
      <c r="X655" s="1594"/>
      <c r="Y655" s="1594"/>
      <c r="Z655" s="1594"/>
    </row>
    <row r="656" ht="12.75" customHeight="1">
      <c r="A656" s="1594"/>
      <c r="B656" s="1594"/>
      <c r="C656" s="1594"/>
      <c r="D656" s="1594"/>
      <c r="E656" s="1594"/>
      <c r="F656" s="1594"/>
      <c r="G656" s="1594"/>
      <c r="H656" s="1594"/>
      <c r="I656" s="1594"/>
      <c r="J656" s="1594"/>
      <c r="K656" s="1594"/>
      <c r="L656" s="1594"/>
      <c r="M656" s="1594"/>
      <c r="N656" s="1594"/>
      <c r="O656" s="1594"/>
      <c r="P656" s="1594"/>
      <c r="Q656" s="1594"/>
      <c r="R656" s="1594"/>
      <c r="S656" s="1594"/>
      <c r="T656" s="1594"/>
      <c r="U656" s="1594"/>
      <c r="V656" s="1594"/>
      <c r="W656" s="1594"/>
      <c r="X656" s="1594"/>
      <c r="Y656" s="1594"/>
      <c r="Z656" s="1594"/>
    </row>
    <row r="657" ht="12.75" customHeight="1">
      <c r="A657" s="1594"/>
      <c r="B657" s="1594"/>
      <c r="C657" s="1594"/>
      <c r="D657" s="1594"/>
      <c r="E657" s="1594"/>
      <c r="F657" s="1594"/>
      <c r="G657" s="1594"/>
      <c r="H657" s="1594"/>
      <c r="I657" s="1594"/>
      <c r="J657" s="1594"/>
      <c r="K657" s="1594"/>
      <c r="L657" s="1594"/>
      <c r="M657" s="1594"/>
      <c r="N657" s="1594"/>
      <c r="O657" s="1594"/>
      <c r="P657" s="1594"/>
      <c r="Q657" s="1594"/>
      <c r="R657" s="1594"/>
      <c r="S657" s="1594"/>
      <c r="T657" s="1594"/>
      <c r="U657" s="1594"/>
      <c r="V657" s="1594"/>
      <c r="W657" s="1594"/>
      <c r="X657" s="1594"/>
      <c r="Y657" s="1594"/>
      <c r="Z657" s="1594"/>
    </row>
    <row r="658" ht="12.75" customHeight="1">
      <c r="A658" s="1594"/>
      <c r="B658" s="1594"/>
      <c r="C658" s="1594"/>
      <c r="D658" s="1594"/>
      <c r="E658" s="1594"/>
      <c r="F658" s="1594"/>
      <c r="G658" s="1594"/>
      <c r="H658" s="1594"/>
      <c r="I658" s="1594"/>
      <c r="J658" s="1594"/>
      <c r="K658" s="1594"/>
      <c r="L658" s="1594"/>
      <c r="M658" s="1594"/>
      <c r="N658" s="1594"/>
      <c r="O658" s="1594"/>
      <c r="P658" s="1594"/>
      <c r="Q658" s="1594"/>
      <c r="R658" s="1594"/>
      <c r="S658" s="1594"/>
      <c r="T658" s="1594"/>
      <c r="U658" s="1594"/>
      <c r="V658" s="1594"/>
      <c r="W658" s="1594"/>
      <c r="X658" s="1594"/>
      <c r="Y658" s="1594"/>
      <c r="Z658" s="1594"/>
    </row>
    <row r="659" ht="12.75" customHeight="1">
      <c r="A659" s="1594"/>
      <c r="B659" s="1594"/>
      <c r="C659" s="1594"/>
      <c r="D659" s="1594"/>
      <c r="E659" s="1594"/>
      <c r="F659" s="1594"/>
      <c r="G659" s="1594"/>
      <c r="H659" s="1594"/>
      <c r="I659" s="1594"/>
      <c r="J659" s="1594"/>
      <c r="K659" s="1594"/>
      <c r="L659" s="1594"/>
      <c r="M659" s="1594"/>
      <c r="N659" s="1594"/>
      <c r="O659" s="1594"/>
      <c r="P659" s="1594"/>
      <c r="Q659" s="1594"/>
      <c r="R659" s="1594"/>
      <c r="S659" s="1594"/>
      <c r="T659" s="1594"/>
      <c r="U659" s="1594"/>
      <c r="V659" s="1594"/>
      <c r="W659" s="1594"/>
      <c r="X659" s="1594"/>
      <c r="Y659" s="1594"/>
      <c r="Z659" s="1594"/>
    </row>
    <row r="660" ht="12.75" customHeight="1">
      <c r="A660" s="1594"/>
      <c r="B660" s="1594"/>
      <c r="C660" s="1594"/>
      <c r="D660" s="1594"/>
      <c r="E660" s="1594"/>
      <c r="F660" s="1594"/>
      <c r="G660" s="1594"/>
      <c r="H660" s="1594"/>
      <c r="I660" s="1594"/>
      <c r="J660" s="1594"/>
      <c r="K660" s="1594"/>
      <c r="L660" s="1594"/>
      <c r="M660" s="1594"/>
      <c r="N660" s="1594"/>
      <c r="O660" s="1594"/>
      <c r="P660" s="1594"/>
      <c r="Q660" s="1594"/>
      <c r="R660" s="1594"/>
      <c r="S660" s="1594"/>
      <c r="T660" s="1594"/>
      <c r="U660" s="1594"/>
      <c r="V660" s="1594"/>
      <c r="W660" s="1594"/>
      <c r="X660" s="1594"/>
      <c r="Y660" s="1594"/>
      <c r="Z660" s="1594"/>
    </row>
    <row r="661" ht="12.75" customHeight="1">
      <c r="A661" s="1594"/>
      <c r="B661" s="1594"/>
      <c r="C661" s="1594"/>
      <c r="D661" s="1594"/>
      <c r="E661" s="1594"/>
      <c r="F661" s="1594"/>
      <c r="G661" s="1594"/>
      <c r="H661" s="1594"/>
      <c r="I661" s="1594"/>
      <c r="J661" s="1594"/>
      <c r="K661" s="1594"/>
      <c r="L661" s="1594"/>
      <c r="M661" s="1594"/>
      <c r="N661" s="1594"/>
      <c r="O661" s="1594"/>
      <c r="P661" s="1594"/>
      <c r="Q661" s="1594"/>
      <c r="R661" s="1594"/>
      <c r="S661" s="1594"/>
      <c r="T661" s="1594"/>
      <c r="U661" s="1594"/>
      <c r="V661" s="1594"/>
      <c r="W661" s="1594"/>
      <c r="X661" s="1594"/>
      <c r="Y661" s="1594"/>
      <c r="Z661" s="1594"/>
    </row>
    <row r="662" ht="12.75" customHeight="1">
      <c r="A662" s="1594"/>
      <c r="B662" s="1594"/>
      <c r="C662" s="1594"/>
      <c r="D662" s="1594"/>
      <c r="E662" s="1594"/>
      <c r="F662" s="1594"/>
      <c r="G662" s="1594"/>
      <c r="H662" s="1594"/>
      <c r="I662" s="1594"/>
      <c r="J662" s="1594"/>
      <c r="K662" s="1594"/>
      <c r="L662" s="1594"/>
      <c r="M662" s="1594"/>
      <c r="N662" s="1594"/>
      <c r="O662" s="1594"/>
      <c r="P662" s="1594"/>
      <c r="Q662" s="1594"/>
      <c r="R662" s="1594"/>
      <c r="S662" s="1594"/>
      <c r="T662" s="1594"/>
      <c r="U662" s="1594"/>
      <c r="V662" s="1594"/>
      <c r="W662" s="1594"/>
      <c r="X662" s="1594"/>
      <c r="Y662" s="1594"/>
      <c r="Z662" s="1594"/>
    </row>
    <row r="663" ht="12.75" customHeight="1">
      <c r="A663" s="1594"/>
      <c r="B663" s="1594"/>
      <c r="C663" s="1594"/>
      <c r="D663" s="1594"/>
      <c r="E663" s="1594"/>
      <c r="F663" s="1594"/>
      <c r="G663" s="1594"/>
      <c r="H663" s="1594"/>
      <c r="I663" s="1594"/>
      <c r="J663" s="1594"/>
      <c r="K663" s="1594"/>
      <c r="L663" s="1594"/>
      <c r="M663" s="1594"/>
      <c r="N663" s="1594"/>
      <c r="O663" s="1594"/>
      <c r="P663" s="1594"/>
      <c r="Q663" s="1594"/>
      <c r="R663" s="1594"/>
      <c r="S663" s="1594"/>
      <c r="T663" s="1594"/>
      <c r="U663" s="1594"/>
      <c r="V663" s="1594"/>
      <c r="W663" s="1594"/>
      <c r="X663" s="1594"/>
      <c r="Y663" s="1594"/>
      <c r="Z663" s="1594"/>
    </row>
    <row r="664" ht="12.75" customHeight="1">
      <c r="A664" s="1594"/>
      <c r="B664" s="1594"/>
      <c r="C664" s="1594"/>
      <c r="D664" s="1594"/>
      <c r="E664" s="1594"/>
      <c r="F664" s="1594"/>
      <c r="G664" s="1594"/>
      <c r="H664" s="1594"/>
      <c r="I664" s="1594"/>
      <c r="J664" s="1594"/>
      <c r="K664" s="1594"/>
      <c r="L664" s="1594"/>
      <c r="M664" s="1594"/>
      <c r="N664" s="1594"/>
      <c r="O664" s="1594"/>
      <c r="P664" s="1594"/>
      <c r="Q664" s="1594"/>
      <c r="R664" s="1594"/>
      <c r="S664" s="1594"/>
      <c r="T664" s="1594"/>
      <c r="U664" s="1594"/>
      <c r="V664" s="1594"/>
      <c r="W664" s="1594"/>
      <c r="X664" s="1594"/>
      <c r="Y664" s="1594"/>
      <c r="Z664" s="1594"/>
    </row>
    <row r="665" ht="12.75" customHeight="1">
      <c r="A665" s="1594"/>
      <c r="B665" s="1594"/>
      <c r="C665" s="1594"/>
      <c r="D665" s="1594"/>
      <c r="E665" s="1594"/>
      <c r="F665" s="1594"/>
      <c r="G665" s="1594"/>
      <c r="H665" s="1594"/>
      <c r="I665" s="1594"/>
      <c r="J665" s="1594"/>
      <c r="K665" s="1594"/>
      <c r="L665" s="1594"/>
      <c r="M665" s="1594"/>
      <c r="N665" s="1594"/>
      <c r="O665" s="1594"/>
      <c r="P665" s="1594"/>
      <c r="Q665" s="1594"/>
      <c r="R665" s="1594"/>
      <c r="S665" s="1594"/>
      <c r="T665" s="1594"/>
      <c r="U665" s="1594"/>
      <c r="V665" s="1594"/>
      <c r="W665" s="1594"/>
      <c r="X665" s="1594"/>
      <c r="Y665" s="1594"/>
      <c r="Z665" s="1594"/>
    </row>
    <row r="666" ht="12.75" customHeight="1">
      <c r="A666" s="1594"/>
      <c r="B666" s="1594"/>
      <c r="C666" s="1594"/>
      <c r="D666" s="1594"/>
      <c r="E666" s="1594"/>
      <c r="F666" s="1594"/>
      <c r="G666" s="1594"/>
      <c r="H666" s="1594"/>
      <c r="I666" s="1594"/>
      <c r="J666" s="1594"/>
      <c r="K666" s="1594"/>
      <c r="L666" s="1594"/>
      <c r="M666" s="1594"/>
      <c r="N666" s="1594"/>
      <c r="O666" s="1594"/>
      <c r="P666" s="1594"/>
      <c r="Q666" s="1594"/>
      <c r="R666" s="1594"/>
      <c r="S666" s="1594"/>
      <c r="T666" s="1594"/>
      <c r="U666" s="1594"/>
      <c r="V666" s="1594"/>
      <c r="W666" s="1594"/>
      <c r="X666" s="1594"/>
      <c r="Y666" s="1594"/>
      <c r="Z666" s="1594"/>
    </row>
    <row r="667" ht="12.75" customHeight="1">
      <c r="A667" s="1594"/>
      <c r="B667" s="1594"/>
      <c r="C667" s="1594"/>
      <c r="D667" s="1594"/>
      <c r="E667" s="1594"/>
      <c r="F667" s="1594"/>
      <c r="G667" s="1594"/>
      <c r="H667" s="1594"/>
      <c r="I667" s="1594"/>
      <c r="J667" s="1594"/>
      <c r="K667" s="1594"/>
      <c r="L667" s="1594"/>
      <c r="M667" s="1594"/>
      <c r="N667" s="1594"/>
      <c r="O667" s="1594"/>
      <c r="P667" s="1594"/>
      <c r="Q667" s="1594"/>
      <c r="R667" s="1594"/>
      <c r="S667" s="1594"/>
      <c r="T667" s="1594"/>
      <c r="U667" s="1594"/>
      <c r="V667" s="1594"/>
      <c r="W667" s="1594"/>
      <c r="X667" s="1594"/>
      <c r="Y667" s="1594"/>
      <c r="Z667" s="1594"/>
    </row>
    <row r="668" ht="12.75" customHeight="1">
      <c r="A668" s="1594"/>
      <c r="B668" s="1594"/>
      <c r="C668" s="1594"/>
      <c r="D668" s="1594"/>
      <c r="E668" s="1594"/>
      <c r="F668" s="1594"/>
      <c r="G668" s="1594"/>
      <c r="H668" s="1594"/>
      <c r="I668" s="1594"/>
      <c r="J668" s="1594"/>
      <c r="K668" s="1594"/>
      <c r="L668" s="1594"/>
      <c r="M668" s="1594"/>
      <c r="N668" s="1594"/>
      <c r="O668" s="1594"/>
      <c r="P668" s="1594"/>
      <c r="Q668" s="1594"/>
      <c r="R668" s="1594"/>
      <c r="S668" s="1594"/>
      <c r="T668" s="1594"/>
      <c r="U668" s="1594"/>
      <c r="V668" s="1594"/>
      <c r="W668" s="1594"/>
      <c r="X668" s="1594"/>
      <c r="Y668" s="1594"/>
      <c r="Z668" s="1594"/>
    </row>
    <row r="669" ht="12.75" customHeight="1">
      <c r="A669" s="1594"/>
      <c r="B669" s="1594"/>
      <c r="C669" s="1594"/>
      <c r="D669" s="1594"/>
      <c r="E669" s="1594"/>
      <c r="F669" s="1594"/>
      <c r="G669" s="1594"/>
      <c r="H669" s="1594"/>
      <c r="I669" s="1594"/>
      <c r="J669" s="1594"/>
      <c r="K669" s="1594"/>
      <c r="L669" s="1594"/>
      <c r="M669" s="1594"/>
      <c r="N669" s="1594"/>
      <c r="O669" s="1594"/>
      <c r="P669" s="1594"/>
      <c r="Q669" s="1594"/>
      <c r="R669" s="1594"/>
      <c r="S669" s="1594"/>
      <c r="T669" s="1594"/>
      <c r="U669" s="1594"/>
      <c r="V669" s="1594"/>
      <c r="W669" s="1594"/>
      <c r="X669" s="1594"/>
      <c r="Y669" s="1594"/>
      <c r="Z669" s="1594"/>
    </row>
    <row r="670" ht="12.75" customHeight="1">
      <c r="A670" s="1594"/>
      <c r="B670" s="1594"/>
      <c r="C670" s="1594"/>
      <c r="D670" s="1594"/>
      <c r="E670" s="1594"/>
      <c r="F670" s="1594"/>
      <c r="G670" s="1594"/>
      <c r="H670" s="1594"/>
      <c r="I670" s="1594"/>
      <c r="J670" s="1594"/>
      <c r="K670" s="1594"/>
      <c r="L670" s="1594"/>
      <c r="M670" s="1594"/>
      <c r="N670" s="1594"/>
      <c r="O670" s="1594"/>
      <c r="P670" s="1594"/>
      <c r="Q670" s="1594"/>
      <c r="R670" s="1594"/>
      <c r="S670" s="1594"/>
      <c r="T670" s="1594"/>
      <c r="U670" s="1594"/>
      <c r="V670" s="1594"/>
      <c r="W670" s="1594"/>
      <c r="X670" s="1594"/>
      <c r="Y670" s="1594"/>
      <c r="Z670" s="1594"/>
    </row>
    <row r="671" ht="12.75" customHeight="1">
      <c r="A671" s="1594"/>
      <c r="B671" s="1594"/>
      <c r="C671" s="1594"/>
      <c r="D671" s="1594"/>
      <c r="E671" s="1594"/>
      <c r="F671" s="1594"/>
      <c r="G671" s="1594"/>
      <c r="H671" s="1594"/>
      <c r="I671" s="1594"/>
      <c r="J671" s="1594"/>
      <c r="K671" s="1594"/>
      <c r="L671" s="1594"/>
      <c r="M671" s="1594"/>
      <c r="N671" s="1594"/>
      <c r="O671" s="1594"/>
      <c r="P671" s="1594"/>
      <c r="Q671" s="1594"/>
      <c r="R671" s="1594"/>
      <c r="S671" s="1594"/>
      <c r="T671" s="1594"/>
      <c r="U671" s="1594"/>
      <c r="V671" s="1594"/>
      <c r="W671" s="1594"/>
      <c r="X671" s="1594"/>
      <c r="Y671" s="1594"/>
      <c r="Z671" s="1594"/>
    </row>
    <row r="672" ht="12.75" customHeight="1">
      <c r="A672" s="1594"/>
      <c r="B672" s="1594"/>
      <c r="C672" s="1594"/>
      <c r="D672" s="1594"/>
      <c r="E672" s="1594"/>
      <c r="F672" s="1594"/>
      <c r="G672" s="1594"/>
      <c r="H672" s="1594"/>
      <c r="I672" s="1594"/>
      <c r="J672" s="1594"/>
      <c r="K672" s="1594"/>
      <c r="L672" s="1594"/>
      <c r="M672" s="1594"/>
      <c r="N672" s="1594"/>
      <c r="O672" s="1594"/>
      <c r="P672" s="1594"/>
      <c r="Q672" s="1594"/>
      <c r="R672" s="1594"/>
      <c r="S672" s="1594"/>
      <c r="T672" s="1594"/>
      <c r="U672" s="1594"/>
      <c r="V672" s="1594"/>
      <c r="W672" s="1594"/>
      <c r="X672" s="1594"/>
      <c r="Y672" s="1594"/>
      <c r="Z672" s="1594"/>
    </row>
    <row r="673" ht="12.75" customHeight="1">
      <c r="A673" s="1594"/>
      <c r="B673" s="1594"/>
      <c r="C673" s="1594"/>
      <c r="D673" s="1594"/>
      <c r="E673" s="1594"/>
      <c r="F673" s="1594"/>
      <c r="G673" s="1594"/>
      <c r="H673" s="1594"/>
      <c r="I673" s="1594"/>
      <c r="J673" s="1594"/>
      <c r="K673" s="1594"/>
      <c r="L673" s="1594"/>
      <c r="M673" s="1594"/>
      <c r="N673" s="1594"/>
      <c r="O673" s="1594"/>
      <c r="P673" s="1594"/>
      <c r="Q673" s="1594"/>
      <c r="R673" s="1594"/>
      <c r="S673" s="1594"/>
      <c r="T673" s="1594"/>
      <c r="U673" s="1594"/>
      <c r="V673" s="1594"/>
      <c r="W673" s="1594"/>
      <c r="X673" s="1594"/>
      <c r="Y673" s="1594"/>
      <c r="Z673" s="1594"/>
    </row>
    <row r="674" ht="12.75" customHeight="1">
      <c r="A674" s="1594"/>
      <c r="B674" s="1594"/>
      <c r="C674" s="1594"/>
      <c r="D674" s="1594"/>
      <c r="E674" s="1594"/>
      <c r="F674" s="1594"/>
      <c r="G674" s="1594"/>
      <c r="H674" s="1594"/>
      <c r="I674" s="1594"/>
      <c r="J674" s="1594"/>
      <c r="K674" s="1594"/>
      <c r="L674" s="1594"/>
      <c r="M674" s="1594"/>
      <c r="N674" s="1594"/>
      <c r="O674" s="1594"/>
      <c r="P674" s="1594"/>
      <c r="Q674" s="1594"/>
      <c r="R674" s="1594"/>
      <c r="S674" s="1594"/>
      <c r="T674" s="1594"/>
      <c r="U674" s="1594"/>
      <c r="V674" s="1594"/>
      <c r="W674" s="1594"/>
      <c r="X674" s="1594"/>
      <c r="Y674" s="1594"/>
      <c r="Z674" s="1594"/>
    </row>
    <row r="675" ht="12.75" customHeight="1">
      <c r="A675" s="1594"/>
      <c r="B675" s="1594"/>
      <c r="C675" s="1594"/>
      <c r="D675" s="1594"/>
      <c r="E675" s="1594"/>
      <c r="F675" s="1594"/>
      <c r="G675" s="1594"/>
      <c r="H675" s="1594"/>
      <c r="I675" s="1594"/>
      <c r="J675" s="1594"/>
      <c r="K675" s="1594"/>
      <c r="L675" s="1594"/>
      <c r="M675" s="1594"/>
      <c r="N675" s="1594"/>
      <c r="O675" s="1594"/>
      <c r="P675" s="1594"/>
      <c r="Q675" s="1594"/>
      <c r="R675" s="1594"/>
      <c r="S675" s="1594"/>
      <c r="T675" s="1594"/>
      <c r="U675" s="1594"/>
      <c r="V675" s="1594"/>
      <c r="W675" s="1594"/>
      <c r="X675" s="1594"/>
      <c r="Y675" s="1594"/>
      <c r="Z675" s="1594"/>
    </row>
    <row r="676" ht="12.75" customHeight="1">
      <c r="A676" s="1594"/>
      <c r="B676" s="1594"/>
      <c r="C676" s="1594"/>
      <c r="D676" s="1594"/>
      <c r="E676" s="1594"/>
      <c r="F676" s="1594"/>
      <c r="G676" s="1594"/>
      <c r="H676" s="1594"/>
      <c r="I676" s="1594"/>
      <c r="J676" s="1594"/>
      <c r="K676" s="1594"/>
      <c r="L676" s="1594"/>
      <c r="M676" s="1594"/>
      <c r="N676" s="1594"/>
      <c r="O676" s="1594"/>
      <c r="P676" s="1594"/>
      <c r="Q676" s="1594"/>
      <c r="R676" s="1594"/>
      <c r="S676" s="1594"/>
      <c r="T676" s="1594"/>
      <c r="U676" s="1594"/>
      <c r="V676" s="1594"/>
      <c r="W676" s="1594"/>
      <c r="X676" s="1594"/>
      <c r="Y676" s="1594"/>
      <c r="Z676" s="1594"/>
    </row>
    <row r="677" ht="12.75" customHeight="1">
      <c r="A677" s="1594"/>
      <c r="B677" s="1594"/>
      <c r="C677" s="1594"/>
      <c r="D677" s="1594"/>
      <c r="E677" s="1594"/>
      <c r="F677" s="1594"/>
      <c r="G677" s="1594"/>
      <c r="H677" s="1594"/>
      <c r="I677" s="1594"/>
      <c r="J677" s="1594"/>
      <c r="K677" s="1594"/>
      <c r="L677" s="1594"/>
      <c r="M677" s="1594"/>
      <c r="N677" s="1594"/>
      <c r="O677" s="1594"/>
      <c r="P677" s="1594"/>
      <c r="Q677" s="1594"/>
      <c r="R677" s="1594"/>
      <c r="S677" s="1594"/>
      <c r="T677" s="1594"/>
      <c r="U677" s="1594"/>
      <c r="V677" s="1594"/>
      <c r="W677" s="1594"/>
      <c r="X677" s="1594"/>
      <c r="Y677" s="1594"/>
      <c r="Z677" s="1594"/>
    </row>
    <row r="678" ht="12.75" customHeight="1">
      <c r="A678" s="1594"/>
      <c r="B678" s="1594"/>
      <c r="C678" s="1594"/>
      <c r="D678" s="1594"/>
      <c r="E678" s="1594"/>
      <c r="F678" s="1594"/>
      <c r="G678" s="1594"/>
      <c r="H678" s="1594"/>
      <c r="I678" s="1594"/>
      <c r="J678" s="1594"/>
      <c r="K678" s="1594"/>
      <c r="L678" s="1594"/>
      <c r="M678" s="1594"/>
      <c r="N678" s="1594"/>
      <c r="O678" s="1594"/>
      <c r="P678" s="1594"/>
      <c r="Q678" s="1594"/>
      <c r="R678" s="1594"/>
      <c r="S678" s="1594"/>
      <c r="T678" s="1594"/>
      <c r="U678" s="1594"/>
      <c r="V678" s="1594"/>
      <c r="W678" s="1594"/>
      <c r="X678" s="1594"/>
      <c r="Y678" s="1594"/>
      <c r="Z678" s="1594"/>
    </row>
    <row r="679" ht="12.75" customHeight="1">
      <c r="A679" s="1594"/>
      <c r="B679" s="1594"/>
      <c r="C679" s="1594"/>
      <c r="D679" s="1594"/>
      <c r="E679" s="1594"/>
      <c r="F679" s="1594"/>
      <c r="G679" s="1594"/>
      <c r="H679" s="1594"/>
      <c r="I679" s="1594"/>
      <c r="J679" s="1594"/>
      <c r="K679" s="1594"/>
      <c r="L679" s="1594"/>
      <c r="M679" s="1594"/>
      <c r="N679" s="1594"/>
      <c r="O679" s="1594"/>
      <c r="P679" s="1594"/>
      <c r="Q679" s="1594"/>
      <c r="R679" s="1594"/>
      <c r="S679" s="1594"/>
      <c r="T679" s="1594"/>
      <c r="U679" s="1594"/>
      <c r="V679" s="1594"/>
      <c r="W679" s="1594"/>
      <c r="X679" s="1594"/>
      <c r="Y679" s="1594"/>
      <c r="Z679" s="1594"/>
    </row>
    <row r="680" ht="12.75" customHeight="1">
      <c r="A680" s="1594"/>
      <c r="B680" s="1594"/>
      <c r="C680" s="1594"/>
      <c r="D680" s="1594"/>
      <c r="E680" s="1594"/>
      <c r="F680" s="1594"/>
      <c r="G680" s="1594"/>
      <c r="H680" s="1594"/>
      <c r="I680" s="1594"/>
      <c r="J680" s="1594"/>
      <c r="K680" s="1594"/>
      <c r="L680" s="1594"/>
      <c r="M680" s="1594"/>
      <c r="N680" s="1594"/>
      <c r="O680" s="1594"/>
      <c r="P680" s="1594"/>
      <c r="Q680" s="1594"/>
      <c r="R680" s="1594"/>
      <c r="S680" s="1594"/>
      <c r="T680" s="1594"/>
      <c r="U680" s="1594"/>
      <c r="V680" s="1594"/>
      <c r="W680" s="1594"/>
      <c r="X680" s="1594"/>
      <c r="Y680" s="1594"/>
      <c r="Z680" s="1594"/>
    </row>
    <row r="681" ht="12.75" customHeight="1">
      <c r="A681" s="1594"/>
      <c r="B681" s="1594"/>
      <c r="C681" s="1594"/>
      <c r="D681" s="1594"/>
      <c r="E681" s="1594"/>
      <c r="F681" s="1594"/>
      <c r="G681" s="1594"/>
      <c r="H681" s="1594"/>
      <c r="I681" s="1594"/>
      <c r="J681" s="1594"/>
      <c r="K681" s="1594"/>
      <c r="L681" s="1594"/>
      <c r="M681" s="1594"/>
      <c r="N681" s="1594"/>
      <c r="O681" s="1594"/>
      <c r="P681" s="1594"/>
      <c r="Q681" s="1594"/>
      <c r="R681" s="1594"/>
      <c r="S681" s="1594"/>
      <c r="T681" s="1594"/>
      <c r="U681" s="1594"/>
      <c r="V681" s="1594"/>
      <c r="W681" s="1594"/>
      <c r="X681" s="1594"/>
      <c r="Y681" s="1594"/>
      <c r="Z681" s="1594"/>
    </row>
    <row r="682" ht="12.75" customHeight="1">
      <c r="A682" s="1594"/>
      <c r="B682" s="1594"/>
      <c r="C682" s="1594"/>
      <c r="D682" s="1594"/>
      <c r="E682" s="1594"/>
      <c r="F682" s="1594"/>
      <c r="G682" s="1594"/>
      <c r="H682" s="1594"/>
      <c r="I682" s="1594"/>
      <c r="J682" s="1594"/>
      <c r="K682" s="1594"/>
      <c r="L682" s="1594"/>
      <c r="M682" s="1594"/>
      <c r="N682" s="1594"/>
      <c r="O682" s="1594"/>
      <c r="P682" s="1594"/>
      <c r="Q682" s="1594"/>
      <c r="R682" s="1594"/>
      <c r="S682" s="1594"/>
      <c r="T682" s="1594"/>
      <c r="U682" s="1594"/>
      <c r="V682" s="1594"/>
      <c r="W682" s="1594"/>
      <c r="X682" s="1594"/>
      <c r="Y682" s="1594"/>
      <c r="Z682" s="1594"/>
    </row>
    <row r="683" ht="12.75" customHeight="1">
      <c r="A683" s="1594"/>
      <c r="B683" s="1594"/>
      <c r="C683" s="1594"/>
      <c r="D683" s="1594"/>
      <c r="E683" s="1594"/>
      <c r="F683" s="1594"/>
      <c r="G683" s="1594"/>
      <c r="H683" s="1594"/>
      <c r="I683" s="1594"/>
      <c r="J683" s="1594"/>
      <c r="K683" s="1594"/>
      <c r="L683" s="1594"/>
      <c r="M683" s="1594"/>
      <c r="N683" s="1594"/>
      <c r="O683" s="1594"/>
      <c r="P683" s="1594"/>
      <c r="Q683" s="1594"/>
      <c r="R683" s="1594"/>
      <c r="S683" s="1594"/>
      <c r="T683" s="1594"/>
      <c r="U683" s="1594"/>
      <c r="V683" s="1594"/>
      <c r="W683" s="1594"/>
      <c r="X683" s="1594"/>
      <c r="Y683" s="1594"/>
      <c r="Z683" s="1594"/>
    </row>
    <row r="684" ht="12.75" customHeight="1">
      <c r="A684" s="1594"/>
      <c r="B684" s="1594"/>
      <c r="C684" s="1594"/>
      <c r="D684" s="1594"/>
      <c r="E684" s="1594"/>
      <c r="F684" s="1594"/>
      <c r="G684" s="1594"/>
      <c r="H684" s="1594"/>
      <c r="I684" s="1594"/>
      <c r="J684" s="1594"/>
      <c r="K684" s="1594"/>
      <c r="L684" s="1594"/>
      <c r="M684" s="1594"/>
      <c r="N684" s="1594"/>
      <c r="O684" s="1594"/>
      <c r="P684" s="1594"/>
      <c r="Q684" s="1594"/>
      <c r="R684" s="1594"/>
      <c r="S684" s="1594"/>
      <c r="T684" s="1594"/>
      <c r="U684" s="1594"/>
      <c r="V684" s="1594"/>
      <c r="W684" s="1594"/>
      <c r="X684" s="1594"/>
      <c r="Y684" s="1594"/>
      <c r="Z684" s="1594"/>
    </row>
    <row r="685" ht="12.75" customHeight="1">
      <c r="A685" s="1594"/>
      <c r="B685" s="1594"/>
      <c r="C685" s="1594"/>
      <c r="D685" s="1594"/>
      <c r="E685" s="1594"/>
      <c r="F685" s="1594"/>
      <c r="G685" s="1594"/>
      <c r="H685" s="1594"/>
      <c r="I685" s="1594"/>
      <c r="J685" s="1594"/>
      <c r="K685" s="1594"/>
      <c r="L685" s="1594"/>
      <c r="M685" s="1594"/>
      <c r="N685" s="1594"/>
      <c r="O685" s="1594"/>
      <c r="P685" s="1594"/>
      <c r="Q685" s="1594"/>
      <c r="R685" s="1594"/>
      <c r="S685" s="1594"/>
      <c r="T685" s="1594"/>
      <c r="U685" s="1594"/>
      <c r="V685" s="1594"/>
      <c r="W685" s="1594"/>
      <c r="X685" s="1594"/>
      <c r="Y685" s="1594"/>
      <c r="Z685" s="1594"/>
    </row>
    <row r="686" ht="12.75" customHeight="1">
      <c r="A686" s="1594"/>
      <c r="B686" s="1594"/>
      <c r="C686" s="1594"/>
      <c r="D686" s="1594"/>
      <c r="E686" s="1594"/>
      <c r="F686" s="1594"/>
      <c r="G686" s="1594"/>
      <c r="H686" s="1594"/>
      <c r="I686" s="1594"/>
      <c r="J686" s="1594"/>
      <c r="K686" s="1594"/>
      <c r="L686" s="1594"/>
      <c r="M686" s="1594"/>
      <c r="N686" s="1594"/>
      <c r="O686" s="1594"/>
      <c r="P686" s="1594"/>
      <c r="Q686" s="1594"/>
      <c r="R686" s="1594"/>
      <c r="S686" s="1594"/>
      <c r="T686" s="1594"/>
      <c r="U686" s="1594"/>
      <c r="V686" s="1594"/>
      <c r="W686" s="1594"/>
      <c r="X686" s="1594"/>
      <c r="Y686" s="1594"/>
      <c r="Z686" s="1594"/>
    </row>
    <row r="687" ht="12.75" customHeight="1">
      <c r="A687" s="1594"/>
      <c r="B687" s="1594"/>
      <c r="C687" s="1594"/>
      <c r="D687" s="1594"/>
      <c r="E687" s="1594"/>
      <c r="F687" s="1594"/>
      <c r="G687" s="1594"/>
      <c r="H687" s="1594"/>
      <c r="I687" s="1594"/>
      <c r="J687" s="1594"/>
      <c r="K687" s="1594"/>
      <c r="L687" s="1594"/>
      <c r="M687" s="1594"/>
      <c r="N687" s="1594"/>
      <c r="O687" s="1594"/>
      <c r="P687" s="1594"/>
      <c r="Q687" s="1594"/>
      <c r="R687" s="1594"/>
      <c r="S687" s="1594"/>
      <c r="T687" s="1594"/>
      <c r="U687" s="1594"/>
      <c r="V687" s="1594"/>
      <c r="W687" s="1594"/>
      <c r="X687" s="1594"/>
      <c r="Y687" s="1594"/>
      <c r="Z687" s="1594"/>
    </row>
    <row r="688" ht="12.75" customHeight="1">
      <c r="A688" s="1594"/>
      <c r="B688" s="1594"/>
      <c r="C688" s="1594"/>
      <c r="D688" s="1594"/>
      <c r="E688" s="1594"/>
      <c r="F688" s="1594"/>
      <c r="G688" s="1594"/>
      <c r="H688" s="1594"/>
      <c r="I688" s="1594"/>
      <c r="J688" s="1594"/>
      <c r="K688" s="1594"/>
      <c r="L688" s="1594"/>
      <c r="M688" s="1594"/>
      <c r="N688" s="1594"/>
      <c r="O688" s="1594"/>
      <c r="P688" s="1594"/>
      <c r="Q688" s="1594"/>
      <c r="R688" s="1594"/>
      <c r="S688" s="1594"/>
      <c r="T688" s="1594"/>
      <c r="U688" s="1594"/>
      <c r="V688" s="1594"/>
      <c r="W688" s="1594"/>
      <c r="X688" s="1594"/>
      <c r="Y688" s="1594"/>
      <c r="Z688" s="1594"/>
    </row>
    <row r="689" ht="12.75" customHeight="1">
      <c r="A689" s="1594"/>
      <c r="B689" s="1594"/>
      <c r="C689" s="1594"/>
      <c r="D689" s="1594"/>
      <c r="E689" s="1594"/>
      <c r="F689" s="1594"/>
      <c r="G689" s="1594"/>
      <c r="H689" s="1594"/>
      <c r="I689" s="1594"/>
      <c r="J689" s="1594"/>
      <c r="K689" s="1594"/>
      <c r="L689" s="1594"/>
      <c r="M689" s="1594"/>
      <c r="N689" s="1594"/>
      <c r="O689" s="1594"/>
      <c r="P689" s="1594"/>
      <c r="Q689" s="1594"/>
      <c r="R689" s="1594"/>
      <c r="S689" s="1594"/>
      <c r="T689" s="1594"/>
      <c r="U689" s="1594"/>
      <c r="V689" s="1594"/>
      <c r="W689" s="1594"/>
      <c r="X689" s="1594"/>
      <c r="Y689" s="1594"/>
      <c r="Z689" s="1594"/>
    </row>
    <row r="690" ht="12.75" customHeight="1">
      <c r="A690" s="1594"/>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row>
    <row r="691" ht="12.75" customHeight="1">
      <c r="A691" s="1594"/>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row>
    <row r="692" ht="12.75" customHeight="1">
      <c r="A692" s="1594"/>
      <c r="B692" s="1594"/>
      <c r="C692" s="1594"/>
      <c r="D692" s="1594"/>
      <c r="E692" s="1594"/>
      <c r="F692" s="1594"/>
      <c r="G692" s="1594"/>
      <c r="H692" s="1594"/>
      <c r="I692" s="1594"/>
      <c r="J692" s="1594"/>
      <c r="K692" s="1594"/>
      <c r="L692" s="1594"/>
      <c r="M692" s="1594"/>
      <c r="N692" s="1594"/>
      <c r="O692" s="1594"/>
      <c r="P692" s="1594"/>
      <c r="Q692" s="1594"/>
      <c r="R692" s="1594"/>
      <c r="S692" s="1594"/>
      <c r="T692" s="1594"/>
      <c r="U692" s="1594"/>
      <c r="V692" s="1594"/>
      <c r="W692" s="1594"/>
      <c r="X692" s="1594"/>
      <c r="Y692" s="1594"/>
      <c r="Z692" s="1594"/>
    </row>
    <row r="693" ht="12.75" customHeight="1">
      <c r="A693" s="1594"/>
      <c r="B693" s="1594"/>
      <c r="C693" s="1594"/>
      <c r="D693" s="1594"/>
      <c r="E693" s="1594"/>
      <c r="F693" s="1594"/>
      <c r="G693" s="1594"/>
      <c r="H693" s="1594"/>
      <c r="I693" s="1594"/>
      <c r="J693" s="1594"/>
      <c r="K693" s="1594"/>
      <c r="L693" s="1594"/>
      <c r="M693" s="1594"/>
      <c r="N693" s="1594"/>
      <c r="O693" s="1594"/>
      <c r="P693" s="1594"/>
      <c r="Q693" s="1594"/>
      <c r="R693" s="1594"/>
      <c r="S693" s="1594"/>
      <c r="T693" s="1594"/>
      <c r="U693" s="1594"/>
      <c r="V693" s="1594"/>
      <c r="W693" s="1594"/>
      <c r="X693" s="1594"/>
      <c r="Y693" s="1594"/>
      <c r="Z693" s="1594"/>
    </row>
    <row r="694" ht="12.75" customHeight="1">
      <c r="A694" s="1594"/>
      <c r="B694" s="1594"/>
      <c r="C694" s="1594"/>
      <c r="D694" s="1594"/>
      <c r="E694" s="1594"/>
      <c r="F694" s="1594"/>
      <c r="G694" s="1594"/>
      <c r="H694" s="1594"/>
      <c r="I694" s="1594"/>
      <c r="J694" s="1594"/>
      <c r="K694" s="1594"/>
      <c r="L694" s="1594"/>
      <c r="M694" s="1594"/>
      <c r="N694" s="1594"/>
      <c r="O694" s="1594"/>
      <c r="P694" s="1594"/>
      <c r="Q694" s="1594"/>
      <c r="R694" s="1594"/>
      <c r="S694" s="1594"/>
      <c r="T694" s="1594"/>
      <c r="U694" s="1594"/>
      <c r="V694" s="1594"/>
      <c r="W694" s="1594"/>
      <c r="X694" s="1594"/>
      <c r="Y694" s="1594"/>
      <c r="Z694" s="1594"/>
    </row>
    <row r="695" ht="12.75" customHeight="1">
      <c r="A695" s="1594"/>
      <c r="B695" s="1594"/>
      <c r="C695" s="1594"/>
      <c r="D695" s="1594"/>
      <c r="E695" s="1594"/>
      <c r="F695" s="1594"/>
      <c r="G695" s="1594"/>
      <c r="H695" s="1594"/>
      <c r="I695" s="1594"/>
      <c r="J695" s="1594"/>
      <c r="K695" s="1594"/>
      <c r="L695" s="1594"/>
      <c r="M695" s="1594"/>
      <c r="N695" s="1594"/>
      <c r="O695" s="1594"/>
      <c r="P695" s="1594"/>
      <c r="Q695" s="1594"/>
      <c r="R695" s="1594"/>
      <c r="S695" s="1594"/>
      <c r="T695" s="1594"/>
      <c r="U695" s="1594"/>
      <c r="V695" s="1594"/>
      <c r="W695" s="1594"/>
      <c r="X695" s="1594"/>
      <c r="Y695" s="1594"/>
      <c r="Z695" s="1594"/>
    </row>
    <row r="696" ht="12.75" customHeight="1">
      <c r="A696" s="1594"/>
      <c r="B696" s="1594"/>
      <c r="C696" s="1594"/>
      <c r="D696" s="1594"/>
      <c r="E696" s="1594"/>
      <c r="F696" s="1594"/>
      <c r="G696" s="1594"/>
      <c r="H696" s="1594"/>
      <c r="I696" s="1594"/>
      <c r="J696" s="1594"/>
      <c r="K696" s="1594"/>
      <c r="L696" s="1594"/>
      <c r="M696" s="1594"/>
      <c r="N696" s="1594"/>
      <c r="O696" s="1594"/>
      <c r="P696" s="1594"/>
      <c r="Q696" s="1594"/>
      <c r="R696" s="1594"/>
      <c r="S696" s="1594"/>
      <c r="T696" s="1594"/>
      <c r="U696" s="1594"/>
      <c r="V696" s="1594"/>
      <c r="W696" s="1594"/>
      <c r="X696" s="1594"/>
      <c r="Y696" s="1594"/>
      <c r="Z696" s="1594"/>
    </row>
    <row r="697" ht="12.75" customHeight="1">
      <c r="A697" s="1594"/>
      <c r="B697" s="1594"/>
      <c r="C697" s="1594"/>
      <c r="D697" s="1594"/>
      <c r="E697" s="1594"/>
      <c r="F697" s="1594"/>
      <c r="G697" s="1594"/>
      <c r="H697" s="1594"/>
      <c r="I697" s="1594"/>
      <c r="J697" s="1594"/>
      <c r="K697" s="1594"/>
      <c r="L697" s="1594"/>
      <c r="M697" s="1594"/>
      <c r="N697" s="1594"/>
      <c r="O697" s="1594"/>
      <c r="P697" s="1594"/>
      <c r="Q697" s="1594"/>
      <c r="R697" s="1594"/>
      <c r="S697" s="1594"/>
      <c r="T697" s="1594"/>
      <c r="U697" s="1594"/>
      <c r="V697" s="1594"/>
      <c r="W697" s="1594"/>
      <c r="X697" s="1594"/>
      <c r="Y697" s="1594"/>
      <c r="Z697" s="1594"/>
    </row>
    <row r="698" ht="12.75" customHeight="1">
      <c r="A698" s="1594"/>
      <c r="B698" s="1594"/>
      <c r="C698" s="1594"/>
      <c r="D698" s="1594"/>
      <c r="E698" s="1594"/>
      <c r="F698" s="1594"/>
      <c r="G698" s="1594"/>
      <c r="H698" s="1594"/>
      <c r="I698" s="1594"/>
      <c r="J698" s="1594"/>
      <c r="K698" s="1594"/>
      <c r="L698" s="1594"/>
      <c r="M698" s="1594"/>
      <c r="N698" s="1594"/>
      <c r="O698" s="1594"/>
      <c r="P698" s="1594"/>
      <c r="Q698" s="1594"/>
      <c r="R698" s="1594"/>
      <c r="S698" s="1594"/>
      <c r="T698" s="1594"/>
      <c r="U698" s="1594"/>
      <c r="V698" s="1594"/>
      <c r="W698" s="1594"/>
      <c r="X698" s="1594"/>
      <c r="Y698" s="1594"/>
      <c r="Z698" s="1594"/>
    </row>
    <row r="699" ht="12.75" customHeight="1">
      <c r="A699" s="1594"/>
      <c r="B699" s="1594"/>
      <c r="C699" s="1594"/>
      <c r="D699" s="1594"/>
      <c r="E699" s="1594"/>
      <c r="F699" s="1594"/>
      <c r="G699" s="1594"/>
      <c r="H699" s="1594"/>
      <c r="I699" s="1594"/>
      <c r="J699" s="1594"/>
      <c r="K699" s="1594"/>
      <c r="L699" s="1594"/>
      <c r="M699" s="1594"/>
      <c r="N699" s="1594"/>
      <c r="O699" s="1594"/>
      <c r="P699" s="1594"/>
      <c r="Q699" s="1594"/>
      <c r="R699" s="1594"/>
      <c r="S699" s="1594"/>
      <c r="T699" s="1594"/>
      <c r="U699" s="1594"/>
      <c r="V699" s="1594"/>
      <c r="W699" s="1594"/>
      <c r="X699" s="1594"/>
      <c r="Y699" s="1594"/>
      <c r="Z699" s="1594"/>
    </row>
    <row r="700" ht="12.75" customHeight="1">
      <c r="A700" s="1594"/>
      <c r="B700" s="1594"/>
      <c r="C700" s="1594"/>
      <c r="D700" s="1594"/>
      <c r="E700" s="1594"/>
      <c r="F700" s="1594"/>
      <c r="G700" s="1594"/>
      <c r="H700" s="1594"/>
      <c r="I700" s="1594"/>
      <c r="J700" s="1594"/>
      <c r="K700" s="1594"/>
      <c r="L700" s="1594"/>
      <c r="M700" s="1594"/>
      <c r="N700" s="1594"/>
      <c r="O700" s="1594"/>
      <c r="P700" s="1594"/>
      <c r="Q700" s="1594"/>
      <c r="R700" s="1594"/>
      <c r="S700" s="1594"/>
      <c r="T700" s="1594"/>
      <c r="U700" s="1594"/>
      <c r="V700" s="1594"/>
      <c r="W700" s="1594"/>
      <c r="X700" s="1594"/>
      <c r="Y700" s="1594"/>
      <c r="Z700" s="1594"/>
    </row>
    <row r="701" ht="12.75" customHeight="1">
      <c r="A701" s="1594"/>
      <c r="B701" s="1594"/>
      <c r="C701" s="1594"/>
      <c r="D701" s="1594"/>
      <c r="E701" s="1594"/>
      <c r="F701" s="1594"/>
      <c r="G701" s="1594"/>
      <c r="H701" s="1594"/>
      <c r="I701" s="1594"/>
      <c r="J701" s="1594"/>
      <c r="K701" s="1594"/>
      <c r="L701" s="1594"/>
      <c r="M701" s="1594"/>
      <c r="N701" s="1594"/>
      <c r="O701" s="1594"/>
      <c r="P701" s="1594"/>
      <c r="Q701" s="1594"/>
      <c r="R701" s="1594"/>
      <c r="S701" s="1594"/>
      <c r="T701" s="1594"/>
      <c r="U701" s="1594"/>
      <c r="V701" s="1594"/>
      <c r="W701" s="1594"/>
      <c r="X701" s="1594"/>
      <c r="Y701" s="1594"/>
      <c r="Z701" s="1594"/>
    </row>
    <row r="702" ht="12.75" customHeight="1">
      <c r="A702" s="1594"/>
      <c r="B702" s="1594"/>
      <c r="C702" s="1594"/>
      <c r="D702" s="1594"/>
      <c r="E702" s="1594"/>
      <c r="F702" s="1594"/>
      <c r="G702" s="1594"/>
      <c r="H702" s="1594"/>
      <c r="I702" s="1594"/>
      <c r="J702" s="1594"/>
      <c r="K702" s="1594"/>
      <c r="L702" s="1594"/>
      <c r="M702" s="1594"/>
      <c r="N702" s="1594"/>
      <c r="O702" s="1594"/>
      <c r="P702" s="1594"/>
      <c r="Q702" s="1594"/>
      <c r="R702" s="1594"/>
      <c r="S702" s="1594"/>
      <c r="T702" s="1594"/>
      <c r="U702" s="1594"/>
      <c r="V702" s="1594"/>
      <c r="W702" s="1594"/>
      <c r="X702" s="1594"/>
      <c r="Y702" s="1594"/>
      <c r="Z702" s="1594"/>
    </row>
    <row r="703" ht="12.75" customHeight="1">
      <c r="A703" s="1594"/>
      <c r="B703" s="1594"/>
      <c r="C703" s="1594"/>
      <c r="D703" s="1594"/>
      <c r="E703" s="1594"/>
      <c r="F703" s="1594"/>
      <c r="G703" s="1594"/>
      <c r="H703" s="1594"/>
      <c r="I703" s="1594"/>
      <c r="J703" s="1594"/>
      <c r="K703" s="1594"/>
      <c r="L703" s="1594"/>
      <c r="M703" s="1594"/>
      <c r="N703" s="1594"/>
      <c r="O703" s="1594"/>
      <c r="P703" s="1594"/>
      <c r="Q703" s="1594"/>
      <c r="R703" s="1594"/>
      <c r="S703" s="1594"/>
      <c r="T703" s="1594"/>
      <c r="U703" s="1594"/>
      <c r="V703" s="1594"/>
      <c r="W703" s="1594"/>
      <c r="X703" s="1594"/>
      <c r="Y703" s="1594"/>
      <c r="Z703" s="1594"/>
    </row>
    <row r="704" ht="12.75" customHeight="1">
      <c r="A704" s="1594"/>
      <c r="B704" s="1594"/>
      <c r="C704" s="1594"/>
      <c r="D704" s="1594"/>
      <c r="E704" s="1594"/>
      <c r="F704" s="1594"/>
      <c r="G704" s="1594"/>
      <c r="H704" s="1594"/>
      <c r="I704" s="1594"/>
      <c r="J704" s="1594"/>
      <c r="K704" s="1594"/>
      <c r="L704" s="1594"/>
      <c r="M704" s="1594"/>
      <c r="N704" s="1594"/>
      <c r="O704" s="1594"/>
      <c r="P704" s="1594"/>
      <c r="Q704" s="1594"/>
      <c r="R704" s="1594"/>
      <c r="S704" s="1594"/>
      <c r="T704" s="1594"/>
      <c r="U704" s="1594"/>
      <c r="V704" s="1594"/>
      <c r="W704" s="1594"/>
      <c r="X704" s="1594"/>
      <c r="Y704" s="1594"/>
      <c r="Z704" s="1594"/>
    </row>
    <row r="705" ht="12.75" customHeight="1">
      <c r="A705" s="1594"/>
      <c r="B705" s="1594"/>
      <c r="C705" s="1594"/>
      <c r="D705" s="1594"/>
      <c r="E705" s="1594"/>
      <c r="F705" s="1594"/>
      <c r="G705" s="1594"/>
      <c r="H705" s="1594"/>
      <c r="I705" s="1594"/>
      <c r="J705" s="1594"/>
      <c r="K705" s="1594"/>
      <c r="L705" s="1594"/>
      <c r="M705" s="1594"/>
      <c r="N705" s="1594"/>
      <c r="O705" s="1594"/>
      <c r="P705" s="1594"/>
      <c r="Q705" s="1594"/>
      <c r="R705" s="1594"/>
      <c r="S705" s="1594"/>
      <c r="T705" s="1594"/>
      <c r="U705" s="1594"/>
      <c r="V705" s="1594"/>
      <c r="W705" s="1594"/>
      <c r="X705" s="1594"/>
      <c r="Y705" s="1594"/>
      <c r="Z705" s="1594"/>
    </row>
    <row r="706" ht="12.75" customHeight="1">
      <c r="A706" s="1594"/>
      <c r="B706" s="1594"/>
      <c r="C706" s="1594"/>
      <c r="D706" s="1594"/>
      <c r="E706" s="1594"/>
      <c r="F706" s="1594"/>
      <c r="G706" s="1594"/>
      <c r="H706" s="1594"/>
      <c r="I706" s="1594"/>
      <c r="J706" s="1594"/>
      <c r="K706" s="1594"/>
      <c r="L706" s="1594"/>
      <c r="M706" s="1594"/>
      <c r="N706" s="1594"/>
      <c r="O706" s="1594"/>
      <c r="P706" s="1594"/>
      <c r="Q706" s="1594"/>
      <c r="R706" s="1594"/>
      <c r="S706" s="1594"/>
      <c r="T706" s="1594"/>
      <c r="U706" s="1594"/>
      <c r="V706" s="1594"/>
      <c r="W706" s="1594"/>
      <c r="X706" s="1594"/>
      <c r="Y706" s="1594"/>
      <c r="Z706" s="1594"/>
    </row>
    <row r="707" ht="12.75" customHeight="1">
      <c r="A707" s="1594"/>
      <c r="B707" s="1594"/>
      <c r="C707" s="1594"/>
      <c r="D707" s="1594"/>
      <c r="E707" s="1594"/>
      <c r="F707" s="1594"/>
      <c r="G707" s="1594"/>
      <c r="H707" s="1594"/>
      <c r="I707" s="1594"/>
      <c r="J707" s="1594"/>
      <c r="K707" s="1594"/>
      <c r="L707" s="1594"/>
      <c r="M707" s="1594"/>
      <c r="N707" s="1594"/>
      <c r="O707" s="1594"/>
      <c r="P707" s="1594"/>
      <c r="Q707" s="1594"/>
      <c r="R707" s="1594"/>
      <c r="S707" s="1594"/>
      <c r="T707" s="1594"/>
      <c r="U707" s="1594"/>
      <c r="V707" s="1594"/>
      <c r="W707" s="1594"/>
      <c r="X707" s="1594"/>
      <c r="Y707" s="1594"/>
      <c r="Z707" s="1594"/>
    </row>
    <row r="708" ht="12.75" customHeight="1">
      <c r="A708" s="1594"/>
      <c r="B708" s="1594"/>
      <c r="C708" s="1594"/>
      <c r="D708" s="1594"/>
      <c r="E708" s="1594"/>
      <c r="F708" s="1594"/>
      <c r="G708" s="1594"/>
      <c r="H708" s="1594"/>
      <c r="I708" s="1594"/>
      <c r="J708" s="1594"/>
      <c r="K708" s="1594"/>
      <c r="L708" s="1594"/>
      <c r="M708" s="1594"/>
      <c r="N708" s="1594"/>
      <c r="O708" s="1594"/>
      <c r="P708" s="1594"/>
      <c r="Q708" s="1594"/>
      <c r="R708" s="1594"/>
      <c r="S708" s="1594"/>
      <c r="T708" s="1594"/>
      <c r="U708" s="1594"/>
      <c r="V708" s="1594"/>
      <c r="W708" s="1594"/>
      <c r="X708" s="1594"/>
      <c r="Y708" s="1594"/>
      <c r="Z708" s="1594"/>
    </row>
    <row r="709" ht="12.75" customHeight="1">
      <c r="A709" s="1594"/>
      <c r="B709" s="1594"/>
      <c r="C709" s="1594"/>
      <c r="D709" s="1594"/>
      <c r="E709" s="1594"/>
      <c r="F709" s="1594"/>
      <c r="G709" s="1594"/>
      <c r="H709" s="1594"/>
      <c r="I709" s="1594"/>
      <c r="J709" s="1594"/>
      <c r="K709" s="1594"/>
      <c r="L709" s="1594"/>
      <c r="M709" s="1594"/>
      <c r="N709" s="1594"/>
      <c r="O709" s="1594"/>
      <c r="P709" s="1594"/>
      <c r="Q709" s="1594"/>
      <c r="R709" s="1594"/>
      <c r="S709" s="1594"/>
      <c r="T709" s="1594"/>
      <c r="U709" s="1594"/>
      <c r="V709" s="1594"/>
      <c r="W709" s="1594"/>
      <c r="X709" s="1594"/>
      <c r="Y709" s="1594"/>
      <c r="Z709" s="1594"/>
    </row>
    <row r="710" ht="12.75" customHeight="1">
      <c r="A710" s="1594"/>
      <c r="B710" s="1594"/>
      <c r="C710" s="1594"/>
      <c r="D710" s="1594"/>
      <c r="E710" s="1594"/>
      <c r="F710" s="1594"/>
      <c r="G710" s="1594"/>
      <c r="H710" s="1594"/>
      <c r="I710" s="1594"/>
      <c r="J710" s="1594"/>
      <c r="K710" s="1594"/>
      <c r="L710" s="1594"/>
      <c r="M710" s="1594"/>
      <c r="N710" s="1594"/>
      <c r="O710" s="1594"/>
      <c r="P710" s="1594"/>
      <c r="Q710" s="1594"/>
      <c r="R710" s="1594"/>
      <c r="S710" s="1594"/>
      <c r="T710" s="1594"/>
      <c r="U710" s="1594"/>
      <c r="V710" s="1594"/>
      <c r="W710" s="1594"/>
      <c r="X710" s="1594"/>
      <c r="Y710" s="1594"/>
      <c r="Z710" s="1594"/>
    </row>
    <row r="711" ht="12.75" customHeight="1">
      <c r="A711" s="1594"/>
      <c r="B711" s="1594"/>
      <c r="C711" s="1594"/>
      <c r="D711" s="1594"/>
      <c r="E711" s="1594"/>
      <c r="F711" s="1594"/>
      <c r="G711" s="1594"/>
      <c r="H711" s="1594"/>
      <c r="I711" s="1594"/>
      <c r="J711" s="1594"/>
      <c r="K711" s="1594"/>
      <c r="L711" s="1594"/>
      <c r="M711" s="1594"/>
      <c r="N711" s="1594"/>
      <c r="O711" s="1594"/>
      <c r="P711" s="1594"/>
      <c r="Q711" s="1594"/>
      <c r="R711" s="1594"/>
      <c r="S711" s="1594"/>
      <c r="T711" s="1594"/>
      <c r="U711" s="1594"/>
      <c r="V711" s="1594"/>
      <c r="W711" s="1594"/>
      <c r="X711" s="1594"/>
      <c r="Y711" s="1594"/>
      <c r="Z711" s="1594"/>
    </row>
    <row r="712" ht="12.75" customHeight="1">
      <c r="A712" s="1594"/>
      <c r="B712" s="1594"/>
      <c r="C712" s="1594"/>
      <c r="D712" s="1594"/>
      <c r="E712" s="1594"/>
      <c r="F712" s="1594"/>
      <c r="G712" s="1594"/>
      <c r="H712" s="1594"/>
      <c r="I712" s="1594"/>
      <c r="J712" s="1594"/>
      <c r="K712" s="1594"/>
      <c r="L712" s="1594"/>
      <c r="M712" s="1594"/>
      <c r="N712" s="1594"/>
      <c r="O712" s="1594"/>
      <c r="P712" s="1594"/>
      <c r="Q712" s="1594"/>
      <c r="R712" s="1594"/>
      <c r="S712" s="1594"/>
      <c r="T712" s="1594"/>
      <c r="U712" s="1594"/>
      <c r="V712" s="1594"/>
      <c r="W712" s="1594"/>
      <c r="X712" s="1594"/>
      <c r="Y712" s="1594"/>
      <c r="Z712" s="1594"/>
    </row>
    <row r="713" ht="12.75" customHeight="1">
      <c r="A713" s="1594"/>
      <c r="B713" s="1594"/>
      <c r="C713" s="1594"/>
      <c r="D713" s="1594"/>
      <c r="E713" s="1594"/>
      <c r="F713" s="1594"/>
      <c r="G713" s="1594"/>
      <c r="H713" s="1594"/>
      <c r="I713" s="1594"/>
      <c r="J713" s="1594"/>
      <c r="K713" s="1594"/>
      <c r="L713" s="1594"/>
      <c r="M713" s="1594"/>
      <c r="N713" s="1594"/>
      <c r="O713" s="1594"/>
      <c r="P713" s="1594"/>
      <c r="Q713" s="1594"/>
      <c r="R713" s="1594"/>
      <c r="S713" s="1594"/>
      <c r="T713" s="1594"/>
      <c r="U713" s="1594"/>
      <c r="V713" s="1594"/>
      <c r="W713" s="1594"/>
      <c r="X713" s="1594"/>
      <c r="Y713" s="1594"/>
      <c r="Z713" s="1594"/>
    </row>
    <row r="714" ht="12.75" customHeight="1">
      <c r="A714" s="1594"/>
      <c r="B714" s="1594"/>
      <c r="C714" s="1594"/>
      <c r="D714" s="1594"/>
      <c r="E714" s="1594"/>
      <c r="F714" s="1594"/>
      <c r="G714" s="1594"/>
      <c r="H714" s="1594"/>
      <c r="I714" s="1594"/>
      <c r="J714" s="1594"/>
      <c r="K714" s="1594"/>
      <c r="L714" s="1594"/>
      <c r="M714" s="1594"/>
      <c r="N714" s="1594"/>
      <c r="O714" s="1594"/>
      <c r="P714" s="1594"/>
      <c r="Q714" s="1594"/>
      <c r="R714" s="1594"/>
      <c r="S714" s="1594"/>
      <c r="T714" s="1594"/>
      <c r="U714" s="1594"/>
      <c r="V714" s="1594"/>
      <c r="W714" s="1594"/>
      <c r="X714" s="1594"/>
      <c r="Y714" s="1594"/>
      <c r="Z714" s="1594"/>
    </row>
    <row r="715" ht="12.75" customHeight="1">
      <c r="A715" s="1594"/>
      <c r="B715" s="1594"/>
      <c r="C715" s="1594"/>
      <c r="D715" s="1594"/>
      <c r="E715" s="1594"/>
      <c r="F715" s="1594"/>
      <c r="G715" s="1594"/>
      <c r="H715" s="1594"/>
      <c r="I715" s="1594"/>
      <c r="J715" s="1594"/>
      <c r="K715" s="1594"/>
      <c r="L715" s="1594"/>
      <c r="M715" s="1594"/>
      <c r="N715" s="1594"/>
      <c r="O715" s="1594"/>
      <c r="P715" s="1594"/>
      <c r="Q715" s="1594"/>
      <c r="R715" s="1594"/>
      <c r="S715" s="1594"/>
      <c r="T715" s="1594"/>
      <c r="U715" s="1594"/>
      <c r="V715" s="1594"/>
      <c r="W715" s="1594"/>
      <c r="X715" s="1594"/>
      <c r="Y715" s="1594"/>
      <c r="Z715" s="1594"/>
    </row>
    <row r="716" ht="12.75" customHeight="1">
      <c r="A716" s="1594"/>
      <c r="B716" s="1594"/>
      <c r="C716" s="1594"/>
      <c r="D716" s="1594"/>
      <c r="E716" s="1594"/>
      <c r="F716" s="1594"/>
      <c r="G716" s="1594"/>
      <c r="H716" s="1594"/>
      <c r="I716" s="1594"/>
      <c r="J716" s="1594"/>
      <c r="K716" s="1594"/>
      <c r="L716" s="1594"/>
      <c r="M716" s="1594"/>
      <c r="N716" s="1594"/>
      <c r="O716" s="1594"/>
      <c r="P716" s="1594"/>
      <c r="Q716" s="1594"/>
      <c r="R716" s="1594"/>
      <c r="S716" s="1594"/>
      <c r="T716" s="1594"/>
      <c r="U716" s="1594"/>
      <c r="V716" s="1594"/>
      <c r="W716" s="1594"/>
      <c r="X716" s="1594"/>
      <c r="Y716" s="1594"/>
      <c r="Z716" s="1594"/>
    </row>
    <row r="717" ht="12.75" customHeight="1">
      <c r="A717" s="1594"/>
      <c r="B717" s="1594"/>
      <c r="C717" s="1594"/>
      <c r="D717" s="1594"/>
      <c r="E717" s="1594"/>
      <c r="F717" s="1594"/>
      <c r="G717" s="1594"/>
      <c r="H717" s="1594"/>
      <c r="I717" s="1594"/>
      <c r="J717" s="1594"/>
      <c r="K717" s="1594"/>
      <c r="L717" s="1594"/>
      <c r="M717" s="1594"/>
      <c r="N717" s="1594"/>
      <c r="O717" s="1594"/>
      <c r="P717" s="1594"/>
      <c r="Q717" s="1594"/>
      <c r="R717" s="1594"/>
      <c r="S717" s="1594"/>
      <c r="T717" s="1594"/>
      <c r="U717" s="1594"/>
      <c r="V717" s="1594"/>
      <c r="W717" s="1594"/>
      <c r="X717" s="1594"/>
      <c r="Y717" s="1594"/>
      <c r="Z717" s="1594"/>
    </row>
    <row r="718" ht="12.75" customHeight="1">
      <c r="A718" s="1594"/>
      <c r="B718" s="1594"/>
      <c r="C718" s="1594"/>
      <c r="D718" s="1594"/>
      <c r="E718" s="1594"/>
      <c r="F718" s="1594"/>
      <c r="G718" s="1594"/>
      <c r="H718" s="1594"/>
      <c r="I718" s="1594"/>
      <c r="J718" s="1594"/>
      <c r="K718" s="1594"/>
      <c r="L718" s="1594"/>
      <c r="M718" s="1594"/>
      <c r="N718" s="1594"/>
      <c r="O718" s="1594"/>
      <c r="P718" s="1594"/>
      <c r="Q718" s="1594"/>
      <c r="R718" s="1594"/>
      <c r="S718" s="1594"/>
      <c r="T718" s="1594"/>
      <c r="U718" s="1594"/>
      <c r="V718" s="1594"/>
      <c r="W718" s="1594"/>
      <c r="X718" s="1594"/>
      <c r="Y718" s="1594"/>
      <c r="Z718" s="1594"/>
    </row>
    <row r="719" ht="12.75" customHeight="1">
      <c r="A719" s="1594"/>
      <c r="B719" s="1594"/>
      <c r="C719" s="1594"/>
      <c r="D719" s="1594"/>
      <c r="E719" s="1594"/>
      <c r="F719" s="1594"/>
      <c r="G719" s="1594"/>
      <c r="H719" s="1594"/>
      <c r="I719" s="1594"/>
      <c r="J719" s="1594"/>
      <c r="K719" s="1594"/>
      <c r="L719" s="1594"/>
      <c r="M719" s="1594"/>
      <c r="N719" s="1594"/>
      <c r="O719" s="1594"/>
      <c r="P719" s="1594"/>
      <c r="Q719" s="1594"/>
      <c r="R719" s="1594"/>
      <c r="S719" s="1594"/>
      <c r="T719" s="1594"/>
      <c r="U719" s="1594"/>
      <c r="V719" s="1594"/>
      <c r="W719" s="1594"/>
      <c r="X719" s="1594"/>
      <c r="Y719" s="1594"/>
      <c r="Z719" s="1594"/>
    </row>
    <row r="720" ht="12.75" customHeight="1">
      <c r="A720" s="1594"/>
      <c r="B720" s="1594"/>
      <c r="C720" s="1594"/>
      <c r="D720" s="1594"/>
      <c r="E720" s="1594"/>
      <c r="F720" s="1594"/>
      <c r="G720" s="1594"/>
      <c r="H720" s="1594"/>
      <c r="I720" s="1594"/>
      <c r="J720" s="1594"/>
      <c r="K720" s="1594"/>
      <c r="L720" s="1594"/>
      <c r="M720" s="1594"/>
      <c r="N720" s="1594"/>
      <c r="O720" s="1594"/>
      <c r="P720" s="1594"/>
      <c r="Q720" s="1594"/>
      <c r="R720" s="1594"/>
      <c r="S720" s="1594"/>
      <c r="T720" s="1594"/>
      <c r="U720" s="1594"/>
      <c r="V720" s="1594"/>
      <c r="W720" s="1594"/>
      <c r="X720" s="1594"/>
      <c r="Y720" s="1594"/>
      <c r="Z720" s="1594"/>
    </row>
    <row r="721" ht="12.75" customHeight="1">
      <c r="A721" s="1594"/>
      <c r="B721" s="1594"/>
      <c r="C721" s="1594"/>
      <c r="D721" s="1594"/>
      <c r="E721" s="1594"/>
      <c r="F721" s="1594"/>
      <c r="G721" s="1594"/>
      <c r="H721" s="1594"/>
      <c r="I721" s="1594"/>
      <c r="J721" s="1594"/>
      <c r="K721" s="1594"/>
      <c r="L721" s="1594"/>
      <c r="M721" s="1594"/>
      <c r="N721" s="1594"/>
      <c r="O721" s="1594"/>
      <c r="P721" s="1594"/>
      <c r="Q721" s="1594"/>
      <c r="R721" s="1594"/>
      <c r="S721" s="1594"/>
      <c r="T721" s="1594"/>
      <c r="U721" s="1594"/>
      <c r="V721" s="1594"/>
      <c r="W721" s="1594"/>
      <c r="X721" s="1594"/>
      <c r="Y721" s="1594"/>
      <c r="Z721" s="1594"/>
    </row>
    <row r="722" ht="12.75" customHeight="1">
      <c r="A722" s="1594"/>
      <c r="B722" s="1594"/>
      <c r="C722" s="1594"/>
      <c r="D722" s="1594"/>
      <c r="E722" s="1594"/>
      <c r="F722" s="1594"/>
      <c r="G722" s="1594"/>
      <c r="H722" s="1594"/>
      <c r="I722" s="1594"/>
      <c r="J722" s="1594"/>
      <c r="K722" s="1594"/>
      <c r="L722" s="1594"/>
      <c r="M722" s="1594"/>
      <c r="N722" s="1594"/>
      <c r="O722" s="1594"/>
      <c r="P722" s="1594"/>
      <c r="Q722" s="1594"/>
      <c r="R722" s="1594"/>
      <c r="S722" s="1594"/>
      <c r="T722" s="1594"/>
      <c r="U722" s="1594"/>
      <c r="V722" s="1594"/>
      <c r="W722" s="1594"/>
      <c r="X722" s="1594"/>
      <c r="Y722" s="1594"/>
      <c r="Z722" s="1594"/>
    </row>
    <row r="723" ht="12.75" customHeight="1">
      <c r="A723" s="1594"/>
      <c r="B723" s="1594"/>
      <c r="C723" s="1594"/>
      <c r="D723" s="1594"/>
      <c r="E723" s="1594"/>
      <c r="F723" s="1594"/>
      <c r="G723" s="1594"/>
      <c r="H723" s="1594"/>
      <c r="I723" s="1594"/>
      <c r="J723" s="1594"/>
      <c r="K723" s="1594"/>
      <c r="L723" s="1594"/>
      <c r="M723" s="1594"/>
      <c r="N723" s="1594"/>
      <c r="O723" s="1594"/>
      <c r="P723" s="1594"/>
      <c r="Q723" s="1594"/>
      <c r="R723" s="1594"/>
      <c r="S723" s="1594"/>
      <c r="T723" s="1594"/>
      <c r="U723" s="1594"/>
      <c r="V723" s="1594"/>
      <c r="W723" s="1594"/>
      <c r="X723" s="1594"/>
      <c r="Y723" s="1594"/>
      <c r="Z723" s="1594"/>
    </row>
    <row r="724" ht="12.75" customHeight="1">
      <c r="A724" s="1594"/>
      <c r="B724" s="1594"/>
      <c r="C724" s="1594"/>
      <c r="D724" s="1594"/>
      <c r="E724" s="1594"/>
      <c r="F724" s="1594"/>
      <c r="G724" s="1594"/>
      <c r="H724" s="1594"/>
      <c r="I724" s="1594"/>
      <c r="J724" s="1594"/>
      <c r="K724" s="1594"/>
      <c r="L724" s="1594"/>
      <c r="M724" s="1594"/>
      <c r="N724" s="1594"/>
      <c r="O724" s="1594"/>
      <c r="P724" s="1594"/>
      <c r="Q724" s="1594"/>
      <c r="R724" s="1594"/>
      <c r="S724" s="1594"/>
      <c r="T724" s="1594"/>
      <c r="U724" s="1594"/>
      <c r="V724" s="1594"/>
      <c r="W724" s="1594"/>
      <c r="X724" s="1594"/>
      <c r="Y724" s="1594"/>
      <c r="Z724" s="1594"/>
    </row>
    <row r="725" ht="12.75" customHeight="1">
      <c r="A725" s="1594"/>
      <c r="B725" s="1594"/>
      <c r="C725" s="1594"/>
      <c r="D725" s="1594"/>
      <c r="E725" s="1594"/>
      <c r="F725" s="1594"/>
      <c r="G725" s="1594"/>
      <c r="H725" s="1594"/>
      <c r="I725" s="1594"/>
      <c r="J725" s="1594"/>
      <c r="K725" s="1594"/>
      <c r="L725" s="1594"/>
      <c r="M725" s="1594"/>
      <c r="N725" s="1594"/>
      <c r="O725" s="1594"/>
      <c r="P725" s="1594"/>
      <c r="Q725" s="1594"/>
      <c r="R725" s="1594"/>
      <c r="S725" s="1594"/>
      <c r="T725" s="1594"/>
      <c r="U725" s="1594"/>
      <c r="V725" s="1594"/>
      <c r="W725" s="1594"/>
      <c r="X725" s="1594"/>
      <c r="Y725" s="1594"/>
      <c r="Z725" s="1594"/>
    </row>
    <row r="726" ht="12.75" customHeight="1">
      <c r="A726" s="1594"/>
      <c r="B726" s="1594"/>
      <c r="C726" s="1594"/>
      <c r="D726" s="1594"/>
      <c r="E726" s="1594"/>
      <c r="F726" s="1594"/>
      <c r="G726" s="1594"/>
      <c r="H726" s="1594"/>
      <c r="I726" s="1594"/>
      <c r="J726" s="1594"/>
      <c r="K726" s="1594"/>
      <c r="L726" s="1594"/>
      <c r="M726" s="1594"/>
      <c r="N726" s="1594"/>
      <c r="O726" s="1594"/>
      <c r="P726" s="1594"/>
      <c r="Q726" s="1594"/>
      <c r="R726" s="1594"/>
      <c r="S726" s="1594"/>
      <c r="T726" s="1594"/>
      <c r="U726" s="1594"/>
      <c r="V726" s="1594"/>
      <c r="W726" s="1594"/>
      <c r="X726" s="1594"/>
      <c r="Y726" s="1594"/>
      <c r="Z726" s="1594"/>
    </row>
    <row r="727" ht="12.75" customHeight="1">
      <c r="A727" s="1594"/>
      <c r="B727" s="1594"/>
      <c r="C727" s="1594"/>
      <c r="D727" s="1594"/>
      <c r="E727" s="1594"/>
      <c r="F727" s="1594"/>
      <c r="G727" s="1594"/>
      <c r="H727" s="1594"/>
      <c r="I727" s="1594"/>
      <c r="J727" s="1594"/>
      <c r="K727" s="1594"/>
      <c r="L727" s="1594"/>
      <c r="M727" s="1594"/>
      <c r="N727" s="1594"/>
      <c r="O727" s="1594"/>
      <c r="P727" s="1594"/>
      <c r="Q727" s="1594"/>
      <c r="R727" s="1594"/>
      <c r="S727" s="1594"/>
      <c r="T727" s="1594"/>
      <c r="U727" s="1594"/>
      <c r="V727" s="1594"/>
      <c r="W727" s="1594"/>
      <c r="X727" s="1594"/>
      <c r="Y727" s="1594"/>
      <c r="Z727" s="1594"/>
    </row>
    <row r="728" ht="12.75" customHeight="1">
      <c r="A728" s="1594"/>
      <c r="B728" s="1594"/>
      <c r="C728" s="1594"/>
      <c r="D728" s="1594"/>
      <c r="E728" s="1594"/>
      <c r="F728" s="1594"/>
      <c r="G728" s="1594"/>
      <c r="H728" s="1594"/>
      <c r="I728" s="1594"/>
      <c r="J728" s="1594"/>
      <c r="K728" s="1594"/>
      <c r="L728" s="1594"/>
      <c r="M728" s="1594"/>
      <c r="N728" s="1594"/>
      <c r="O728" s="1594"/>
      <c r="P728" s="1594"/>
      <c r="Q728" s="1594"/>
      <c r="R728" s="1594"/>
      <c r="S728" s="1594"/>
      <c r="T728" s="1594"/>
      <c r="U728" s="1594"/>
      <c r="V728" s="1594"/>
      <c r="W728" s="1594"/>
      <c r="X728" s="1594"/>
      <c r="Y728" s="1594"/>
      <c r="Z728" s="1594"/>
    </row>
    <row r="729" ht="12.75" customHeight="1">
      <c r="A729" s="1594"/>
      <c r="B729" s="1594"/>
      <c r="C729" s="1594"/>
      <c r="D729" s="1594"/>
      <c r="E729" s="1594"/>
      <c r="F729" s="1594"/>
      <c r="G729" s="1594"/>
      <c r="H729" s="1594"/>
      <c r="I729" s="1594"/>
      <c r="J729" s="1594"/>
      <c r="K729" s="1594"/>
      <c r="L729" s="1594"/>
      <c r="M729" s="1594"/>
      <c r="N729" s="1594"/>
      <c r="O729" s="1594"/>
      <c r="P729" s="1594"/>
      <c r="Q729" s="1594"/>
      <c r="R729" s="1594"/>
      <c r="S729" s="1594"/>
      <c r="T729" s="1594"/>
      <c r="U729" s="1594"/>
      <c r="V729" s="1594"/>
      <c r="W729" s="1594"/>
      <c r="X729" s="1594"/>
      <c r="Y729" s="1594"/>
      <c r="Z729" s="1594"/>
    </row>
    <row r="730" ht="12.75" customHeight="1">
      <c r="A730" s="1594"/>
      <c r="B730" s="1594"/>
      <c r="C730" s="1594"/>
      <c r="D730" s="1594"/>
      <c r="E730" s="1594"/>
      <c r="F730" s="1594"/>
      <c r="G730" s="1594"/>
      <c r="H730" s="1594"/>
      <c r="I730" s="1594"/>
      <c r="J730" s="1594"/>
      <c r="K730" s="1594"/>
      <c r="L730" s="1594"/>
      <c r="M730" s="1594"/>
      <c r="N730" s="1594"/>
      <c r="O730" s="1594"/>
      <c r="P730" s="1594"/>
      <c r="Q730" s="1594"/>
      <c r="R730" s="1594"/>
      <c r="S730" s="1594"/>
      <c r="T730" s="1594"/>
      <c r="U730" s="1594"/>
      <c r="V730" s="1594"/>
      <c r="W730" s="1594"/>
      <c r="X730" s="1594"/>
      <c r="Y730" s="1594"/>
      <c r="Z730" s="1594"/>
    </row>
    <row r="731" ht="12.75" customHeight="1">
      <c r="A731" s="1594"/>
      <c r="B731" s="1594"/>
      <c r="C731" s="1594"/>
      <c r="D731" s="1594"/>
      <c r="E731" s="1594"/>
      <c r="F731" s="1594"/>
      <c r="G731" s="1594"/>
      <c r="H731" s="1594"/>
      <c r="I731" s="1594"/>
      <c r="J731" s="1594"/>
      <c r="K731" s="1594"/>
      <c r="L731" s="1594"/>
      <c r="M731" s="1594"/>
      <c r="N731" s="1594"/>
      <c r="O731" s="1594"/>
      <c r="P731" s="1594"/>
      <c r="Q731" s="1594"/>
      <c r="R731" s="1594"/>
      <c r="S731" s="1594"/>
      <c r="T731" s="1594"/>
      <c r="U731" s="1594"/>
      <c r="V731" s="1594"/>
      <c r="W731" s="1594"/>
      <c r="X731" s="1594"/>
      <c r="Y731" s="1594"/>
      <c r="Z731" s="1594"/>
    </row>
    <row r="732" ht="12.75" customHeight="1">
      <c r="A732" s="1594"/>
      <c r="B732" s="1594"/>
      <c r="C732" s="1594"/>
      <c r="D732" s="1594"/>
      <c r="E732" s="1594"/>
      <c r="F732" s="1594"/>
      <c r="G732" s="1594"/>
      <c r="H732" s="1594"/>
      <c r="I732" s="1594"/>
      <c r="J732" s="1594"/>
      <c r="K732" s="1594"/>
      <c r="L732" s="1594"/>
      <c r="M732" s="1594"/>
      <c r="N732" s="1594"/>
      <c r="O732" s="1594"/>
      <c r="P732" s="1594"/>
      <c r="Q732" s="1594"/>
      <c r="R732" s="1594"/>
      <c r="S732" s="1594"/>
      <c r="T732" s="1594"/>
      <c r="U732" s="1594"/>
      <c r="V732" s="1594"/>
      <c r="W732" s="1594"/>
      <c r="X732" s="1594"/>
      <c r="Y732" s="1594"/>
      <c r="Z732" s="1594"/>
    </row>
    <row r="733" ht="12.75" customHeight="1">
      <c r="A733" s="1594"/>
      <c r="B733" s="1594"/>
      <c r="C733" s="1594"/>
      <c r="D733" s="1594"/>
      <c r="E733" s="1594"/>
      <c r="F733" s="1594"/>
      <c r="G733" s="1594"/>
      <c r="H733" s="1594"/>
      <c r="I733" s="1594"/>
      <c r="J733" s="1594"/>
      <c r="K733" s="1594"/>
      <c r="L733" s="1594"/>
      <c r="M733" s="1594"/>
      <c r="N733" s="1594"/>
      <c r="O733" s="1594"/>
      <c r="P733" s="1594"/>
      <c r="Q733" s="1594"/>
      <c r="R733" s="1594"/>
      <c r="S733" s="1594"/>
      <c r="T733" s="1594"/>
      <c r="U733" s="1594"/>
      <c r="V733" s="1594"/>
      <c r="W733" s="1594"/>
      <c r="X733" s="1594"/>
      <c r="Y733" s="1594"/>
      <c r="Z733" s="1594"/>
    </row>
    <row r="734" ht="12.75" customHeight="1">
      <c r="A734" s="1594"/>
      <c r="B734" s="1594"/>
      <c r="C734" s="1594"/>
      <c r="D734" s="1594"/>
      <c r="E734" s="1594"/>
      <c r="F734" s="1594"/>
      <c r="G734" s="1594"/>
      <c r="H734" s="1594"/>
      <c r="I734" s="1594"/>
      <c r="J734" s="1594"/>
      <c r="K734" s="1594"/>
      <c r="L734" s="1594"/>
      <c r="M734" s="1594"/>
      <c r="N734" s="1594"/>
      <c r="O734" s="1594"/>
      <c r="P734" s="1594"/>
      <c r="Q734" s="1594"/>
      <c r="R734" s="1594"/>
      <c r="S734" s="1594"/>
      <c r="T734" s="1594"/>
      <c r="U734" s="1594"/>
      <c r="V734" s="1594"/>
      <c r="W734" s="1594"/>
      <c r="X734" s="1594"/>
      <c r="Y734" s="1594"/>
      <c r="Z734" s="1594"/>
    </row>
    <row r="735" ht="12.75" customHeight="1">
      <c r="A735" s="1594"/>
      <c r="B735" s="1594"/>
      <c r="C735" s="1594"/>
      <c r="D735" s="1594"/>
      <c r="E735" s="1594"/>
      <c r="F735" s="1594"/>
      <c r="G735" s="1594"/>
      <c r="H735" s="1594"/>
      <c r="I735" s="1594"/>
      <c r="J735" s="1594"/>
      <c r="K735" s="1594"/>
      <c r="L735" s="1594"/>
      <c r="M735" s="1594"/>
      <c r="N735" s="1594"/>
      <c r="O735" s="1594"/>
      <c r="P735" s="1594"/>
      <c r="Q735" s="1594"/>
      <c r="R735" s="1594"/>
      <c r="S735" s="1594"/>
      <c r="T735" s="1594"/>
      <c r="U735" s="1594"/>
      <c r="V735" s="1594"/>
      <c r="W735" s="1594"/>
      <c r="X735" s="1594"/>
      <c r="Y735" s="1594"/>
      <c r="Z735" s="1594"/>
    </row>
    <row r="736" ht="12.75" customHeight="1">
      <c r="A736" s="1594"/>
      <c r="B736" s="1594"/>
      <c r="C736" s="1594"/>
      <c r="D736" s="1594"/>
      <c r="E736" s="1594"/>
      <c r="F736" s="1594"/>
      <c r="G736" s="1594"/>
      <c r="H736" s="1594"/>
      <c r="I736" s="1594"/>
      <c r="J736" s="1594"/>
      <c r="K736" s="1594"/>
      <c r="L736" s="1594"/>
      <c r="M736" s="1594"/>
      <c r="N736" s="1594"/>
      <c r="O736" s="1594"/>
      <c r="P736" s="1594"/>
      <c r="Q736" s="1594"/>
      <c r="R736" s="1594"/>
      <c r="S736" s="1594"/>
      <c r="T736" s="1594"/>
      <c r="U736" s="1594"/>
      <c r="V736" s="1594"/>
      <c r="W736" s="1594"/>
      <c r="X736" s="1594"/>
      <c r="Y736" s="1594"/>
      <c r="Z736" s="1594"/>
    </row>
    <row r="737" ht="12.75" customHeight="1">
      <c r="A737" s="1594"/>
      <c r="B737" s="1594"/>
      <c r="C737" s="1594"/>
      <c r="D737" s="1594"/>
      <c r="E737" s="1594"/>
      <c r="F737" s="1594"/>
      <c r="G737" s="1594"/>
      <c r="H737" s="1594"/>
      <c r="I737" s="1594"/>
      <c r="J737" s="1594"/>
      <c r="K737" s="1594"/>
      <c r="L737" s="1594"/>
      <c r="M737" s="1594"/>
      <c r="N737" s="1594"/>
      <c r="O737" s="1594"/>
      <c r="P737" s="1594"/>
      <c r="Q737" s="1594"/>
      <c r="R737" s="1594"/>
      <c r="S737" s="1594"/>
      <c r="T737" s="1594"/>
      <c r="U737" s="1594"/>
      <c r="V737" s="1594"/>
      <c r="W737" s="1594"/>
      <c r="X737" s="1594"/>
      <c r="Y737" s="1594"/>
      <c r="Z737" s="1594"/>
    </row>
    <row r="738" ht="12.75" customHeight="1">
      <c r="A738" s="1594"/>
      <c r="B738" s="1594"/>
      <c r="C738" s="1594"/>
      <c r="D738" s="1594"/>
      <c r="E738" s="1594"/>
      <c r="F738" s="1594"/>
      <c r="G738" s="1594"/>
      <c r="H738" s="1594"/>
      <c r="I738" s="1594"/>
      <c r="J738" s="1594"/>
      <c r="K738" s="1594"/>
      <c r="L738" s="1594"/>
      <c r="M738" s="1594"/>
      <c r="N738" s="1594"/>
      <c r="O738" s="1594"/>
      <c r="P738" s="1594"/>
      <c r="Q738" s="1594"/>
      <c r="R738" s="1594"/>
      <c r="S738" s="1594"/>
      <c r="T738" s="1594"/>
      <c r="U738" s="1594"/>
      <c r="V738" s="1594"/>
      <c r="W738" s="1594"/>
      <c r="X738" s="1594"/>
      <c r="Y738" s="1594"/>
      <c r="Z738" s="1594"/>
    </row>
    <row r="739" ht="12.75" customHeight="1">
      <c r="A739" s="1594"/>
      <c r="B739" s="1594"/>
      <c r="C739" s="1594"/>
      <c r="D739" s="1594"/>
      <c r="E739" s="1594"/>
      <c r="F739" s="1594"/>
      <c r="G739" s="1594"/>
      <c r="H739" s="1594"/>
      <c r="I739" s="1594"/>
      <c r="J739" s="1594"/>
      <c r="K739" s="1594"/>
      <c r="L739" s="1594"/>
      <c r="M739" s="1594"/>
      <c r="N739" s="1594"/>
      <c r="O739" s="1594"/>
      <c r="P739" s="1594"/>
      <c r="Q739" s="1594"/>
      <c r="R739" s="1594"/>
      <c r="S739" s="1594"/>
      <c r="T739" s="1594"/>
      <c r="U739" s="1594"/>
      <c r="V739" s="1594"/>
      <c r="W739" s="1594"/>
      <c r="X739" s="1594"/>
      <c r="Y739" s="1594"/>
      <c r="Z739" s="1594"/>
    </row>
    <row r="740" ht="12.75" customHeight="1">
      <c r="A740" s="1594"/>
      <c r="B740" s="1594"/>
      <c r="C740" s="1594"/>
      <c r="D740" s="1594"/>
      <c r="E740" s="1594"/>
      <c r="F740" s="1594"/>
      <c r="G740" s="1594"/>
      <c r="H740" s="1594"/>
      <c r="I740" s="1594"/>
      <c r="J740" s="1594"/>
      <c r="K740" s="1594"/>
      <c r="L740" s="1594"/>
      <c r="M740" s="1594"/>
      <c r="N740" s="1594"/>
      <c r="O740" s="1594"/>
      <c r="P740" s="1594"/>
      <c r="Q740" s="1594"/>
      <c r="R740" s="1594"/>
      <c r="S740" s="1594"/>
      <c r="T740" s="1594"/>
      <c r="U740" s="1594"/>
      <c r="V740" s="1594"/>
      <c r="W740" s="1594"/>
      <c r="X740" s="1594"/>
      <c r="Y740" s="1594"/>
      <c r="Z740" s="1594"/>
    </row>
    <row r="741" ht="12.75" customHeight="1">
      <c r="A741" s="1594"/>
      <c r="B741" s="1594"/>
      <c r="C741" s="1594"/>
      <c r="D741" s="1594"/>
      <c r="E741" s="1594"/>
      <c r="F741" s="1594"/>
      <c r="G741" s="1594"/>
      <c r="H741" s="1594"/>
      <c r="I741" s="1594"/>
      <c r="J741" s="1594"/>
      <c r="K741" s="1594"/>
      <c r="L741" s="1594"/>
      <c r="M741" s="1594"/>
      <c r="N741" s="1594"/>
      <c r="O741" s="1594"/>
      <c r="P741" s="1594"/>
      <c r="Q741" s="1594"/>
      <c r="R741" s="1594"/>
      <c r="S741" s="1594"/>
      <c r="T741" s="1594"/>
      <c r="U741" s="1594"/>
      <c r="V741" s="1594"/>
      <c r="W741" s="1594"/>
      <c r="X741" s="1594"/>
      <c r="Y741" s="1594"/>
      <c r="Z741" s="1594"/>
    </row>
    <row r="742" ht="12.75" customHeight="1">
      <c r="A742" s="1594"/>
      <c r="B742" s="1594"/>
      <c r="C742" s="1594"/>
      <c r="D742" s="1594"/>
      <c r="E742" s="1594"/>
      <c r="F742" s="1594"/>
      <c r="G742" s="1594"/>
      <c r="H742" s="1594"/>
      <c r="I742" s="1594"/>
      <c r="J742" s="1594"/>
      <c r="K742" s="1594"/>
      <c r="L742" s="1594"/>
      <c r="M742" s="1594"/>
      <c r="N742" s="1594"/>
      <c r="O742" s="1594"/>
      <c r="P742" s="1594"/>
      <c r="Q742" s="1594"/>
      <c r="R742" s="1594"/>
      <c r="S742" s="1594"/>
      <c r="T742" s="1594"/>
      <c r="U742" s="1594"/>
      <c r="V742" s="1594"/>
      <c r="W742" s="1594"/>
      <c r="X742" s="1594"/>
      <c r="Y742" s="1594"/>
      <c r="Z742" s="1594"/>
    </row>
    <row r="743" ht="12.75" customHeight="1">
      <c r="A743" s="1594"/>
      <c r="B743" s="1594"/>
      <c r="C743" s="1594"/>
      <c r="D743" s="1594"/>
      <c r="E743" s="1594"/>
      <c r="F743" s="1594"/>
      <c r="G743" s="1594"/>
      <c r="H743" s="1594"/>
      <c r="I743" s="1594"/>
      <c r="J743" s="1594"/>
      <c r="K743" s="1594"/>
      <c r="L743" s="1594"/>
      <c r="M743" s="1594"/>
      <c r="N743" s="1594"/>
      <c r="O743" s="1594"/>
      <c r="P743" s="1594"/>
      <c r="Q743" s="1594"/>
      <c r="R743" s="1594"/>
      <c r="S743" s="1594"/>
      <c r="T743" s="1594"/>
      <c r="U743" s="1594"/>
      <c r="V743" s="1594"/>
      <c r="W743" s="1594"/>
      <c r="X743" s="1594"/>
      <c r="Y743" s="1594"/>
      <c r="Z743" s="1594"/>
    </row>
    <row r="744" ht="12.75" customHeight="1">
      <c r="A744" s="1594"/>
      <c r="B744" s="1594"/>
      <c r="C744" s="1594"/>
      <c r="D744" s="1594"/>
      <c r="E744" s="1594"/>
      <c r="F744" s="1594"/>
      <c r="G744" s="1594"/>
      <c r="H744" s="1594"/>
      <c r="I744" s="1594"/>
      <c r="J744" s="1594"/>
      <c r="K744" s="1594"/>
      <c r="L744" s="1594"/>
      <c r="M744" s="1594"/>
      <c r="N744" s="1594"/>
      <c r="O744" s="1594"/>
      <c r="P744" s="1594"/>
      <c r="Q744" s="1594"/>
      <c r="R744" s="1594"/>
      <c r="S744" s="1594"/>
      <c r="T744" s="1594"/>
      <c r="U744" s="1594"/>
      <c r="V744" s="1594"/>
      <c r="W744" s="1594"/>
      <c r="X744" s="1594"/>
      <c r="Y744" s="1594"/>
      <c r="Z744" s="1594"/>
    </row>
    <row r="745" ht="12.75" customHeight="1">
      <c r="A745" s="1594"/>
      <c r="B745" s="1594"/>
      <c r="C745" s="1594"/>
      <c r="D745" s="1594"/>
      <c r="E745" s="1594"/>
      <c r="F745" s="1594"/>
      <c r="G745" s="1594"/>
      <c r="H745" s="1594"/>
      <c r="I745" s="1594"/>
      <c r="J745" s="1594"/>
      <c r="K745" s="1594"/>
      <c r="L745" s="1594"/>
      <c r="M745" s="1594"/>
      <c r="N745" s="1594"/>
      <c r="O745" s="1594"/>
      <c r="P745" s="1594"/>
      <c r="Q745" s="1594"/>
      <c r="R745" s="1594"/>
      <c r="S745" s="1594"/>
      <c r="T745" s="1594"/>
      <c r="U745" s="1594"/>
      <c r="V745" s="1594"/>
      <c r="W745" s="1594"/>
      <c r="X745" s="1594"/>
      <c r="Y745" s="1594"/>
      <c r="Z745" s="1594"/>
    </row>
    <row r="746" ht="12.75" customHeight="1">
      <c r="A746" s="1594"/>
      <c r="B746" s="1594"/>
      <c r="C746" s="1594"/>
      <c r="D746" s="1594"/>
      <c r="E746" s="1594"/>
      <c r="F746" s="1594"/>
      <c r="G746" s="1594"/>
      <c r="H746" s="1594"/>
      <c r="I746" s="1594"/>
      <c r="J746" s="1594"/>
      <c r="K746" s="1594"/>
      <c r="L746" s="1594"/>
      <c r="M746" s="1594"/>
      <c r="N746" s="1594"/>
      <c r="O746" s="1594"/>
      <c r="P746" s="1594"/>
      <c r="Q746" s="1594"/>
      <c r="R746" s="1594"/>
      <c r="S746" s="1594"/>
      <c r="T746" s="1594"/>
      <c r="U746" s="1594"/>
      <c r="V746" s="1594"/>
      <c r="W746" s="1594"/>
      <c r="X746" s="1594"/>
      <c r="Y746" s="1594"/>
      <c r="Z746" s="1594"/>
    </row>
    <row r="747" ht="12.75" customHeight="1">
      <c r="A747" s="1594"/>
      <c r="B747" s="1594"/>
      <c r="C747" s="1594"/>
      <c r="D747" s="1594"/>
      <c r="E747" s="1594"/>
      <c r="F747" s="1594"/>
      <c r="G747" s="1594"/>
      <c r="H747" s="1594"/>
      <c r="I747" s="1594"/>
      <c r="J747" s="1594"/>
      <c r="K747" s="1594"/>
      <c r="L747" s="1594"/>
      <c r="M747" s="1594"/>
      <c r="N747" s="1594"/>
      <c r="O747" s="1594"/>
      <c r="P747" s="1594"/>
      <c r="Q747" s="1594"/>
      <c r="R747" s="1594"/>
      <c r="S747" s="1594"/>
      <c r="T747" s="1594"/>
      <c r="U747" s="1594"/>
      <c r="V747" s="1594"/>
      <c r="W747" s="1594"/>
      <c r="X747" s="1594"/>
      <c r="Y747" s="1594"/>
      <c r="Z747" s="1594"/>
    </row>
    <row r="748" ht="12.75" customHeight="1">
      <c r="A748" s="1594"/>
      <c r="B748" s="1594"/>
      <c r="C748" s="1594"/>
      <c r="D748" s="1594"/>
      <c r="E748" s="1594"/>
      <c r="F748" s="1594"/>
      <c r="G748" s="1594"/>
      <c r="H748" s="1594"/>
      <c r="I748" s="1594"/>
      <c r="J748" s="1594"/>
      <c r="K748" s="1594"/>
      <c r="L748" s="1594"/>
      <c r="M748" s="1594"/>
      <c r="N748" s="1594"/>
      <c r="O748" s="1594"/>
      <c r="P748" s="1594"/>
      <c r="Q748" s="1594"/>
      <c r="R748" s="1594"/>
      <c r="S748" s="1594"/>
      <c r="T748" s="1594"/>
      <c r="U748" s="1594"/>
      <c r="V748" s="1594"/>
      <c r="W748" s="1594"/>
      <c r="X748" s="1594"/>
      <c r="Y748" s="1594"/>
      <c r="Z748" s="1594"/>
    </row>
    <row r="749" ht="12.75" customHeight="1">
      <c r="A749" s="1594"/>
      <c r="B749" s="1594"/>
      <c r="C749" s="1594"/>
      <c r="D749" s="1594"/>
      <c r="E749" s="1594"/>
      <c r="F749" s="1594"/>
      <c r="G749" s="1594"/>
      <c r="H749" s="1594"/>
      <c r="I749" s="1594"/>
      <c r="J749" s="1594"/>
      <c r="K749" s="1594"/>
      <c r="L749" s="1594"/>
      <c r="M749" s="1594"/>
      <c r="N749" s="1594"/>
      <c r="O749" s="1594"/>
      <c r="P749" s="1594"/>
      <c r="Q749" s="1594"/>
      <c r="R749" s="1594"/>
      <c r="S749" s="1594"/>
      <c r="T749" s="1594"/>
      <c r="U749" s="1594"/>
      <c r="V749" s="1594"/>
      <c r="W749" s="1594"/>
      <c r="X749" s="1594"/>
      <c r="Y749" s="1594"/>
      <c r="Z749" s="1594"/>
    </row>
    <row r="750" ht="12.75" customHeight="1">
      <c r="A750" s="1594"/>
      <c r="B750" s="1594"/>
      <c r="C750" s="1594"/>
      <c r="D750" s="1594"/>
      <c r="E750" s="1594"/>
      <c r="F750" s="1594"/>
      <c r="G750" s="1594"/>
      <c r="H750" s="1594"/>
      <c r="I750" s="1594"/>
      <c r="J750" s="1594"/>
      <c r="K750" s="1594"/>
      <c r="L750" s="1594"/>
      <c r="M750" s="1594"/>
      <c r="N750" s="1594"/>
      <c r="O750" s="1594"/>
      <c r="P750" s="1594"/>
      <c r="Q750" s="1594"/>
      <c r="R750" s="1594"/>
      <c r="S750" s="1594"/>
      <c r="T750" s="1594"/>
      <c r="U750" s="1594"/>
      <c r="V750" s="1594"/>
      <c r="W750" s="1594"/>
      <c r="X750" s="1594"/>
      <c r="Y750" s="1594"/>
      <c r="Z750" s="1594"/>
    </row>
    <row r="751" ht="12.75" customHeight="1">
      <c r="A751" s="1594"/>
      <c r="B751" s="1594"/>
      <c r="C751" s="1594"/>
      <c r="D751" s="1594"/>
      <c r="E751" s="1594"/>
      <c r="F751" s="1594"/>
      <c r="G751" s="1594"/>
      <c r="H751" s="1594"/>
      <c r="I751" s="1594"/>
      <c r="J751" s="1594"/>
      <c r="K751" s="1594"/>
      <c r="L751" s="1594"/>
      <c r="M751" s="1594"/>
      <c r="N751" s="1594"/>
      <c r="O751" s="1594"/>
      <c r="P751" s="1594"/>
      <c r="Q751" s="1594"/>
      <c r="R751" s="1594"/>
      <c r="S751" s="1594"/>
      <c r="T751" s="1594"/>
      <c r="U751" s="1594"/>
      <c r="V751" s="1594"/>
      <c r="W751" s="1594"/>
      <c r="X751" s="1594"/>
      <c r="Y751" s="1594"/>
      <c r="Z751" s="1594"/>
    </row>
    <row r="752" ht="12.75" customHeight="1">
      <c r="A752" s="1594"/>
      <c r="B752" s="1594"/>
      <c r="C752" s="1594"/>
      <c r="D752" s="1594"/>
      <c r="E752" s="1594"/>
      <c r="F752" s="1594"/>
      <c r="G752" s="1594"/>
      <c r="H752" s="1594"/>
      <c r="I752" s="1594"/>
      <c r="J752" s="1594"/>
      <c r="K752" s="1594"/>
      <c r="L752" s="1594"/>
      <c r="M752" s="1594"/>
      <c r="N752" s="1594"/>
      <c r="O752" s="1594"/>
      <c r="P752" s="1594"/>
      <c r="Q752" s="1594"/>
      <c r="R752" s="1594"/>
      <c r="S752" s="1594"/>
      <c r="T752" s="1594"/>
      <c r="U752" s="1594"/>
      <c r="V752" s="1594"/>
      <c r="W752" s="1594"/>
      <c r="X752" s="1594"/>
      <c r="Y752" s="1594"/>
      <c r="Z752" s="1594"/>
    </row>
    <row r="753" ht="12.75" customHeight="1">
      <c r="A753" s="1594"/>
      <c r="B753" s="1594"/>
      <c r="C753" s="1594"/>
      <c r="D753" s="1594"/>
      <c r="E753" s="1594"/>
      <c r="F753" s="1594"/>
      <c r="G753" s="1594"/>
      <c r="H753" s="1594"/>
      <c r="I753" s="1594"/>
      <c r="J753" s="1594"/>
      <c r="K753" s="1594"/>
      <c r="L753" s="1594"/>
      <c r="M753" s="1594"/>
      <c r="N753" s="1594"/>
      <c r="O753" s="1594"/>
      <c r="P753" s="1594"/>
      <c r="Q753" s="1594"/>
      <c r="R753" s="1594"/>
      <c r="S753" s="1594"/>
      <c r="T753" s="1594"/>
      <c r="U753" s="1594"/>
      <c r="V753" s="1594"/>
      <c r="W753" s="1594"/>
      <c r="X753" s="1594"/>
      <c r="Y753" s="1594"/>
      <c r="Z753" s="1594"/>
    </row>
    <row r="754" ht="12.75" customHeight="1">
      <c r="A754" s="1594"/>
      <c r="B754" s="1594"/>
      <c r="C754" s="1594"/>
      <c r="D754" s="1594"/>
      <c r="E754" s="1594"/>
      <c r="F754" s="1594"/>
      <c r="G754" s="1594"/>
      <c r="H754" s="1594"/>
      <c r="I754" s="1594"/>
      <c r="J754" s="1594"/>
      <c r="K754" s="1594"/>
      <c r="L754" s="1594"/>
      <c r="M754" s="1594"/>
      <c r="N754" s="1594"/>
      <c r="O754" s="1594"/>
      <c r="P754" s="1594"/>
      <c r="Q754" s="1594"/>
      <c r="R754" s="1594"/>
      <c r="S754" s="1594"/>
      <c r="T754" s="1594"/>
      <c r="U754" s="1594"/>
      <c r="V754" s="1594"/>
      <c r="W754" s="1594"/>
      <c r="X754" s="1594"/>
      <c r="Y754" s="1594"/>
      <c r="Z754" s="1594"/>
    </row>
    <row r="755" ht="12.75" customHeight="1">
      <c r="A755" s="1594"/>
      <c r="B755" s="1594"/>
      <c r="C755" s="1594"/>
      <c r="D755" s="1594"/>
      <c r="E755" s="1594"/>
      <c r="F755" s="1594"/>
      <c r="G755" s="1594"/>
      <c r="H755" s="1594"/>
      <c r="I755" s="1594"/>
      <c r="J755" s="1594"/>
      <c r="K755" s="1594"/>
      <c r="L755" s="1594"/>
      <c r="M755" s="1594"/>
      <c r="N755" s="1594"/>
      <c r="O755" s="1594"/>
      <c r="P755" s="1594"/>
      <c r="Q755" s="1594"/>
      <c r="R755" s="1594"/>
      <c r="S755" s="1594"/>
      <c r="T755" s="1594"/>
      <c r="U755" s="1594"/>
      <c r="V755" s="1594"/>
      <c r="W755" s="1594"/>
      <c r="X755" s="1594"/>
      <c r="Y755" s="1594"/>
      <c r="Z755" s="1594"/>
    </row>
    <row r="756" ht="12.75" customHeight="1">
      <c r="A756" s="1594"/>
      <c r="B756" s="1594"/>
      <c r="C756" s="1594"/>
      <c r="D756" s="1594"/>
      <c r="E756" s="1594"/>
      <c r="F756" s="1594"/>
      <c r="G756" s="1594"/>
      <c r="H756" s="1594"/>
      <c r="I756" s="1594"/>
      <c r="J756" s="1594"/>
      <c r="K756" s="1594"/>
      <c r="L756" s="1594"/>
      <c r="M756" s="1594"/>
      <c r="N756" s="1594"/>
      <c r="O756" s="1594"/>
      <c r="P756" s="1594"/>
      <c r="Q756" s="1594"/>
      <c r="R756" s="1594"/>
      <c r="S756" s="1594"/>
      <c r="T756" s="1594"/>
      <c r="U756" s="1594"/>
      <c r="V756" s="1594"/>
      <c r="W756" s="1594"/>
      <c r="X756" s="1594"/>
      <c r="Y756" s="1594"/>
      <c r="Z756" s="1594"/>
    </row>
    <row r="757" ht="12.75" customHeight="1">
      <c r="A757" s="1594"/>
      <c r="B757" s="1594"/>
      <c r="C757" s="1594"/>
      <c r="D757" s="1594"/>
      <c r="E757" s="1594"/>
      <c r="F757" s="1594"/>
      <c r="G757" s="1594"/>
      <c r="H757" s="1594"/>
      <c r="I757" s="1594"/>
      <c r="J757" s="1594"/>
      <c r="K757" s="1594"/>
      <c r="L757" s="1594"/>
      <c r="M757" s="1594"/>
      <c r="N757" s="1594"/>
      <c r="O757" s="1594"/>
      <c r="P757" s="1594"/>
      <c r="Q757" s="1594"/>
      <c r="R757" s="1594"/>
      <c r="S757" s="1594"/>
      <c r="T757" s="1594"/>
      <c r="U757" s="1594"/>
      <c r="V757" s="1594"/>
      <c r="W757" s="1594"/>
      <c r="X757" s="1594"/>
      <c r="Y757" s="1594"/>
      <c r="Z757" s="1594"/>
    </row>
    <row r="758" ht="12.75" customHeight="1">
      <c r="A758" s="1594"/>
      <c r="B758" s="1594"/>
      <c r="C758" s="1594"/>
      <c r="D758" s="1594"/>
      <c r="E758" s="1594"/>
      <c r="F758" s="1594"/>
      <c r="G758" s="1594"/>
      <c r="H758" s="1594"/>
      <c r="I758" s="1594"/>
      <c r="J758" s="1594"/>
      <c r="K758" s="1594"/>
      <c r="L758" s="1594"/>
      <c r="M758" s="1594"/>
      <c r="N758" s="1594"/>
      <c r="O758" s="1594"/>
      <c r="P758" s="1594"/>
      <c r="Q758" s="1594"/>
      <c r="R758" s="1594"/>
      <c r="S758" s="1594"/>
      <c r="T758" s="1594"/>
      <c r="U758" s="1594"/>
      <c r="V758" s="1594"/>
      <c r="W758" s="1594"/>
      <c r="X758" s="1594"/>
      <c r="Y758" s="1594"/>
      <c r="Z758" s="1594"/>
    </row>
    <row r="759" ht="12.75" customHeight="1">
      <c r="A759" s="1594"/>
      <c r="B759" s="1594"/>
      <c r="C759" s="1594"/>
      <c r="D759" s="1594"/>
      <c r="E759" s="1594"/>
      <c r="F759" s="1594"/>
      <c r="G759" s="1594"/>
      <c r="H759" s="1594"/>
      <c r="I759" s="1594"/>
      <c r="J759" s="1594"/>
      <c r="K759" s="1594"/>
      <c r="L759" s="1594"/>
      <c r="M759" s="1594"/>
      <c r="N759" s="1594"/>
      <c r="O759" s="1594"/>
      <c r="P759" s="1594"/>
      <c r="Q759" s="1594"/>
      <c r="R759" s="1594"/>
      <c r="S759" s="1594"/>
      <c r="T759" s="1594"/>
      <c r="U759" s="1594"/>
      <c r="V759" s="1594"/>
      <c r="W759" s="1594"/>
      <c r="X759" s="1594"/>
      <c r="Y759" s="1594"/>
      <c r="Z759" s="1594"/>
    </row>
    <row r="760" ht="12.75" customHeight="1">
      <c r="A760" s="1594"/>
      <c r="B760" s="1594"/>
      <c r="C760" s="1594"/>
      <c r="D760" s="1594"/>
      <c r="E760" s="1594"/>
      <c r="F760" s="1594"/>
      <c r="G760" s="1594"/>
      <c r="H760" s="1594"/>
      <c r="I760" s="1594"/>
      <c r="J760" s="1594"/>
      <c r="K760" s="1594"/>
      <c r="L760" s="1594"/>
      <c r="M760" s="1594"/>
      <c r="N760" s="1594"/>
      <c r="O760" s="1594"/>
      <c r="P760" s="1594"/>
      <c r="Q760" s="1594"/>
      <c r="R760" s="1594"/>
      <c r="S760" s="1594"/>
      <c r="T760" s="1594"/>
      <c r="U760" s="1594"/>
      <c r="V760" s="1594"/>
      <c r="W760" s="1594"/>
      <c r="X760" s="1594"/>
      <c r="Y760" s="1594"/>
      <c r="Z760" s="1594"/>
    </row>
    <row r="761" ht="12.75" customHeight="1">
      <c r="A761" s="1594"/>
      <c r="B761" s="1594"/>
      <c r="C761" s="1594"/>
      <c r="D761" s="1594"/>
      <c r="E761" s="1594"/>
      <c r="F761" s="1594"/>
      <c r="G761" s="1594"/>
      <c r="H761" s="1594"/>
      <c r="I761" s="1594"/>
      <c r="J761" s="1594"/>
      <c r="K761" s="1594"/>
      <c r="L761" s="1594"/>
      <c r="M761" s="1594"/>
      <c r="N761" s="1594"/>
      <c r="O761" s="1594"/>
      <c r="P761" s="1594"/>
      <c r="Q761" s="1594"/>
      <c r="R761" s="1594"/>
      <c r="S761" s="1594"/>
      <c r="T761" s="1594"/>
      <c r="U761" s="1594"/>
      <c r="V761" s="1594"/>
      <c r="W761" s="1594"/>
      <c r="X761" s="1594"/>
      <c r="Y761" s="1594"/>
      <c r="Z761" s="1594"/>
    </row>
    <row r="762" ht="12.75" customHeight="1">
      <c r="A762" s="1594"/>
      <c r="B762" s="1594"/>
      <c r="C762" s="1594"/>
      <c r="D762" s="1594"/>
      <c r="E762" s="1594"/>
      <c r="F762" s="1594"/>
      <c r="G762" s="1594"/>
      <c r="H762" s="1594"/>
      <c r="I762" s="1594"/>
      <c r="J762" s="1594"/>
      <c r="K762" s="1594"/>
      <c r="L762" s="1594"/>
      <c r="M762" s="1594"/>
      <c r="N762" s="1594"/>
      <c r="O762" s="1594"/>
      <c r="P762" s="1594"/>
      <c r="Q762" s="1594"/>
      <c r="R762" s="1594"/>
      <c r="S762" s="1594"/>
      <c r="T762" s="1594"/>
      <c r="U762" s="1594"/>
      <c r="V762" s="1594"/>
      <c r="W762" s="1594"/>
      <c r="X762" s="1594"/>
      <c r="Y762" s="1594"/>
      <c r="Z762" s="1594"/>
    </row>
    <row r="763" ht="12.75" customHeight="1">
      <c r="A763" s="1594"/>
      <c r="B763" s="1594"/>
      <c r="C763" s="1594"/>
      <c r="D763" s="1594"/>
      <c r="E763" s="1594"/>
      <c r="F763" s="1594"/>
      <c r="G763" s="1594"/>
      <c r="H763" s="1594"/>
      <c r="I763" s="1594"/>
      <c r="J763" s="1594"/>
      <c r="K763" s="1594"/>
      <c r="L763" s="1594"/>
      <c r="M763" s="1594"/>
      <c r="N763" s="1594"/>
      <c r="O763" s="1594"/>
      <c r="P763" s="1594"/>
      <c r="Q763" s="1594"/>
      <c r="R763" s="1594"/>
      <c r="S763" s="1594"/>
      <c r="T763" s="1594"/>
      <c r="U763" s="1594"/>
      <c r="V763" s="1594"/>
      <c r="W763" s="1594"/>
      <c r="X763" s="1594"/>
      <c r="Y763" s="1594"/>
      <c r="Z763" s="1594"/>
    </row>
    <row r="764" ht="12.75" customHeight="1">
      <c r="A764" s="1594"/>
      <c r="B764" s="1594"/>
      <c r="C764" s="1594"/>
      <c r="D764" s="1594"/>
      <c r="E764" s="1594"/>
      <c r="F764" s="1594"/>
      <c r="G764" s="1594"/>
      <c r="H764" s="1594"/>
      <c r="I764" s="1594"/>
      <c r="J764" s="1594"/>
      <c r="K764" s="1594"/>
      <c r="L764" s="1594"/>
      <c r="M764" s="1594"/>
      <c r="N764" s="1594"/>
      <c r="O764" s="1594"/>
      <c r="P764" s="1594"/>
      <c r="Q764" s="1594"/>
      <c r="R764" s="1594"/>
      <c r="S764" s="1594"/>
      <c r="T764" s="1594"/>
      <c r="U764" s="1594"/>
      <c r="V764" s="1594"/>
      <c r="W764" s="1594"/>
      <c r="X764" s="1594"/>
      <c r="Y764" s="1594"/>
      <c r="Z764" s="1594"/>
    </row>
    <row r="765" ht="12.75" customHeight="1">
      <c r="A765" s="1594"/>
      <c r="B765" s="1594"/>
      <c r="C765" s="1594"/>
      <c r="D765" s="1594"/>
      <c r="E765" s="1594"/>
      <c r="F765" s="1594"/>
      <c r="G765" s="1594"/>
      <c r="H765" s="1594"/>
      <c r="I765" s="1594"/>
      <c r="J765" s="1594"/>
      <c r="K765" s="1594"/>
      <c r="L765" s="1594"/>
      <c r="M765" s="1594"/>
      <c r="N765" s="1594"/>
      <c r="O765" s="1594"/>
      <c r="P765" s="1594"/>
      <c r="Q765" s="1594"/>
      <c r="R765" s="1594"/>
      <c r="S765" s="1594"/>
      <c r="T765" s="1594"/>
      <c r="U765" s="1594"/>
      <c r="V765" s="1594"/>
      <c r="W765" s="1594"/>
      <c r="X765" s="1594"/>
      <c r="Y765" s="1594"/>
      <c r="Z765" s="1594"/>
    </row>
    <row r="766" ht="12.75" customHeight="1">
      <c r="A766" s="1594"/>
      <c r="B766" s="1594"/>
      <c r="C766" s="1594"/>
      <c r="D766" s="1594"/>
      <c r="E766" s="1594"/>
      <c r="F766" s="1594"/>
      <c r="G766" s="1594"/>
      <c r="H766" s="1594"/>
      <c r="I766" s="1594"/>
      <c r="J766" s="1594"/>
      <c r="K766" s="1594"/>
      <c r="L766" s="1594"/>
      <c r="M766" s="1594"/>
      <c r="N766" s="1594"/>
      <c r="O766" s="1594"/>
      <c r="P766" s="1594"/>
      <c r="Q766" s="1594"/>
      <c r="R766" s="1594"/>
      <c r="S766" s="1594"/>
      <c r="T766" s="1594"/>
      <c r="U766" s="1594"/>
      <c r="V766" s="1594"/>
      <c r="W766" s="1594"/>
      <c r="X766" s="1594"/>
      <c r="Y766" s="1594"/>
      <c r="Z766" s="1594"/>
    </row>
    <row r="767" ht="12.75" customHeight="1">
      <c r="A767" s="1594"/>
      <c r="B767" s="1594"/>
      <c r="C767" s="1594"/>
      <c r="D767" s="1594"/>
      <c r="E767" s="1594"/>
      <c r="F767" s="1594"/>
      <c r="G767" s="1594"/>
      <c r="H767" s="1594"/>
      <c r="I767" s="1594"/>
      <c r="J767" s="1594"/>
      <c r="K767" s="1594"/>
      <c r="L767" s="1594"/>
      <c r="M767" s="1594"/>
      <c r="N767" s="1594"/>
      <c r="O767" s="1594"/>
      <c r="P767" s="1594"/>
      <c r="Q767" s="1594"/>
      <c r="R767" s="1594"/>
      <c r="S767" s="1594"/>
      <c r="T767" s="1594"/>
      <c r="U767" s="1594"/>
      <c r="V767" s="1594"/>
      <c r="W767" s="1594"/>
      <c r="X767" s="1594"/>
      <c r="Y767" s="1594"/>
      <c r="Z767" s="1594"/>
    </row>
    <row r="768" ht="12.75" customHeight="1">
      <c r="A768" s="1594"/>
      <c r="B768" s="1594"/>
      <c r="C768" s="1594"/>
      <c r="D768" s="1594"/>
      <c r="E768" s="1594"/>
      <c r="F768" s="1594"/>
      <c r="G768" s="1594"/>
      <c r="H768" s="1594"/>
      <c r="I768" s="1594"/>
      <c r="J768" s="1594"/>
      <c r="K768" s="1594"/>
      <c r="L768" s="1594"/>
      <c r="M768" s="1594"/>
      <c r="N768" s="1594"/>
      <c r="O768" s="1594"/>
      <c r="P768" s="1594"/>
      <c r="Q768" s="1594"/>
      <c r="R768" s="1594"/>
      <c r="S768" s="1594"/>
      <c r="T768" s="1594"/>
      <c r="U768" s="1594"/>
      <c r="V768" s="1594"/>
      <c r="W768" s="1594"/>
      <c r="X768" s="1594"/>
      <c r="Y768" s="1594"/>
      <c r="Z768" s="1594"/>
    </row>
    <row r="769" ht="12.75" customHeight="1">
      <c r="A769" s="1594"/>
      <c r="B769" s="1594"/>
      <c r="C769" s="1594"/>
      <c r="D769" s="1594"/>
      <c r="E769" s="1594"/>
      <c r="F769" s="1594"/>
      <c r="G769" s="1594"/>
      <c r="H769" s="1594"/>
      <c r="I769" s="1594"/>
      <c r="J769" s="1594"/>
      <c r="K769" s="1594"/>
      <c r="L769" s="1594"/>
      <c r="M769" s="1594"/>
      <c r="N769" s="1594"/>
      <c r="O769" s="1594"/>
      <c r="P769" s="1594"/>
      <c r="Q769" s="1594"/>
      <c r="R769" s="1594"/>
      <c r="S769" s="1594"/>
      <c r="T769" s="1594"/>
      <c r="U769" s="1594"/>
      <c r="V769" s="1594"/>
      <c r="W769" s="1594"/>
      <c r="X769" s="1594"/>
      <c r="Y769" s="1594"/>
      <c r="Z769" s="1594"/>
    </row>
    <row r="770" ht="12.75" customHeight="1">
      <c r="A770" s="1594"/>
      <c r="B770" s="1594"/>
      <c r="C770" s="1594"/>
      <c r="D770" s="1594"/>
      <c r="E770" s="1594"/>
      <c r="F770" s="1594"/>
      <c r="G770" s="1594"/>
      <c r="H770" s="1594"/>
      <c r="I770" s="1594"/>
      <c r="J770" s="1594"/>
      <c r="K770" s="1594"/>
      <c r="L770" s="1594"/>
      <c r="M770" s="1594"/>
      <c r="N770" s="1594"/>
      <c r="O770" s="1594"/>
      <c r="P770" s="1594"/>
      <c r="Q770" s="1594"/>
      <c r="R770" s="1594"/>
      <c r="S770" s="1594"/>
      <c r="T770" s="1594"/>
      <c r="U770" s="1594"/>
      <c r="V770" s="1594"/>
      <c r="W770" s="1594"/>
      <c r="X770" s="1594"/>
      <c r="Y770" s="1594"/>
      <c r="Z770" s="1594"/>
    </row>
    <row r="771" ht="12.75" customHeight="1">
      <c r="A771" s="1594"/>
      <c r="B771" s="1594"/>
      <c r="C771" s="1594"/>
      <c r="D771" s="1594"/>
      <c r="E771" s="1594"/>
      <c r="F771" s="1594"/>
      <c r="G771" s="1594"/>
      <c r="H771" s="1594"/>
      <c r="I771" s="1594"/>
      <c r="J771" s="1594"/>
      <c r="K771" s="1594"/>
      <c r="L771" s="1594"/>
      <c r="M771" s="1594"/>
      <c r="N771" s="1594"/>
      <c r="O771" s="1594"/>
      <c r="P771" s="1594"/>
      <c r="Q771" s="1594"/>
      <c r="R771" s="1594"/>
      <c r="S771" s="1594"/>
      <c r="T771" s="1594"/>
      <c r="U771" s="1594"/>
      <c r="V771" s="1594"/>
      <c r="W771" s="1594"/>
      <c r="X771" s="1594"/>
      <c r="Y771" s="1594"/>
      <c r="Z771" s="1594"/>
    </row>
    <row r="772" ht="12.75" customHeight="1">
      <c r="A772" s="1594"/>
      <c r="B772" s="1594"/>
      <c r="C772" s="1594"/>
      <c r="D772" s="1594"/>
      <c r="E772" s="1594"/>
      <c r="F772" s="1594"/>
      <c r="G772" s="1594"/>
      <c r="H772" s="1594"/>
      <c r="I772" s="1594"/>
      <c r="J772" s="1594"/>
      <c r="K772" s="1594"/>
      <c r="L772" s="1594"/>
      <c r="M772" s="1594"/>
      <c r="N772" s="1594"/>
      <c r="O772" s="1594"/>
      <c r="P772" s="1594"/>
      <c r="Q772" s="1594"/>
      <c r="R772" s="1594"/>
      <c r="S772" s="1594"/>
      <c r="T772" s="1594"/>
      <c r="U772" s="1594"/>
      <c r="V772" s="1594"/>
      <c r="W772" s="1594"/>
      <c r="X772" s="1594"/>
      <c r="Y772" s="1594"/>
      <c r="Z772" s="1594"/>
    </row>
    <row r="773" ht="12.75" customHeight="1">
      <c r="A773" s="1594"/>
      <c r="B773" s="1594"/>
      <c r="C773" s="1594"/>
      <c r="D773" s="1594"/>
      <c r="E773" s="1594"/>
      <c r="F773" s="1594"/>
      <c r="G773" s="1594"/>
      <c r="H773" s="1594"/>
      <c r="I773" s="1594"/>
      <c r="J773" s="1594"/>
      <c r="K773" s="1594"/>
      <c r="L773" s="1594"/>
      <c r="M773" s="1594"/>
      <c r="N773" s="1594"/>
      <c r="O773" s="1594"/>
      <c r="P773" s="1594"/>
      <c r="Q773" s="1594"/>
      <c r="R773" s="1594"/>
      <c r="S773" s="1594"/>
      <c r="T773" s="1594"/>
      <c r="U773" s="1594"/>
      <c r="V773" s="1594"/>
      <c r="W773" s="1594"/>
      <c r="X773" s="1594"/>
      <c r="Y773" s="1594"/>
      <c r="Z773" s="1594"/>
    </row>
    <row r="774" ht="12.75" customHeight="1">
      <c r="A774" s="1594"/>
      <c r="B774" s="1594"/>
      <c r="C774" s="1594"/>
      <c r="D774" s="1594"/>
      <c r="E774" s="1594"/>
      <c r="F774" s="1594"/>
      <c r="G774" s="1594"/>
      <c r="H774" s="1594"/>
      <c r="I774" s="1594"/>
      <c r="J774" s="1594"/>
      <c r="K774" s="1594"/>
      <c r="L774" s="1594"/>
      <c r="M774" s="1594"/>
      <c r="N774" s="1594"/>
      <c r="O774" s="1594"/>
      <c r="P774" s="1594"/>
      <c r="Q774" s="1594"/>
      <c r="R774" s="1594"/>
      <c r="S774" s="1594"/>
      <c r="T774" s="1594"/>
      <c r="U774" s="1594"/>
      <c r="V774" s="1594"/>
      <c r="W774" s="1594"/>
      <c r="X774" s="1594"/>
      <c r="Y774" s="1594"/>
      <c r="Z774" s="1594"/>
    </row>
    <row r="775" ht="12.75" customHeight="1">
      <c r="A775" s="1594"/>
      <c r="B775" s="1594"/>
      <c r="C775" s="1594"/>
      <c r="D775" s="1594"/>
      <c r="E775" s="1594"/>
      <c r="F775" s="1594"/>
      <c r="G775" s="1594"/>
      <c r="H775" s="1594"/>
      <c r="I775" s="1594"/>
      <c r="J775" s="1594"/>
      <c r="K775" s="1594"/>
      <c r="L775" s="1594"/>
      <c r="M775" s="1594"/>
      <c r="N775" s="1594"/>
      <c r="O775" s="1594"/>
      <c r="P775" s="1594"/>
      <c r="Q775" s="1594"/>
      <c r="R775" s="1594"/>
      <c r="S775" s="1594"/>
      <c r="T775" s="1594"/>
      <c r="U775" s="1594"/>
      <c r="V775" s="1594"/>
      <c r="W775" s="1594"/>
      <c r="X775" s="1594"/>
      <c r="Y775" s="1594"/>
      <c r="Z775" s="1594"/>
    </row>
    <row r="776" ht="12.75" customHeight="1">
      <c r="A776" s="1594"/>
      <c r="B776" s="1594"/>
      <c r="C776" s="1594"/>
      <c r="D776" s="1594"/>
      <c r="E776" s="1594"/>
      <c r="F776" s="1594"/>
      <c r="G776" s="1594"/>
      <c r="H776" s="1594"/>
      <c r="I776" s="1594"/>
      <c r="J776" s="1594"/>
      <c r="K776" s="1594"/>
      <c r="L776" s="1594"/>
      <c r="M776" s="1594"/>
      <c r="N776" s="1594"/>
      <c r="O776" s="1594"/>
      <c r="P776" s="1594"/>
      <c r="Q776" s="1594"/>
      <c r="R776" s="1594"/>
      <c r="S776" s="1594"/>
      <c r="T776" s="1594"/>
      <c r="U776" s="1594"/>
      <c r="V776" s="1594"/>
      <c r="W776" s="1594"/>
      <c r="X776" s="1594"/>
      <c r="Y776" s="1594"/>
      <c r="Z776" s="1594"/>
    </row>
    <row r="777" ht="12.75" customHeight="1">
      <c r="A777" s="1594"/>
      <c r="B777" s="1594"/>
      <c r="C777" s="1594"/>
      <c r="D777" s="1594"/>
      <c r="E777" s="1594"/>
      <c r="F777" s="1594"/>
      <c r="G777" s="1594"/>
      <c r="H777" s="1594"/>
      <c r="I777" s="1594"/>
      <c r="J777" s="1594"/>
      <c r="K777" s="1594"/>
      <c r="L777" s="1594"/>
      <c r="M777" s="1594"/>
      <c r="N777" s="1594"/>
      <c r="O777" s="1594"/>
      <c r="P777" s="1594"/>
      <c r="Q777" s="1594"/>
      <c r="R777" s="1594"/>
      <c r="S777" s="1594"/>
      <c r="T777" s="1594"/>
      <c r="U777" s="1594"/>
      <c r="V777" s="1594"/>
      <c r="W777" s="1594"/>
      <c r="X777" s="1594"/>
      <c r="Y777" s="1594"/>
      <c r="Z777" s="1594"/>
    </row>
    <row r="778" ht="12.75" customHeight="1">
      <c r="A778" s="1594"/>
      <c r="B778" s="1594"/>
      <c r="C778" s="1594"/>
      <c r="D778" s="1594"/>
      <c r="E778" s="1594"/>
      <c r="F778" s="1594"/>
      <c r="G778" s="1594"/>
      <c r="H778" s="1594"/>
      <c r="I778" s="1594"/>
      <c r="J778" s="1594"/>
      <c r="K778" s="1594"/>
      <c r="L778" s="1594"/>
      <c r="M778" s="1594"/>
      <c r="N778" s="1594"/>
      <c r="O778" s="1594"/>
      <c r="P778" s="1594"/>
      <c r="Q778" s="1594"/>
      <c r="R778" s="1594"/>
      <c r="S778" s="1594"/>
      <c r="T778" s="1594"/>
      <c r="U778" s="1594"/>
      <c r="V778" s="1594"/>
      <c r="W778" s="1594"/>
      <c r="X778" s="1594"/>
      <c r="Y778" s="1594"/>
      <c r="Z778" s="1594"/>
    </row>
    <row r="779" ht="12.75" customHeight="1">
      <c r="A779" s="1594"/>
      <c r="B779" s="1594"/>
      <c r="C779" s="1594"/>
      <c r="D779" s="1594"/>
      <c r="E779" s="1594"/>
      <c r="F779" s="1594"/>
      <c r="G779" s="1594"/>
      <c r="H779" s="1594"/>
      <c r="I779" s="1594"/>
      <c r="J779" s="1594"/>
      <c r="K779" s="1594"/>
      <c r="L779" s="1594"/>
      <c r="M779" s="1594"/>
      <c r="N779" s="1594"/>
      <c r="O779" s="1594"/>
      <c r="P779" s="1594"/>
      <c r="Q779" s="1594"/>
      <c r="R779" s="1594"/>
      <c r="S779" s="1594"/>
      <c r="T779" s="1594"/>
      <c r="U779" s="1594"/>
      <c r="V779" s="1594"/>
      <c r="W779" s="1594"/>
      <c r="X779" s="1594"/>
      <c r="Y779" s="1594"/>
      <c r="Z779" s="1594"/>
    </row>
    <row r="780" ht="12.75" customHeight="1">
      <c r="A780" s="1594"/>
      <c r="B780" s="1594"/>
      <c r="C780" s="1594"/>
      <c r="D780" s="1594"/>
      <c r="E780" s="1594"/>
      <c r="F780" s="1594"/>
      <c r="G780" s="1594"/>
      <c r="H780" s="1594"/>
      <c r="I780" s="1594"/>
      <c r="J780" s="1594"/>
      <c r="K780" s="1594"/>
      <c r="L780" s="1594"/>
      <c r="M780" s="1594"/>
      <c r="N780" s="1594"/>
      <c r="O780" s="1594"/>
      <c r="P780" s="1594"/>
      <c r="Q780" s="1594"/>
      <c r="R780" s="1594"/>
      <c r="S780" s="1594"/>
      <c r="T780" s="1594"/>
      <c r="U780" s="1594"/>
      <c r="V780" s="1594"/>
      <c r="W780" s="1594"/>
      <c r="X780" s="1594"/>
      <c r="Y780" s="1594"/>
      <c r="Z780" s="1594"/>
    </row>
    <row r="781" ht="12.75" customHeight="1">
      <c r="A781" s="1594"/>
      <c r="B781" s="1594"/>
      <c r="C781" s="1594"/>
      <c r="D781" s="1594"/>
      <c r="E781" s="1594"/>
      <c r="F781" s="1594"/>
      <c r="G781" s="1594"/>
      <c r="H781" s="1594"/>
      <c r="I781" s="1594"/>
      <c r="J781" s="1594"/>
      <c r="K781" s="1594"/>
      <c r="L781" s="1594"/>
      <c r="M781" s="1594"/>
      <c r="N781" s="1594"/>
      <c r="O781" s="1594"/>
      <c r="P781" s="1594"/>
      <c r="Q781" s="1594"/>
      <c r="R781" s="1594"/>
      <c r="S781" s="1594"/>
      <c r="T781" s="1594"/>
      <c r="U781" s="1594"/>
      <c r="V781" s="1594"/>
      <c r="W781" s="1594"/>
      <c r="X781" s="1594"/>
      <c r="Y781" s="1594"/>
      <c r="Z781" s="1594"/>
    </row>
    <row r="782" ht="12.75" customHeight="1">
      <c r="A782" s="1594"/>
      <c r="B782" s="1594"/>
      <c r="C782" s="1594"/>
      <c r="D782" s="1594"/>
      <c r="E782" s="1594"/>
      <c r="F782" s="1594"/>
      <c r="G782" s="1594"/>
      <c r="H782" s="1594"/>
      <c r="I782" s="1594"/>
      <c r="J782" s="1594"/>
      <c r="K782" s="1594"/>
      <c r="L782" s="1594"/>
      <c r="M782" s="1594"/>
      <c r="N782" s="1594"/>
      <c r="O782" s="1594"/>
      <c r="P782" s="1594"/>
      <c r="Q782" s="1594"/>
      <c r="R782" s="1594"/>
      <c r="S782" s="1594"/>
      <c r="T782" s="1594"/>
      <c r="U782" s="1594"/>
      <c r="V782" s="1594"/>
      <c r="W782" s="1594"/>
      <c r="X782" s="1594"/>
      <c r="Y782" s="1594"/>
      <c r="Z782" s="1594"/>
    </row>
    <row r="783" ht="12.75" customHeight="1">
      <c r="A783" s="1594"/>
      <c r="B783" s="1594"/>
      <c r="C783" s="1594"/>
      <c r="D783" s="1594"/>
      <c r="E783" s="1594"/>
      <c r="F783" s="1594"/>
      <c r="G783" s="1594"/>
      <c r="H783" s="1594"/>
      <c r="I783" s="1594"/>
      <c r="J783" s="1594"/>
      <c r="K783" s="1594"/>
      <c r="L783" s="1594"/>
      <c r="M783" s="1594"/>
      <c r="N783" s="1594"/>
      <c r="O783" s="1594"/>
      <c r="P783" s="1594"/>
      <c r="Q783" s="1594"/>
      <c r="R783" s="1594"/>
      <c r="S783" s="1594"/>
      <c r="T783" s="1594"/>
      <c r="U783" s="1594"/>
      <c r="V783" s="1594"/>
      <c r="W783" s="1594"/>
      <c r="X783" s="1594"/>
      <c r="Y783" s="1594"/>
      <c r="Z783" s="1594"/>
    </row>
    <row r="784" ht="12.75" customHeight="1">
      <c r="A784" s="1594"/>
      <c r="B784" s="1594"/>
      <c r="C784" s="1594"/>
      <c r="D784" s="1594"/>
      <c r="E784" s="1594"/>
      <c r="F784" s="1594"/>
      <c r="G784" s="1594"/>
      <c r="H784" s="1594"/>
      <c r="I784" s="1594"/>
      <c r="J784" s="1594"/>
      <c r="K784" s="1594"/>
      <c r="L784" s="1594"/>
      <c r="M784" s="1594"/>
      <c r="N784" s="1594"/>
      <c r="O784" s="1594"/>
      <c r="P784" s="1594"/>
      <c r="Q784" s="1594"/>
      <c r="R784" s="1594"/>
      <c r="S784" s="1594"/>
      <c r="T784" s="1594"/>
      <c r="U784" s="1594"/>
      <c r="V784" s="1594"/>
      <c r="W784" s="1594"/>
      <c r="X784" s="1594"/>
      <c r="Y784" s="1594"/>
      <c r="Z784" s="1594"/>
    </row>
    <row r="785" ht="12.75" customHeight="1">
      <c r="A785" s="1594"/>
      <c r="B785" s="1594"/>
      <c r="C785" s="1594"/>
      <c r="D785" s="1594"/>
      <c r="E785" s="1594"/>
      <c r="F785" s="1594"/>
      <c r="G785" s="1594"/>
      <c r="H785" s="1594"/>
      <c r="I785" s="1594"/>
      <c r="J785" s="1594"/>
      <c r="K785" s="1594"/>
      <c r="L785" s="1594"/>
      <c r="M785" s="1594"/>
      <c r="N785" s="1594"/>
      <c r="O785" s="1594"/>
      <c r="P785" s="1594"/>
      <c r="Q785" s="1594"/>
      <c r="R785" s="1594"/>
      <c r="S785" s="1594"/>
      <c r="T785" s="1594"/>
      <c r="U785" s="1594"/>
      <c r="V785" s="1594"/>
      <c r="W785" s="1594"/>
      <c r="X785" s="1594"/>
      <c r="Y785" s="1594"/>
      <c r="Z785" s="1594"/>
    </row>
    <row r="786" ht="12.75" customHeight="1">
      <c r="A786" s="1594"/>
      <c r="B786" s="1594"/>
      <c r="C786" s="1594"/>
      <c r="D786" s="1594"/>
      <c r="E786" s="1594"/>
      <c r="F786" s="1594"/>
      <c r="G786" s="1594"/>
      <c r="H786" s="1594"/>
      <c r="I786" s="1594"/>
      <c r="J786" s="1594"/>
      <c r="K786" s="1594"/>
      <c r="L786" s="1594"/>
      <c r="M786" s="1594"/>
      <c r="N786" s="1594"/>
      <c r="O786" s="1594"/>
      <c r="P786" s="1594"/>
      <c r="Q786" s="1594"/>
      <c r="R786" s="1594"/>
      <c r="S786" s="1594"/>
      <c r="T786" s="1594"/>
      <c r="U786" s="1594"/>
      <c r="V786" s="1594"/>
      <c r="W786" s="1594"/>
      <c r="X786" s="1594"/>
      <c r="Y786" s="1594"/>
      <c r="Z786" s="1594"/>
    </row>
    <row r="787" ht="12.75" customHeight="1">
      <c r="A787" s="1594"/>
      <c r="B787" s="1594"/>
      <c r="C787" s="1594"/>
      <c r="D787" s="1594"/>
      <c r="E787" s="1594"/>
      <c r="F787" s="1594"/>
      <c r="G787" s="1594"/>
      <c r="H787" s="1594"/>
      <c r="I787" s="1594"/>
      <c r="J787" s="1594"/>
      <c r="K787" s="1594"/>
      <c r="L787" s="1594"/>
      <c r="M787" s="1594"/>
      <c r="N787" s="1594"/>
      <c r="O787" s="1594"/>
      <c r="P787" s="1594"/>
      <c r="Q787" s="1594"/>
      <c r="R787" s="1594"/>
      <c r="S787" s="1594"/>
      <c r="T787" s="1594"/>
      <c r="U787" s="1594"/>
      <c r="V787" s="1594"/>
      <c r="W787" s="1594"/>
      <c r="X787" s="1594"/>
      <c r="Y787" s="1594"/>
      <c r="Z787" s="1594"/>
    </row>
    <row r="788" ht="12.75" customHeight="1">
      <c r="A788" s="1594"/>
      <c r="B788" s="1594"/>
      <c r="C788" s="1594"/>
      <c r="D788" s="1594"/>
      <c r="E788" s="1594"/>
      <c r="F788" s="1594"/>
      <c r="G788" s="1594"/>
      <c r="H788" s="1594"/>
      <c r="I788" s="1594"/>
      <c r="J788" s="1594"/>
      <c r="K788" s="1594"/>
      <c r="L788" s="1594"/>
      <c r="M788" s="1594"/>
      <c r="N788" s="1594"/>
      <c r="O788" s="1594"/>
      <c r="P788" s="1594"/>
      <c r="Q788" s="1594"/>
      <c r="R788" s="1594"/>
      <c r="S788" s="1594"/>
      <c r="T788" s="1594"/>
      <c r="U788" s="1594"/>
      <c r="V788" s="1594"/>
      <c r="W788" s="1594"/>
      <c r="X788" s="1594"/>
      <c r="Y788" s="1594"/>
      <c r="Z788" s="1594"/>
    </row>
    <row r="789" ht="12.75" customHeight="1">
      <c r="A789" s="1594"/>
      <c r="B789" s="1594"/>
      <c r="C789" s="1594"/>
      <c r="D789" s="1594"/>
      <c r="E789" s="1594"/>
      <c r="F789" s="1594"/>
      <c r="G789" s="1594"/>
      <c r="H789" s="1594"/>
      <c r="I789" s="1594"/>
      <c r="J789" s="1594"/>
      <c r="K789" s="1594"/>
      <c r="L789" s="1594"/>
      <c r="M789" s="1594"/>
      <c r="N789" s="1594"/>
      <c r="O789" s="1594"/>
      <c r="P789" s="1594"/>
      <c r="Q789" s="1594"/>
      <c r="R789" s="1594"/>
      <c r="S789" s="1594"/>
      <c r="T789" s="1594"/>
      <c r="U789" s="1594"/>
      <c r="V789" s="1594"/>
      <c r="W789" s="1594"/>
      <c r="X789" s="1594"/>
      <c r="Y789" s="1594"/>
      <c r="Z789" s="1594"/>
    </row>
    <row r="790" ht="12.75" customHeight="1">
      <c r="A790" s="1594"/>
      <c r="B790" s="1594"/>
      <c r="C790" s="1594"/>
      <c r="D790" s="1594"/>
      <c r="E790" s="1594"/>
      <c r="F790" s="1594"/>
      <c r="G790" s="1594"/>
      <c r="H790" s="1594"/>
      <c r="I790" s="1594"/>
      <c r="J790" s="1594"/>
      <c r="K790" s="1594"/>
      <c r="L790" s="1594"/>
      <c r="M790" s="1594"/>
      <c r="N790" s="1594"/>
      <c r="O790" s="1594"/>
      <c r="P790" s="1594"/>
      <c r="Q790" s="1594"/>
      <c r="R790" s="1594"/>
      <c r="S790" s="1594"/>
      <c r="T790" s="1594"/>
      <c r="U790" s="1594"/>
      <c r="V790" s="1594"/>
      <c r="W790" s="1594"/>
      <c r="X790" s="1594"/>
      <c r="Y790" s="1594"/>
      <c r="Z790" s="1594"/>
    </row>
    <row r="791" ht="12.75" customHeight="1">
      <c r="A791" s="1594"/>
      <c r="B791" s="1594"/>
      <c r="C791" s="1594"/>
      <c r="D791" s="1594"/>
      <c r="E791" s="1594"/>
      <c r="F791" s="1594"/>
      <c r="G791" s="1594"/>
      <c r="H791" s="1594"/>
      <c r="I791" s="1594"/>
      <c r="J791" s="1594"/>
      <c r="K791" s="1594"/>
      <c r="L791" s="1594"/>
      <c r="M791" s="1594"/>
      <c r="N791" s="1594"/>
      <c r="O791" s="1594"/>
      <c r="P791" s="1594"/>
      <c r="Q791" s="1594"/>
      <c r="R791" s="1594"/>
      <c r="S791" s="1594"/>
      <c r="T791" s="1594"/>
      <c r="U791" s="1594"/>
      <c r="V791" s="1594"/>
      <c r="W791" s="1594"/>
      <c r="X791" s="1594"/>
      <c r="Y791" s="1594"/>
      <c r="Z791" s="1594"/>
    </row>
    <row r="792" ht="12.75" customHeight="1">
      <c r="A792" s="1594"/>
      <c r="B792" s="1594"/>
      <c r="C792" s="1594"/>
      <c r="D792" s="1594"/>
      <c r="E792" s="1594"/>
      <c r="F792" s="1594"/>
      <c r="G792" s="1594"/>
      <c r="H792" s="1594"/>
      <c r="I792" s="1594"/>
      <c r="J792" s="1594"/>
      <c r="K792" s="1594"/>
      <c r="L792" s="1594"/>
      <c r="M792" s="1594"/>
      <c r="N792" s="1594"/>
      <c r="O792" s="1594"/>
      <c r="P792" s="1594"/>
      <c r="Q792" s="1594"/>
      <c r="R792" s="1594"/>
      <c r="S792" s="1594"/>
      <c r="T792" s="1594"/>
      <c r="U792" s="1594"/>
      <c r="V792" s="1594"/>
      <c r="W792" s="1594"/>
      <c r="X792" s="1594"/>
      <c r="Y792" s="1594"/>
      <c r="Z792" s="1594"/>
    </row>
    <row r="793" ht="12.75" customHeight="1">
      <c r="A793" s="1594"/>
      <c r="B793" s="1594"/>
      <c r="C793" s="1594"/>
      <c r="D793" s="1594"/>
      <c r="E793" s="1594"/>
      <c r="F793" s="1594"/>
      <c r="G793" s="1594"/>
      <c r="H793" s="1594"/>
      <c r="I793" s="1594"/>
      <c r="J793" s="1594"/>
      <c r="K793" s="1594"/>
      <c r="L793" s="1594"/>
      <c r="M793" s="1594"/>
      <c r="N793" s="1594"/>
      <c r="O793" s="1594"/>
      <c r="P793" s="1594"/>
      <c r="Q793" s="1594"/>
      <c r="R793" s="1594"/>
      <c r="S793" s="1594"/>
      <c r="T793" s="1594"/>
      <c r="U793" s="1594"/>
      <c r="V793" s="1594"/>
      <c r="W793" s="1594"/>
      <c r="X793" s="1594"/>
      <c r="Y793" s="1594"/>
      <c r="Z793" s="1594"/>
    </row>
    <row r="794" ht="12.75" customHeight="1">
      <c r="A794" s="1594"/>
      <c r="B794" s="1594"/>
      <c r="C794" s="1594"/>
      <c r="D794" s="1594"/>
      <c r="E794" s="1594"/>
      <c r="F794" s="1594"/>
      <c r="G794" s="1594"/>
      <c r="H794" s="1594"/>
      <c r="I794" s="1594"/>
      <c r="J794" s="1594"/>
      <c r="K794" s="1594"/>
      <c r="L794" s="1594"/>
      <c r="M794" s="1594"/>
      <c r="N794" s="1594"/>
      <c r="O794" s="1594"/>
      <c r="P794" s="1594"/>
      <c r="Q794" s="1594"/>
      <c r="R794" s="1594"/>
      <c r="S794" s="1594"/>
      <c r="T794" s="1594"/>
      <c r="U794" s="1594"/>
      <c r="V794" s="1594"/>
      <c r="W794" s="1594"/>
      <c r="X794" s="1594"/>
      <c r="Y794" s="1594"/>
      <c r="Z794" s="1594"/>
    </row>
    <row r="795" ht="12.75" customHeight="1">
      <c r="A795" s="1594"/>
      <c r="B795" s="1594"/>
      <c r="C795" s="1594"/>
      <c r="D795" s="1594"/>
      <c r="E795" s="1594"/>
      <c r="F795" s="1594"/>
      <c r="G795" s="1594"/>
      <c r="H795" s="1594"/>
      <c r="I795" s="1594"/>
      <c r="J795" s="1594"/>
      <c r="K795" s="1594"/>
      <c r="L795" s="1594"/>
      <c r="M795" s="1594"/>
      <c r="N795" s="1594"/>
      <c r="O795" s="1594"/>
      <c r="P795" s="1594"/>
      <c r="Q795" s="1594"/>
      <c r="R795" s="1594"/>
      <c r="S795" s="1594"/>
      <c r="T795" s="1594"/>
      <c r="U795" s="1594"/>
      <c r="V795" s="1594"/>
      <c r="W795" s="1594"/>
      <c r="X795" s="1594"/>
      <c r="Y795" s="1594"/>
      <c r="Z795" s="1594"/>
    </row>
    <row r="796" ht="12.75" customHeight="1">
      <c r="A796" s="1594"/>
      <c r="B796" s="1594"/>
      <c r="C796" s="1594"/>
      <c r="D796" s="1594"/>
      <c r="E796" s="1594"/>
      <c r="F796" s="1594"/>
      <c r="G796" s="1594"/>
      <c r="H796" s="1594"/>
      <c r="I796" s="1594"/>
      <c r="J796" s="1594"/>
      <c r="K796" s="1594"/>
      <c r="L796" s="1594"/>
      <c r="M796" s="1594"/>
      <c r="N796" s="1594"/>
      <c r="O796" s="1594"/>
      <c r="P796" s="1594"/>
      <c r="Q796" s="1594"/>
      <c r="R796" s="1594"/>
      <c r="S796" s="1594"/>
      <c r="T796" s="1594"/>
      <c r="U796" s="1594"/>
      <c r="V796" s="1594"/>
      <c r="W796" s="1594"/>
      <c r="X796" s="1594"/>
      <c r="Y796" s="1594"/>
      <c r="Z796" s="1594"/>
    </row>
    <row r="797" ht="12.75" customHeight="1">
      <c r="A797" s="1594"/>
      <c r="B797" s="1594"/>
      <c r="C797" s="1594"/>
      <c r="D797" s="1594"/>
      <c r="E797" s="1594"/>
      <c r="F797" s="1594"/>
      <c r="G797" s="1594"/>
      <c r="H797" s="1594"/>
      <c r="I797" s="1594"/>
      <c r="J797" s="1594"/>
      <c r="K797" s="1594"/>
      <c r="L797" s="1594"/>
      <c r="M797" s="1594"/>
      <c r="N797" s="1594"/>
      <c r="O797" s="1594"/>
      <c r="P797" s="1594"/>
      <c r="Q797" s="1594"/>
      <c r="R797" s="1594"/>
      <c r="S797" s="1594"/>
      <c r="T797" s="1594"/>
      <c r="U797" s="1594"/>
      <c r="V797" s="1594"/>
      <c r="W797" s="1594"/>
      <c r="X797" s="1594"/>
      <c r="Y797" s="1594"/>
      <c r="Z797" s="1594"/>
    </row>
    <row r="798" ht="12.75" customHeight="1">
      <c r="A798" s="1594"/>
      <c r="B798" s="1594"/>
      <c r="C798" s="1594"/>
      <c r="D798" s="1594"/>
      <c r="E798" s="1594"/>
      <c r="F798" s="1594"/>
      <c r="G798" s="1594"/>
      <c r="H798" s="1594"/>
      <c r="I798" s="1594"/>
      <c r="J798" s="1594"/>
      <c r="K798" s="1594"/>
      <c r="L798" s="1594"/>
      <c r="M798" s="1594"/>
      <c r="N798" s="1594"/>
      <c r="O798" s="1594"/>
      <c r="P798" s="1594"/>
      <c r="Q798" s="1594"/>
      <c r="R798" s="1594"/>
      <c r="S798" s="1594"/>
      <c r="T798" s="1594"/>
      <c r="U798" s="1594"/>
      <c r="V798" s="1594"/>
      <c r="W798" s="1594"/>
      <c r="X798" s="1594"/>
      <c r="Y798" s="1594"/>
      <c r="Z798" s="1594"/>
    </row>
    <row r="799" ht="12.75" customHeight="1">
      <c r="A799" s="1594"/>
      <c r="B799" s="1594"/>
      <c r="C799" s="1594"/>
      <c r="D799" s="1594"/>
      <c r="E799" s="1594"/>
      <c r="F799" s="1594"/>
      <c r="G799" s="1594"/>
      <c r="H799" s="1594"/>
      <c r="I799" s="1594"/>
      <c r="J799" s="1594"/>
      <c r="K799" s="1594"/>
      <c r="L799" s="1594"/>
      <c r="M799" s="1594"/>
      <c r="N799" s="1594"/>
      <c r="O799" s="1594"/>
      <c r="P799" s="1594"/>
      <c r="Q799" s="1594"/>
      <c r="R799" s="1594"/>
      <c r="S799" s="1594"/>
      <c r="T799" s="1594"/>
      <c r="U799" s="1594"/>
      <c r="V799" s="1594"/>
      <c r="W799" s="1594"/>
      <c r="X799" s="1594"/>
      <c r="Y799" s="1594"/>
      <c r="Z799" s="1594"/>
    </row>
    <row r="800" ht="12.75" customHeight="1">
      <c r="A800" s="1594"/>
      <c r="B800" s="1594"/>
      <c r="C800" s="1594"/>
      <c r="D800" s="1594"/>
      <c r="E800" s="1594"/>
      <c r="F800" s="1594"/>
      <c r="G800" s="1594"/>
      <c r="H800" s="1594"/>
      <c r="I800" s="1594"/>
      <c r="J800" s="1594"/>
      <c r="K800" s="1594"/>
      <c r="L800" s="1594"/>
      <c r="M800" s="1594"/>
      <c r="N800" s="1594"/>
      <c r="O800" s="1594"/>
      <c r="P800" s="1594"/>
      <c r="Q800" s="1594"/>
      <c r="R800" s="1594"/>
      <c r="S800" s="1594"/>
      <c r="T800" s="1594"/>
      <c r="U800" s="1594"/>
      <c r="V800" s="1594"/>
      <c r="W800" s="1594"/>
      <c r="X800" s="1594"/>
      <c r="Y800" s="1594"/>
      <c r="Z800" s="1594"/>
    </row>
    <row r="801" ht="12.75" customHeight="1">
      <c r="A801" s="1594"/>
      <c r="B801" s="1594"/>
      <c r="C801" s="1594"/>
      <c r="D801" s="1594"/>
      <c r="E801" s="1594"/>
      <c r="F801" s="1594"/>
      <c r="G801" s="1594"/>
      <c r="H801" s="1594"/>
      <c r="I801" s="1594"/>
      <c r="J801" s="1594"/>
      <c r="K801" s="1594"/>
      <c r="L801" s="1594"/>
      <c r="M801" s="1594"/>
      <c r="N801" s="1594"/>
      <c r="O801" s="1594"/>
      <c r="P801" s="1594"/>
      <c r="Q801" s="1594"/>
      <c r="R801" s="1594"/>
      <c r="S801" s="1594"/>
      <c r="T801" s="1594"/>
      <c r="U801" s="1594"/>
      <c r="V801" s="1594"/>
      <c r="W801" s="1594"/>
      <c r="X801" s="1594"/>
      <c r="Y801" s="1594"/>
      <c r="Z801" s="1594"/>
    </row>
    <row r="802" ht="12.75" customHeight="1">
      <c r="A802" s="1594"/>
      <c r="B802" s="1594"/>
      <c r="C802" s="1594"/>
      <c r="D802" s="1594"/>
      <c r="E802" s="1594"/>
      <c r="F802" s="1594"/>
      <c r="G802" s="1594"/>
      <c r="H802" s="1594"/>
      <c r="I802" s="1594"/>
      <c r="J802" s="1594"/>
      <c r="K802" s="1594"/>
      <c r="L802" s="1594"/>
      <c r="M802" s="1594"/>
      <c r="N802" s="1594"/>
      <c r="O802" s="1594"/>
      <c r="P802" s="1594"/>
      <c r="Q802" s="1594"/>
      <c r="R802" s="1594"/>
      <c r="S802" s="1594"/>
      <c r="T802" s="1594"/>
      <c r="U802" s="1594"/>
      <c r="V802" s="1594"/>
      <c r="W802" s="1594"/>
      <c r="X802" s="1594"/>
      <c r="Y802" s="1594"/>
      <c r="Z802" s="1594"/>
    </row>
    <row r="803" ht="12.75" customHeight="1">
      <c r="A803" s="1594"/>
      <c r="B803" s="1594"/>
      <c r="C803" s="1594"/>
      <c r="D803" s="1594"/>
      <c r="E803" s="1594"/>
      <c r="F803" s="1594"/>
      <c r="G803" s="1594"/>
      <c r="H803" s="1594"/>
      <c r="I803" s="1594"/>
      <c r="J803" s="1594"/>
      <c r="K803" s="1594"/>
      <c r="L803" s="1594"/>
      <c r="M803" s="1594"/>
      <c r="N803" s="1594"/>
      <c r="O803" s="1594"/>
      <c r="P803" s="1594"/>
      <c r="Q803" s="1594"/>
      <c r="R803" s="1594"/>
      <c r="S803" s="1594"/>
      <c r="T803" s="1594"/>
      <c r="U803" s="1594"/>
      <c r="V803" s="1594"/>
      <c r="W803" s="1594"/>
      <c r="X803" s="1594"/>
      <c r="Y803" s="1594"/>
      <c r="Z803" s="1594"/>
    </row>
    <row r="804" ht="12.75" customHeight="1">
      <c r="A804" s="1594"/>
      <c r="B804" s="1594"/>
      <c r="C804" s="1594"/>
      <c r="D804" s="1594"/>
      <c r="E804" s="1594"/>
      <c r="F804" s="1594"/>
      <c r="G804" s="1594"/>
      <c r="H804" s="1594"/>
      <c r="I804" s="1594"/>
      <c r="J804" s="1594"/>
      <c r="K804" s="1594"/>
      <c r="L804" s="1594"/>
      <c r="M804" s="1594"/>
      <c r="N804" s="1594"/>
      <c r="O804" s="1594"/>
      <c r="P804" s="1594"/>
      <c r="Q804" s="1594"/>
      <c r="R804" s="1594"/>
      <c r="S804" s="1594"/>
      <c r="T804" s="1594"/>
      <c r="U804" s="1594"/>
      <c r="V804" s="1594"/>
      <c r="W804" s="1594"/>
      <c r="X804" s="1594"/>
      <c r="Y804" s="1594"/>
      <c r="Z804" s="1594"/>
    </row>
    <row r="805" ht="12.75" customHeight="1">
      <c r="A805" s="1594"/>
      <c r="B805" s="1594"/>
      <c r="C805" s="1594"/>
      <c r="D805" s="1594"/>
      <c r="E805" s="1594"/>
      <c r="F805" s="1594"/>
      <c r="G805" s="1594"/>
      <c r="H805" s="1594"/>
      <c r="I805" s="1594"/>
      <c r="J805" s="1594"/>
      <c r="K805" s="1594"/>
      <c r="L805" s="1594"/>
      <c r="M805" s="1594"/>
      <c r="N805" s="1594"/>
      <c r="O805" s="1594"/>
      <c r="P805" s="1594"/>
      <c r="Q805" s="1594"/>
      <c r="R805" s="1594"/>
      <c r="S805" s="1594"/>
      <c r="T805" s="1594"/>
      <c r="U805" s="1594"/>
      <c r="V805" s="1594"/>
      <c r="W805" s="1594"/>
      <c r="X805" s="1594"/>
      <c r="Y805" s="1594"/>
      <c r="Z805" s="1594"/>
    </row>
    <row r="806" ht="12.75" customHeight="1">
      <c r="A806" s="1594"/>
      <c r="B806" s="1594"/>
      <c r="C806" s="1594"/>
      <c r="D806" s="1594"/>
      <c r="E806" s="1594"/>
      <c r="F806" s="1594"/>
      <c r="G806" s="1594"/>
      <c r="H806" s="1594"/>
      <c r="I806" s="1594"/>
      <c r="J806" s="1594"/>
      <c r="K806" s="1594"/>
      <c r="L806" s="1594"/>
      <c r="M806" s="1594"/>
      <c r="N806" s="1594"/>
      <c r="O806" s="1594"/>
      <c r="P806" s="1594"/>
      <c r="Q806" s="1594"/>
      <c r="R806" s="1594"/>
      <c r="S806" s="1594"/>
      <c r="T806" s="1594"/>
      <c r="U806" s="1594"/>
      <c r="V806" s="1594"/>
      <c r="W806" s="1594"/>
      <c r="X806" s="1594"/>
      <c r="Y806" s="1594"/>
      <c r="Z806" s="1594"/>
    </row>
    <row r="807" ht="12.75" customHeight="1">
      <c r="A807" s="1594"/>
      <c r="B807" s="1594"/>
      <c r="C807" s="1594"/>
      <c r="D807" s="1594"/>
      <c r="E807" s="1594"/>
      <c r="F807" s="1594"/>
      <c r="G807" s="1594"/>
      <c r="H807" s="1594"/>
      <c r="I807" s="1594"/>
      <c r="J807" s="1594"/>
      <c r="K807" s="1594"/>
      <c r="L807" s="1594"/>
      <c r="M807" s="1594"/>
      <c r="N807" s="1594"/>
      <c r="O807" s="1594"/>
      <c r="P807" s="1594"/>
      <c r="Q807" s="1594"/>
      <c r="R807" s="1594"/>
      <c r="S807" s="1594"/>
      <c r="T807" s="1594"/>
      <c r="U807" s="1594"/>
      <c r="V807" s="1594"/>
      <c r="W807" s="1594"/>
      <c r="X807" s="1594"/>
      <c r="Y807" s="1594"/>
      <c r="Z807" s="1594"/>
    </row>
    <row r="808" ht="12.75" customHeight="1">
      <c r="A808" s="1594"/>
      <c r="B808" s="1594"/>
      <c r="C808" s="1594"/>
      <c r="D808" s="1594"/>
      <c r="E808" s="1594"/>
      <c r="F808" s="1594"/>
      <c r="G808" s="1594"/>
      <c r="H808" s="1594"/>
      <c r="I808" s="1594"/>
      <c r="J808" s="1594"/>
      <c r="K808" s="1594"/>
      <c r="L808" s="1594"/>
      <c r="M808" s="1594"/>
      <c r="N808" s="1594"/>
      <c r="O808" s="1594"/>
      <c r="P808" s="1594"/>
      <c r="Q808" s="1594"/>
      <c r="R808" s="1594"/>
      <c r="S808" s="1594"/>
      <c r="T808" s="1594"/>
      <c r="U808" s="1594"/>
      <c r="V808" s="1594"/>
      <c r="W808" s="1594"/>
      <c r="X808" s="1594"/>
      <c r="Y808" s="1594"/>
      <c r="Z808" s="1594"/>
    </row>
    <row r="809" ht="12.75" customHeight="1">
      <c r="A809" s="1594"/>
      <c r="B809" s="1594"/>
      <c r="C809" s="1594"/>
      <c r="D809" s="1594"/>
      <c r="E809" s="1594"/>
      <c r="F809" s="1594"/>
      <c r="G809" s="1594"/>
      <c r="H809" s="1594"/>
      <c r="I809" s="1594"/>
      <c r="J809" s="1594"/>
      <c r="K809" s="1594"/>
      <c r="L809" s="1594"/>
      <c r="M809" s="1594"/>
      <c r="N809" s="1594"/>
      <c r="O809" s="1594"/>
      <c r="P809" s="1594"/>
      <c r="Q809" s="1594"/>
      <c r="R809" s="1594"/>
      <c r="S809" s="1594"/>
      <c r="T809" s="1594"/>
      <c r="U809" s="1594"/>
      <c r="V809" s="1594"/>
      <c r="W809" s="1594"/>
      <c r="X809" s="1594"/>
      <c r="Y809" s="1594"/>
      <c r="Z809" s="1594"/>
    </row>
    <row r="810" ht="12.75" customHeight="1">
      <c r="A810" s="1594"/>
      <c r="B810" s="1594"/>
      <c r="C810" s="1594"/>
      <c r="D810" s="1594"/>
      <c r="E810" s="1594"/>
      <c r="F810" s="1594"/>
      <c r="G810" s="1594"/>
      <c r="H810" s="1594"/>
      <c r="I810" s="1594"/>
      <c r="J810" s="1594"/>
      <c r="K810" s="1594"/>
      <c r="L810" s="1594"/>
      <c r="M810" s="1594"/>
      <c r="N810" s="1594"/>
      <c r="O810" s="1594"/>
      <c r="P810" s="1594"/>
      <c r="Q810" s="1594"/>
      <c r="R810" s="1594"/>
      <c r="S810" s="1594"/>
      <c r="T810" s="1594"/>
      <c r="U810" s="1594"/>
      <c r="V810" s="1594"/>
      <c r="W810" s="1594"/>
      <c r="X810" s="1594"/>
      <c r="Y810" s="1594"/>
      <c r="Z810" s="1594"/>
    </row>
    <row r="811" ht="12.75" customHeight="1">
      <c r="A811" s="1594"/>
      <c r="B811" s="1594"/>
      <c r="C811" s="1594"/>
      <c r="D811" s="1594"/>
      <c r="E811" s="1594"/>
      <c r="F811" s="1594"/>
      <c r="G811" s="1594"/>
      <c r="H811" s="1594"/>
      <c r="I811" s="1594"/>
      <c r="J811" s="1594"/>
      <c r="K811" s="1594"/>
      <c r="L811" s="1594"/>
      <c r="M811" s="1594"/>
      <c r="N811" s="1594"/>
      <c r="O811" s="1594"/>
      <c r="P811" s="1594"/>
      <c r="Q811" s="1594"/>
      <c r="R811" s="1594"/>
      <c r="S811" s="1594"/>
      <c r="T811" s="1594"/>
      <c r="U811" s="1594"/>
      <c r="V811" s="1594"/>
      <c r="W811" s="1594"/>
      <c r="X811" s="1594"/>
      <c r="Y811" s="1594"/>
      <c r="Z811" s="1594"/>
    </row>
    <row r="812" ht="12.75" customHeight="1">
      <c r="A812" s="1594"/>
      <c r="B812" s="1594"/>
      <c r="C812" s="1594"/>
      <c r="D812" s="1594"/>
      <c r="E812" s="1594"/>
      <c r="F812" s="1594"/>
      <c r="G812" s="1594"/>
      <c r="H812" s="1594"/>
      <c r="I812" s="1594"/>
      <c r="J812" s="1594"/>
      <c r="K812" s="1594"/>
      <c r="L812" s="1594"/>
      <c r="M812" s="1594"/>
      <c r="N812" s="1594"/>
      <c r="O812" s="1594"/>
      <c r="P812" s="1594"/>
      <c r="Q812" s="1594"/>
      <c r="R812" s="1594"/>
      <c r="S812" s="1594"/>
      <c r="T812" s="1594"/>
      <c r="U812" s="1594"/>
      <c r="V812" s="1594"/>
      <c r="W812" s="1594"/>
      <c r="X812" s="1594"/>
      <c r="Y812" s="1594"/>
      <c r="Z812" s="1594"/>
    </row>
    <row r="813" ht="12.75" customHeight="1">
      <c r="A813" s="1594"/>
      <c r="B813" s="1594"/>
      <c r="C813" s="1594"/>
      <c r="D813" s="1594"/>
      <c r="E813" s="1594"/>
      <c r="F813" s="1594"/>
      <c r="G813" s="1594"/>
      <c r="H813" s="1594"/>
      <c r="I813" s="1594"/>
      <c r="J813" s="1594"/>
      <c r="K813" s="1594"/>
      <c r="L813" s="1594"/>
      <c r="M813" s="1594"/>
      <c r="N813" s="1594"/>
      <c r="O813" s="1594"/>
      <c r="P813" s="1594"/>
      <c r="Q813" s="1594"/>
      <c r="R813" s="1594"/>
      <c r="S813" s="1594"/>
      <c r="T813" s="1594"/>
      <c r="U813" s="1594"/>
      <c r="V813" s="1594"/>
      <c r="W813" s="1594"/>
      <c r="X813" s="1594"/>
      <c r="Y813" s="1594"/>
      <c r="Z813" s="1594"/>
    </row>
    <row r="814" ht="12.75" customHeight="1">
      <c r="A814" s="1594"/>
      <c r="B814" s="1594"/>
      <c r="C814" s="1594"/>
      <c r="D814" s="1594"/>
      <c r="E814" s="1594"/>
      <c r="F814" s="1594"/>
      <c r="G814" s="1594"/>
      <c r="H814" s="1594"/>
      <c r="I814" s="1594"/>
      <c r="J814" s="1594"/>
      <c r="K814" s="1594"/>
      <c r="L814" s="1594"/>
      <c r="M814" s="1594"/>
      <c r="N814" s="1594"/>
      <c r="O814" s="1594"/>
      <c r="P814" s="1594"/>
      <c r="Q814" s="1594"/>
      <c r="R814" s="1594"/>
      <c r="S814" s="1594"/>
      <c r="T814" s="1594"/>
      <c r="U814" s="1594"/>
      <c r="V814" s="1594"/>
      <c r="W814" s="1594"/>
      <c r="X814" s="1594"/>
      <c r="Y814" s="1594"/>
      <c r="Z814" s="1594"/>
    </row>
    <row r="815" ht="12.75" customHeight="1">
      <c r="A815" s="1594"/>
      <c r="B815" s="1594"/>
      <c r="C815" s="1594"/>
      <c r="D815" s="1594"/>
      <c r="E815" s="1594"/>
      <c r="F815" s="1594"/>
      <c r="G815" s="1594"/>
      <c r="H815" s="1594"/>
      <c r="I815" s="1594"/>
      <c r="J815" s="1594"/>
      <c r="K815" s="1594"/>
      <c r="L815" s="1594"/>
      <c r="M815" s="1594"/>
      <c r="N815" s="1594"/>
      <c r="O815" s="1594"/>
      <c r="P815" s="1594"/>
      <c r="Q815" s="1594"/>
      <c r="R815" s="1594"/>
      <c r="S815" s="1594"/>
      <c r="T815" s="1594"/>
      <c r="U815" s="1594"/>
      <c r="V815" s="1594"/>
      <c r="W815" s="1594"/>
      <c r="X815" s="1594"/>
      <c r="Y815" s="1594"/>
      <c r="Z815" s="1594"/>
    </row>
    <row r="816" ht="12.75" customHeight="1">
      <c r="A816" s="1594"/>
      <c r="B816" s="1594"/>
      <c r="C816" s="1594"/>
      <c r="D816" s="1594"/>
      <c r="E816" s="1594"/>
      <c r="F816" s="1594"/>
      <c r="G816" s="1594"/>
      <c r="H816" s="1594"/>
      <c r="I816" s="1594"/>
      <c r="J816" s="1594"/>
      <c r="K816" s="1594"/>
      <c r="L816" s="1594"/>
      <c r="M816" s="1594"/>
      <c r="N816" s="1594"/>
      <c r="O816" s="1594"/>
      <c r="P816" s="1594"/>
      <c r="Q816" s="1594"/>
      <c r="R816" s="1594"/>
      <c r="S816" s="1594"/>
      <c r="T816" s="1594"/>
      <c r="U816" s="1594"/>
      <c r="V816" s="1594"/>
      <c r="W816" s="1594"/>
      <c r="X816" s="1594"/>
      <c r="Y816" s="1594"/>
      <c r="Z816" s="1594"/>
    </row>
    <row r="817" ht="12.75" customHeight="1">
      <c r="A817" s="1594"/>
      <c r="B817" s="1594"/>
      <c r="C817" s="1594"/>
      <c r="D817" s="1594"/>
      <c r="E817" s="1594"/>
      <c r="F817" s="1594"/>
      <c r="G817" s="1594"/>
      <c r="H817" s="1594"/>
      <c r="I817" s="1594"/>
      <c r="J817" s="1594"/>
      <c r="K817" s="1594"/>
      <c r="L817" s="1594"/>
      <c r="M817" s="1594"/>
      <c r="N817" s="1594"/>
      <c r="O817" s="1594"/>
      <c r="P817" s="1594"/>
      <c r="Q817" s="1594"/>
      <c r="R817" s="1594"/>
      <c r="S817" s="1594"/>
      <c r="T817" s="1594"/>
      <c r="U817" s="1594"/>
      <c r="V817" s="1594"/>
      <c r="W817" s="1594"/>
      <c r="X817" s="1594"/>
      <c r="Y817" s="1594"/>
      <c r="Z817" s="1594"/>
    </row>
    <row r="818" ht="12.75" customHeight="1">
      <c r="A818" s="1594"/>
      <c r="B818" s="1594"/>
      <c r="C818" s="1594"/>
      <c r="D818" s="1594"/>
      <c r="E818" s="1594"/>
      <c r="F818" s="1594"/>
      <c r="G818" s="1594"/>
      <c r="H818" s="1594"/>
      <c r="I818" s="1594"/>
      <c r="J818" s="1594"/>
      <c r="K818" s="1594"/>
      <c r="L818" s="1594"/>
      <c r="M818" s="1594"/>
      <c r="N818" s="1594"/>
      <c r="O818" s="1594"/>
      <c r="P818" s="1594"/>
      <c r="Q818" s="1594"/>
      <c r="R818" s="1594"/>
      <c r="S818" s="1594"/>
      <c r="T818" s="1594"/>
      <c r="U818" s="1594"/>
      <c r="V818" s="1594"/>
      <c r="W818" s="1594"/>
      <c r="X818" s="1594"/>
      <c r="Y818" s="1594"/>
      <c r="Z818" s="1594"/>
    </row>
    <row r="819" ht="12.75" customHeight="1">
      <c r="A819" s="1594"/>
      <c r="B819" s="1594"/>
      <c r="C819" s="1594"/>
      <c r="D819" s="1594"/>
      <c r="E819" s="1594"/>
      <c r="F819" s="1594"/>
      <c r="G819" s="1594"/>
      <c r="H819" s="1594"/>
      <c r="I819" s="1594"/>
      <c r="J819" s="1594"/>
      <c r="K819" s="1594"/>
      <c r="L819" s="1594"/>
      <c r="M819" s="1594"/>
      <c r="N819" s="1594"/>
      <c r="O819" s="1594"/>
      <c r="P819" s="1594"/>
      <c r="Q819" s="1594"/>
      <c r="R819" s="1594"/>
      <c r="S819" s="1594"/>
      <c r="T819" s="1594"/>
      <c r="U819" s="1594"/>
      <c r="V819" s="1594"/>
      <c r="W819" s="1594"/>
      <c r="X819" s="1594"/>
      <c r="Y819" s="1594"/>
      <c r="Z819" s="1594"/>
    </row>
    <row r="820" ht="12.75" customHeight="1">
      <c r="A820" s="1594"/>
      <c r="B820" s="1594"/>
      <c r="C820" s="1594"/>
      <c r="D820" s="1594"/>
      <c r="E820" s="1594"/>
      <c r="F820" s="1594"/>
      <c r="G820" s="1594"/>
      <c r="H820" s="1594"/>
      <c r="I820" s="1594"/>
      <c r="J820" s="1594"/>
      <c r="K820" s="1594"/>
      <c r="L820" s="1594"/>
      <c r="M820" s="1594"/>
      <c r="N820" s="1594"/>
      <c r="O820" s="1594"/>
      <c r="P820" s="1594"/>
      <c r="Q820" s="1594"/>
      <c r="R820" s="1594"/>
      <c r="S820" s="1594"/>
      <c r="T820" s="1594"/>
      <c r="U820" s="1594"/>
      <c r="V820" s="1594"/>
      <c r="W820" s="1594"/>
      <c r="X820" s="1594"/>
      <c r="Y820" s="1594"/>
      <c r="Z820" s="1594"/>
    </row>
    <row r="821" ht="12.75" customHeight="1">
      <c r="A821" s="1594"/>
      <c r="B821" s="1594"/>
      <c r="C821" s="1594"/>
      <c r="D821" s="1594"/>
      <c r="E821" s="1594"/>
      <c r="F821" s="1594"/>
      <c r="G821" s="1594"/>
      <c r="H821" s="1594"/>
      <c r="I821" s="1594"/>
      <c r="J821" s="1594"/>
      <c r="K821" s="1594"/>
      <c r="L821" s="1594"/>
      <c r="M821" s="1594"/>
      <c r="N821" s="1594"/>
      <c r="O821" s="1594"/>
      <c r="P821" s="1594"/>
      <c r="Q821" s="1594"/>
      <c r="R821" s="1594"/>
      <c r="S821" s="1594"/>
      <c r="T821" s="1594"/>
      <c r="U821" s="1594"/>
      <c r="V821" s="1594"/>
      <c r="W821" s="1594"/>
      <c r="X821" s="1594"/>
      <c r="Y821" s="1594"/>
      <c r="Z821" s="1594"/>
    </row>
    <row r="822" ht="12.75" customHeight="1">
      <c r="A822" s="1594"/>
      <c r="B822" s="1594"/>
      <c r="C822" s="1594"/>
      <c r="D822" s="1594"/>
      <c r="E822" s="1594"/>
      <c r="F822" s="1594"/>
      <c r="G822" s="1594"/>
      <c r="H822" s="1594"/>
      <c r="I822" s="1594"/>
      <c r="J822" s="1594"/>
      <c r="K822" s="1594"/>
      <c r="L822" s="1594"/>
      <c r="M822" s="1594"/>
      <c r="N822" s="1594"/>
      <c r="O822" s="1594"/>
      <c r="P822" s="1594"/>
      <c r="Q822" s="1594"/>
      <c r="R822" s="1594"/>
      <c r="S822" s="1594"/>
      <c r="T822" s="1594"/>
      <c r="U822" s="1594"/>
      <c r="V822" s="1594"/>
      <c r="W822" s="1594"/>
      <c r="X822" s="1594"/>
      <c r="Y822" s="1594"/>
      <c r="Z822" s="1594"/>
    </row>
    <row r="823" ht="12.75" customHeight="1">
      <c r="A823" s="1594"/>
      <c r="B823" s="1594"/>
      <c r="C823" s="1594"/>
      <c r="D823" s="1594"/>
      <c r="E823" s="1594"/>
      <c r="F823" s="1594"/>
      <c r="G823" s="1594"/>
      <c r="H823" s="1594"/>
      <c r="I823" s="1594"/>
      <c r="J823" s="1594"/>
      <c r="K823" s="1594"/>
      <c r="L823" s="1594"/>
      <c r="M823" s="1594"/>
      <c r="N823" s="1594"/>
      <c r="O823" s="1594"/>
      <c r="P823" s="1594"/>
      <c r="Q823" s="1594"/>
      <c r="R823" s="1594"/>
      <c r="S823" s="1594"/>
      <c r="T823" s="1594"/>
      <c r="U823" s="1594"/>
      <c r="V823" s="1594"/>
      <c r="W823" s="1594"/>
      <c r="X823" s="1594"/>
      <c r="Y823" s="1594"/>
      <c r="Z823" s="1594"/>
    </row>
    <row r="824" ht="12.75" customHeight="1">
      <c r="A824" s="1594"/>
      <c r="B824" s="1594"/>
      <c r="C824" s="1594"/>
      <c r="D824" s="1594"/>
      <c r="E824" s="1594"/>
      <c r="F824" s="1594"/>
      <c r="G824" s="1594"/>
      <c r="H824" s="1594"/>
      <c r="I824" s="1594"/>
      <c r="J824" s="1594"/>
      <c r="K824" s="1594"/>
      <c r="L824" s="1594"/>
      <c r="M824" s="1594"/>
      <c r="N824" s="1594"/>
      <c r="O824" s="1594"/>
      <c r="P824" s="1594"/>
      <c r="Q824" s="1594"/>
      <c r="R824" s="1594"/>
      <c r="S824" s="1594"/>
      <c r="T824" s="1594"/>
      <c r="U824" s="1594"/>
      <c r="V824" s="1594"/>
      <c r="W824" s="1594"/>
      <c r="X824" s="1594"/>
      <c r="Y824" s="1594"/>
      <c r="Z824" s="1594"/>
    </row>
    <row r="825" ht="12.75" customHeight="1">
      <c r="A825" s="1594"/>
      <c r="B825" s="1594"/>
      <c r="C825" s="1594"/>
      <c r="D825" s="1594"/>
      <c r="E825" s="1594"/>
      <c r="F825" s="1594"/>
      <c r="G825" s="1594"/>
      <c r="H825" s="1594"/>
      <c r="I825" s="1594"/>
      <c r="J825" s="1594"/>
      <c r="K825" s="1594"/>
      <c r="L825" s="1594"/>
      <c r="M825" s="1594"/>
      <c r="N825" s="1594"/>
      <c r="O825" s="1594"/>
      <c r="P825" s="1594"/>
      <c r="Q825" s="1594"/>
      <c r="R825" s="1594"/>
      <c r="S825" s="1594"/>
      <c r="T825" s="1594"/>
      <c r="U825" s="1594"/>
      <c r="V825" s="1594"/>
      <c r="W825" s="1594"/>
      <c r="X825" s="1594"/>
      <c r="Y825" s="1594"/>
      <c r="Z825" s="1594"/>
    </row>
    <row r="826" ht="12.75" customHeight="1">
      <c r="A826" s="1594"/>
      <c r="B826" s="1594"/>
      <c r="C826" s="1594"/>
      <c r="D826" s="1594"/>
      <c r="E826" s="1594"/>
      <c r="F826" s="1594"/>
      <c r="G826" s="1594"/>
      <c r="H826" s="1594"/>
      <c r="I826" s="1594"/>
      <c r="J826" s="1594"/>
      <c r="K826" s="1594"/>
      <c r="L826" s="1594"/>
      <c r="M826" s="1594"/>
      <c r="N826" s="1594"/>
      <c r="O826" s="1594"/>
      <c r="P826" s="1594"/>
      <c r="Q826" s="1594"/>
      <c r="R826" s="1594"/>
      <c r="S826" s="1594"/>
      <c r="T826" s="1594"/>
      <c r="U826" s="1594"/>
      <c r="V826" s="1594"/>
      <c r="W826" s="1594"/>
      <c r="X826" s="1594"/>
      <c r="Y826" s="1594"/>
      <c r="Z826" s="1594"/>
    </row>
    <row r="827" ht="12.75" customHeight="1">
      <c r="A827" s="1594"/>
      <c r="B827" s="1594"/>
      <c r="C827" s="1594"/>
      <c r="D827" s="1594"/>
      <c r="E827" s="1594"/>
      <c r="F827" s="1594"/>
      <c r="G827" s="1594"/>
      <c r="H827" s="1594"/>
      <c r="I827" s="1594"/>
      <c r="J827" s="1594"/>
      <c r="K827" s="1594"/>
      <c r="L827" s="1594"/>
      <c r="M827" s="1594"/>
      <c r="N827" s="1594"/>
      <c r="O827" s="1594"/>
      <c r="P827" s="1594"/>
      <c r="Q827" s="1594"/>
      <c r="R827" s="1594"/>
      <c r="S827" s="1594"/>
      <c r="T827" s="1594"/>
      <c r="U827" s="1594"/>
      <c r="V827" s="1594"/>
      <c r="W827" s="1594"/>
      <c r="X827" s="1594"/>
      <c r="Y827" s="1594"/>
      <c r="Z827" s="1594"/>
    </row>
    <row r="828" ht="12.75" customHeight="1">
      <c r="A828" s="1594"/>
      <c r="B828" s="1594"/>
      <c r="C828" s="1594"/>
      <c r="D828" s="1594"/>
      <c r="E828" s="1594"/>
      <c r="F828" s="1594"/>
      <c r="G828" s="1594"/>
      <c r="H828" s="1594"/>
      <c r="I828" s="1594"/>
      <c r="J828" s="1594"/>
      <c r="K828" s="1594"/>
      <c r="L828" s="1594"/>
      <c r="M828" s="1594"/>
      <c r="N828" s="1594"/>
      <c r="O828" s="1594"/>
      <c r="P828" s="1594"/>
      <c r="Q828" s="1594"/>
      <c r="R828" s="1594"/>
      <c r="S828" s="1594"/>
      <c r="T828" s="1594"/>
      <c r="U828" s="1594"/>
      <c r="V828" s="1594"/>
      <c r="W828" s="1594"/>
      <c r="X828" s="1594"/>
      <c r="Y828" s="1594"/>
      <c r="Z828" s="1594"/>
    </row>
    <row r="829" ht="12.75" customHeight="1">
      <c r="A829" s="1594"/>
      <c r="B829" s="1594"/>
      <c r="C829" s="1594"/>
      <c r="D829" s="1594"/>
      <c r="E829" s="1594"/>
      <c r="F829" s="1594"/>
      <c r="G829" s="1594"/>
      <c r="H829" s="1594"/>
      <c r="I829" s="1594"/>
      <c r="J829" s="1594"/>
      <c r="K829" s="1594"/>
      <c r="L829" s="1594"/>
      <c r="M829" s="1594"/>
      <c r="N829" s="1594"/>
      <c r="O829" s="1594"/>
      <c r="P829" s="1594"/>
      <c r="Q829" s="1594"/>
      <c r="R829" s="1594"/>
      <c r="S829" s="1594"/>
      <c r="T829" s="1594"/>
      <c r="U829" s="1594"/>
      <c r="V829" s="1594"/>
      <c r="W829" s="1594"/>
      <c r="X829" s="1594"/>
      <c r="Y829" s="1594"/>
      <c r="Z829" s="1594"/>
    </row>
    <row r="830" ht="12.75" customHeight="1">
      <c r="A830" s="1594"/>
      <c r="B830" s="1594"/>
      <c r="C830" s="1594"/>
      <c r="D830" s="1594"/>
      <c r="E830" s="1594"/>
      <c r="F830" s="1594"/>
      <c r="G830" s="1594"/>
      <c r="H830" s="1594"/>
      <c r="I830" s="1594"/>
      <c r="J830" s="1594"/>
      <c r="K830" s="1594"/>
      <c r="L830" s="1594"/>
      <c r="M830" s="1594"/>
      <c r="N830" s="1594"/>
      <c r="O830" s="1594"/>
      <c r="P830" s="1594"/>
      <c r="Q830" s="1594"/>
      <c r="R830" s="1594"/>
      <c r="S830" s="1594"/>
      <c r="T830" s="1594"/>
      <c r="U830" s="1594"/>
      <c r="V830" s="1594"/>
      <c r="W830" s="1594"/>
      <c r="X830" s="1594"/>
      <c r="Y830" s="1594"/>
      <c r="Z830" s="1594"/>
    </row>
    <row r="831" ht="12.75" customHeight="1">
      <c r="A831" s="1594"/>
      <c r="B831" s="1594"/>
      <c r="C831" s="1594"/>
      <c r="D831" s="1594"/>
      <c r="E831" s="1594"/>
      <c r="F831" s="1594"/>
      <c r="G831" s="1594"/>
      <c r="H831" s="1594"/>
      <c r="I831" s="1594"/>
      <c r="J831" s="1594"/>
      <c r="K831" s="1594"/>
      <c r="L831" s="1594"/>
      <c r="M831" s="1594"/>
      <c r="N831" s="1594"/>
      <c r="O831" s="1594"/>
      <c r="P831" s="1594"/>
      <c r="Q831" s="1594"/>
      <c r="R831" s="1594"/>
      <c r="S831" s="1594"/>
      <c r="T831" s="1594"/>
      <c r="U831" s="1594"/>
      <c r="V831" s="1594"/>
      <c r="W831" s="1594"/>
      <c r="X831" s="1594"/>
      <c r="Y831" s="1594"/>
      <c r="Z831" s="1594"/>
    </row>
    <row r="832" ht="12.75" customHeight="1">
      <c r="A832" s="1594"/>
      <c r="B832" s="1594"/>
      <c r="C832" s="1594"/>
      <c r="D832" s="1594"/>
      <c r="E832" s="1594"/>
      <c r="F832" s="1594"/>
      <c r="G832" s="1594"/>
      <c r="H832" s="1594"/>
      <c r="I832" s="1594"/>
      <c r="J832" s="1594"/>
      <c r="K832" s="1594"/>
      <c r="L832" s="1594"/>
      <c r="M832" s="1594"/>
      <c r="N832" s="1594"/>
      <c r="O832" s="1594"/>
      <c r="P832" s="1594"/>
      <c r="Q832" s="1594"/>
      <c r="R832" s="1594"/>
      <c r="S832" s="1594"/>
      <c r="T832" s="1594"/>
      <c r="U832" s="1594"/>
      <c r="V832" s="1594"/>
      <c r="W832" s="1594"/>
      <c r="X832" s="1594"/>
      <c r="Y832" s="1594"/>
      <c r="Z832" s="1594"/>
    </row>
    <row r="833" ht="12.75" customHeight="1">
      <c r="A833" s="1594"/>
      <c r="B833" s="1594"/>
      <c r="C833" s="1594"/>
      <c r="D833" s="1594"/>
      <c r="E833" s="1594"/>
      <c r="F833" s="1594"/>
      <c r="G833" s="1594"/>
      <c r="H833" s="1594"/>
      <c r="I833" s="1594"/>
      <c r="J833" s="1594"/>
      <c r="K833" s="1594"/>
      <c r="L833" s="1594"/>
      <c r="M833" s="1594"/>
      <c r="N833" s="1594"/>
      <c r="O833" s="1594"/>
      <c r="P833" s="1594"/>
      <c r="Q833" s="1594"/>
      <c r="R833" s="1594"/>
      <c r="S833" s="1594"/>
      <c r="T833" s="1594"/>
      <c r="U833" s="1594"/>
      <c r="V833" s="1594"/>
      <c r="W833" s="1594"/>
      <c r="X833" s="1594"/>
      <c r="Y833" s="1594"/>
      <c r="Z833" s="1594"/>
    </row>
    <row r="834" ht="12.75" customHeight="1">
      <c r="A834" s="1594"/>
      <c r="B834" s="1594"/>
      <c r="C834" s="1594"/>
      <c r="D834" s="1594"/>
      <c r="E834" s="1594"/>
      <c r="F834" s="1594"/>
      <c r="G834" s="1594"/>
      <c r="H834" s="1594"/>
      <c r="I834" s="1594"/>
      <c r="J834" s="1594"/>
      <c r="K834" s="1594"/>
      <c r="L834" s="1594"/>
      <c r="M834" s="1594"/>
      <c r="N834" s="1594"/>
      <c r="O834" s="1594"/>
      <c r="P834" s="1594"/>
      <c r="Q834" s="1594"/>
      <c r="R834" s="1594"/>
      <c r="S834" s="1594"/>
      <c r="T834" s="1594"/>
      <c r="U834" s="1594"/>
      <c r="V834" s="1594"/>
      <c r="W834" s="1594"/>
      <c r="X834" s="1594"/>
      <c r="Y834" s="1594"/>
      <c r="Z834" s="1594"/>
    </row>
    <row r="835" ht="12.75" customHeight="1">
      <c r="A835" s="1594"/>
      <c r="B835" s="1594"/>
      <c r="C835" s="1594"/>
      <c r="D835" s="1594"/>
      <c r="E835" s="1594"/>
      <c r="F835" s="1594"/>
      <c r="G835" s="1594"/>
      <c r="H835" s="1594"/>
      <c r="I835" s="1594"/>
      <c r="J835" s="1594"/>
      <c r="K835" s="1594"/>
      <c r="L835" s="1594"/>
      <c r="M835" s="1594"/>
      <c r="N835" s="1594"/>
      <c r="O835" s="1594"/>
      <c r="P835" s="1594"/>
      <c r="Q835" s="1594"/>
      <c r="R835" s="1594"/>
      <c r="S835" s="1594"/>
      <c r="T835" s="1594"/>
      <c r="U835" s="1594"/>
      <c r="V835" s="1594"/>
      <c r="W835" s="1594"/>
      <c r="X835" s="1594"/>
      <c r="Y835" s="1594"/>
      <c r="Z835" s="1594"/>
    </row>
    <row r="836" ht="12.75" customHeight="1">
      <c r="A836" s="1594"/>
      <c r="B836" s="1594"/>
      <c r="C836" s="1594"/>
      <c r="D836" s="1594"/>
      <c r="E836" s="1594"/>
      <c r="F836" s="1594"/>
      <c r="G836" s="1594"/>
      <c r="H836" s="1594"/>
      <c r="I836" s="1594"/>
      <c r="J836" s="1594"/>
      <c r="K836" s="1594"/>
      <c r="L836" s="1594"/>
      <c r="M836" s="1594"/>
      <c r="N836" s="1594"/>
      <c r="O836" s="1594"/>
      <c r="P836" s="1594"/>
      <c r="Q836" s="1594"/>
      <c r="R836" s="1594"/>
      <c r="S836" s="1594"/>
      <c r="T836" s="1594"/>
      <c r="U836" s="1594"/>
      <c r="V836" s="1594"/>
      <c r="W836" s="1594"/>
      <c r="X836" s="1594"/>
      <c r="Y836" s="1594"/>
      <c r="Z836" s="1594"/>
    </row>
    <row r="837" ht="12.75" customHeight="1">
      <c r="A837" s="1594"/>
      <c r="B837" s="1594"/>
      <c r="C837" s="1594"/>
      <c r="D837" s="1594"/>
      <c r="E837" s="1594"/>
      <c r="F837" s="1594"/>
      <c r="G837" s="1594"/>
      <c r="H837" s="1594"/>
      <c r="I837" s="1594"/>
      <c r="J837" s="1594"/>
      <c r="K837" s="1594"/>
      <c r="L837" s="1594"/>
      <c r="M837" s="1594"/>
      <c r="N837" s="1594"/>
      <c r="O837" s="1594"/>
      <c r="P837" s="1594"/>
      <c r="Q837" s="1594"/>
      <c r="R837" s="1594"/>
      <c r="S837" s="1594"/>
      <c r="T837" s="1594"/>
      <c r="U837" s="1594"/>
      <c r="V837" s="1594"/>
      <c r="W837" s="1594"/>
      <c r="X837" s="1594"/>
      <c r="Y837" s="1594"/>
      <c r="Z837" s="1594"/>
    </row>
    <row r="838" ht="12.75" customHeight="1">
      <c r="A838" s="1594"/>
      <c r="B838" s="1594"/>
      <c r="C838" s="1594"/>
      <c r="D838" s="1594"/>
      <c r="E838" s="1594"/>
      <c r="F838" s="1594"/>
      <c r="G838" s="1594"/>
      <c r="H838" s="1594"/>
      <c r="I838" s="1594"/>
      <c r="J838" s="1594"/>
      <c r="K838" s="1594"/>
      <c r="L838" s="1594"/>
      <c r="M838" s="1594"/>
      <c r="N838" s="1594"/>
      <c r="O838" s="1594"/>
      <c r="P838" s="1594"/>
      <c r="Q838" s="1594"/>
      <c r="R838" s="1594"/>
      <c r="S838" s="1594"/>
      <c r="T838" s="1594"/>
      <c r="U838" s="1594"/>
      <c r="V838" s="1594"/>
      <c r="W838" s="1594"/>
      <c r="X838" s="1594"/>
      <c r="Y838" s="1594"/>
      <c r="Z838" s="1594"/>
    </row>
    <row r="839" ht="12.75" customHeight="1">
      <c r="A839" s="1594"/>
      <c r="B839" s="1594"/>
      <c r="C839" s="1594"/>
      <c r="D839" s="1594"/>
      <c r="E839" s="1594"/>
      <c r="F839" s="1594"/>
      <c r="G839" s="1594"/>
      <c r="H839" s="1594"/>
      <c r="I839" s="1594"/>
      <c r="J839" s="1594"/>
      <c r="K839" s="1594"/>
      <c r="L839" s="1594"/>
      <c r="M839" s="1594"/>
      <c r="N839" s="1594"/>
      <c r="O839" s="1594"/>
      <c r="P839" s="1594"/>
      <c r="Q839" s="1594"/>
      <c r="R839" s="1594"/>
      <c r="S839" s="1594"/>
      <c r="T839" s="1594"/>
      <c r="U839" s="1594"/>
      <c r="V839" s="1594"/>
      <c r="W839" s="1594"/>
      <c r="X839" s="1594"/>
      <c r="Y839" s="1594"/>
      <c r="Z839" s="1594"/>
    </row>
    <row r="840" ht="12.75" customHeight="1">
      <c r="A840" s="1594"/>
      <c r="B840" s="1594"/>
      <c r="C840" s="1594"/>
      <c r="D840" s="1594"/>
      <c r="E840" s="1594"/>
      <c r="F840" s="1594"/>
      <c r="G840" s="1594"/>
      <c r="H840" s="1594"/>
      <c r="I840" s="1594"/>
      <c r="J840" s="1594"/>
      <c r="K840" s="1594"/>
      <c r="L840" s="1594"/>
      <c r="M840" s="1594"/>
      <c r="N840" s="1594"/>
      <c r="O840" s="1594"/>
      <c r="P840" s="1594"/>
      <c r="Q840" s="1594"/>
      <c r="R840" s="1594"/>
      <c r="S840" s="1594"/>
      <c r="T840" s="1594"/>
      <c r="U840" s="1594"/>
      <c r="V840" s="1594"/>
      <c r="W840" s="1594"/>
      <c r="X840" s="1594"/>
      <c r="Y840" s="1594"/>
      <c r="Z840" s="1594"/>
    </row>
    <row r="841" ht="12.75" customHeight="1">
      <c r="A841" s="1594"/>
      <c r="B841" s="1594"/>
      <c r="C841" s="1594"/>
      <c r="D841" s="1594"/>
      <c r="E841" s="1594"/>
      <c r="F841" s="1594"/>
      <c r="G841" s="1594"/>
      <c r="H841" s="1594"/>
      <c r="I841" s="1594"/>
      <c r="J841" s="1594"/>
      <c r="K841" s="1594"/>
      <c r="L841" s="1594"/>
      <c r="M841" s="1594"/>
      <c r="N841" s="1594"/>
      <c r="O841" s="1594"/>
      <c r="P841" s="1594"/>
      <c r="Q841" s="1594"/>
      <c r="R841" s="1594"/>
      <c r="S841" s="1594"/>
      <c r="T841" s="1594"/>
      <c r="U841" s="1594"/>
      <c r="V841" s="1594"/>
      <c r="W841" s="1594"/>
      <c r="X841" s="1594"/>
      <c r="Y841" s="1594"/>
      <c r="Z841" s="1594"/>
    </row>
    <row r="842" ht="12.75" customHeight="1">
      <c r="A842" s="1594"/>
      <c r="B842" s="1594"/>
      <c r="C842" s="1594"/>
      <c r="D842" s="1594"/>
      <c r="E842" s="1594"/>
      <c r="F842" s="1594"/>
      <c r="G842" s="1594"/>
      <c r="H842" s="1594"/>
      <c r="I842" s="1594"/>
      <c r="J842" s="1594"/>
      <c r="K842" s="1594"/>
      <c r="L842" s="1594"/>
      <c r="M842" s="1594"/>
      <c r="N842" s="1594"/>
      <c r="O842" s="1594"/>
      <c r="P842" s="1594"/>
      <c r="Q842" s="1594"/>
      <c r="R842" s="1594"/>
      <c r="S842" s="1594"/>
      <c r="T842" s="1594"/>
      <c r="U842" s="1594"/>
      <c r="V842" s="1594"/>
      <c r="W842" s="1594"/>
      <c r="X842" s="1594"/>
      <c r="Y842" s="1594"/>
      <c r="Z842" s="1594"/>
    </row>
    <row r="843" ht="12.75" customHeight="1">
      <c r="A843" s="1594"/>
      <c r="B843" s="1594"/>
      <c r="C843" s="1594"/>
      <c r="D843" s="1594"/>
      <c r="E843" s="1594"/>
      <c r="F843" s="1594"/>
      <c r="G843" s="1594"/>
      <c r="H843" s="1594"/>
      <c r="I843" s="1594"/>
      <c r="J843" s="1594"/>
      <c r="K843" s="1594"/>
      <c r="L843" s="1594"/>
      <c r="M843" s="1594"/>
      <c r="N843" s="1594"/>
      <c r="O843" s="1594"/>
      <c r="P843" s="1594"/>
      <c r="Q843" s="1594"/>
      <c r="R843" s="1594"/>
      <c r="S843" s="1594"/>
      <c r="T843" s="1594"/>
      <c r="U843" s="1594"/>
      <c r="V843" s="1594"/>
      <c r="W843" s="1594"/>
      <c r="X843" s="1594"/>
      <c r="Y843" s="1594"/>
      <c r="Z843" s="1594"/>
    </row>
    <row r="844" ht="12.75" customHeight="1">
      <c r="A844" s="1594"/>
      <c r="B844" s="1594"/>
      <c r="C844" s="1594"/>
      <c r="D844" s="1594"/>
      <c r="E844" s="1594"/>
      <c r="F844" s="1594"/>
      <c r="G844" s="1594"/>
      <c r="H844" s="1594"/>
      <c r="I844" s="1594"/>
      <c r="J844" s="1594"/>
      <c r="K844" s="1594"/>
      <c r="L844" s="1594"/>
      <c r="M844" s="1594"/>
      <c r="N844" s="1594"/>
      <c r="O844" s="1594"/>
      <c r="P844" s="1594"/>
      <c r="Q844" s="1594"/>
      <c r="R844" s="1594"/>
      <c r="S844" s="1594"/>
      <c r="T844" s="1594"/>
      <c r="U844" s="1594"/>
      <c r="V844" s="1594"/>
      <c r="W844" s="1594"/>
      <c r="X844" s="1594"/>
      <c r="Y844" s="1594"/>
      <c r="Z844" s="1594"/>
    </row>
    <row r="845" ht="12.75" customHeight="1">
      <c r="A845" s="1594"/>
      <c r="B845" s="1594"/>
      <c r="C845" s="1594"/>
      <c r="D845" s="1594"/>
      <c r="E845" s="1594"/>
      <c r="F845" s="1594"/>
      <c r="G845" s="1594"/>
      <c r="H845" s="1594"/>
      <c r="I845" s="1594"/>
      <c r="J845" s="1594"/>
      <c r="K845" s="1594"/>
      <c r="L845" s="1594"/>
      <c r="M845" s="1594"/>
      <c r="N845" s="1594"/>
      <c r="O845" s="1594"/>
      <c r="P845" s="1594"/>
      <c r="Q845" s="1594"/>
      <c r="R845" s="1594"/>
      <c r="S845" s="1594"/>
      <c r="T845" s="1594"/>
      <c r="U845" s="1594"/>
      <c r="V845" s="1594"/>
      <c r="W845" s="1594"/>
      <c r="X845" s="1594"/>
      <c r="Y845" s="1594"/>
      <c r="Z845" s="1594"/>
    </row>
    <row r="846" ht="12.75" customHeight="1">
      <c r="A846" s="1594"/>
      <c r="B846" s="1594"/>
      <c r="C846" s="1594"/>
      <c r="D846" s="1594"/>
      <c r="E846" s="1594"/>
      <c r="F846" s="1594"/>
      <c r="G846" s="1594"/>
      <c r="H846" s="1594"/>
      <c r="I846" s="1594"/>
      <c r="J846" s="1594"/>
      <c r="K846" s="1594"/>
      <c r="L846" s="1594"/>
      <c r="M846" s="1594"/>
      <c r="N846" s="1594"/>
      <c r="O846" s="1594"/>
      <c r="P846" s="1594"/>
      <c r="Q846" s="1594"/>
      <c r="R846" s="1594"/>
      <c r="S846" s="1594"/>
      <c r="T846" s="1594"/>
      <c r="U846" s="1594"/>
      <c r="V846" s="1594"/>
      <c r="W846" s="1594"/>
      <c r="X846" s="1594"/>
      <c r="Y846" s="1594"/>
      <c r="Z846" s="1594"/>
    </row>
    <row r="847" ht="12.75" customHeight="1">
      <c r="A847" s="1594"/>
      <c r="B847" s="1594"/>
      <c r="C847" s="1594"/>
      <c r="D847" s="1594"/>
      <c r="E847" s="1594"/>
      <c r="F847" s="1594"/>
      <c r="G847" s="1594"/>
      <c r="H847" s="1594"/>
      <c r="I847" s="1594"/>
      <c r="J847" s="1594"/>
      <c r="K847" s="1594"/>
      <c r="L847" s="1594"/>
      <c r="M847" s="1594"/>
      <c r="N847" s="1594"/>
      <c r="O847" s="1594"/>
      <c r="P847" s="1594"/>
      <c r="Q847" s="1594"/>
      <c r="R847" s="1594"/>
      <c r="S847" s="1594"/>
      <c r="T847" s="1594"/>
      <c r="U847" s="1594"/>
      <c r="V847" s="1594"/>
      <c r="W847" s="1594"/>
      <c r="X847" s="1594"/>
      <c r="Y847" s="1594"/>
      <c r="Z847" s="1594"/>
    </row>
    <row r="848" ht="12.75" customHeight="1">
      <c r="A848" s="1594"/>
      <c r="B848" s="1594"/>
      <c r="C848" s="1594"/>
      <c r="D848" s="1594"/>
      <c r="E848" s="1594"/>
      <c r="F848" s="1594"/>
      <c r="G848" s="1594"/>
      <c r="H848" s="1594"/>
      <c r="I848" s="1594"/>
      <c r="J848" s="1594"/>
      <c r="K848" s="1594"/>
      <c r="L848" s="1594"/>
      <c r="M848" s="1594"/>
      <c r="N848" s="1594"/>
      <c r="O848" s="1594"/>
      <c r="P848" s="1594"/>
      <c r="Q848" s="1594"/>
      <c r="R848" s="1594"/>
      <c r="S848" s="1594"/>
      <c r="T848" s="1594"/>
      <c r="U848" s="1594"/>
      <c r="V848" s="1594"/>
      <c r="W848" s="1594"/>
      <c r="X848" s="1594"/>
      <c r="Y848" s="1594"/>
      <c r="Z848" s="1594"/>
    </row>
    <row r="849" ht="12.75" customHeight="1">
      <c r="A849" s="1594"/>
      <c r="B849" s="1594"/>
      <c r="C849" s="1594"/>
      <c r="D849" s="1594"/>
      <c r="E849" s="1594"/>
      <c r="F849" s="1594"/>
      <c r="G849" s="1594"/>
      <c r="H849" s="1594"/>
      <c r="I849" s="1594"/>
      <c r="J849" s="1594"/>
      <c r="K849" s="1594"/>
      <c r="L849" s="1594"/>
      <c r="M849" s="1594"/>
      <c r="N849" s="1594"/>
      <c r="O849" s="1594"/>
      <c r="P849" s="1594"/>
      <c r="Q849" s="1594"/>
      <c r="R849" s="1594"/>
      <c r="S849" s="1594"/>
      <c r="T849" s="1594"/>
      <c r="U849" s="1594"/>
      <c r="V849" s="1594"/>
      <c r="W849" s="1594"/>
      <c r="X849" s="1594"/>
      <c r="Y849" s="1594"/>
      <c r="Z849" s="1594"/>
    </row>
    <row r="850" ht="12.75" customHeight="1">
      <c r="A850" s="1594"/>
      <c r="B850" s="1594"/>
      <c r="C850" s="1594"/>
      <c r="D850" s="1594"/>
      <c r="E850" s="1594"/>
      <c r="F850" s="1594"/>
      <c r="G850" s="1594"/>
      <c r="H850" s="1594"/>
      <c r="I850" s="1594"/>
      <c r="J850" s="1594"/>
      <c r="K850" s="1594"/>
      <c r="L850" s="1594"/>
      <c r="M850" s="1594"/>
      <c r="N850" s="1594"/>
      <c r="O850" s="1594"/>
      <c r="P850" s="1594"/>
      <c r="Q850" s="1594"/>
      <c r="R850" s="1594"/>
      <c r="S850" s="1594"/>
      <c r="T850" s="1594"/>
      <c r="U850" s="1594"/>
      <c r="V850" s="1594"/>
      <c r="W850" s="1594"/>
      <c r="X850" s="1594"/>
      <c r="Y850" s="1594"/>
      <c r="Z850" s="1594"/>
    </row>
    <row r="851" ht="12.75" customHeight="1">
      <c r="A851" s="1594"/>
      <c r="B851" s="1594"/>
      <c r="C851" s="1594"/>
      <c r="D851" s="1594"/>
      <c r="E851" s="1594"/>
      <c r="F851" s="1594"/>
      <c r="G851" s="1594"/>
      <c r="H851" s="1594"/>
      <c r="I851" s="1594"/>
      <c r="J851" s="1594"/>
      <c r="K851" s="1594"/>
      <c r="L851" s="1594"/>
      <c r="M851" s="1594"/>
      <c r="N851" s="1594"/>
      <c r="O851" s="1594"/>
      <c r="P851" s="1594"/>
      <c r="Q851" s="1594"/>
      <c r="R851" s="1594"/>
      <c r="S851" s="1594"/>
      <c r="T851" s="1594"/>
      <c r="U851" s="1594"/>
      <c r="V851" s="1594"/>
      <c r="W851" s="1594"/>
      <c r="X851" s="1594"/>
      <c r="Y851" s="1594"/>
      <c r="Z851" s="1594"/>
    </row>
    <row r="852" ht="12.75" customHeight="1">
      <c r="A852" s="1594"/>
      <c r="B852" s="1594"/>
      <c r="C852" s="1594"/>
      <c r="D852" s="1594"/>
      <c r="E852" s="1594"/>
      <c r="F852" s="1594"/>
      <c r="G852" s="1594"/>
      <c r="H852" s="1594"/>
      <c r="I852" s="1594"/>
      <c r="J852" s="1594"/>
      <c r="K852" s="1594"/>
      <c r="L852" s="1594"/>
      <c r="M852" s="1594"/>
      <c r="N852" s="1594"/>
      <c r="O852" s="1594"/>
      <c r="P852" s="1594"/>
      <c r="Q852" s="1594"/>
      <c r="R852" s="1594"/>
      <c r="S852" s="1594"/>
      <c r="T852" s="1594"/>
      <c r="U852" s="1594"/>
      <c r="V852" s="1594"/>
      <c r="W852" s="1594"/>
      <c r="X852" s="1594"/>
      <c r="Y852" s="1594"/>
      <c r="Z852" s="1594"/>
    </row>
    <row r="853" ht="12.75" customHeight="1">
      <c r="A853" s="1594"/>
      <c r="B853" s="1594"/>
      <c r="C853" s="1594"/>
      <c r="D853" s="1594"/>
      <c r="E853" s="1594"/>
      <c r="F853" s="1594"/>
      <c r="G853" s="1594"/>
      <c r="H853" s="1594"/>
      <c r="I853" s="1594"/>
      <c r="J853" s="1594"/>
      <c r="K853" s="1594"/>
      <c r="L853" s="1594"/>
      <c r="M853" s="1594"/>
      <c r="N853" s="1594"/>
      <c r="O853" s="1594"/>
      <c r="P853" s="1594"/>
      <c r="Q853" s="1594"/>
      <c r="R853" s="1594"/>
      <c r="S853" s="1594"/>
      <c r="T853" s="1594"/>
      <c r="U853" s="1594"/>
      <c r="V853" s="1594"/>
      <c r="W853" s="1594"/>
      <c r="X853" s="1594"/>
      <c r="Y853" s="1594"/>
      <c r="Z853" s="1594"/>
    </row>
    <row r="854" ht="12.75" customHeight="1">
      <c r="A854" s="1594"/>
      <c r="B854" s="1594"/>
      <c r="C854" s="1594"/>
      <c r="D854" s="1594"/>
      <c r="E854" s="1594"/>
      <c r="F854" s="1594"/>
      <c r="G854" s="1594"/>
      <c r="H854" s="1594"/>
      <c r="I854" s="1594"/>
      <c r="J854" s="1594"/>
      <c r="K854" s="1594"/>
      <c r="L854" s="1594"/>
      <c r="M854" s="1594"/>
      <c r="N854" s="1594"/>
      <c r="O854" s="1594"/>
      <c r="P854" s="1594"/>
      <c r="Q854" s="1594"/>
      <c r="R854" s="1594"/>
      <c r="S854" s="1594"/>
      <c r="T854" s="1594"/>
      <c r="U854" s="1594"/>
      <c r="V854" s="1594"/>
      <c r="W854" s="1594"/>
      <c r="X854" s="1594"/>
      <c r="Y854" s="1594"/>
      <c r="Z854" s="1594"/>
    </row>
    <row r="855" ht="12.75" customHeight="1">
      <c r="A855" s="1594"/>
      <c r="B855" s="1594"/>
      <c r="C855" s="1594"/>
      <c r="D855" s="1594"/>
      <c r="E855" s="1594"/>
      <c r="F855" s="1594"/>
      <c r="G855" s="1594"/>
      <c r="H855" s="1594"/>
      <c r="I855" s="1594"/>
      <c r="J855" s="1594"/>
      <c r="K855" s="1594"/>
      <c r="L855" s="1594"/>
      <c r="M855" s="1594"/>
      <c r="N855" s="1594"/>
      <c r="O855" s="1594"/>
      <c r="P855" s="1594"/>
      <c r="Q855" s="1594"/>
      <c r="R855" s="1594"/>
      <c r="S855" s="1594"/>
      <c r="T855" s="1594"/>
      <c r="U855" s="1594"/>
      <c r="V855" s="1594"/>
      <c r="W855" s="1594"/>
      <c r="X855" s="1594"/>
      <c r="Y855" s="1594"/>
      <c r="Z855" s="1594"/>
    </row>
    <row r="856" ht="12.75" customHeight="1">
      <c r="A856" s="1594"/>
      <c r="B856" s="1594"/>
      <c r="C856" s="1594"/>
      <c r="D856" s="1594"/>
      <c r="E856" s="1594"/>
      <c r="F856" s="1594"/>
      <c r="G856" s="1594"/>
      <c r="H856" s="1594"/>
      <c r="I856" s="1594"/>
      <c r="J856" s="1594"/>
      <c r="K856" s="1594"/>
      <c r="L856" s="1594"/>
      <c r="M856" s="1594"/>
      <c r="N856" s="1594"/>
      <c r="O856" s="1594"/>
      <c r="P856" s="1594"/>
      <c r="Q856" s="1594"/>
      <c r="R856" s="1594"/>
      <c r="S856" s="1594"/>
      <c r="T856" s="1594"/>
      <c r="U856" s="1594"/>
      <c r="V856" s="1594"/>
      <c r="W856" s="1594"/>
      <c r="X856" s="1594"/>
      <c r="Y856" s="1594"/>
      <c r="Z856" s="1594"/>
    </row>
    <row r="857" ht="12.75" customHeight="1">
      <c r="A857" s="1594"/>
      <c r="B857" s="1594"/>
      <c r="C857" s="1594"/>
      <c r="D857" s="1594"/>
      <c r="E857" s="1594"/>
      <c r="F857" s="1594"/>
      <c r="G857" s="1594"/>
      <c r="H857" s="1594"/>
      <c r="I857" s="1594"/>
      <c r="J857" s="1594"/>
      <c r="K857" s="1594"/>
      <c r="L857" s="1594"/>
      <c r="M857" s="1594"/>
      <c r="N857" s="1594"/>
      <c r="O857" s="1594"/>
      <c r="P857" s="1594"/>
      <c r="Q857" s="1594"/>
      <c r="R857" s="1594"/>
      <c r="S857" s="1594"/>
      <c r="T857" s="1594"/>
      <c r="U857" s="1594"/>
      <c r="V857" s="1594"/>
      <c r="W857" s="1594"/>
      <c r="X857" s="1594"/>
      <c r="Y857" s="1594"/>
      <c r="Z857" s="1594"/>
    </row>
    <row r="858" ht="12.75" customHeight="1">
      <c r="A858" s="1594"/>
      <c r="B858" s="1594"/>
      <c r="C858" s="1594"/>
      <c r="D858" s="1594"/>
      <c r="E858" s="1594"/>
      <c r="F858" s="1594"/>
      <c r="G858" s="1594"/>
      <c r="H858" s="1594"/>
      <c r="I858" s="1594"/>
      <c r="J858" s="1594"/>
      <c r="K858" s="1594"/>
      <c r="L858" s="1594"/>
      <c r="M858" s="1594"/>
      <c r="N858" s="1594"/>
      <c r="O858" s="1594"/>
      <c r="P858" s="1594"/>
      <c r="Q858" s="1594"/>
      <c r="R858" s="1594"/>
      <c r="S858" s="1594"/>
      <c r="T858" s="1594"/>
      <c r="U858" s="1594"/>
      <c r="V858" s="1594"/>
      <c r="W858" s="1594"/>
      <c r="X858" s="1594"/>
      <c r="Y858" s="1594"/>
      <c r="Z858" s="1594"/>
    </row>
    <row r="859" ht="12.75" customHeight="1">
      <c r="A859" s="1594"/>
      <c r="B859" s="1594"/>
      <c r="C859" s="1594"/>
      <c r="D859" s="1594"/>
      <c r="E859" s="1594"/>
      <c r="F859" s="1594"/>
      <c r="G859" s="1594"/>
      <c r="H859" s="1594"/>
      <c r="I859" s="1594"/>
      <c r="J859" s="1594"/>
      <c r="K859" s="1594"/>
      <c r="L859" s="1594"/>
      <c r="M859" s="1594"/>
      <c r="N859" s="1594"/>
      <c r="O859" s="1594"/>
      <c r="P859" s="1594"/>
      <c r="Q859" s="1594"/>
      <c r="R859" s="1594"/>
      <c r="S859" s="1594"/>
      <c r="T859" s="1594"/>
      <c r="U859" s="1594"/>
      <c r="V859" s="1594"/>
      <c r="W859" s="1594"/>
      <c r="X859" s="1594"/>
      <c r="Y859" s="1594"/>
      <c r="Z859" s="1594"/>
    </row>
    <row r="860" ht="12.75" customHeight="1">
      <c r="A860" s="1594"/>
      <c r="B860" s="1594"/>
      <c r="C860" s="1594"/>
      <c r="D860" s="1594"/>
      <c r="E860" s="1594"/>
      <c r="F860" s="1594"/>
      <c r="G860" s="1594"/>
      <c r="H860" s="1594"/>
      <c r="I860" s="1594"/>
      <c r="J860" s="1594"/>
      <c r="K860" s="1594"/>
      <c r="L860" s="1594"/>
      <c r="M860" s="1594"/>
      <c r="N860" s="1594"/>
      <c r="O860" s="1594"/>
      <c r="P860" s="1594"/>
      <c r="Q860" s="1594"/>
      <c r="R860" s="1594"/>
      <c r="S860" s="1594"/>
      <c r="T860" s="1594"/>
      <c r="U860" s="1594"/>
      <c r="V860" s="1594"/>
      <c r="W860" s="1594"/>
      <c r="X860" s="1594"/>
      <c r="Y860" s="1594"/>
      <c r="Z860" s="1594"/>
    </row>
    <row r="861" ht="12.75" customHeight="1">
      <c r="A861" s="1594"/>
      <c r="B861" s="1594"/>
      <c r="C861" s="1594"/>
      <c r="D861" s="1594"/>
      <c r="E861" s="1594"/>
      <c r="F861" s="1594"/>
      <c r="G861" s="1594"/>
      <c r="H861" s="1594"/>
      <c r="I861" s="1594"/>
      <c r="J861" s="1594"/>
      <c r="K861" s="1594"/>
      <c r="L861" s="1594"/>
      <c r="M861" s="1594"/>
      <c r="N861" s="1594"/>
      <c r="O861" s="1594"/>
      <c r="P861" s="1594"/>
      <c r="Q861" s="1594"/>
      <c r="R861" s="1594"/>
      <c r="S861" s="1594"/>
      <c r="T861" s="1594"/>
      <c r="U861" s="1594"/>
      <c r="V861" s="1594"/>
      <c r="W861" s="1594"/>
      <c r="X861" s="1594"/>
      <c r="Y861" s="1594"/>
      <c r="Z861" s="1594"/>
    </row>
    <row r="862" ht="12.75" customHeight="1">
      <c r="A862" s="1594"/>
      <c r="B862" s="1594"/>
      <c r="C862" s="1594"/>
      <c r="D862" s="1594"/>
      <c r="E862" s="1594"/>
      <c r="F862" s="1594"/>
      <c r="G862" s="1594"/>
      <c r="H862" s="1594"/>
      <c r="I862" s="1594"/>
      <c r="J862" s="1594"/>
      <c r="K862" s="1594"/>
      <c r="L862" s="1594"/>
      <c r="M862" s="1594"/>
      <c r="N862" s="1594"/>
      <c r="O862" s="1594"/>
      <c r="P862" s="1594"/>
      <c r="Q862" s="1594"/>
      <c r="R862" s="1594"/>
      <c r="S862" s="1594"/>
      <c r="T862" s="1594"/>
      <c r="U862" s="1594"/>
      <c r="V862" s="1594"/>
      <c r="W862" s="1594"/>
      <c r="X862" s="1594"/>
      <c r="Y862" s="1594"/>
      <c r="Z862" s="1594"/>
    </row>
    <row r="863" ht="12.75" customHeight="1">
      <c r="A863" s="1594"/>
      <c r="B863" s="1594"/>
      <c r="C863" s="1594"/>
      <c r="D863" s="1594"/>
      <c r="E863" s="1594"/>
      <c r="F863" s="1594"/>
      <c r="G863" s="1594"/>
      <c r="H863" s="1594"/>
      <c r="I863" s="1594"/>
      <c r="J863" s="1594"/>
      <c r="K863" s="1594"/>
      <c r="L863" s="1594"/>
      <c r="M863" s="1594"/>
      <c r="N863" s="1594"/>
      <c r="O863" s="1594"/>
      <c r="P863" s="1594"/>
      <c r="Q863" s="1594"/>
      <c r="R863" s="1594"/>
      <c r="S863" s="1594"/>
      <c r="T863" s="1594"/>
      <c r="U863" s="1594"/>
      <c r="V863" s="1594"/>
      <c r="W863" s="1594"/>
      <c r="X863" s="1594"/>
      <c r="Y863" s="1594"/>
      <c r="Z863" s="1594"/>
    </row>
    <row r="864" ht="12.75" customHeight="1">
      <c r="A864" s="1594"/>
      <c r="B864" s="1594"/>
      <c r="C864" s="1594"/>
      <c r="D864" s="1594"/>
      <c r="E864" s="1594"/>
      <c r="F864" s="1594"/>
      <c r="G864" s="1594"/>
      <c r="H864" s="1594"/>
      <c r="I864" s="1594"/>
      <c r="J864" s="1594"/>
      <c r="K864" s="1594"/>
      <c r="L864" s="1594"/>
      <c r="M864" s="1594"/>
      <c r="N864" s="1594"/>
      <c r="O864" s="1594"/>
      <c r="P864" s="1594"/>
      <c r="Q864" s="1594"/>
      <c r="R864" s="1594"/>
      <c r="S864" s="1594"/>
      <c r="T864" s="1594"/>
      <c r="U864" s="1594"/>
      <c r="V864" s="1594"/>
      <c r="W864" s="1594"/>
      <c r="X864" s="1594"/>
      <c r="Y864" s="1594"/>
      <c r="Z864" s="1594"/>
    </row>
    <row r="865" ht="12.75" customHeight="1">
      <c r="A865" s="1594"/>
      <c r="B865" s="1594"/>
      <c r="C865" s="1594"/>
      <c r="D865" s="1594"/>
      <c r="E865" s="1594"/>
      <c r="F865" s="1594"/>
      <c r="G865" s="1594"/>
      <c r="H865" s="1594"/>
      <c r="I865" s="1594"/>
      <c r="J865" s="1594"/>
      <c r="K865" s="1594"/>
      <c r="L865" s="1594"/>
      <c r="M865" s="1594"/>
      <c r="N865" s="1594"/>
      <c r="O865" s="1594"/>
      <c r="P865" s="1594"/>
      <c r="Q865" s="1594"/>
      <c r="R865" s="1594"/>
      <c r="S865" s="1594"/>
      <c r="T865" s="1594"/>
      <c r="U865" s="1594"/>
      <c r="V865" s="1594"/>
      <c r="W865" s="1594"/>
      <c r="X865" s="1594"/>
      <c r="Y865" s="1594"/>
      <c r="Z865" s="1594"/>
    </row>
    <row r="866" ht="12.75" customHeight="1">
      <c r="A866" s="1594"/>
      <c r="B866" s="1594"/>
      <c r="C866" s="1594"/>
      <c r="D866" s="1594"/>
      <c r="E866" s="1594"/>
      <c r="F866" s="1594"/>
      <c r="G866" s="1594"/>
      <c r="H866" s="1594"/>
      <c r="I866" s="1594"/>
      <c r="J866" s="1594"/>
      <c r="K866" s="1594"/>
      <c r="L866" s="1594"/>
      <c r="M866" s="1594"/>
      <c r="N866" s="1594"/>
      <c r="O866" s="1594"/>
      <c r="P866" s="1594"/>
      <c r="Q866" s="1594"/>
      <c r="R866" s="1594"/>
      <c r="S866" s="1594"/>
      <c r="T866" s="1594"/>
      <c r="U866" s="1594"/>
      <c r="V866" s="1594"/>
      <c r="W866" s="1594"/>
      <c r="X866" s="1594"/>
      <c r="Y866" s="1594"/>
      <c r="Z866" s="1594"/>
    </row>
    <row r="867" ht="12.75" customHeight="1">
      <c r="A867" s="1594"/>
      <c r="B867" s="1594"/>
      <c r="C867" s="1594"/>
      <c r="D867" s="1594"/>
      <c r="E867" s="1594"/>
      <c r="F867" s="1594"/>
      <c r="G867" s="1594"/>
      <c r="H867" s="1594"/>
      <c r="I867" s="1594"/>
      <c r="J867" s="1594"/>
      <c r="K867" s="1594"/>
      <c r="L867" s="1594"/>
      <c r="M867" s="1594"/>
      <c r="N867" s="1594"/>
      <c r="O867" s="1594"/>
      <c r="P867" s="1594"/>
      <c r="Q867" s="1594"/>
      <c r="R867" s="1594"/>
      <c r="S867" s="1594"/>
      <c r="T867" s="1594"/>
      <c r="U867" s="1594"/>
      <c r="V867" s="1594"/>
      <c r="W867" s="1594"/>
      <c r="X867" s="1594"/>
      <c r="Y867" s="1594"/>
      <c r="Z867" s="1594"/>
    </row>
    <row r="868" ht="12.75" customHeight="1">
      <c r="A868" s="1594"/>
      <c r="B868" s="1594"/>
      <c r="C868" s="1594"/>
      <c r="D868" s="1594"/>
      <c r="E868" s="1594"/>
      <c r="F868" s="1594"/>
      <c r="G868" s="1594"/>
      <c r="H868" s="1594"/>
      <c r="I868" s="1594"/>
      <c r="J868" s="1594"/>
      <c r="K868" s="1594"/>
      <c r="L868" s="1594"/>
      <c r="M868" s="1594"/>
      <c r="N868" s="1594"/>
      <c r="O868" s="1594"/>
      <c r="P868" s="1594"/>
      <c r="Q868" s="1594"/>
      <c r="R868" s="1594"/>
      <c r="S868" s="1594"/>
      <c r="T868" s="1594"/>
      <c r="U868" s="1594"/>
      <c r="V868" s="1594"/>
      <c r="W868" s="1594"/>
      <c r="X868" s="1594"/>
      <c r="Y868" s="1594"/>
      <c r="Z868" s="1594"/>
    </row>
    <row r="869" ht="12.75" customHeight="1">
      <c r="A869" s="1594"/>
      <c r="B869" s="1594"/>
      <c r="C869" s="1594"/>
      <c r="D869" s="1594"/>
      <c r="E869" s="1594"/>
      <c r="F869" s="1594"/>
      <c r="G869" s="1594"/>
      <c r="H869" s="1594"/>
      <c r="I869" s="1594"/>
      <c r="J869" s="1594"/>
      <c r="K869" s="1594"/>
      <c r="L869" s="1594"/>
      <c r="M869" s="1594"/>
      <c r="N869" s="1594"/>
      <c r="O869" s="1594"/>
      <c r="P869" s="1594"/>
      <c r="Q869" s="1594"/>
      <c r="R869" s="1594"/>
      <c r="S869" s="1594"/>
      <c r="T869" s="1594"/>
      <c r="U869" s="1594"/>
      <c r="V869" s="1594"/>
      <c r="W869" s="1594"/>
      <c r="X869" s="1594"/>
      <c r="Y869" s="1594"/>
      <c r="Z869" s="1594"/>
    </row>
    <row r="870" ht="12.75" customHeight="1">
      <c r="A870" s="1594"/>
      <c r="B870" s="1594"/>
      <c r="C870" s="1594"/>
      <c r="D870" s="1594"/>
      <c r="E870" s="1594"/>
      <c r="F870" s="1594"/>
      <c r="G870" s="1594"/>
      <c r="H870" s="1594"/>
      <c r="I870" s="1594"/>
      <c r="J870" s="1594"/>
      <c r="K870" s="1594"/>
      <c r="L870" s="1594"/>
      <c r="M870" s="1594"/>
      <c r="N870" s="1594"/>
      <c r="O870" s="1594"/>
      <c r="P870" s="1594"/>
      <c r="Q870" s="1594"/>
      <c r="R870" s="1594"/>
      <c r="S870" s="1594"/>
      <c r="T870" s="1594"/>
      <c r="U870" s="1594"/>
      <c r="V870" s="1594"/>
      <c r="W870" s="1594"/>
      <c r="X870" s="1594"/>
      <c r="Y870" s="1594"/>
      <c r="Z870" s="1594"/>
    </row>
    <row r="871" ht="12.75" customHeight="1">
      <c r="A871" s="1594"/>
      <c r="B871" s="1594"/>
      <c r="C871" s="1594"/>
      <c r="D871" s="1594"/>
      <c r="E871" s="1594"/>
      <c r="F871" s="1594"/>
      <c r="G871" s="1594"/>
      <c r="H871" s="1594"/>
      <c r="I871" s="1594"/>
      <c r="J871" s="1594"/>
      <c r="K871" s="1594"/>
      <c r="L871" s="1594"/>
      <c r="M871" s="1594"/>
      <c r="N871" s="1594"/>
      <c r="O871" s="1594"/>
      <c r="P871" s="1594"/>
      <c r="Q871" s="1594"/>
      <c r="R871" s="1594"/>
      <c r="S871" s="1594"/>
      <c r="T871" s="1594"/>
      <c r="U871" s="1594"/>
      <c r="V871" s="1594"/>
      <c r="W871" s="1594"/>
      <c r="X871" s="1594"/>
      <c r="Y871" s="1594"/>
      <c r="Z871" s="1594"/>
    </row>
    <row r="872" ht="12.75" customHeight="1">
      <c r="A872" s="1594"/>
      <c r="B872" s="1594"/>
      <c r="C872" s="1594"/>
      <c r="D872" s="1594"/>
      <c r="E872" s="1594"/>
      <c r="F872" s="1594"/>
      <c r="G872" s="1594"/>
      <c r="H872" s="1594"/>
      <c r="I872" s="1594"/>
      <c r="J872" s="1594"/>
      <c r="K872" s="1594"/>
      <c r="L872" s="1594"/>
      <c r="M872" s="1594"/>
      <c r="N872" s="1594"/>
      <c r="O872" s="1594"/>
      <c r="P872" s="1594"/>
      <c r="Q872" s="1594"/>
      <c r="R872" s="1594"/>
      <c r="S872" s="1594"/>
      <c r="T872" s="1594"/>
      <c r="U872" s="1594"/>
      <c r="V872" s="1594"/>
      <c r="W872" s="1594"/>
      <c r="X872" s="1594"/>
      <c r="Y872" s="1594"/>
      <c r="Z872" s="1594"/>
    </row>
    <row r="873" ht="12.75" customHeight="1">
      <c r="A873" s="1594"/>
      <c r="B873" s="1594"/>
      <c r="C873" s="1594"/>
      <c r="D873" s="1594"/>
      <c r="E873" s="1594"/>
      <c r="F873" s="1594"/>
      <c r="G873" s="1594"/>
      <c r="H873" s="1594"/>
      <c r="I873" s="1594"/>
      <c r="J873" s="1594"/>
      <c r="K873" s="1594"/>
      <c r="L873" s="1594"/>
      <c r="M873" s="1594"/>
      <c r="N873" s="1594"/>
      <c r="O873" s="1594"/>
      <c r="P873" s="1594"/>
      <c r="Q873" s="1594"/>
      <c r="R873" s="1594"/>
      <c r="S873" s="1594"/>
      <c r="T873" s="1594"/>
      <c r="U873" s="1594"/>
      <c r="V873" s="1594"/>
      <c r="W873" s="1594"/>
      <c r="X873" s="1594"/>
      <c r="Y873" s="1594"/>
      <c r="Z873" s="1594"/>
    </row>
    <row r="874" ht="12.75" customHeight="1">
      <c r="A874" s="1594"/>
      <c r="B874" s="1594"/>
      <c r="C874" s="1594"/>
      <c r="D874" s="1594"/>
      <c r="E874" s="1594"/>
      <c r="F874" s="1594"/>
      <c r="G874" s="1594"/>
      <c r="H874" s="1594"/>
      <c r="I874" s="1594"/>
      <c r="J874" s="1594"/>
      <c r="K874" s="1594"/>
      <c r="L874" s="1594"/>
      <c r="M874" s="1594"/>
      <c r="N874" s="1594"/>
      <c r="O874" s="1594"/>
      <c r="P874" s="1594"/>
      <c r="Q874" s="1594"/>
      <c r="R874" s="1594"/>
      <c r="S874" s="1594"/>
      <c r="T874" s="1594"/>
      <c r="U874" s="1594"/>
      <c r="V874" s="1594"/>
      <c r="W874" s="1594"/>
      <c r="X874" s="1594"/>
      <c r="Y874" s="1594"/>
      <c r="Z874" s="1594"/>
    </row>
    <row r="875" ht="12.75" customHeight="1">
      <c r="A875" s="1594"/>
      <c r="B875" s="1594"/>
      <c r="C875" s="1594"/>
      <c r="D875" s="1594"/>
      <c r="E875" s="1594"/>
      <c r="F875" s="1594"/>
      <c r="G875" s="1594"/>
      <c r="H875" s="1594"/>
      <c r="I875" s="1594"/>
      <c r="J875" s="1594"/>
      <c r="K875" s="1594"/>
      <c r="L875" s="1594"/>
      <c r="M875" s="1594"/>
      <c r="N875" s="1594"/>
      <c r="O875" s="1594"/>
      <c r="P875" s="1594"/>
      <c r="Q875" s="1594"/>
      <c r="R875" s="1594"/>
      <c r="S875" s="1594"/>
      <c r="T875" s="1594"/>
      <c r="U875" s="1594"/>
      <c r="V875" s="1594"/>
      <c r="W875" s="1594"/>
      <c r="X875" s="1594"/>
      <c r="Y875" s="1594"/>
      <c r="Z875" s="1594"/>
    </row>
    <row r="876" ht="12.75" customHeight="1">
      <c r="A876" s="1594"/>
      <c r="B876" s="1594"/>
      <c r="C876" s="1594"/>
      <c r="D876" s="1594"/>
      <c r="E876" s="1594"/>
      <c r="F876" s="1594"/>
      <c r="G876" s="1594"/>
      <c r="H876" s="1594"/>
      <c r="I876" s="1594"/>
      <c r="J876" s="1594"/>
      <c r="K876" s="1594"/>
      <c r="L876" s="1594"/>
      <c r="M876" s="1594"/>
      <c r="N876" s="1594"/>
      <c r="O876" s="1594"/>
      <c r="P876" s="1594"/>
      <c r="Q876" s="1594"/>
      <c r="R876" s="1594"/>
      <c r="S876" s="1594"/>
      <c r="T876" s="1594"/>
      <c r="U876" s="1594"/>
      <c r="V876" s="1594"/>
      <c r="W876" s="1594"/>
      <c r="X876" s="1594"/>
      <c r="Y876" s="1594"/>
      <c r="Z876" s="1594"/>
    </row>
    <row r="877" ht="12.75" customHeight="1">
      <c r="A877" s="1594"/>
      <c r="B877" s="1594"/>
      <c r="C877" s="1594"/>
      <c r="D877" s="1594"/>
      <c r="E877" s="1594"/>
      <c r="F877" s="1594"/>
      <c r="G877" s="1594"/>
      <c r="H877" s="1594"/>
      <c r="I877" s="1594"/>
      <c r="J877" s="1594"/>
      <c r="K877" s="1594"/>
      <c r="L877" s="1594"/>
      <c r="M877" s="1594"/>
      <c r="N877" s="1594"/>
      <c r="O877" s="1594"/>
      <c r="P877" s="1594"/>
      <c r="Q877" s="1594"/>
      <c r="R877" s="1594"/>
      <c r="S877" s="1594"/>
      <c r="T877" s="1594"/>
      <c r="U877" s="1594"/>
      <c r="V877" s="1594"/>
      <c r="W877" s="1594"/>
      <c r="X877" s="1594"/>
      <c r="Y877" s="1594"/>
      <c r="Z877" s="1594"/>
    </row>
    <row r="878" ht="12.75" customHeight="1">
      <c r="A878" s="1594"/>
      <c r="B878" s="1594"/>
      <c r="C878" s="1594"/>
      <c r="D878" s="1594"/>
      <c r="E878" s="1594"/>
      <c r="F878" s="1594"/>
      <c r="G878" s="1594"/>
      <c r="H878" s="1594"/>
      <c r="I878" s="1594"/>
      <c r="J878" s="1594"/>
      <c r="K878" s="1594"/>
      <c r="L878" s="1594"/>
      <c r="M878" s="1594"/>
      <c r="N878" s="1594"/>
      <c r="O878" s="1594"/>
      <c r="P878" s="1594"/>
      <c r="Q878" s="1594"/>
      <c r="R878" s="1594"/>
      <c r="S878" s="1594"/>
      <c r="T878" s="1594"/>
      <c r="U878" s="1594"/>
      <c r="V878" s="1594"/>
      <c r="W878" s="1594"/>
      <c r="X878" s="1594"/>
      <c r="Y878" s="1594"/>
      <c r="Z878" s="1594"/>
    </row>
    <row r="879" ht="12.75" customHeight="1">
      <c r="A879" s="1594"/>
      <c r="B879" s="1594"/>
      <c r="C879" s="1594"/>
      <c r="D879" s="1594"/>
      <c r="E879" s="1594"/>
      <c r="F879" s="1594"/>
      <c r="G879" s="1594"/>
      <c r="H879" s="1594"/>
      <c r="I879" s="1594"/>
      <c r="J879" s="1594"/>
      <c r="K879" s="1594"/>
      <c r="L879" s="1594"/>
      <c r="M879" s="1594"/>
      <c r="N879" s="1594"/>
      <c r="O879" s="1594"/>
      <c r="P879" s="1594"/>
      <c r="Q879" s="1594"/>
      <c r="R879" s="1594"/>
      <c r="S879" s="1594"/>
      <c r="T879" s="1594"/>
      <c r="U879" s="1594"/>
      <c r="V879" s="1594"/>
      <c r="W879" s="1594"/>
      <c r="X879" s="1594"/>
      <c r="Y879" s="1594"/>
      <c r="Z879" s="1594"/>
    </row>
    <row r="880" ht="12.75" customHeight="1">
      <c r="A880" s="1594"/>
      <c r="B880" s="1594"/>
      <c r="C880" s="1594"/>
      <c r="D880" s="1594"/>
      <c r="E880" s="1594"/>
      <c r="F880" s="1594"/>
      <c r="G880" s="1594"/>
      <c r="H880" s="1594"/>
      <c r="I880" s="1594"/>
      <c r="J880" s="1594"/>
      <c r="K880" s="1594"/>
      <c r="L880" s="1594"/>
      <c r="M880" s="1594"/>
      <c r="N880" s="1594"/>
      <c r="O880" s="1594"/>
      <c r="P880" s="1594"/>
      <c r="Q880" s="1594"/>
      <c r="R880" s="1594"/>
      <c r="S880" s="1594"/>
      <c r="T880" s="1594"/>
      <c r="U880" s="1594"/>
      <c r="V880" s="1594"/>
      <c r="W880" s="1594"/>
      <c r="X880" s="1594"/>
      <c r="Y880" s="1594"/>
      <c r="Z880" s="1594"/>
    </row>
    <row r="881" ht="12.75" customHeight="1">
      <c r="A881" s="1594"/>
      <c r="B881" s="1594"/>
      <c r="C881" s="1594"/>
      <c r="D881" s="1594"/>
      <c r="E881" s="1594"/>
      <c r="F881" s="1594"/>
      <c r="G881" s="1594"/>
      <c r="H881" s="1594"/>
      <c r="I881" s="1594"/>
      <c r="J881" s="1594"/>
      <c r="K881" s="1594"/>
      <c r="L881" s="1594"/>
      <c r="M881" s="1594"/>
      <c r="N881" s="1594"/>
      <c r="O881" s="1594"/>
      <c r="P881" s="1594"/>
      <c r="Q881" s="1594"/>
      <c r="R881" s="1594"/>
      <c r="S881" s="1594"/>
      <c r="T881" s="1594"/>
      <c r="U881" s="1594"/>
      <c r="V881" s="1594"/>
      <c r="W881" s="1594"/>
      <c r="X881" s="1594"/>
      <c r="Y881" s="1594"/>
      <c r="Z881" s="1594"/>
    </row>
    <row r="882" ht="12.75" customHeight="1">
      <c r="A882" s="1594"/>
      <c r="B882" s="1594"/>
      <c r="C882" s="1594"/>
      <c r="D882" s="1594"/>
      <c r="E882" s="1594"/>
      <c r="F882" s="1594"/>
      <c r="G882" s="1594"/>
      <c r="H882" s="1594"/>
      <c r="I882" s="1594"/>
      <c r="J882" s="1594"/>
      <c r="K882" s="1594"/>
      <c r="L882" s="1594"/>
      <c r="M882" s="1594"/>
      <c r="N882" s="1594"/>
      <c r="O882" s="1594"/>
      <c r="P882" s="1594"/>
      <c r="Q882" s="1594"/>
      <c r="R882" s="1594"/>
      <c r="S882" s="1594"/>
      <c r="T882" s="1594"/>
      <c r="U882" s="1594"/>
      <c r="V882" s="1594"/>
      <c r="W882" s="1594"/>
      <c r="X882" s="1594"/>
      <c r="Y882" s="1594"/>
      <c r="Z882" s="1594"/>
    </row>
    <row r="883" ht="12.75" customHeight="1">
      <c r="A883" s="1594"/>
      <c r="B883" s="1594"/>
      <c r="C883" s="1594"/>
      <c r="D883" s="1594"/>
      <c r="E883" s="1594"/>
      <c r="F883" s="1594"/>
      <c r="G883" s="1594"/>
      <c r="H883" s="1594"/>
      <c r="I883" s="1594"/>
      <c r="J883" s="1594"/>
      <c r="K883" s="1594"/>
      <c r="L883" s="1594"/>
      <c r="M883" s="1594"/>
      <c r="N883" s="1594"/>
      <c r="O883" s="1594"/>
      <c r="P883" s="1594"/>
      <c r="Q883" s="1594"/>
      <c r="R883" s="1594"/>
      <c r="S883" s="1594"/>
      <c r="T883" s="1594"/>
      <c r="U883" s="1594"/>
      <c r="V883" s="1594"/>
      <c r="W883" s="1594"/>
      <c r="X883" s="1594"/>
      <c r="Y883" s="1594"/>
      <c r="Z883" s="1594"/>
    </row>
    <row r="884" ht="12.75" customHeight="1">
      <c r="A884" s="1594"/>
      <c r="B884" s="1594"/>
      <c r="C884" s="1594"/>
      <c r="D884" s="1594"/>
      <c r="E884" s="1594"/>
      <c r="F884" s="1594"/>
      <c r="G884" s="1594"/>
      <c r="H884" s="1594"/>
      <c r="I884" s="1594"/>
      <c r="J884" s="1594"/>
      <c r="K884" s="1594"/>
      <c r="L884" s="1594"/>
      <c r="M884" s="1594"/>
      <c r="N884" s="1594"/>
      <c r="O884" s="1594"/>
      <c r="P884" s="1594"/>
      <c r="Q884" s="1594"/>
      <c r="R884" s="1594"/>
      <c r="S884" s="1594"/>
      <c r="T884" s="1594"/>
      <c r="U884" s="1594"/>
      <c r="V884" s="1594"/>
      <c r="W884" s="1594"/>
      <c r="X884" s="1594"/>
      <c r="Y884" s="1594"/>
      <c r="Z884" s="1594"/>
    </row>
    <row r="885" ht="12.75" customHeight="1">
      <c r="A885" s="1594"/>
      <c r="B885" s="1594"/>
      <c r="C885" s="1594"/>
      <c r="D885" s="1594"/>
      <c r="E885" s="1594"/>
      <c r="F885" s="1594"/>
      <c r="G885" s="1594"/>
      <c r="H885" s="1594"/>
      <c r="I885" s="1594"/>
      <c r="J885" s="1594"/>
      <c r="K885" s="1594"/>
      <c r="L885" s="1594"/>
      <c r="M885" s="1594"/>
      <c r="N885" s="1594"/>
      <c r="O885" s="1594"/>
      <c r="P885" s="1594"/>
      <c r="Q885" s="1594"/>
      <c r="R885" s="1594"/>
      <c r="S885" s="1594"/>
      <c r="T885" s="1594"/>
      <c r="U885" s="1594"/>
      <c r="V885" s="1594"/>
      <c r="W885" s="1594"/>
      <c r="X885" s="1594"/>
      <c r="Y885" s="1594"/>
      <c r="Z885" s="1594"/>
    </row>
    <row r="886" ht="12.75" customHeight="1">
      <c r="A886" s="1594"/>
      <c r="B886" s="1594"/>
      <c r="C886" s="1594"/>
      <c r="D886" s="1594"/>
      <c r="E886" s="1594"/>
      <c r="F886" s="1594"/>
      <c r="G886" s="1594"/>
      <c r="H886" s="1594"/>
      <c r="I886" s="1594"/>
      <c r="J886" s="1594"/>
      <c r="K886" s="1594"/>
      <c r="L886" s="1594"/>
      <c r="M886" s="1594"/>
      <c r="N886" s="1594"/>
      <c r="O886" s="1594"/>
      <c r="P886" s="1594"/>
      <c r="Q886" s="1594"/>
      <c r="R886" s="1594"/>
      <c r="S886" s="1594"/>
      <c r="T886" s="1594"/>
      <c r="U886" s="1594"/>
      <c r="V886" s="1594"/>
      <c r="W886" s="1594"/>
      <c r="X886" s="1594"/>
      <c r="Y886" s="1594"/>
      <c r="Z886" s="1594"/>
    </row>
    <row r="887" ht="12.75" customHeight="1">
      <c r="A887" s="1594"/>
      <c r="B887" s="1594"/>
      <c r="C887" s="1594"/>
      <c r="D887" s="1594"/>
      <c r="E887" s="1594"/>
      <c r="F887" s="1594"/>
      <c r="G887" s="1594"/>
      <c r="H887" s="1594"/>
      <c r="I887" s="1594"/>
      <c r="J887" s="1594"/>
      <c r="K887" s="1594"/>
      <c r="L887" s="1594"/>
      <c r="M887" s="1594"/>
      <c r="N887" s="1594"/>
      <c r="O887" s="1594"/>
      <c r="P887" s="1594"/>
      <c r="Q887" s="1594"/>
      <c r="R887" s="1594"/>
      <c r="S887" s="1594"/>
      <c r="T887" s="1594"/>
      <c r="U887" s="1594"/>
      <c r="V887" s="1594"/>
      <c r="W887" s="1594"/>
      <c r="X887" s="1594"/>
      <c r="Y887" s="1594"/>
      <c r="Z887" s="1594"/>
    </row>
    <row r="888" ht="12.75" customHeight="1">
      <c r="A888" s="1594"/>
      <c r="B888" s="1594"/>
      <c r="C888" s="1594"/>
      <c r="D888" s="1594"/>
      <c r="E888" s="1594"/>
      <c r="F888" s="1594"/>
      <c r="G888" s="1594"/>
      <c r="H888" s="1594"/>
      <c r="I888" s="1594"/>
      <c r="J888" s="1594"/>
      <c r="K888" s="1594"/>
      <c r="L888" s="1594"/>
      <c r="M888" s="1594"/>
      <c r="N888" s="1594"/>
      <c r="O888" s="1594"/>
      <c r="P888" s="1594"/>
      <c r="Q888" s="1594"/>
      <c r="R888" s="1594"/>
      <c r="S888" s="1594"/>
      <c r="T888" s="1594"/>
      <c r="U888" s="1594"/>
      <c r="V888" s="1594"/>
      <c r="W888" s="1594"/>
      <c r="X888" s="1594"/>
      <c r="Y888" s="1594"/>
      <c r="Z888" s="1594"/>
    </row>
    <row r="889" ht="12.75" customHeight="1">
      <c r="A889" s="1594"/>
      <c r="B889" s="1594"/>
      <c r="C889" s="1594"/>
      <c r="D889" s="1594"/>
      <c r="E889" s="1594"/>
      <c r="F889" s="1594"/>
      <c r="G889" s="1594"/>
      <c r="H889" s="1594"/>
      <c r="I889" s="1594"/>
      <c r="J889" s="1594"/>
      <c r="K889" s="1594"/>
      <c r="L889" s="1594"/>
      <c r="M889" s="1594"/>
      <c r="N889" s="1594"/>
      <c r="O889" s="1594"/>
      <c r="P889" s="1594"/>
      <c r="Q889" s="1594"/>
      <c r="R889" s="1594"/>
      <c r="S889" s="1594"/>
      <c r="T889" s="1594"/>
      <c r="U889" s="1594"/>
      <c r="V889" s="1594"/>
      <c r="W889" s="1594"/>
      <c r="X889" s="1594"/>
      <c r="Y889" s="1594"/>
      <c r="Z889" s="1594"/>
    </row>
    <row r="890" ht="12.75" customHeight="1">
      <c r="A890" s="1594"/>
      <c r="B890" s="1594"/>
      <c r="C890" s="1594"/>
      <c r="D890" s="1594"/>
      <c r="E890" s="1594"/>
      <c r="F890" s="1594"/>
      <c r="G890" s="1594"/>
      <c r="H890" s="1594"/>
      <c r="I890" s="1594"/>
      <c r="J890" s="1594"/>
      <c r="K890" s="1594"/>
      <c r="L890" s="1594"/>
      <c r="M890" s="1594"/>
      <c r="N890" s="1594"/>
      <c r="O890" s="1594"/>
      <c r="P890" s="1594"/>
      <c r="Q890" s="1594"/>
      <c r="R890" s="1594"/>
      <c r="S890" s="1594"/>
      <c r="T890" s="1594"/>
      <c r="U890" s="1594"/>
      <c r="V890" s="1594"/>
      <c r="W890" s="1594"/>
      <c r="X890" s="1594"/>
      <c r="Y890" s="1594"/>
      <c r="Z890" s="1594"/>
    </row>
    <row r="891" ht="12.75" customHeight="1">
      <c r="A891" s="1594"/>
      <c r="B891" s="1594"/>
      <c r="C891" s="1594"/>
      <c r="D891" s="1594"/>
      <c r="E891" s="1594"/>
      <c r="F891" s="1594"/>
      <c r="G891" s="1594"/>
      <c r="H891" s="1594"/>
      <c r="I891" s="1594"/>
      <c r="J891" s="1594"/>
      <c r="K891" s="1594"/>
      <c r="L891" s="1594"/>
      <c r="M891" s="1594"/>
      <c r="N891" s="1594"/>
      <c r="O891" s="1594"/>
      <c r="P891" s="1594"/>
      <c r="Q891" s="1594"/>
      <c r="R891" s="1594"/>
      <c r="S891" s="1594"/>
      <c r="T891" s="1594"/>
      <c r="U891" s="1594"/>
      <c r="V891" s="1594"/>
      <c r="W891" s="1594"/>
      <c r="X891" s="1594"/>
      <c r="Y891" s="1594"/>
      <c r="Z891" s="1594"/>
    </row>
    <row r="892" ht="12.75" customHeight="1">
      <c r="A892" s="1594"/>
      <c r="B892" s="1594"/>
      <c r="C892" s="1594"/>
      <c r="D892" s="1594"/>
      <c r="E892" s="1594"/>
      <c r="F892" s="1594"/>
      <c r="G892" s="1594"/>
      <c r="H892" s="1594"/>
      <c r="I892" s="1594"/>
      <c r="J892" s="1594"/>
      <c r="K892" s="1594"/>
      <c r="L892" s="1594"/>
      <c r="M892" s="1594"/>
      <c r="N892" s="1594"/>
      <c r="O892" s="1594"/>
      <c r="P892" s="1594"/>
      <c r="Q892" s="1594"/>
      <c r="R892" s="1594"/>
      <c r="S892" s="1594"/>
      <c r="T892" s="1594"/>
      <c r="U892" s="1594"/>
      <c r="V892" s="1594"/>
      <c r="W892" s="1594"/>
      <c r="X892" s="1594"/>
      <c r="Y892" s="1594"/>
      <c r="Z892" s="1594"/>
    </row>
    <row r="893" ht="12.75" customHeight="1">
      <c r="A893" s="1594"/>
      <c r="B893" s="1594"/>
      <c r="C893" s="1594"/>
      <c r="D893" s="1594"/>
      <c r="E893" s="1594"/>
      <c r="F893" s="1594"/>
      <c r="G893" s="1594"/>
      <c r="H893" s="1594"/>
      <c r="I893" s="1594"/>
      <c r="J893" s="1594"/>
      <c r="K893" s="1594"/>
      <c r="L893" s="1594"/>
      <c r="M893" s="1594"/>
      <c r="N893" s="1594"/>
      <c r="O893" s="1594"/>
      <c r="P893" s="1594"/>
      <c r="Q893" s="1594"/>
      <c r="R893" s="1594"/>
      <c r="S893" s="1594"/>
      <c r="T893" s="1594"/>
      <c r="U893" s="1594"/>
      <c r="V893" s="1594"/>
      <c r="W893" s="1594"/>
      <c r="X893" s="1594"/>
      <c r="Y893" s="1594"/>
      <c r="Z893" s="1594"/>
    </row>
    <row r="894" ht="12.75" customHeight="1">
      <c r="A894" s="1594"/>
      <c r="B894" s="1594"/>
      <c r="C894" s="1594"/>
      <c r="D894" s="1594"/>
      <c r="E894" s="1594"/>
      <c r="F894" s="1594"/>
      <c r="G894" s="1594"/>
      <c r="H894" s="1594"/>
      <c r="I894" s="1594"/>
      <c r="J894" s="1594"/>
      <c r="K894" s="1594"/>
      <c r="L894" s="1594"/>
      <c r="M894" s="1594"/>
      <c r="N894" s="1594"/>
      <c r="O894" s="1594"/>
      <c r="P894" s="1594"/>
      <c r="Q894" s="1594"/>
      <c r="R894" s="1594"/>
      <c r="S894" s="1594"/>
      <c r="T894" s="1594"/>
      <c r="U894" s="1594"/>
      <c r="V894" s="1594"/>
      <c r="W894" s="1594"/>
      <c r="X894" s="1594"/>
      <c r="Y894" s="1594"/>
      <c r="Z894" s="1594"/>
    </row>
    <row r="895" ht="12.75" customHeight="1">
      <c r="A895" s="1594"/>
      <c r="B895" s="1594"/>
      <c r="C895" s="1594"/>
      <c r="D895" s="1594"/>
      <c r="E895" s="1594"/>
      <c r="F895" s="1594"/>
      <c r="G895" s="1594"/>
      <c r="H895" s="1594"/>
      <c r="I895" s="1594"/>
      <c r="J895" s="1594"/>
      <c r="K895" s="1594"/>
      <c r="L895" s="1594"/>
      <c r="M895" s="1594"/>
      <c r="N895" s="1594"/>
      <c r="O895" s="1594"/>
      <c r="P895" s="1594"/>
      <c r="Q895" s="1594"/>
      <c r="R895" s="1594"/>
      <c r="S895" s="1594"/>
      <c r="T895" s="1594"/>
      <c r="U895" s="1594"/>
      <c r="V895" s="1594"/>
      <c r="W895" s="1594"/>
      <c r="X895" s="1594"/>
      <c r="Y895" s="1594"/>
      <c r="Z895" s="1594"/>
    </row>
    <row r="896" ht="12.75" customHeight="1">
      <c r="A896" s="1594"/>
      <c r="B896" s="1594"/>
      <c r="C896" s="1594"/>
      <c r="D896" s="1594"/>
      <c r="E896" s="1594"/>
      <c r="F896" s="1594"/>
      <c r="G896" s="1594"/>
      <c r="H896" s="1594"/>
      <c r="I896" s="1594"/>
      <c r="J896" s="1594"/>
      <c r="K896" s="1594"/>
      <c r="L896" s="1594"/>
      <c r="M896" s="1594"/>
      <c r="N896" s="1594"/>
      <c r="O896" s="1594"/>
      <c r="P896" s="1594"/>
      <c r="Q896" s="1594"/>
      <c r="R896" s="1594"/>
      <c r="S896" s="1594"/>
      <c r="T896" s="1594"/>
      <c r="U896" s="1594"/>
      <c r="V896" s="1594"/>
      <c r="W896" s="1594"/>
      <c r="X896" s="1594"/>
      <c r="Y896" s="1594"/>
      <c r="Z896" s="1594"/>
    </row>
    <row r="897" ht="12.75" customHeight="1">
      <c r="A897" s="1594"/>
      <c r="B897" s="1594"/>
      <c r="C897" s="1594"/>
      <c r="D897" s="1594"/>
      <c r="E897" s="1594"/>
      <c r="F897" s="1594"/>
      <c r="G897" s="1594"/>
      <c r="H897" s="1594"/>
      <c r="I897" s="1594"/>
      <c r="J897" s="1594"/>
      <c r="K897" s="1594"/>
      <c r="L897" s="1594"/>
      <c r="M897" s="1594"/>
      <c r="N897" s="1594"/>
      <c r="O897" s="1594"/>
      <c r="P897" s="1594"/>
      <c r="Q897" s="1594"/>
      <c r="R897" s="1594"/>
      <c r="S897" s="1594"/>
      <c r="T897" s="1594"/>
      <c r="U897" s="1594"/>
      <c r="V897" s="1594"/>
      <c r="W897" s="1594"/>
      <c r="X897" s="1594"/>
      <c r="Y897" s="1594"/>
      <c r="Z897" s="1594"/>
    </row>
    <row r="898" ht="12.75" customHeight="1">
      <c r="A898" s="1594"/>
      <c r="B898" s="1594"/>
      <c r="C898" s="1594"/>
      <c r="D898" s="1594"/>
      <c r="E898" s="1594"/>
      <c r="F898" s="1594"/>
      <c r="G898" s="1594"/>
      <c r="H898" s="1594"/>
      <c r="I898" s="1594"/>
      <c r="J898" s="1594"/>
      <c r="K898" s="1594"/>
      <c r="L898" s="1594"/>
      <c r="M898" s="1594"/>
      <c r="N898" s="1594"/>
      <c r="O898" s="1594"/>
      <c r="P898" s="1594"/>
      <c r="Q898" s="1594"/>
      <c r="R898" s="1594"/>
      <c r="S898" s="1594"/>
      <c r="T898" s="1594"/>
      <c r="U898" s="1594"/>
      <c r="V898" s="1594"/>
      <c r="W898" s="1594"/>
      <c r="X898" s="1594"/>
      <c r="Y898" s="1594"/>
      <c r="Z898" s="1594"/>
    </row>
    <row r="899" ht="12.75" customHeight="1">
      <c r="A899" s="1594"/>
      <c r="B899" s="1594"/>
      <c r="C899" s="1594"/>
      <c r="D899" s="1594"/>
      <c r="E899" s="1594"/>
      <c r="F899" s="1594"/>
      <c r="G899" s="1594"/>
      <c r="H899" s="1594"/>
      <c r="I899" s="1594"/>
      <c r="J899" s="1594"/>
      <c r="K899" s="1594"/>
      <c r="L899" s="1594"/>
      <c r="M899" s="1594"/>
      <c r="N899" s="1594"/>
      <c r="O899" s="1594"/>
      <c r="P899" s="1594"/>
      <c r="Q899" s="1594"/>
      <c r="R899" s="1594"/>
      <c r="S899" s="1594"/>
      <c r="T899" s="1594"/>
      <c r="U899" s="1594"/>
      <c r="V899" s="1594"/>
      <c r="W899" s="1594"/>
      <c r="X899" s="1594"/>
      <c r="Y899" s="1594"/>
      <c r="Z899" s="1594"/>
    </row>
    <row r="900" ht="12.75" customHeight="1">
      <c r="A900" s="1594"/>
      <c r="B900" s="1594"/>
      <c r="C900" s="1594"/>
      <c r="D900" s="1594"/>
      <c r="E900" s="1594"/>
      <c r="F900" s="1594"/>
      <c r="G900" s="1594"/>
      <c r="H900" s="1594"/>
      <c r="I900" s="1594"/>
      <c r="J900" s="1594"/>
      <c r="K900" s="1594"/>
      <c r="L900" s="1594"/>
      <c r="M900" s="1594"/>
      <c r="N900" s="1594"/>
      <c r="O900" s="1594"/>
      <c r="P900" s="1594"/>
      <c r="Q900" s="1594"/>
      <c r="R900" s="1594"/>
      <c r="S900" s="1594"/>
      <c r="T900" s="1594"/>
      <c r="U900" s="1594"/>
      <c r="V900" s="1594"/>
      <c r="W900" s="1594"/>
      <c r="X900" s="1594"/>
      <c r="Y900" s="1594"/>
      <c r="Z900" s="1594"/>
    </row>
    <row r="901" ht="12.75" customHeight="1">
      <c r="A901" s="1594"/>
      <c r="B901" s="1594"/>
      <c r="C901" s="1594"/>
      <c r="D901" s="1594"/>
      <c r="E901" s="1594"/>
      <c r="F901" s="1594"/>
      <c r="G901" s="1594"/>
      <c r="H901" s="1594"/>
      <c r="I901" s="1594"/>
      <c r="J901" s="1594"/>
      <c r="K901" s="1594"/>
      <c r="L901" s="1594"/>
      <c r="M901" s="1594"/>
      <c r="N901" s="1594"/>
      <c r="O901" s="1594"/>
      <c r="P901" s="1594"/>
      <c r="Q901" s="1594"/>
      <c r="R901" s="1594"/>
      <c r="S901" s="1594"/>
      <c r="T901" s="1594"/>
      <c r="U901" s="1594"/>
      <c r="V901" s="1594"/>
      <c r="W901" s="1594"/>
      <c r="X901" s="1594"/>
      <c r="Y901" s="1594"/>
      <c r="Z901" s="1594"/>
    </row>
    <row r="902" ht="12.75" customHeight="1">
      <c r="A902" s="1594"/>
      <c r="B902" s="1594"/>
      <c r="C902" s="1594"/>
      <c r="D902" s="1594"/>
      <c r="E902" s="1594"/>
      <c r="F902" s="1594"/>
      <c r="G902" s="1594"/>
      <c r="H902" s="1594"/>
      <c r="I902" s="1594"/>
      <c r="J902" s="1594"/>
      <c r="K902" s="1594"/>
      <c r="L902" s="1594"/>
      <c r="M902" s="1594"/>
      <c r="N902" s="1594"/>
      <c r="O902" s="1594"/>
      <c r="P902" s="1594"/>
      <c r="Q902" s="1594"/>
      <c r="R902" s="1594"/>
      <c r="S902" s="1594"/>
      <c r="T902" s="1594"/>
      <c r="U902" s="1594"/>
      <c r="V902" s="1594"/>
      <c r="W902" s="1594"/>
      <c r="X902" s="1594"/>
      <c r="Y902" s="1594"/>
      <c r="Z902" s="1594"/>
    </row>
    <row r="903" ht="12.75" customHeight="1">
      <c r="A903" s="1594"/>
      <c r="B903" s="1594"/>
      <c r="C903" s="1594"/>
      <c r="D903" s="1594"/>
      <c r="E903" s="1594"/>
      <c r="F903" s="1594"/>
      <c r="G903" s="1594"/>
      <c r="H903" s="1594"/>
      <c r="I903" s="1594"/>
      <c r="J903" s="1594"/>
      <c r="K903" s="1594"/>
      <c r="L903" s="1594"/>
      <c r="M903" s="1594"/>
      <c r="N903" s="1594"/>
      <c r="O903" s="1594"/>
      <c r="P903" s="1594"/>
      <c r="Q903" s="1594"/>
      <c r="R903" s="1594"/>
      <c r="S903" s="1594"/>
      <c r="T903" s="1594"/>
      <c r="U903" s="1594"/>
      <c r="V903" s="1594"/>
      <c r="W903" s="1594"/>
      <c r="X903" s="1594"/>
      <c r="Y903" s="1594"/>
      <c r="Z903" s="1594"/>
    </row>
    <row r="904" ht="12.75" customHeight="1">
      <c r="A904" s="1594"/>
      <c r="B904" s="1594"/>
      <c r="C904" s="1594"/>
      <c r="D904" s="1594"/>
      <c r="E904" s="1594"/>
      <c r="F904" s="1594"/>
      <c r="G904" s="1594"/>
      <c r="H904" s="1594"/>
      <c r="I904" s="1594"/>
      <c r="J904" s="1594"/>
      <c r="K904" s="1594"/>
      <c r="L904" s="1594"/>
      <c r="M904" s="1594"/>
      <c r="N904" s="1594"/>
      <c r="O904" s="1594"/>
      <c r="P904" s="1594"/>
      <c r="Q904" s="1594"/>
      <c r="R904" s="1594"/>
      <c r="S904" s="1594"/>
      <c r="T904" s="1594"/>
      <c r="U904" s="1594"/>
      <c r="V904" s="1594"/>
      <c r="W904" s="1594"/>
      <c r="X904" s="1594"/>
      <c r="Y904" s="1594"/>
      <c r="Z904" s="1594"/>
    </row>
    <row r="905" ht="12.75" customHeight="1">
      <c r="A905" s="1594"/>
      <c r="B905" s="1594"/>
      <c r="C905" s="1594"/>
      <c r="D905" s="1594"/>
      <c r="E905" s="1594"/>
      <c r="F905" s="1594"/>
      <c r="G905" s="1594"/>
      <c r="H905" s="1594"/>
      <c r="I905" s="1594"/>
      <c r="J905" s="1594"/>
      <c r="K905" s="1594"/>
      <c r="L905" s="1594"/>
      <c r="M905" s="1594"/>
      <c r="N905" s="1594"/>
      <c r="O905" s="1594"/>
      <c r="P905" s="1594"/>
      <c r="Q905" s="1594"/>
      <c r="R905" s="1594"/>
      <c r="S905" s="1594"/>
      <c r="T905" s="1594"/>
      <c r="U905" s="1594"/>
      <c r="V905" s="1594"/>
      <c r="W905" s="1594"/>
      <c r="X905" s="1594"/>
      <c r="Y905" s="1594"/>
      <c r="Z905" s="1594"/>
    </row>
    <row r="906" ht="12.75" customHeight="1">
      <c r="A906" s="1594"/>
      <c r="B906" s="1594"/>
      <c r="C906" s="1594"/>
      <c r="D906" s="1594"/>
      <c r="E906" s="1594"/>
      <c r="F906" s="1594"/>
      <c r="G906" s="1594"/>
      <c r="H906" s="1594"/>
      <c r="I906" s="1594"/>
      <c r="J906" s="1594"/>
      <c r="K906" s="1594"/>
      <c r="L906" s="1594"/>
      <c r="M906" s="1594"/>
      <c r="N906" s="1594"/>
      <c r="O906" s="1594"/>
      <c r="P906" s="1594"/>
      <c r="Q906" s="1594"/>
      <c r="R906" s="1594"/>
      <c r="S906" s="1594"/>
      <c r="T906" s="1594"/>
      <c r="U906" s="1594"/>
      <c r="V906" s="1594"/>
      <c r="W906" s="1594"/>
      <c r="X906" s="1594"/>
      <c r="Y906" s="1594"/>
      <c r="Z906" s="1594"/>
    </row>
    <row r="907" ht="12.75" customHeight="1">
      <c r="A907" s="1594"/>
      <c r="B907" s="1594"/>
      <c r="C907" s="1594"/>
      <c r="D907" s="1594"/>
      <c r="E907" s="1594"/>
      <c r="F907" s="1594"/>
      <c r="G907" s="1594"/>
      <c r="H907" s="1594"/>
      <c r="I907" s="1594"/>
      <c r="J907" s="1594"/>
      <c r="K907" s="1594"/>
      <c r="L907" s="1594"/>
      <c r="M907" s="1594"/>
      <c r="N907" s="1594"/>
      <c r="O907" s="1594"/>
      <c r="P907" s="1594"/>
      <c r="Q907" s="1594"/>
      <c r="R907" s="1594"/>
      <c r="S907" s="1594"/>
      <c r="T907" s="1594"/>
      <c r="U907" s="1594"/>
      <c r="V907" s="1594"/>
      <c r="W907" s="1594"/>
      <c r="X907" s="1594"/>
      <c r="Y907" s="1594"/>
      <c r="Z907" s="1594"/>
    </row>
    <row r="908" ht="12.75" customHeight="1">
      <c r="A908" s="1594"/>
      <c r="B908" s="1594"/>
      <c r="C908" s="1594"/>
      <c r="D908" s="1594"/>
      <c r="E908" s="1594"/>
      <c r="F908" s="1594"/>
      <c r="G908" s="1594"/>
      <c r="H908" s="1594"/>
      <c r="I908" s="1594"/>
      <c r="J908" s="1594"/>
      <c r="K908" s="1594"/>
      <c r="L908" s="1594"/>
      <c r="M908" s="1594"/>
      <c r="N908" s="1594"/>
      <c r="O908" s="1594"/>
      <c r="P908" s="1594"/>
      <c r="Q908" s="1594"/>
      <c r="R908" s="1594"/>
      <c r="S908" s="1594"/>
      <c r="T908" s="1594"/>
      <c r="U908" s="1594"/>
      <c r="V908" s="1594"/>
      <c r="W908" s="1594"/>
      <c r="X908" s="1594"/>
      <c r="Y908" s="1594"/>
      <c r="Z908" s="1594"/>
    </row>
    <row r="909" ht="12.75" customHeight="1">
      <c r="A909" s="1594"/>
      <c r="B909" s="1594"/>
      <c r="C909" s="1594"/>
      <c r="D909" s="1594"/>
      <c r="E909" s="1594"/>
      <c r="F909" s="1594"/>
      <c r="G909" s="1594"/>
      <c r="H909" s="1594"/>
      <c r="I909" s="1594"/>
      <c r="J909" s="1594"/>
      <c r="K909" s="1594"/>
      <c r="L909" s="1594"/>
      <c r="M909" s="1594"/>
      <c r="N909" s="1594"/>
      <c r="O909" s="1594"/>
      <c r="P909" s="1594"/>
      <c r="Q909" s="1594"/>
      <c r="R909" s="1594"/>
      <c r="S909" s="1594"/>
      <c r="T909" s="1594"/>
      <c r="U909" s="1594"/>
      <c r="V909" s="1594"/>
      <c r="W909" s="1594"/>
      <c r="X909" s="1594"/>
      <c r="Y909" s="1594"/>
      <c r="Z909" s="1594"/>
    </row>
    <row r="910" ht="12.75" customHeight="1">
      <c r="A910" s="1594"/>
      <c r="B910" s="1594"/>
      <c r="C910" s="1594"/>
      <c r="D910" s="1594"/>
      <c r="E910" s="1594"/>
      <c r="F910" s="1594"/>
      <c r="G910" s="1594"/>
      <c r="H910" s="1594"/>
      <c r="I910" s="1594"/>
      <c r="J910" s="1594"/>
      <c r="K910" s="1594"/>
      <c r="L910" s="1594"/>
      <c r="M910" s="1594"/>
      <c r="N910" s="1594"/>
      <c r="O910" s="1594"/>
      <c r="P910" s="1594"/>
      <c r="Q910" s="1594"/>
      <c r="R910" s="1594"/>
      <c r="S910" s="1594"/>
      <c r="T910" s="1594"/>
      <c r="U910" s="1594"/>
      <c r="V910" s="1594"/>
      <c r="W910" s="1594"/>
      <c r="X910" s="1594"/>
      <c r="Y910" s="1594"/>
      <c r="Z910" s="1594"/>
    </row>
    <row r="911" ht="12.75" customHeight="1">
      <c r="A911" s="1594"/>
      <c r="B911" s="1594"/>
      <c r="C911" s="1594"/>
      <c r="D911" s="1594"/>
      <c r="E911" s="1594"/>
      <c r="F911" s="1594"/>
      <c r="G911" s="1594"/>
      <c r="H911" s="1594"/>
      <c r="I911" s="1594"/>
      <c r="J911" s="1594"/>
      <c r="K911" s="1594"/>
      <c r="L911" s="1594"/>
      <c r="M911" s="1594"/>
      <c r="N911" s="1594"/>
      <c r="O911" s="1594"/>
      <c r="P911" s="1594"/>
      <c r="Q911" s="1594"/>
      <c r="R911" s="1594"/>
      <c r="S911" s="1594"/>
      <c r="T911" s="1594"/>
      <c r="U911" s="1594"/>
      <c r="V911" s="1594"/>
      <c r="W911" s="1594"/>
      <c r="X911" s="1594"/>
      <c r="Y911" s="1594"/>
      <c r="Z911" s="1594"/>
    </row>
    <row r="912" ht="12.75" customHeight="1">
      <c r="A912" s="1594"/>
      <c r="B912" s="1594"/>
      <c r="C912" s="1594"/>
      <c r="D912" s="1594"/>
      <c r="E912" s="1594"/>
      <c r="F912" s="1594"/>
      <c r="G912" s="1594"/>
      <c r="H912" s="1594"/>
      <c r="I912" s="1594"/>
      <c r="J912" s="1594"/>
      <c r="K912" s="1594"/>
      <c r="L912" s="1594"/>
      <c r="M912" s="1594"/>
      <c r="N912" s="1594"/>
      <c r="O912" s="1594"/>
      <c r="P912" s="1594"/>
      <c r="Q912" s="1594"/>
      <c r="R912" s="1594"/>
      <c r="S912" s="1594"/>
      <c r="T912" s="1594"/>
      <c r="U912" s="1594"/>
      <c r="V912" s="1594"/>
      <c r="W912" s="1594"/>
      <c r="X912" s="1594"/>
      <c r="Y912" s="1594"/>
      <c r="Z912" s="1594"/>
    </row>
    <row r="913" ht="12.75" customHeight="1">
      <c r="A913" s="1594"/>
      <c r="B913" s="1594"/>
      <c r="C913" s="1594"/>
      <c r="D913" s="1594"/>
      <c r="E913" s="1594"/>
      <c r="F913" s="1594"/>
      <c r="G913" s="1594"/>
      <c r="H913" s="1594"/>
      <c r="I913" s="1594"/>
      <c r="J913" s="1594"/>
      <c r="K913" s="1594"/>
      <c r="L913" s="1594"/>
      <c r="M913" s="1594"/>
      <c r="N913" s="1594"/>
      <c r="O913" s="1594"/>
      <c r="P913" s="1594"/>
      <c r="Q913" s="1594"/>
      <c r="R913" s="1594"/>
      <c r="S913" s="1594"/>
      <c r="T913" s="1594"/>
      <c r="U913" s="1594"/>
      <c r="V913" s="1594"/>
      <c r="W913" s="1594"/>
      <c r="X913" s="1594"/>
      <c r="Y913" s="1594"/>
      <c r="Z913" s="1594"/>
    </row>
    <row r="914" ht="12.75" customHeight="1">
      <c r="A914" s="1594"/>
      <c r="B914" s="1594"/>
      <c r="C914" s="1594"/>
      <c r="D914" s="1594"/>
      <c r="E914" s="1594"/>
      <c r="F914" s="1594"/>
      <c r="G914" s="1594"/>
      <c r="H914" s="1594"/>
      <c r="I914" s="1594"/>
      <c r="J914" s="1594"/>
      <c r="K914" s="1594"/>
      <c r="L914" s="1594"/>
      <c r="M914" s="1594"/>
      <c r="N914" s="1594"/>
      <c r="O914" s="1594"/>
      <c r="P914" s="1594"/>
      <c r="Q914" s="1594"/>
      <c r="R914" s="1594"/>
      <c r="S914" s="1594"/>
      <c r="T914" s="1594"/>
      <c r="U914" s="1594"/>
      <c r="V914" s="1594"/>
      <c r="W914" s="1594"/>
      <c r="X914" s="1594"/>
      <c r="Y914" s="1594"/>
      <c r="Z914" s="1594"/>
    </row>
    <row r="915" ht="12.75" customHeight="1">
      <c r="A915" s="1594"/>
      <c r="B915" s="1594"/>
      <c r="C915" s="1594"/>
      <c r="D915" s="1594"/>
      <c r="E915" s="1594"/>
      <c r="F915" s="1594"/>
      <c r="G915" s="1594"/>
      <c r="H915" s="1594"/>
      <c r="I915" s="1594"/>
      <c r="J915" s="1594"/>
      <c r="K915" s="1594"/>
      <c r="L915" s="1594"/>
      <c r="M915" s="1594"/>
      <c r="N915" s="1594"/>
      <c r="O915" s="1594"/>
      <c r="P915" s="1594"/>
      <c r="Q915" s="1594"/>
      <c r="R915" s="1594"/>
      <c r="S915" s="1594"/>
      <c r="T915" s="1594"/>
      <c r="U915" s="1594"/>
      <c r="V915" s="1594"/>
      <c r="W915" s="1594"/>
      <c r="X915" s="1594"/>
      <c r="Y915" s="1594"/>
      <c r="Z915" s="1594"/>
    </row>
    <row r="916" ht="12.75" customHeight="1">
      <c r="A916" s="1594"/>
      <c r="B916" s="1594"/>
      <c r="C916" s="1594"/>
      <c r="D916" s="1594"/>
      <c r="E916" s="1594"/>
      <c r="F916" s="1594"/>
      <c r="G916" s="1594"/>
      <c r="H916" s="1594"/>
      <c r="I916" s="1594"/>
      <c r="J916" s="1594"/>
      <c r="K916" s="1594"/>
      <c r="L916" s="1594"/>
      <c r="M916" s="1594"/>
      <c r="N916" s="1594"/>
      <c r="O916" s="1594"/>
      <c r="P916" s="1594"/>
      <c r="Q916" s="1594"/>
      <c r="R916" s="1594"/>
      <c r="S916" s="1594"/>
      <c r="T916" s="1594"/>
      <c r="U916" s="1594"/>
      <c r="V916" s="1594"/>
      <c r="W916" s="1594"/>
      <c r="X916" s="1594"/>
      <c r="Y916" s="1594"/>
      <c r="Z916" s="1594"/>
    </row>
    <row r="917" ht="12.75" customHeight="1">
      <c r="A917" s="1594"/>
      <c r="B917" s="1594"/>
      <c r="C917" s="1594"/>
      <c r="D917" s="1594"/>
      <c r="E917" s="1594"/>
      <c r="F917" s="1594"/>
      <c r="G917" s="1594"/>
      <c r="H917" s="1594"/>
      <c r="I917" s="1594"/>
      <c r="J917" s="1594"/>
      <c r="K917" s="1594"/>
      <c r="L917" s="1594"/>
      <c r="M917" s="1594"/>
      <c r="N917" s="1594"/>
      <c r="O917" s="1594"/>
      <c r="P917" s="1594"/>
      <c r="Q917" s="1594"/>
      <c r="R917" s="1594"/>
      <c r="S917" s="1594"/>
      <c r="T917" s="1594"/>
      <c r="U917" s="1594"/>
      <c r="V917" s="1594"/>
      <c r="W917" s="1594"/>
      <c r="X917" s="1594"/>
      <c r="Y917" s="1594"/>
      <c r="Z917" s="1594"/>
    </row>
    <row r="918" ht="12.75" customHeight="1">
      <c r="A918" s="1594"/>
      <c r="B918" s="1594"/>
      <c r="C918" s="1594"/>
      <c r="D918" s="1594"/>
      <c r="E918" s="1594"/>
      <c r="F918" s="1594"/>
      <c r="G918" s="1594"/>
      <c r="H918" s="1594"/>
      <c r="I918" s="1594"/>
      <c r="J918" s="1594"/>
      <c r="K918" s="1594"/>
      <c r="L918" s="1594"/>
      <c r="M918" s="1594"/>
      <c r="N918" s="1594"/>
      <c r="O918" s="1594"/>
      <c r="P918" s="1594"/>
      <c r="Q918" s="1594"/>
      <c r="R918" s="1594"/>
      <c r="S918" s="1594"/>
      <c r="T918" s="1594"/>
      <c r="U918" s="1594"/>
      <c r="V918" s="1594"/>
      <c r="W918" s="1594"/>
      <c r="X918" s="1594"/>
      <c r="Y918" s="1594"/>
      <c r="Z918" s="1594"/>
    </row>
    <row r="919" ht="12.75" customHeight="1">
      <c r="A919" s="1594"/>
      <c r="B919" s="1594"/>
      <c r="C919" s="1594"/>
      <c r="D919" s="1594"/>
      <c r="E919" s="1594"/>
      <c r="F919" s="1594"/>
      <c r="G919" s="1594"/>
      <c r="H919" s="1594"/>
      <c r="I919" s="1594"/>
      <c r="J919" s="1594"/>
      <c r="K919" s="1594"/>
      <c r="L919" s="1594"/>
      <c r="M919" s="1594"/>
      <c r="N919" s="1594"/>
      <c r="O919" s="1594"/>
      <c r="P919" s="1594"/>
      <c r="Q919" s="1594"/>
      <c r="R919" s="1594"/>
      <c r="S919" s="1594"/>
      <c r="T919" s="1594"/>
      <c r="U919" s="1594"/>
      <c r="V919" s="1594"/>
      <c r="W919" s="1594"/>
      <c r="X919" s="1594"/>
      <c r="Y919" s="1594"/>
      <c r="Z919" s="1594"/>
    </row>
    <row r="920" ht="12.75" customHeight="1">
      <c r="A920" s="1594"/>
      <c r="B920" s="1594"/>
      <c r="C920" s="1594"/>
      <c r="D920" s="1594"/>
      <c r="E920" s="1594"/>
      <c r="F920" s="1594"/>
      <c r="G920" s="1594"/>
      <c r="H920" s="1594"/>
      <c r="I920" s="1594"/>
      <c r="J920" s="1594"/>
      <c r="K920" s="1594"/>
      <c r="L920" s="1594"/>
      <c r="M920" s="1594"/>
      <c r="N920" s="1594"/>
      <c r="O920" s="1594"/>
      <c r="P920" s="1594"/>
      <c r="Q920" s="1594"/>
      <c r="R920" s="1594"/>
      <c r="S920" s="1594"/>
      <c r="T920" s="1594"/>
      <c r="U920" s="1594"/>
      <c r="V920" s="1594"/>
      <c r="W920" s="1594"/>
      <c r="X920" s="1594"/>
      <c r="Y920" s="1594"/>
      <c r="Z920" s="1594"/>
    </row>
    <row r="921" ht="12.75" customHeight="1">
      <c r="A921" s="1594"/>
      <c r="B921" s="1594"/>
      <c r="C921" s="1594"/>
      <c r="D921" s="1594"/>
      <c r="E921" s="1594"/>
      <c r="F921" s="1594"/>
      <c r="G921" s="1594"/>
      <c r="H921" s="1594"/>
      <c r="I921" s="1594"/>
      <c r="J921" s="1594"/>
      <c r="K921" s="1594"/>
      <c r="L921" s="1594"/>
      <c r="M921" s="1594"/>
      <c r="N921" s="1594"/>
      <c r="O921" s="1594"/>
      <c r="P921" s="1594"/>
      <c r="Q921" s="1594"/>
      <c r="R921" s="1594"/>
      <c r="S921" s="1594"/>
      <c r="T921" s="1594"/>
      <c r="U921" s="1594"/>
      <c r="V921" s="1594"/>
      <c r="W921" s="1594"/>
      <c r="X921" s="1594"/>
      <c r="Y921" s="1594"/>
      <c r="Z921" s="1594"/>
    </row>
    <row r="922" ht="12.75" customHeight="1">
      <c r="A922" s="1594"/>
      <c r="B922" s="1594"/>
      <c r="C922" s="1594"/>
      <c r="D922" s="1594"/>
      <c r="E922" s="1594"/>
      <c r="F922" s="1594"/>
      <c r="G922" s="1594"/>
      <c r="H922" s="1594"/>
      <c r="I922" s="1594"/>
      <c r="J922" s="1594"/>
      <c r="K922" s="1594"/>
      <c r="L922" s="1594"/>
      <c r="M922" s="1594"/>
      <c r="N922" s="1594"/>
      <c r="O922" s="1594"/>
      <c r="P922" s="1594"/>
      <c r="Q922" s="1594"/>
      <c r="R922" s="1594"/>
      <c r="S922" s="1594"/>
      <c r="T922" s="1594"/>
      <c r="U922" s="1594"/>
      <c r="V922" s="1594"/>
      <c r="W922" s="1594"/>
      <c r="X922" s="1594"/>
      <c r="Y922" s="1594"/>
      <c r="Z922" s="1594"/>
    </row>
    <row r="923" ht="12.75" customHeight="1">
      <c r="A923" s="1594"/>
      <c r="B923" s="1594"/>
      <c r="C923" s="1594"/>
      <c r="D923" s="1594"/>
      <c r="E923" s="1594"/>
      <c r="F923" s="1594"/>
      <c r="G923" s="1594"/>
      <c r="H923" s="1594"/>
      <c r="I923" s="1594"/>
      <c r="J923" s="1594"/>
      <c r="K923" s="1594"/>
      <c r="L923" s="1594"/>
      <c r="M923" s="1594"/>
      <c r="N923" s="1594"/>
      <c r="O923" s="1594"/>
      <c r="P923" s="1594"/>
      <c r="Q923" s="1594"/>
      <c r="R923" s="1594"/>
      <c r="S923" s="1594"/>
      <c r="T923" s="1594"/>
      <c r="U923" s="1594"/>
      <c r="V923" s="1594"/>
      <c r="W923" s="1594"/>
      <c r="X923" s="1594"/>
      <c r="Y923" s="1594"/>
      <c r="Z923" s="1594"/>
    </row>
    <row r="924" ht="12.75" customHeight="1">
      <c r="A924" s="1594"/>
      <c r="B924" s="1594"/>
      <c r="C924" s="1594"/>
      <c r="D924" s="1594"/>
      <c r="E924" s="1594"/>
      <c r="F924" s="1594"/>
      <c r="G924" s="1594"/>
      <c r="H924" s="1594"/>
      <c r="I924" s="1594"/>
      <c r="J924" s="1594"/>
      <c r="K924" s="1594"/>
      <c r="L924" s="1594"/>
      <c r="M924" s="1594"/>
      <c r="N924" s="1594"/>
      <c r="O924" s="1594"/>
      <c r="P924" s="1594"/>
      <c r="Q924" s="1594"/>
      <c r="R924" s="1594"/>
      <c r="S924" s="1594"/>
      <c r="T924" s="1594"/>
      <c r="U924" s="1594"/>
      <c r="V924" s="1594"/>
      <c r="W924" s="1594"/>
      <c r="X924" s="1594"/>
      <c r="Y924" s="1594"/>
      <c r="Z924" s="1594"/>
    </row>
    <row r="925" ht="12.75" customHeight="1">
      <c r="A925" s="1594"/>
      <c r="B925" s="1594"/>
      <c r="C925" s="1594"/>
      <c r="D925" s="1594"/>
      <c r="E925" s="1594"/>
      <c r="F925" s="1594"/>
      <c r="G925" s="1594"/>
      <c r="H925" s="1594"/>
      <c r="I925" s="1594"/>
      <c r="J925" s="1594"/>
      <c r="K925" s="1594"/>
      <c r="L925" s="1594"/>
      <c r="M925" s="1594"/>
      <c r="N925" s="1594"/>
      <c r="O925" s="1594"/>
      <c r="P925" s="1594"/>
      <c r="Q925" s="1594"/>
      <c r="R925" s="1594"/>
      <c r="S925" s="1594"/>
      <c r="T925" s="1594"/>
      <c r="U925" s="1594"/>
      <c r="V925" s="1594"/>
      <c r="W925" s="1594"/>
      <c r="X925" s="1594"/>
      <c r="Y925" s="1594"/>
      <c r="Z925" s="1594"/>
    </row>
    <row r="926" ht="12.75" customHeight="1">
      <c r="A926" s="1594"/>
      <c r="B926" s="1594"/>
      <c r="C926" s="1594"/>
      <c r="D926" s="1594"/>
      <c r="E926" s="1594"/>
      <c r="F926" s="1594"/>
      <c r="G926" s="1594"/>
      <c r="H926" s="1594"/>
      <c r="I926" s="1594"/>
      <c r="J926" s="1594"/>
      <c r="K926" s="1594"/>
      <c r="L926" s="1594"/>
      <c r="M926" s="1594"/>
      <c r="N926" s="1594"/>
      <c r="O926" s="1594"/>
      <c r="P926" s="1594"/>
      <c r="Q926" s="1594"/>
      <c r="R926" s="1594"/>
      <c r="S926" s="1594"/>
      <c r="T926" s="1594"/>
      <c r="U926" s="1594"/>
      <c r="V926" s="1594"/>
      <c r="W926" s="1594"/>
      <c r="X926" s="1594"/>
      <c r="Y926" s="1594"/>
      <c r="Z926" s="1594"/>
    </row>
    <row r="927" ht="12.75" customHeight="1">
      <c r="A927" s="1594"/>
      <c r="B927" s="1594"/>
      <c r="C927" s="1594"/>
      <c r="D927" s="1594"/>
      <c r="E927" s="1594"/>
      <c r="F927" s="1594"/>
      <c r="G927" s="1594"/>
      <c r="H927" s="1594"/>
      <c r="I927" s="1594"/>
      <c r="J927" s="1594"/>
      <c r="K927" s="1594"/>
      <c r="L927" s="1594"/>
      <c r="M927" s="1594"/>
      <c r="N927" s="1594"/>
      <c r="O927" s="1594"/>
      <c r="P927" s="1594"/>
      <c r="Q927" s="1594"/>
      <c r="R927" s="1594"/>
      <c r="S927" s="1594"/>
      <c r="T927" s="1594"/>
      <c r="U927" s="1594"/>
      <c r="V927" s="1594"/>
      <c r="W927" s="1594"/>
      <c r="X927" s="1594"/>
      <c r="Y927" s="1594"/>
      <c r="Z927" s="1594"/>
    </row>
    <row r="928" ht="12.75" customHeight="1">
      <c r="A928" s="1594"/>
      <c r="B928" s="1594"/>
      <c r="C928" s="1594"/>
      <c r="D928" s="1594"/>
      <c r="E928" s="1594"/>
      <c r="F928" s="1594"/>
      <c r="G928" s="1594"/>
      <c r="H928" s="1594"/>
      <c r="I928" s="1594"/>
      <c r="J928" s="1594"/>
      <c r="K928" s="1594"/>
      <c r="L928" s="1594"/>
      <c r="M928" s="1594"/>
      <c r="N928" s="1594"/>
      <c r="O928" s="1594"/>
      <c r="P928" s="1594"/>
      <c r="Q928" s="1594"/>
      <c r="R928" s="1594"/>
      <c r="S928" s="1594"/>
      <c r="T928" s="1594"/>
      <c r="U928" s="1594"/>
      <c r="V928" s="1594"/>
      <c r="W928" s="1594"/>
      <c r="X928" s="1594"/>
      <c r="Y928" s="1594"/>
      <c r="Z928" s="1594"/>
    </row>
    <row r="929" ht="12.75" customHeight="1">
      <c r="A929" s="1594"/>
      <c r="B929" s="1594"/>
      <c r="C929" s="1594"/>
      <c r="D929" s="1594"/>
      <c r="E929" s="1594"/>
      <c r="F929" s="1594"/>
      <c r="G929" s="1594"/>
      <c r="H929" s="1594"/>
      <c r="I929" s="1594"/>
      <c r="J929" s="1594"/>
      <c r="K929" s="1594"/>
      <c r="L929" s="1594"/>
      <c r="M929" s="1594"/>
      <c r="N929" s="1594"/>
      <c r="O929" s="1594"/>
      <c r="P929" s="1594"/>
      <c r="Q929" s="1594"/>
      <c r="R929" s="1594"/>
      <c r="S929" s="1594"/>
      <c r="T929" s="1594"/>
      <c r="U929" s="1594"/>
      <c r="V929" s="1594"/>
      <c r="W929" s="1594"/>
      <c r="X929" s="1594"/>
      <c r="Y929" s="1594"/>
      <c r="Z929" s="1594"/>
    </row>
    <row r="930" ht="12.75" customHeight="1">
      <c r="A930" s="1594"/>
      <c r="B930" s="1594"/>
      <c r="C930" s="1594"/>
      <c r="D930" s="1594"/>
      <c r="E930" s="1594"/>
      <c r="F930" s="1594"/>
      <c r="G930" s="1594"/>
      <c r="H930" s="1594"/>
      <c r="I930" s="1594"/>
      <c r="J930" s="1594"/>
      <c r="K930" s="1594"/>
      <c r="L930" s="1594"/>
      <c r="M930" s="1594"/>
      <c r="N930" s="1594"/>
      <c r="O930" s="1594"/>
      <c r="P930" s="1594"/>
      <c r="Q930" s="1594"/>
      <c r="R930" s="1594"/>
      <c r="S930" s="1594"/>
      <c r="T930" s="1594"/>
      <c r="U930" s="1594"/>
      <c r="V930" s="1594"/>
      <c r="W930" s="1594"/>
      <c r="X930" s="1594"/>
      <c r="Y930" s="1594"/>
      <c r="Z930" s="1594"/>
    </row>
    <row r="931" ht="12.75" customHeight="1">
      <c r="A931" s="1594"/>
      <c r="B931" s="1594"/>
      <c r="C931" s="1594"/>
      <c r="D931" s="1594"/>
      <c r="E931" s="1594"/>
      <c r="F931" s="1594"/>
      <c r="G931" s="1594"/>
      <c r="H931" s="1594"/>
      <c r="I931" s="1594"/>
      <c r="J931" s="1594"/>
      <c r="K931" s="1594"/>
      <c r="L931" s="1594"/>
      <c r="M931" s="1594"/>
      <c r="N931" s="1594"/>
      <c r="O931" s="1594"/>
      <c r="P931" s="1594"/>
      <c r="Q931" s="1594"/>
      <c r="R931" s="1594"/>
      <c r="S931" s="1594"/>
      <c r="T931" s="1594"/>
      <c r="U931" s="1594"/>
      <c r="V931" s="1594"/>
      <c r="W931" s="1594"/>
      <c r="X931" s="1594"/>
      <c r="Y931" s="1594"/>
      <c r="Z931" s="1594"/>
    </row>
    <row r="932" ht="12.75" customHeight="1">
      <c r="A932" s="1594"/>
      <c r="B932" s="1594"/>
      <c r="C932" s="1594"/>
      <c r="D932" s="1594"/>
      <c r="E932" s="1594"/>
      <c r="F932" s="1594"/>
      <c r="G932" s="1594"/>
      <c r="H932" s="1594"/>
      <c r="I932" s="1594"/>
      <c r="J932" s="1594"/>
      <c r="K932" s="1594"/>
      <c r="L932" s="1594"/>
      <c r="M932" s="1594"/>
      <c r="N932" s="1594"/>
      <c r="O932" s="1594"/>
      <c r="P932" s="1594"/>
      <c r="Q932" s="1594"/>
      <c r="R932" s="1594"/>
      <c r="S932" s="1594"/>
      <c r="T932" s="1594"/>
      <c r="U932" s="1594"/>
      <c r="V932" s="1594"/>
      <c r="W932" s="1594"/>
      <c r="X932" s="1594"/>
      <c r="Y932" s="1594"/>
      <c r="Z932" s="1594"/>
    </row>
    <row r="933" ht="12.75" customHeight="1">
      <c r="A933" s="1594"/>
      <c r="B933" s="1594"/>
      <c r="C933" s="1594"/>
      <c r="D933" s="1594"/>
      <c r="E933" s="1594"/>
      <c r="F933" s="1594"/>
      <c r="G933" s="1594"/>
      <c r="H933" s="1594"/>
      <c r="I933" s="1594"/>
      <c r="J933" s="1594"/>
      <c r="K933" s="1594"/>
      <c r="L933" s="1594"/>
      <c r="M933" s="1594"/>
      <c r="N933" s="1594"/>
      <c r="O933" s="1594"/>
      <c r="P933" s="1594"/>
      <c r="Q933" s="1594"/>
      <c r="R933" s="1594"/>
      <c r="S933" s="1594"/>
      <c r="T933" s="1594"/>
      <c r="U933" s="1594"/>
      <c r="V933" s="1594"/>
      <c r="W933" s="1594"/>
      <c r="X933" s="1594"/>
      <c r="Y933" s="1594"/>
      <c r="Z933" s="1594"/>
    </row>
    <row r="934" ht="12.75" customHeight="1">
      <c r="A934" s="1594"/>
      <c r="B934" s="1594"/>
      <c r="C934" s="1594"/>
      <c r="D934" s="1594"/>
      <c r="E934" s="1594"/>
      <c r="F934" s="1594"/>
      <c r="G934" s="1594"/>
      <c r="H934" s="1594"/>
      <c r="I934" s="1594"/>
      <c r="J934" s="1594"/>
      <c r="K934" s="1594"/>
      <c r="L934" s="1594"/>
      <c r="M934" s="1594"/>
      <c r="N934" s="1594"/>
      <c r="O934" s="1594"/>
      <c r="P934" s="1594"/>
      <c r="Q934" s="1594"/>
      <c r="R934" s="1594"/>
      <c r="S934" s="1594"/>
      <c r="T934" s="1594"/>
      <c r="U934" s="1594"/>
      <c r="V934" s="1594"/>
      <c r="W934" s="1594"/>
      <c r="X934" s="1594"/>
      <c r="Y934" s="1594"/>
      <c r="Z934" s="1594"/>
    </row>
    <row r="935" ht="12.75" customHeight="1">
      <c r="A935" s="1594"/>
      <c r="B935" s="1594"/>
      <c r="C935" s="1594"/>
      <c r="D935" s="1594"/>
      <c r="E935" s="1594"/>
      <c r="F935" s="1594"/>
      <c r="G935" s="1594"/>
      <c r="H935" s="1594"/>
      <c r="I935" s="1594"/>
      <c r="J935" s="1594"/>
      <c r="K935" s="1594"/>
      <c r="L935" s="1594"/>
      <c r="M935" s="1594"/>
      <c r="N935" s="1594"/>
      <c r="O935" s="1594"/>
      <c r="P935" s="1594"/>
      <c r="Q935" s="1594"/>
      <c r="R935" s="1594"/>
      <c r="S935" s="1594"/>
      <c r="T935" s="1594"/>
      <c r="U935" s="1594"/>
      <c r="V935" s="1594"/>
      <c r="W935" s="1594"/>
      <c r="X935" s="1594"/>
      <c r="Y935" s="1594"/>
      <c r="Z935" s="1594"/>
    </row>
    <row r="936" ht="12.75" customHeight="1">
      <c r="A936" s="1594"/>
      <c r="B936" s="1594"/>
      <c r="C936" s="1594"/>
      <c r="D936" s="1594"/>
      <c r="E936" s="1594"/>
      <c r="F936" s="1594"/>
      <c r="G936" s="1594"/>
      <c r="H936" s="1594"/>
      <c r="I936" s="1594"/>
      <c r="J936" s="1594"/>
      <c r="K936" s="1594"/>
      <c r="L936" s="1594"/>
      <c r="M936" s="1594"/>
      <c r="N936" s="1594"/>
      <c r="O936" s="1594"/>
      <c r="P936" s="1594"/>
      <c r="Q936" s="1594"/>
      <c r="R936" s="1594"/>
      <c r="S936" s="1594"/>
      <c r="T936" s="1594"/>
      <c r="U936" s="1594"/>
      <c r="V936" s="1594"/>
      <c r="W936" s="1594"/>
      <c r="X936" s="1594"/>
      <c r="Y936" s="1594"/>
      <c r="Z936" s="1594"/>
    </row>
    <row r="937" ht="12.75" customHeight="1">
      <c r="A937" s="1594"/>
      <c r="B937" s="1594"/>
      <c r="C937" s="1594"/>
      <c r="D937" s="1594"/>
      <c r="E937" s="1594"/>
      <c r="F937" s="1594"/>
      <c r="G937" s="1594"/>
      <c r="H937" s="1594"/>
      <c r="I937" s="1594"/>
      <c r="J937" s="1594"/>
      <c r="K937" s="1594"/>
      <c r="L937" s="1594"/>
      <c r="M937" s="1594"/>
      <c r="N937" s="1594"/>
      <c r="O937" s="1594"/>
      <c r="P937" s="1594"/>
      <c r="Q937" s="1594"/>
      <c r="R937" s="1594"/>
      <c r="S937" s="1594"/>
      <c r="T937" s="1594"/>
      <c r="U937" s="1594"/>
      <c r="V937" s="1594"/>
      <c r="W937" s="1594"/>
      <c r="X937" s="1594"/>
      <c r="Y937" s="1594"/>
      <c r="Z937" s="1594"/>
    </row>
    <row r="938" ht="12.75" customHeight="1">
      <c r="A938" s="1594"/>
      <c r="B938" s="1594"/>
      <c r="C938" s="1594"/>
      <c r="D938" s="1594"/>
      <c r="E938" s="1594"/>
      <c r="F938" s="1594"/>
      <c r="G938" s="1594"/>
      <c r="H938" s="1594"/>
      <c r="I938" s="1594"/>
      <c r="J938" s="1594"/>
      <c r="K938" s="1594"/>
      <c r="L938" s="1594"/>
      <c r="M938" s="1594"/>
      <c r="N938" s="1594"/>
      <c r="O938" s="1594"/>
      <c r="P938" s="1594"/>
      <c r="Q938" s="1594"/>
      <c r="R938" s="1594"/>
      <c r="S938" s="1594"/>
      <c r="T938" s="1594"/>
      <c r="U938" s="1594"/>
      <c r="V938" s="1594"/>
      <c r="W938" s="1594"/>
      <c r="X938" s="1594"/>
      <c r="Y938" s="1594"/>
      <c r="Z938" s="1594"/>
    </row>
    <row r="939" ht="12.75" customHeight="1">
      <c r="A939" s="1594"/>
      <c r="B939" s="1594"/>
      <c r="C939" s="1594"/>
      <c r="D939" s="1594"/>
      <c r="E939" s="1594"/>
      <c r="F939" s="1594"/>
      <c r="G939" s="1594"/>
      <c r="H939" s="1594"/>
      <c r="I939" s="1594"/>
      <c r="J939" s="1594"/>
      <c r="K939" s="1594"/>
      <c r="L939" s="1594"/>
      <c r="M939" s="1594"/>
      <c r="N939" s="1594"/>
      <c r="O939" s="1594"/>
      <c r="P939" s="1594"/>
      <c r="Q939" s="1594"/>
      <c r="R939" s="1594"/>
      <c r="S939" s="1594"/>
      <c r="T939" s="1594"/>
      <c r="U939" s="1594"/>
      <c r="V939" s="1594"/>
      <c r="W939" s="1594"/>
      <c r="X939" s="1594"/>
      <c r="Y939" s="1594"/>
      <c r="Z939" s="1594"/>
    </row>
    <row r="940" ht="12.75" customHeight="1">
      <c r="A940" s="1594"/>
      <c r="B940" s="1594"/>
      <c r="C940" s="1594"/>
      <c r="D940" s="1594"/>
      <c r="E940" s="1594"/>
      <c r="F940" s="1594"/>
      <c r="G940" s="1594"/>
      <c r="H940" s="1594"/>
      <c r="I940" s="1594"/>
      <c r="J940" s="1594"/>
      <c r="K940" s="1594"/>
      <c r="L940" s="1594"/>
      <c r="M940" s="1594"/>
      <c r="N940" s="1594"/>
      <c r="O940" s="1594"/>
      <c r="P940" s="1594"/>
      <c r="Q940" s="1594"/>
      <c r="R940" s="1594"/>
      <c r="S940" s="1594"/>
      <c r="T940" s="1594"/>
      <c r="U940" s="1594"/>
      <c r="V940" s="1594"/>
      <c r="W940" s="1594"/>
      <c r="X940" s="1594"/>
      <c r="Y940" s="1594"/>
      <c r="Z940" s="1594"/>
    </row>
    <row r="941" ht="12.75" customHeight="1">
      <c r="A941" s="1594"/>
      <c r="B941" s="1594"/>
      <c r="C941" s="1594"/>
      <c r="D941" s="1594"/>
      <c r="E941" s="1594"/>
      <c r="F941" s="1594"/>
      <c r="G941" s="1594"/>
      <c r="H941" s="1594"/>
      <c r="I941" s="1594"/>
      <c r="J941" s="1594"/>
      <c r="K941" s="1594"/>
      <c r="L941" s="1594"/>
      <c r="M941" s="1594"/>
      <c r="N941" s="1594"/>
      <c r="O941" s="1594"/>
      <c r="P941" s="1594"/>
      <c r="Q941" s="1594"/>
      <c r="R941" s="1594"/>
      <c r="S941" s="1594"/>
      <c r="T941" s="1594"/>
      <c r="U941" s="1594"/>
      <c r="V941" s="1594"/>
      <c r="W941" s="1594"/>
      <c r="X941" s="1594"/>
      <c r="Y941" s="1594"/>
      <c r="Z941" s="1594"/>
    </row>
    <row r="942" ht="12.75" customHeight="1">
      <c r="A942" s="1594"/>
      <c r="B942" s="1594"/>
      <c r="C942" s="1594"/>
      <c r="D942" s="1594"/>
      <c r="E942" s="1594"/>
      <c r="F942" s="1594"/>
      <c r="G942" s="1594"/>
      <c r="H942" s="1594"/>
      <c r="I942" s="1594"/>
      <c r="J942" s="1594"/>
      <c r="K942" s="1594"/>
      <c r="L942" s="1594"/>
      <c r="M942" s="1594"/>
      <c r="N942" s="1594"/>
      <c r="O942" s="1594"/>
      <c r="P942" s="1594"/>
      <c r="Q942" s="1594"/>
      <c r="R942" s="1594"/>
      <c r="S942" s="1594"/>
      <c r="T942" s="1594"/>
      <c r="U942" s="1594"/>
      <c r="V942" s="1594"/>
      <c r="W942" s="1594"/>
      <c r="X942" s="1594"/>
      <c r="Y942" s="1594"/>
      <c r="Z942" s="1594"/>
    </row>
    <row r="943" ht="12.75" customHeight="1">
      <c r="A943" s="1594"/>
      <c r="B943" s="1594"/>
      <c r="C943" s="1594"/>
      <c r="D943" s="1594"/>
      <c r="E943" s="1594"/>
      <c r="F943" s="1594"/>
      <c r="G943" s="1594"/>
      <c r="H943" s="1594"/>
      <c r="I943" s="1594"/>
      <c r="J943" s="1594"/>
      <c r="K943" s="1594"/>
      <c r="L943" s="1594"/>
      <c r="M943" s="1594"/>
      <c r="N943" s="1594"/>
      <c r="O943" s="1594"/>
      <c r="P943" s="1594"/>
      <c r="Q943" s="1594"/>
      <c r="R943" s="1594"/>
      <c r="S943" s="1594"/>
      <c r="T943" s="1594"/>
      <c r="U943" s="1594"/>
      <c r="V943" s="1594"/>
      <c r="W943" s="1594"/>
      <c r="X943" s="1594"/>
      <c r="Y943" s="1594"/>
      <c r="Z943" s="1594"/>
    </row>
    <row r="944" ht="12.75" customHeight="1">
      <c r="A944" s="1594"/>
      <c r="B944" s="1594"/>
      <c r="C944" s="1594"/>
      <c r="D944" s="1594"/>
      <c r="E944" s="1594"/>
      <c r="F944" s="1594"/>
      <c r="G944" s="1594"/>
      <c r="H944" s="1594"/>
      <c r="I944" s="1594"/>
      <c r="J944" s="1594"/>
      <c r="K944" s="1594"/>
      <c r="L944" s="1594"/>
      <c r="M944" s="1594"/>
      <c r="N944" s="1594"/>
      <c r="O944" s="1594"/>
      <c r="P944" s="1594"/>
      <c r="Q944" s="1594"/>
      <c r="R944" s="1594"/>
      <c r="S944" s="1594"/>
      <c r="T944" s="1594"/>
      <c r="U944" s="1594"/>
      <c r="V944" s="1594"/>
      <c r="W944" s="1594"/>
      <c r="X944" s="1594"/>
      <c r="Y944" s="1594"/>
      <c r="Z944" s="1594"/>
    </row>
    <row r="945" ht="12.75" customHeight="1">
      <c r="A945" s="1594"/>
      <c r="B945" s="1594"/>
      <c r="C945" s="1594"/>
      <c r="D945" s="1594"/>
      <c r="E945" s="1594"/>
      <c r="F945" s="1594"/>
      <c r="G945" s="1594"/>
      <c r="H945" s="1594"/>
      <c r="I945" s="1594"/>
      <c r="J945" s="1594"/>
      <c r="K945" s="1594"/>
      <c r="L945" s="1594"/>
      <c r="M945" s="1594"/>
      <c r="N945" s="1594"/>
      <c r="O945" s="1594"/>
      <c r="P945" s="1594"/>
      <c r="Q945" s="1594"/>
      <c r="R945" s="1594"/>
      <c r="S945" s="1594"/>
      <c r="T945" s="1594"/>
      <c r="U945" s="1594"/>
      <c r="V945" s="1594"/>
      <c r="W945" s="1594"/>
      <c r="X945" s="1594"/>
      <c r="Y945" s="1594"/>
      <c r="Z945" s="1594"/>
    </row>
    <row r="946" ht="12.75" customHeight="1">
      <c r="A946" s="1594"/>
      <c r="B946" s="1594"/>
      <c r="C946" s="1594"/>
      <c r="D946" s="1594"/>
      <c r="E946" s="1594"/>
      <c r="F946" s="1594"/>
      <c r="G946" s="1594"/>
      <c r="H946" s="1594"/>
      <c r="I946" s="1594"/>
      <c r="J946" s="1594"/>
      <c r="K946" s="1594"/>
      <c r="L946" s="1594"/>
      <c r="M946" s="1594"/>
      <c r="N946" s="1594"/>
      <c r="O946" s="1594"/>
      <c r="P946" s="1594"/>
      <c r="Q946" s="1594"/>
      <c r="R946" s="1594"/>
      <c r="S946" s="1594"/>
      <c r="T946" s="1594"/>
      <c r="U946" s="1594"/>
      <c r="V946" s="1594"/>
      <c r="W946" s="1594"/>
      <c r="X946" s="1594"/>
      <c r="Y946" s="1594"/>
      <c r="Z946" s="1594"/>
    </row>
    <row r="947" ht="12.75" customHeight="1">
      <c r="A947" s="1594"/>
      <c r="B947" s="1594"/>
      <c r="C947" s="1594"/>
      <c r="D947" s="1594"/>
      <c r="E947" s="1594"/>
      <c r="F947" s="1594"/>
      <c r="G947" s="1594"/>
      <c r="H947" s="1594"/>
      <c r="I947" s="1594"/>
      <c r="J947" s="1594"/>
      <c r="K947" s="1594"/>
      <c r="L947" s="1594"/>
      <c r="M947" s="1594"/>
      <c r="N947" s="1594"/>
      <c r="O947" s="1594"/>
      <c r="P947" s="1594"/>
      <c r="Q947" s="1594"/>
      <c r="R947" s="1594"/>
      <c r="S947" s="1594"/>
      <c r="T947" s="1594"/>
      <c r="U947" s="1594"/>
      <c r="V947" s="1594"/>
      <c r="W947" s="1594"/>
      <c r="X947" s="1594"/>
      <c r="Y947" s="1594"/>
      <c r="Z947" s="1594"/>
    </row>
    <row r="948" ht="12.75" customHeight="1">
      <c r="A948" s="1594"/>
      <c r="B948" s="1594"/>
      <c r="C948" s="1594"/>
      <c r="D948" s="1594"/>
      <c r="E948" s="1594"/>
      <c r="F948" s="1594"/>
      <c r="G948" s="1594"/>
      <c r="H948" s="1594"/>
      <c r="I948" s="1594"/>
      <c r="J948" s="1594"/>
      <c r="K948" s="1594"/>
      <c r="L948" s="1594"/>
      <c r="M948" s="1594"/>
      <c r="N948" s="1594"/>
      <c r="O948" s="1594"/>
      <c r="P948" s="1594"/>
      <c r="Q948" s="1594"/>
      <c r="R948" s="1594"/>
      <c r="S948" s="1594"/>
      <c r="T948" s="1594"/>
      <c r="U948" s="1594"/>
      <c r="V948" s="1594"/>
      <c r="W948" s="1594"/>
      <c r="X948" s="1594"/>
      <c r="Y948" s="1594"/>
      <c r="Z948" s="1594"/>
    </row>
    <row r="949" ht="12.75" customHeight="1">
      <c r="A949" s="1594"/>
      <c r="B949" s="1594"/>
      <c r="C949" s="1594"/>
      <c r="D949" s="1594"/>
      <c r="E949" s="1594"/>
      <c r="F949" s="1594"/>
      <c r="G949" s="1594"/>
      <c r="H949" s="1594"/>
      <c r="I949" s="1594"/>
      <c r="J949" s="1594"/>
      <c r="K949" s="1594"/>
      <c r="L949" s="1594"/>
      <c r="M949" s="1594"/>
      <c r="N949" s="1594"/>
      <c r="O949" s="1594"/>
      <c r="P949" s="1594"/>
      <c r="Q949" s="1594"/>
      <c r="R949" s="1594"/>
      <c r="S949" s="1594"/>
      <c r="T949" s="1594"/>
      <c r="U949" s="1594"/>
      <c r="V949" s="1594"/>
      <c r="W949" s="1594"/>
      <c r="X949" s="1594"/>
      <c r="Y949" s="1594"/>
      <c r="Z949" s="1594"/>
    </row>
    <row r="950" ht="12.75" customHeight="1">
      <c r="A950" s="1594"/>
      <c r="B950" s="1594"/>
      <c r="C950" s="1594"/>
      <c r="D950" s="1594"/>
      <c r="E950" s="1594"/>
      <c r="F950" s="1594"/>
      <c r="G950" s="1594"/>
      <c r="H950" s="1594"/>
      <c r="I950" s="1594"/>
      <c r="J950" s="1594"/>
      <c r="K950" s="1594"/>
      <c r="L950" s="1594"/>
      <c r="M950" s="1594"/>
      <c r="N950" s="1594"/>
      <c r="O950" s="1594"/>
      <c r="P950" s="1594"/>
      <c r="Q950" s="1594"/>
      <c r="R950" s="1594"/>
      <c r="S950" s="1594"/>
      <c r="T950" s="1594"/>
      <c r="U950" s="1594"/>
      <c r="V950" s="1594"/>
      <c r="W950" s="1594"/>
      <c r="X950" s="1594"/>
      <c r="Y950" s="1594"/>
      <c r="Z950" s="1594"/>
    </row>
    <row r="951" ht="12.75" customHeight="1">
      <c r="A951" s="1594"/>
      <c r="B951" s="1594"/>
      <c r="C951" s="1594"/>
      <c r="D951" s="1594"/>
      <c r="E951" s="1594"/>
      <c r="F951" s="1594"/>
      <c r="G951" s="1594"/>
      <c r="H951" s="1594"/>
      <c r="I951" s="1594"/>
      <c r="J951" s="1594"/>
      <c r="K951" s="1594"/>
      <c r="L951" s="1594"/>
      <c r="M951" s="1594"/>
      <c r="N951" s="1594"/>
      <c r="O951" s="1594"/>
      <c r="P951" s="1594"/>
      <c r="Q951" s="1594"/>
      <c r="R951" s="1594"/>
      <c r="S951" s="1594"/>
      <c r="T951" s="1594"/>
      <c r="U951" s="1594"/>
      <c r="V951" s="1594"/>
      <c r="W951" s="1594"/>
      <c r="X951" s="1594"/>
      <c r="Y951" s="1594"/>
      <c r="Z951" s="1594"/>
    </row>
    <row r="952" ht="12.75" customHeight="1">
      <c r="A952" s="1594"/>
      <c r="B952" s="1594"/>
      <c r="C952" s="1594"/>
      <c r="D952" s="1594"/>
      <c r="E952" s="1594"/>
      <c r="F952" s="1594"/>
      <c r="G952" s="1594"/>
      <c r="H952" s="1594"/>
      <c r="I952" s="1594"/>
      <c r="J952" s="1594"/>
      <c r="K952" s="1594"/>
      <c r="L952" s="1594"/>
      <c r="M952" s="1594"/>
      <c r="N952" s="1594"/>
      <c r="O952" s="1594"/>
      <c r="P952" s="1594"/>
      <c r="Q952" s="1594"/>
      <c r="R952" s="1594"/>
      <c r="S952" s="1594"/>
      <c r="T952" s="1594"/>
      <c r="U952" s="1594"/>
      <c r="V952" s="1594"/>
      <c r="W952" s="1594"/>
      <c r="X952" s="1594"/>
      <c r="Y952" s="1594"/>
      <c r="Z952" s="1594"/>
    </row>
    <row r="953" ht="12.75" customHeight="1">
      <c r="A953" s="1594"/>
      <c r="B953" s="1594"/>
      <c r="C953" s="1594"/>
      <c r="D953" s="1594"/>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4"/>
      <c r="Z953" s="1594"/>
    </row>
    <row r="954" ht="12.75" customHeight="1">
      <c r="A954" s="1594"/>
      <c r="B954" s="1594"/>
      <c r="C954" s="1594"/>
      <c r="D954" s="1594"/>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4"/>
      <c r="Z954" s="1594"/>
    </row>
    <row r="955" ht="12.75" customHeight="1">
      <c r="A955" s="1594"/>
      <c r="B955" s="1594"/>
      <c r="C955" s="1594"/>
      <c r="D955" s="1594"/>
      <c r="E955" s="1594"/>
      <c r="F955" s="1594"/>
      <c r="G955" s="1594"/>
      <c r="H955" s="1594"/>
      <c r="I955" s="1594"/>
      <c r="J955" s="1594"/>
      <c r="K955" s="1594"/>
      <c r="L955" s="1594"/>
      <c r="M955" s="1594"/>
      <c r="N955" s="1594"/>
      <c r="O955" s="1594"/>
      <c r="P955" s="1594"/>
      <c r="Q955" s="1594"/>
      <c r="R955" s="1594"/>
      <c r="S955" s="1594"/>
      <c r="T955" s="1594"/>
      <c r="U955" s="1594"/>
      <c r="V955" s="1594"/>
      <c r="W955" s="1594"/>
      <c r="X955" s="1594"/>
      <c r="Y955" s="1594"/>
      <c r="Z955" s="1594"/>
    </row>
    <row r="956" ht="12.75" customHeight="1">
      <c r="A956" s="1594"/>
      <c r="B956" s="1594"/>
      <c r="C956" s="1594"/>
      <c r="D956" s="1594"/>
      <c r="E956" s="1594"/>
      <c r="F956" s="1594"/>
      <c r="G956" s="1594"/>
      <c r="H956" s="1594"/>
      <c r="I956" s="1594"/>
      <c r="J956" s="1594"/>
      <c r="K956" s="1594"/>
      <c r="L956" s="1594"/>
      <c r="M956" s="1594"/>
      <c r="N956" s="1594"/>
      <c r="O956" s="1594"/>
      <c r="P956" s="1594"/>
      <c r="Q956" s="1594"/>
      <c r="R956" s="1594"/>
      <c r="S956" s="1594"/>
      <c r="T956" s="1594"/>
      <c r="U956" s="1594"/>
      <c r="V956" s="1594"/>
      <c r="W956" s="1594"/>
      <c r="X956" s="1594"/>
      <c r="Y956" s="1594"/>
      <c r="Z956" s="1594"/>
    </row>
    <row r="957" ht="12.75" customHeight="1">
      <c r="A957" s="1594"/>
      <c r="B957" s="1594"/>
      <c r="C957" s="1594"/>
      <c r="D957" s="1594"/>
      <c r="E957" s="1594"/>
      <c r="F957" s="1594"/>
      <c r="G957" s="1594"/>
      <c r="H957" s="1594"/>
      <c r="I957" s="1594"/>
      <c r="J957" s="1594"/>
      <c r="K957" s="1594"/>
      <c r="L957" s="1594"/>
      <c r="M957" s="1594"/>
      <c r="N957" s="1594"/>
      <c r="O957" s="1594"/>
      <c r="P957" s="1594"/>
      <c r="Q957" s="1594"/>
      <c r="R957" s="1594"/>
      <c r="S957" s="1594"/>
      <c r="T957" s="1594"/>
      <c r="U957" s="1594"/>
      <c r="V957" s="1594"/>
      <c r="W957" s="1594"/>
      <c r="X957" s="1594"/>
      <c r="Y957" s="1594"/>
      <c r="Z957" s="1594"/>
    </row>
    <row r="958" ht="12.75" customHeight="1">
      <c r="A958" s="1594"/>
      <c r="B958" s="1594"/>
      <c r="C958" s="1594"/>
      <c r="D958" s="1594"/>
      <c r="E958" s="1594"/>
      <c r="F958" s="1594"/>
      <c r="G958" s="1594"/>
      <c r="H958" s="1594"/>
      <c r="I958" s="1594"/>
      <c r="J958" s="1594"/>
      <c r="K958" s="1594"/>
      <c r="L958" s="1594"/>
      <c r="M958" s="1594"/>
      <c r="N958" s="1594"/>
      <c r="O958" s="1594"/>
      <c r="P958" s="1594"/>
      <c r="Q958" s="1594"/>
      <c r="R958" s="1594"/>
      <c r="S958" s="1594"/>
      <c r="T958" s="1594"/>
      <c r="U958" s="1594"/>
      <c r="V958" s="1594"/>
      <c r="W958" s="1594"/>
      <c r="X958" s="1594"/>
      <c r="Y958" s="1594"/>
      <c r="Z958" s="1594"/>
    </row>
    <row r="959" ht="12.75" customHeight="1">
      <c r="A959" s="1594"/>
      <c r="B959" s="1594"/>
      <c r="C959" s="1594"/>
      <c r="D959" s="1594"/>
      <c r="E959" s="1594"/>
      <c r="F959" s="1594"/>
      <c r="G959" s="1594"/>
      <c r="H959" s="1594"/>
      <c r="I959" s="1594"/>
      <c r="J959" s="1594"/>
      <c r="K959" s="1594"/>
      <c r="L959" s="1594"/>
      <c r="M959" s="1594"/>
      <c r="N959" s="1594"/>
      <c r="O959" s="1594"/>
      <c r="P959" s="1594"/>
      <c r="Q959" s="1594"/>
      <c r="R959" s="1594"/>
      <c r="S959" s="1594"/>
      <c r="T959" s="1594"/>
      <c r="U959" s="1594"/>
      <c r="V959" s="1594"/>
      <c r="W959" s="1594"/>
      <c r="X959" s="1594"/>
      <c r="Y959" s="1594"/>
      <c r="Z959" s="1594"/>
    </row>
    <row r="960" ht="12.75" customHeight="1">
      <c r="A960" s="1594"/>
      <c r="B960" s="1594"/>
      <c r="C960" s="1594"/>
      <c r="D960" s="1594"/>
      <c r="E960" s="1594"/>
      <c r="F960" s="1594"/>
      <c r="G960" s="1594"/>
      <c r="H960" s="1594"/>
      <c r="I960" s="1594"/>
      <c r="J960" s="1594"/>
      <c r="K960" s="1594"/>
      <c r="L960" s="1594"/>
      <c r="M960" s="1594"/>
      <c r="N960" s="1594"/>
      <c r="O960" s="1594"/>
      <c r="P960" s="1594"/>
      <c r="Q960" s="1594"/>
      <c r="R960" s="1594"/>
      <c r="S960" s="1594"/>
      <c r="T960" s="1594"/>
      <c r="U960" s="1594"/>
      <c r="V960" s="1594"/>
      <c r="W960" s="1594"/>
      <c r="X960" s="1594"/>
      <c r="Y960" s="1594"/>
      <c r="Z960" s="1594"/>
    </row>
    <row r="961" ht="12.75" customHeight="1">
      <c r="A961" s="1594"/>
      <c r="B961" s="1594"/>
      <c r="C961" s="1594"/>
      <c r="D961" s="1594"/>
      <c r="E961" s="1594"/>
      <c r="F961" s="1594"/>
      <c r="G961" s="1594"/>
      <c r="H961" s="1594"/>
      <c r="I961" s="1594"/>
      <c r="J961" s="1594"/>
      <c r="K961" s="1594"/>
      <c r="L961" s="1594"/>
      <c r="M961" s="1594"/>
      <c r="N961" s="1594"/>
      <c r="O961" s="1594"/>
      <c r="P961" s="1594"/>
      <c r="Q961" s="1594"/>
      <c r="R961" s="1594"/>
      <c r="S961" s="1594"/>
      <c r="T961" s="1594"/>
      <c r="U961" s="1594"/>
      <c r="V961" s="1594"/>
      <c r="W961" s="1594"/>
      <c r="X961" s="1594"/>
      <c r="Y961" s="1594"/>
      <c r="Z961" s="1594"/>
    </row>
    <row r="962" ht="12.75" customHeight="1">
      <c r="A962" s="1594"/>
      <c r="B962" s="1594"/>
      <c r="C962" s="1594"/>
      <c r="D962" s="1594"/>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4"/>
      <c r="Z962" s="1594"/>
    </row>
    <row r="963" ht="12.75" customHeight="1">
      <c r="A963" s="1594"/>
      <c r="B963" s="1594"/>
      <c r="C963" s="1594"/>
      <c r="D963" s="1594"/>
      <c r="E963" s="1594"/>
      <c r="F963" s="1594"/>
      <c r="G963" s="1594"/>
      <c r="H963" s="1594"/>
      <c r="I963" s="1594"/>
      <c r="J963" s="1594"/>
      <c r="K963" s="1594"/>
      <c r="L963" s="1594"/>
      <c r="M963" s="1594"/>
      <c r="N963" s="1594"/>
      <c r="O963" s="1594"/>
      <c r="P963" s="1594"/>
      <c r="Q963" s="1594"/>
      <c r="R963" s="1594"/>
      <c r="S963" s="1594"/>
      <c r="T963" s="1594"/>
      <c r="U963" s="1594"/>
      <c r="V963" s="1594"/>
      <c r="W963" s="1594"/>
      <c r="X963" s="1594"/>
      <c r="Y963" s="1594"/>
      <c r="Z963" s="1594"/>
    </row>
    <row r="964" ht="12.75" customHeight="1">
      <c r="A964" s="1594"/>
      <c r="B964" s="1594"/>
      <c r="C964" s="1594"/>
      <c r="D964" s="1594"/>
      <c r="E964" s="1594"/>
      <c r="F964" s="1594"/>
      <c r="G964" s="1594"/>
      <c r="H964" s="1594"/>
      <c r="I964" s="1594"/>
      <c r="J964" s="1594"/>
      <c r="K964" s="1594"/>
      <c r="L964" s="1594"/>
      <c r="M964" s="1594"/>
      <c r="N964" s="1594"/>
      <c r="O964" s="1594"/>
      <c r="P964" s="1594"/>
      <c r="Q964" s="1594"/>
      <c r="R964" s="1594"/>
      <c r="S964" s="1594"/>
      <c r="T964" s="1594"/>
      <c r="U964" s="1594"/>
      <c r="V964" s="1594"/>
      <c r="W964" s="1594"/>
      <c r="X964" s="1594"/>
      <c r="Y964" s="1594"/>
      <c r="Z964" s="1594"/>
    </row>
    <row r="965" ht="12.75" customHeight="1">
      <c r="A965" s="1594"/>
      <c r="B965" s="1594"/>
      <c r="C965" s="1594"/>
      <c r="D965" s="1594"/>
      <c r="E965" s="1594"/>
      <c r="F965" s="1594"/>
      <c r="G965" s="1594"/>
      <c r="H965" s="1594"/>
      <c r="I965" s="1594"/>
      <c r="J965" s="1594"/>
      <c r="K965" s="1594"/>
      <c r="L965" s="1594"/>
      <c r="M965" s="1594"/>
      <c r="N965" s="1594"/>
      <c r="O965" s="1594"/>
      <c r="P965" s="1594"/>
      <c r="Q965" s="1594"/>
      <c r="R965" s="1594"/>
      <c r="S965" s="1594"/>
      <c r="T965" s="1594"/>
      <c r="U965" s="1594"/>
      <c r="V965" s="1594"/>
      <c r="W965" s="1594"/>
      <c r="X965" s="1594"/>
      <c r="Y965" s="1594"/>
      <c r="Z965" s="1594"/>
    </row>
    <row r="966" ht="12.75" customHeight="1">
      <c r="A966" s="1594"/>
      <c r="B966" s="1594"/>
      <c r="C966" s="1594"/>
      <c r="D966" s="1594"/>
      <c r="E966" s="1594"/>
      <c r="F966" s="1594"/>
      <c r="G966" s="1594"/>
      <c r="H966" s="1594"/>
      <c r="I966" s="1594"/>
      <c r="J966" s="1594"/>
      <c r="K966" s="1594"/>
      <c r="L966" s="1594"/>
      <c r="M966" s="1594"/>
      <c r="N966" s="1594"/>
      <c r="O966" s="1594"/>
      <c r="P966" s="1594"/>
      <c r="Q966" s="1594"/>
      <c r="R966" s="1594"/>
      <c r="S966" s="1594"/>
      <c r="T966" s="1594"/>
      <c r="U966" s="1594"/>
      <c r="V966" s="1594"/>
      <c r="W966" s="1594"/>
      <c r="X966" s="1594"/>
      <c r="Y966" s="1594"/>
      <c r="Z966" s="1594"/>
    </row>
    <row r="967" ht="12.75" customHeight="1">
      <c r="A967" s="1594"/>
      <c r="B967" s="1594"/>
      <c r="C967" s="1594"/>
      <c r="D967" s="1594"/>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4"/>
      <c r="Z967" s="1594"/>
    </row>
    <row r="968" ht="12.75" customHeight="1">
      <c r="A968" s="1594"/>
      <c r="B968" s="1594"/>
      <c r="C968" s="1594"/>
      <c r="D968" s="1594"/>
      <c r="E968" s="1594"/>
      <c r="F968" s="1594"/>
      <c r="G968" s="1594"/>
      <c r="H968" s="1594"/>
      <c r="I968" s="1594"/>
      <c r="J968" s="1594"/>
      <c r="K968" s="1594"/>
      <c r="L968" s="1594"/>
      <c r="M968" s="1594"/>
      <c r="N968" s="1594"/>
      <c r="O968" s="1594"/>
      <c r="P968" s="1594"/>
      <c r="Q968" s="1594"/>
      <c r="R968" s="1594"/>
      <c r="S968" s="1594"/>
      <c r="T968" s="1594"/>
      <c r="U968" s="1594"/>
      <c r="V968" s="1594"/>
      <c r="W968" s="1594"/>
      <c r="X968" s="1594"/>
      <c r="Y968" s="1594"/>
      <c r="Z968" s="1594"/>
    </row>
    <row r="969" ht="12.75" customHeight="1">
      <c r="A969" s="1594"/>
      <c r="B969" s="1594"/>
      <c r="C969" s="1594"/>
      <c r="D969" s="1594"/>
      <c r="E969" s="1594"/>
      <c r="F969" s="1594"/>
      <c r="G969" s="1594"/>
      <c r="H969" s="1594"/>
      <c r="I969" s="1594"/>
      <c r="J969" s="1594"/>
      <c r="K969" s="1594"/>
      <c r="L969" s="1594"/>
      <c r="M969" s="1594"/>
      <c r="N969" s="1594"/>
      <c r="O969" s="1594"/>
      <c r="P969" s="1594"/>
      <c r="Q969" s="1594"/>
      <c r="R969" s="1594"/>
      <c r="S969" s="1594"/>
      <c r="T969" s="1594"/>
      <c r="U969" s="1594"/>
      <c r="V969" s="1594"/>
      <c r="W969" s="1594"/>
      <c r="X969" s="1594"/>
      <c r="Y969" s="1594"/>
      <c r="Z969" s="1594"/>
    </row>
    <row r="970" ht="12.75" customHeight="1">
      <c r="A970" s="1594"/>
      <c r="B970" s="1594"/>
      <c r="C970" s="1594"/>
      <c r="D970" s="1594"/>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4"/>
      <c r="Z970" s="1594"/>
    </row>
    <row r="971" ht="12.75" customHeight="1">
      <c r="A971" s="1594"/>
      <c r="B971" s="1594"/>
      <c r="C971" s="1594"/>
      <c r="D971" s="1594"/>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4"/>
      <c r="Z971" s="1594"/>
    </row>
    <row r="972" ht="12.75" customHeight="1">
      <c r="A972" s="1594"/>
      <c r="B972" s="1594"/>
      <c r="C972" s="1594"/>
      <c r="D972" s="1594"/>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4"/>
      <c r="Z972" s="1594"/>
    </row>
    <row r="973" ht="12.75" customHeight="1">
      <c r="A973" s="1594"/>
      <c r="B973" s="1594"/>
      <c r="C973" s="1594"/>
      <c r="D973" s="1594"/>
      <c r="E973" s="1594"/>
      <c r="F973" s="1594"/>
      <c r="G973" s="1594"/>
      <c r="H973" s="1594"/>
      <c r="I973" s="1594"/>
      <c r="J973" s="1594"/>
      <c r="K973" s="1594"/>
      <c r="L973" s="1594"/>
      <c r="M973" s="1594"/>
      <c r="N973" s="1594"/>
      <c r="O973" s="1594"/>
      <c r="P973" s="1594"/>
      <c r="Q973" s="1594"/>
      <c r="R973" s="1594"/>
      <c r="S973" s="1594"/>
      <c r="T973" s="1594"/>
      <c r="U973" s="1594"/>
      <c r="V973" s="1594"/>
      <c r="W973" s="1594"/>
      <c r="X973" s="1594"/>
      <c r="Y973" s="1594"/>
      <c r="Z973" s="1594"/>
    </row>
    <row r="974" ht="12.75" customHeight="1">
      <c r="A974" s="1594"/>
      <c r="B974" s="1594"/>
      <c r="C974" s="1594"/>
      <c r="D974" s="1594"/>
      <c r="E974" s="1594"/>
      <c r="F974" s="1594"/>
      <c r="G974" s="1594"/>
      <c r="H974" s="1594"/>
      <c r="I974" s="1594"/>
      <c r="J974" s="1594"/>
      <c r="K974" s="1594"/>
      <c r="L974" s="1594"/>
      <c r="M974" s="1594"/>
      <c r="N974" s="1594"/>
      <c r="O974" s="1594"/>
      <c r="P974" s="1594"/>
      <c r="Q974" s="1594"/>
      <c r="R974" s="1594"/>
      <c r="S974" s="1594"/>
      <c r="T974" s="1594"/>
      <c r="U974" s="1594"/>
      <c r="V974" s="1594"/>
      <c r="W974" s="1594"/>
      <c r="X974" s="1594"/>
      <c r="Y974" s="1594"/>
      <c r="Z974" s="1594"/>
    </row>
    <row r="975" ht="12.75" customHeight="1">
      <c r="A975" s="1594"/>
      <c r="B975" s="1594"/>
      <c r="C975" s="1594"/>
      <c r="D975" s="1594"/>
      <c r="E975" s="1594"/>
      <c r="F975" s="1594"/>
      <c r="G975" s="1594"/>
      <c r="H975" s="1594"/>
      <c r="I975" s="1594"/>
      <c r="J975" s="1594"/>
      <c r="K975" s="1594"/>
      <c r="L975" s="1594"/>
      <c r="M975" s="1594"/>
      <c r="N975" s="1594"/>
      <c r="O975" s="1594"/>
      <c r="P975" s="1594"/>
      <c r="Q975" s="1594"/>
      <c r="R975" s="1594"/>
      <c r="S975" s="1594"/>
      <c r="T975" s="1594"/>
      <c r="U975" s="1594"/>
      <c r="V975" s="1594"/>
      <c r="W975" s="1594"/>
      <c r="X975" s="1594"/>
      <c r="Y975" s="1594"/>
      <c r="Z975" s="1594"/>
    </row>
    <row r="976" ht="12.75" customHeight="1">
      <c r="A976" s="1594"/>
      <c r="B976" s="1594"/>
      <c r="C976" s="1594"/>
      <c r="D976" s="1594"/>
      <c r="E976" s="1594"/>
      <c r="F976" s="1594"/>
      <c r="G976" s="1594"/>
      <c r="H976" s="1594"/>
      <c r="I976" s="1594"/>
      <c r="J976" s="1594"/>
      <c r="K976" s="1594"/>
      <c r="L976" s="1594"/>
      <c r="M976" s="1594"/>
      <c r="N976" s="1594"/>
      <c r="O976" s="1594"/>
      <c r="P976" s="1594"/>
      <c r="Q976" s="1594"/>
      <c r="R976" s="1594"/>
      <c r="S976" s="1594"/>
      <c r="T976" s="1594"/>
      <c r="U976" s="1594"/>
      <c r="V976" s="1594"/>
      <c r="W976" s="1594"/>
      <c r="X976" s="1594"/>
      <c r="Y976" s="1594"/>
      <c r="Z976" s="1594"/>
    </row>
    <row r="977" ht="12.75" customHeight="1">
      <c r="A977" s="1594"/>
      <c r="B977" s="1594"/>
      <c r="C977" s="1594"/>
      <c r="D977" s="1594"/>
      <c r="E977" s="1594"/>
      <c r="F977" s="1594"/>
      <c r="G977" s="1594"/>
      <c r="H977" s="1594"/>
      <c r="I977" s="1594"/>
      <c r="J977" s="1594"/>
      <c r="K977" s="1594"/>
      <c r="L977" s="1594"/>
      <c r="M977" s="1594"/>
      <c r="N977" s="1594"/>
      <c r="O977" s="1594"/>
      <c r="P977" s="1594"/>
      <c r="Q977" s="1594"/>
      <c r="R977" s="1594"/>
      <c r="S977" s="1594"/>
      <c r="T977" s="1594"/>
      <c r="U977" s="1594"/>
      <c r="V977" s="1594"/>
      <c r="W977" s="1594"/>
      <c r="X977" s="1594"/>
      <c r="Y977" s="1594"/>
      <c r="Z977" s="1594"/>
    </row>
    <row r="978" ht="12.75" customHeight="1">
      <c r="A978" s="1594"/>
      <c r="B978" s="1594"/>
      <c r="C978" s="1594"/>
      <c r="D978" s="1594"/>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4"/>
      <c r="Z978" s="1594"/>
    </row>
    <row r="979" ht="12.75" customHeight="1">
      <c r="A979" s="1594"/>
      <c r="B979" s="1594"/>
      <c r="C979" s="1594"/>
      <c r="D979" s="1594"/>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4"/>
      <c r="Z979" s="1594"/>
    </row>
    <row r="980" ht="12.75" customHeight="1">
      <c r="A980" s="1594"/>
      <c r="B980" s="1594"/>
      <c r="C980" s="1594"/>
      <c r="D980" s="1594"/>
      <c r="E980" s="1594"/>
      <c r="F980" s="1594"/>
      <c r="G980" s="1594"/>
      <c r="H980" s="1594"/>
      <c r="I980" s="1594"/>
      <c r="J980" s="1594"/>
      <c r="K980" s="1594"/>
      <c r="L980" s="1594"/>
      <c r="M980" s="1594"/>
      <c r="N980" s="1594"/>
      <c r="O980" s="1594"/>
      <c r="P980" s="1594"/>
      <c r="Q980" s="1594"/>
      <c r="R980" s="1594"/>
      <c r="S980" s="1594"/>
      <c r="T980" s="1594"/>
      <c r="U980" s="1594"/>
      <c r="V980" s="1594"/>
      <c r="W980" s="1594"/>
      <c r="X980" s="1594"/>
      <c r="Y980" s="1594"/>
      <c r="Z980" s="1594"/>
    </row>
    <row r="981" ht="12.75" customHeight="1">
      <c r="A981" s="1594"/>
      <c r="B981" s="1594"/>
      <c r="C981" s="1594"/>
      <c r="D981" s="1594"/>
      <c r="E981" s="1594"/>
      <c r="F981" s="1594"/>
      <c r="G981" s="1594"/>
      <c r="H981" s="1594"/>
      <c r="I981" s="1594"/>
      <c r="J981" s="1594"/>
      <c r="K981" s="1594"/>
      <c r="L981" s="1594"/>
      <c r="M981" s="1594"/>
      <c r="N981" s="1594"/>
      <c r="O981" s="1594"/>
      <c r="P981" s="1594"/>
      <c r="Q981" s="1594"/>
      <c r="R981" s="1594"/>
      <c r="S981" s="1594"/>
      <c r="T981" s="1594"/>
      <c r="U981" s="1594"/>
      <c r="V981" s="1594"/>
      <c r="W981" s="1594"/>
      <c r="X981" s="1594"/>
      <c r="Y981" s="1594"/>
      <c r="Z981" s="1594"/>
    </row>
    <row r="982" ht="12.75" customHeight="1">
      <c r="A982" s="1594"/>
      <c r="B982" s="1594"/>
      <c r="C982" s="1594"/>
      <c r="D982" s="1594"/>
      <c r="E982" s="1594"/>
      <c r="F982" s="1594"/>
      <c r="G982" s="1594"/>
      <c r="H982" s="1594"/>
      <c r="I982" s="1594"/>
      <c r="J982" s="1594"/>
      <c r="K982" s="1594"/>
      <c r="L982" s="1594"/>
      <c r="M982" s="1594"/>
      <c r="N982" s="1594"/>
      <c r="O982" s="1594"/>
      <c r="P982" s="1594"/>
      <c r="Q982" s="1594"/>
      <c r="R982" s="1594"/>
      <c r="S982" s="1594"/>
      <c r="T982" s="1594"/>
      <c r="U982" s="1594"/>
      <c r="V982" s="1594"/>
      <c r="W982" s="1594"/>
      <c r="X982" s="1594"/>
      <c r="Y982" s="1594"/>
      <c r="Z982" s="1594"/>
    </row>
    <row r="983" ht="12.75" customHeight="1">
      <c r="A983" s="1594"/>
      <c r="B983" s="1594"/>
      <c r="C983" s="1594"/>
      <c r="D983" s="1594"/>
      <c r="E983" s="1594"/>
      <c r="F983" s="1594"/>
      <c r="G983" s="1594"/>
      <c r="H983" s="1594"/>
      <c r="I983" s="1594"/>
      <c r="J983" s="1594"/>
      <c r="K983" s="1594"/>
      <c r="L983" s="1594"/>
      <c r="M983" s="1594"/>
      <c r="N983" s="1594"/>
      <c r="O983" s="1594"/>
      <c r="P983" s="1594"/>
      <c r="Q983" s="1594"/>
      <c r="R983" s="1594"/>
      <c r="S983" s="1594"/>
      <c r="T983" s="1594"/>
      <c r="U983" s="1594"/>
      <c r="V983" s="1594"/>
      <c r="W983" s="1594"/>
      <c r="X983" s="1594"/>
      <c r="Y983" s="1594"/>
      <c r="Z983" s="1594"/>
    </row>
    <row r="984" ht="12.75" customHeight="1">
      <c r="A984" s="1594"/>
      <c r="B984" s="1594"/>
      <c r="C984" s="1594"/>
      <c r="D984" s="1594"/>
      <c r="E984" s="1594"/>
      <c r="F984" s="1594"/>
      <c r="G984" s="1594"/>
      <c r="H984" s="1594"/>
      <c r="I984" s="1594"/>
      <c r="J984" s="1594"/>
      <c r="K984" s="1594"/>
      <c r="L984" s="1594"/>
      <c r="M984" s="1594"/>
      <c r="N984" s="1594"/>
      <c r="O984" s="1594"/>
      <c r="P984" s="1594"/>
      <c r="Q984" s="1594"/>
      <c r="R984" s="1594"/>
      <c r="S984" s="1594"/>
      <c r="T984" s="1594"/>
      <c r="U984" s="1594"/>
      <c r="V984" s="1594"/>
      <c r="W984" s="1594"/>
      <c r="X984" s="1594"/>
      <c r="Y984" s="1594"/>
      <c r="Z984" s="1594"/>
    </row>
    <row r="985" ht="12.75" customHeight="1">
      <c r="A985" s="1594"/>
      <c r="B985" s="1594"/>
      <c r="C985" s="1594"/>
      <c r="D985" s="1594"/>
      <c r="E985" s="1594"/>
      <c r="F985" s="1594"/>
      <c r="G985" s="1594"/>
      <c r="H985" s="1594"/>
      <c r="I985" s="1594"/>
      <c r="J985" s="1594"/>
      <c r="K985" s="1594"/>
      <c r="L985" s="1594"/>
      <c r="M985" s="1594"/>
      <c r="N985" s="1594"/>
      <c r="O985" s="1594"/>
      <c r="P985" s="1594"/>
      <c r="Q985" s="1594"/>
      <c r="R985" s="1594"/>
      <c r="S985" s="1594"/>
      <c r="T985" s="1594"/>
      <c r="U985" s="1594"/>
      <c r="V985" s="1594"/>
      <c r="W985" s="1594"/>
      <c r="X985" s="1594"/>
      <c r="Y985" s="1594"/>
      <c r="Z985" s="1594"/>
    </row>
    <row r="986" ht="12.75" customHeight="1">
      <c r="A986" s="1594"/>
      <c r="B986" s="1594"/>
      <c r="C986" s="1594"/>
      <c r="D986" s="1594"/>
      <c r="E986" s="1594"/>
      <c r="F986" s="1594"/>
      <c r="G986" s="1594"/>
      <c r="H986" s="1594"/>
      <c r="I986" s="1594"/>
      <c r="J986" s="1594"/>
      <c r="K986" s="1594"/>
      <c r="L986" s="1594"/>
      <c r="M986" s="1594"/>
      <c r="N986" s="1594"/>
      <c r="O986" s="1594"/>
      <c r="P986" s="1594"/>
      <c r="Q986" s="1594"/>
      <c r="R986" s="1594"/>
      <c r="S986" s="1594"/>
      <c r="T986" s="1594"/>
      <c r="U986" s="1594"/>
      <c r="V986" s="1594"/>
      <c r="W986" s="1594"/>
      <c r="X986" s="1594"/>
      <c r="Y986" s="1594"/>
      <c r="Z986" s="1594"/>
    </row>
    <row r="987" ht="12.75" customHeight="1">
      <c r="A987" s="1594"/>
      <c r="B987" s="1594"/>
      <c r="C987" s="1594"/>
      <c r="D987" s="1594"/>
      <c r="E987" s="1594"/>
      <c r="F987" s="1594"/>
      <c r="G987" s="1594"/>
      <c r="H987" s="1594"/>
      <c r="I987" s="1594"/>
      <c r="J987" s="1594"/>
      <c r="K987" s="1594"/>
      <c r="L987" s="1594"/>
      <c r="M987" s="1594"/>
      <c r="N987" s="1594"/>
      <c r="O987" s="1594"/>
      <c r="P987" s="1594"/>
      <c r="Q987" s="1594"/>
      <c r="R987" s="1594"/>
      <c r="S987" s="1594"/>
      <c r="T987" s="1594"/>
      <c r="U987" s="1594"/>
      <c r="V987" s="1594"/>
      <c r="W987" s="1594"/>
      <c r="X987" s="1594"/>
      <c r="Y987" s="1594"/>
      <c r="Z987" s="1594"/>
    </row>
    <row r="988" ht="12.75" customHeight="1">
      <c r="A988" s="1594"/>
      <c r="B988" s="1594"/>
      <c r="C988" s="1594"/>
      <c r="D988" s="1594"/>
      <c r="E988" s="1594"/>
      <c r="F988" s="1594"/>
      <c r="G988" s="1594"/>
      <c r="H988" s="1594"/>
      <c r="I988" s="1594"/>
      <c r="J988" s="1594"/>
      <c r="K988" s="1594"/>
      <c r="L988" s="1594"/>
      <c r="M988" s="1594"/>
      <c r="N988" s="1594"/>
      <c r="O988" s="1594"/>
      <c r="P988" s="1594"/>
      <c r="Q988" s="1594"/>
      <c r="R988" s="1594"/>
      <c r="S988" s="1594"/>
      <c r="T988" s="1594"/>
      <c r="U988" s="1594"/>
      <c r="V988" s="1594"/>
      <c r="W988" s="1594"/>
      <c r="X988" s="1594"/>
      <c r="Y988" s="1594"/>
      <c r="Z988" s="1594"/>
    </row>
    <row r="989" ht="12.75" customHeight="1">
      <c r="A989" s="1594"/>
      <c r="B989" s="1594"/>
      <c r="C989" s="1594"/>
      <c r="D989" s="1594"/>
      <c r="E989" s="1594"/>
      <c r="F989" s="1594"/>
      <c r="G989" s="1594"/>
      <c r="H989" s="1594"/>
      <c r="I989" s="1594"/>
      <c r="J989" s="1594"/>
      <c r="K989" s="1594"/>
      <c r="L989" s="1594"/>
      <c r="M989" s="1594"/>
      <c r="N989" s="1594"/>
      <c r="O989" s="1594"/>
      <c r="P989" s="1594"/>
      <c r="Q989" s="1594"/>
      <c r="R989" s="1594"/>
      <c r="S989" s="1594"/>
      <c r="T989" s="1594"/>
      <c r="U989" s="1594"/>
      <c r="V989" s="1594"/>
      <c r="W989" s="1594"/>
      <c r="X989" s="1594"/>
      <c r="Y989" s="1594"/>
      <c r="Z989" s="1594"/>
    </row>
    <row r="990" ht="12.75" customHeight="1">
      <c r="A990" s="1594"/>
      <c r="B990" s="1594"/>
      <c r="C990" s="1594"/>
      <c r="D990" s="1594"/>
      <c r="E990" s="1594"/>
      <c r="F990" s="1594"/>
      <c r="G990" s="1594"/>
      <c r="H990" s="1594"/>
      <c r="I990" s="1594"/>
      <c r="J990" s="1594"/>
      <c r="K990" s="1594"/>
      <c r="L990" s="1594"/>
      <c r="M990" s="1594"/>
      <c r="N990" s="1594"/>
      <c r="O990" s="1594"/>
      <c r="P990" s="1594"/>
      <c r="Q990" s="1594"/>
      <c r="R990" s="1594"/>
      <c r="S990" s="1594"/>
      <c r="T990" s="1594"/>
      <c r="U990" s="1594"/>
      <c r="V990" s="1594"/>
      <c r="W990" s="1594"/>
      <c r="X990" s="1594"/>
      <c r="Y990" s="1594"/>
      <c r="Z990" s="1594"/>
    </row>
    <row r="991" ht="12.75" customHeight="1">
      <c r="A991" s="1594"/>
      <c r="B991" s="1594"/>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row>
    <row r="992" ht="12.75" customHeight="1">
      <c r="A992" s="1594"/>
      <c r="B992" s="1594"/>
      <c r="C992" s="1594"/>
      <c r="D992" s="1594"/>
      <c r="E992" s="1594"/>
      <c r="F992" s="1594"/>
      <c r="G992" s="1594"/>
      <c r="H992" s="1594"/>
      <c r="I992" s="1594"/>
      <c r="J992" s="1594"/>
      <c r="K992" s="1594"/>
      <c r="L992" s="1594"/>
      <c r="M992" s="1594"/>
      <c r="N992" s="1594"/>
      <c r="O992" s="1594"/>
      <c r="P992" s="1594"/>
      <c r="Q992" s="1594"/>
      <c r="R992" s="1594"/>
      <c r="S992" s="1594"/>
      <c r="T992" s="1594"/>
      <c r="U992" s="1594"/>
      <c r="V992" s="1594"/>
      <c r="W992" s="1594"/>
      <c r="X992" s="1594"/>
      <c r="Y992" s="1594"/>
      <c r="Z992" s="1594"/>
    </row>
    <row r="993" ht="12.75" customHeight="1">
      <c r="A993" s="1594"/>
      <c r="B993" s="1594"/>
      <c r="C993" s="1594"/>
      <c r="D993" s="1594"/>
      <c r="E993" s="1594"/>
      <c r="F993" s="1594"/>
      <c r="G993" s="1594"/>
      <c r="H993" s="1594"/>
      <c r="I993" s="1594"/>
      <c r="J993" s="1594"/>
      <c r="K993" s="1594"/>
      <c r="L993" s="1594"/>
      <c r="M993" s="1594"/>
      <c r="N993" s="1594"/>
      <c r="O993" s="1594"/>
      <c r="P993" s="1594"/>
      <c r="Q993" s="1594"/>
      <c r="R993" s="1594"/>
      <c r="S993" s="1594"/>
      <c r="T993" s="1594"/>
      <c r="U993" s="1594"/>
      <c r="V993" s="1594"/>
      <c r="W993" s="1594"/>
      <c r="X993" s="1594"/>
      <c r="Y993" s="1594"/>
      <c r="Z993" s="1594"/>
    </row>
    <row r="994" ht="12.75" customHeight="1">
      <c r="A994" s="1594"/>
      <c r="B994" s="1594"/>
      <c r="C994" s="1594"/>
      <c r="D994" s="1594"/>
      <c r="E994" s="1594"/>
      <c r="F994" s="1594"/>
      <c r="G994" s="1594"/>
      <c r="H994" s="1594"/>
      <c r="I994" s="1594"/>
      <c r="J994" s="1594"/>
      <c r="K994" s="1594"/>
      <c r="L994" s="1594"/>
      <c r="M994" s="1594"/>
      <c r="N994" s="1594"/>
      <c r="O994" s="1594"/>
      <c r="P994" s="1594"/>
      <c r="Q994" s="1594"/>
      <c r="R994" s="1594"/>
      <c r="S994" s="1594"/>
      <c r="T994" s="1594"/>
      <c r="U994" s="1594"/>
      <c r="V994" s="1594"/>
      <c r="W994" s="1594"/>
      <c r="X994" s="1594"/>
      <c r="Y994" s="1594"/>
      <c r="Z994" s="1594"/>
    </row>
    <row r="995" ht="12.75" customHeight="1">
      <c r="A995" s="1594"/>
      <c r="B995" s="1594"/>
      <c r="C995" s="1594"/>
      <c r="D995" s="1594"/>
      <c r="E995" s="1594"/>
      <c r="F995" s="1594"/>
      <c r="G995" s="1594"/>
      <c r="H995" s="1594"/>
      <c r="I995" s="1594"/>
      <c r="J995" s="1594"/>
      <c r="K995" s="1594"/>
      <c r="L995" s="1594"/>
      <c r="M995" s="1594"/>
      <c r="N995" s="1594"/>
      <c r="O995" s="1594"/>
      <c r="P995" s="1594"/>
      <c r="Q995" s="1594"/>
      <c r="R995" s="1594"/>
      <c r="S995" s="1594"/>
      <c r="T995" s="1594"/>
      <c r="U995" s="1594"/>
      <c r="V995" s="1594"/>
      <c r="W995" s="1594"/>
      <c r="X995" s="1594"/>
      <c r="Y995" s="1594"/>
      <c r="Z995" s="1594"/>
    </row>
    <row r="996" ht="12.75" customHeight="1">
      <c r="A996" s="1594"/>
      <c r="B996" s="1594"/>
      <c r="C996" s="1594"/>
      <c r="D996" s="1594"/>
      <c r="E996" s="1594"/>
      <c r="F996" s="1594"/>
      <c r="G996" s="1594"/>
      <c r="H996" s="1594"/>
      <c r="I996" s="1594"/>
      <c r="J996" s="1594"/>
      <c r="K996" s="1594"/>
      <c r="L996" s="1594"/>
      <c r="M996" s="1594"/>
      <c r="N996" s="1594"/>
      <c r="O996" s="1594"/>
      <c r="P996" s="1594"/>
      <c r="Q996" s="1594"/>
      <c r="R996" s="1594"/>
      <c r="S996" s="1594"/>
      <c r="T996" s="1594"/>
      <c r="U996" s="1594"/>
      <c r="V996" s="1594"/>
      <c r="W996" s="1594"/>
      <c r="X996" s="1594"/>
      <c r="Y996" s="1594"/>
      <c r="Z996" s="1594"/>
    </row>
    <row r="997" ht="12.75" customHeight="1">
      <c r="A997" s="1594"/>
      <c r="B997" s="1594"/>
      <c r="C997" s="1594"/>
      <c r="D997" s="1594"/>
      <c r="E997" s="1594"/>
      <c r="F997" s="1594"/>
      <c r="G997" s="1594"/>
      <c r="H997" s="1594"/>
      <c r="I997" s="1594"/>
      <c r="J997" s="1594"/>
      <c r="K997" s="1594"/>
      <c r="L997" s="1594"/>
      <c r="M997" s="1594"/>
      <c r="N997" s="1594"/>
      <c r="O997" s="1594"/>
      <c r="P997" s="1594"/>
      <c r="Q997" s="1594"/>
      <c r="R997" s="1594"/>
      <c r="S997" s="1594"/>
      <c r="T997" s="1594"/>
      <c r="U997" s="1594"/>
      <c r="V997" s="1594"/>
      <c r="W997" s="1594"/>
      <c r="X997" s="1594"/>
      <c r="Y997" s="1594"/>
      <c r="Z997" s="1594"/>
    </row>
    <row r="998" ht="12.75" customHeight="1">
      <c r="A998" s="1594"/>
      <c r="B998" s="1594"/>
      <c r="C998" s="1594"/>
      <c r="D998" s="1594"/>
      <c r="E998" s="1594"/>
      <c r="F998" s="1594"/>
      <c r="G998" s="1594"/>
      <c r="H998" s="1594"/>
      <c r="I998" s="1594"/>
      <c r="J998" s="1594"/>
      <c r="K998" s="1594"/>
      <c r="L998" s="1594"/>
      <c r="M998" s="1594"/>
      <c r="N998" s="1594"/>
      <c r="O998" s="1594"/>
      <c r="P998" s="1594"/>
      <c r="Q998" s="1594"/>
      <c r="R998" s="1594"/>
      <c r="S998" s="1594"/>
      <c r="T998" s="1594"/>
      <c r="U998" s="1594"/>
      <c r="V998" s="1594"/>
      <c r="W998" s="1594"/>
      <c r="X998" s="1594"/>
      <c r="Y998" s="1594"/>
      <c r="Z998" s="1594"/>
    </row>
    <row r="999" ht="12.75" customHeight="1">
      <c r="A999" s="1594"/>
      <c r="B999" s="1594"/>
      <c r="C999" s="1594"/>
      <c r="D999" s="1594"/>
      <c r="E999" s="1594"/>
      <c r="F999" s="1594"/>
      <c r="G999" s="1594"/>
      <c r="H999" s="1594"/>
      <c r="I999" s="1594"/>
      <c r="J999" s="1594"/>
      <c r="K999" s="1594"/>
      <c r="L999" s="1594"/>
      <c r="M999" s="1594"/>
      <c r="N999" s="1594"/>
      <c r="O999" s="1594"/>
      <c r="P999" s="1594"/>
      <c r="Q999" s="1594"/>
      <c r="R999" s="1594"/>
      <c r="S999" s="1594"/>
      <c r="T999" s="1594"/>
      <c r="U999" s="1594"/>
      <c r="V999" s="1594"/>
      <c r="W999" s="1594"/>
      <c r="X999" s="1594"/>
      <c r="Y999" s="1594"/>
      <c r="Z999" s="1594"/>
    </row>
    <row r="1000" ht="12.75" customHeight="1">
      <c r="A1000" s="1594"/>
      <c r="B1000" s="1594"/>
      <c r="C1000" s="1594"/>
      <c r="D1000" s="1594"/>
      <c r="E1000" s="1594"/>
      <c r="F1000" s="1594"/>
      <c r="G1000" s="1594"/>
      <c r="H1000" s="1594"/>
      <c r="I1000" s="1594"/>
      <c r="J1000" s="1594"/>
      <c r="K1000" s="1594"/>
      <c r="L1000" s="1594"/>
      <c r="M1000" s="1594"/>
      <c r="N1000" s="1594"/>
      <c r="O1000" s="1594"/>
      <c r="P1000" s="1594"/>
      <c r="Q1000" s="1594"/>
      <c r="R1000" s="1594"/>
      <c r="S1000" s="1594"/>
      <c r="T1000" s="1594"/>
      <c r="U1000" s="1594"/>
      <c r="V1000" s="1594"/>
      <c r="W1000" s="1594"/>
      <c r="X1000" s="1594"/>
      <c r="Y1000" s="1594"/>
      <c r="Z1000" s="1594"/>
    </row>
  </sheetData>
  <mergeCells count="4">
    <mergeCell ref="F8:G8"/>
    <mergeCell ref="H8:I8"/>
    <mergeCell ref="J8:K8"/>
    <mergeCell ref="L8:M8"/>
  </mergeCells>
  <conditionalFormatting sqref="D1">
    <cfRule type="expression" dxfId="2" priority="1" stopIfTrue="1">
      <formula>MOD(ROW(),2)=0</formula>
    </cfRule>
  </conditionalFormatting>
  <printOptions/>
  <pageMargins bottom="0.44999999999999996" footer="0.0" header="0.0" left="0.25" right="0.25" top="0.5"/>
  <pageSetup scale="69" orientation="landscape"/>
  <headerFooter>
    <oddHeader>&amp;L &amp;C &amp;R </oddHeader>
    <oddFooter>&amp;L&amp;D  at &amp;T Mike 702.486.8879&amp;C&amp;F  &amp;A&amp;RPage &amp;P of </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5.29"/>
    <col customWidth="1" min="2" max="26" width="9.29"/>
  </cols>
  <sheetData>
    <row r="1" ht="12.75" customHeight="1">
      <c r="A1" s="2" t="s">
        <v>1411</v>
      </c>
      <c r="B1" s="2"/>
      <c r="C1" s="2"/>
      <c r="D1" s="357"/>
      <c r="E1" s="357"/>
      <c r="F1" s="357"/>
      <c r="G1" s="357"/>
      <c r="H1" s="357"/>
      <c r="I1" s="357"/>
      <c r="J1" s="357"/>
      <c r="K1" s="1372" t="s">
        <v>3</v>
      </c>
      <c r="L1" s="357"/>
      <c r="M1" s="357"/>
      <c r="N1" s="357"/>
      <c r="O1" s="357"/>
      <c r="P1" s="357"/>
      <c r="Q1" s="357"/>
      <c r="R1" s="357"/>
      <c r="S1" s="357"/>
      <c r="T1" s="357"/>
      <c r="U1" s="357"/>
      <c r="V1" s="357"/>
      <c r="W1" s="357"/>
      <c r="X1" s="357"/>
      <c r="Y1" s="357"/>
      <c r="Z1" s="357"/>
    </row>
    <row r="2" ht="12.75" customHeight="1">
      <c r="A2" s="3" t="str">
        <f>SchoolName</f>
        <v>Explore Knowledge Academy</v>
      </c>
      <c r="B2" s="1681"/>
      <c r="C2" s="1681"/>
      <c r="D2" s="357"/>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134</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135</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357"/>
      <c r="B6" s="357"/>
      <c r="C6" s="357"/>
      <c r="D6" s="357"/>
      <c r="E6" s="357"/>
      <c r="F6" s="357"/>
      <c r="G6" s="357"/>
      <c r="H6" s="357"/>
      <c r="I6" s="357"/>
      <c r="J6" s="357"/>
      <c r="K6" s="357"/>
      <c r="L6" s="357"/>
      <c r="M6" s="357"/>
      <c r="N6" s="357"/>
      <c r="O6" s="357"/>
      <c r="P6" s="357"/>
      <c r="Q6" s="357"/>
      <c r="R6" s="357"/>
      <c r="S6" s="357"/>
      <c r="T6" s="357"/>
      <c r="U6" s="357"/>
      <c r="V6" s="357"/>
      <c r="W6" s="357"/>
      <c r="X6" s="357"/>
      <c r="Y6" s="357"/>
      <c r="Z6" s="357"/>
    </row>
    <row r="7" ht="12.75" customHeight="1">
      <c r="A7" s="357"/>
      <c r="B7" s="1682" t="s">
        <v>1412</v>
      </c>
      <c r="C7" s="357" t="s">
        <v>1413</v>
      </c>
      <c r="D7" s="357"/>
      <c r="E7" s="357"/>
      <c r="F7" s="357"/>
      <c r="G7" s="357"/>
      <c r="H7" s="357"/>
      <c r="I7" s="357"/>
      <c r="J7" s="357"/>
      <c r="K7" s="357"/>
      <c r="L7" s="357"/>
      <c r="M7" s="357"/>
      <c r="N7" s="357"/>
      <c r="O7" s="357"/>
      <c r="P7" s="357"/>
      <c r="Q7" s="357"/>
      <c r="R7" s="357"/>
      <c r="S7" s="357"/>
      <c r="T7" s="357"/>
      <c r="U7" s="357"/>
      <c r="V7" s="357"/>
      <c r="W7" s="357"/>
      <c r="X7" s="357"/>
      <c r="Y7" s="357"/>
      <c r="Z7" s="357"/>
    </row>
    <row r="8" ht="12.75" customHeight="1">
      <c r="A8" s="357"/>
      <c r="B8" s="1682" t="s">
        <v>1414</v>
      </c>
      <c r="C8" s="357" t="s">
        <v>1415</v>
      </c>
      <c r="D8" s="357"/>
      <c r="E8" s="357"/>
      <c r="F8" s="357"/>
      <c r="G8" s="357"/>
      <c r="H8" s="357"/>
      <c r="I8" s="357"/>
      <c r="J8" s="357"/>
      <c r="K8" s="357"/>
      <c r="L8" s="357"/>
      <c r="M8" s="357"/>
      <c r="N8" s="357"/>
      <c r="O8" s="357"/>
      <c r="P8" s="357"/>
      <c r="Q8" s="357"/>
      <c r="R8" s="357"/>
      <c r="S8" s="357"/>
      <c r="T8" s="357"/>
      <c r="U8" s="357"/>
      <c r="V8" s="357"/>
      <c r="W8" s="357"/>
      <c r="X8" s="357"/>
      <c r="Y8" s="357"/>
      <c r="Z8" s="357"/>
    </row>
    <row r="9" ht="12.75" customHeight="1">
      <c r="A9" s="357"/>
      <c r="B9" s="357"/>
      <c r="C9" s="357" t="s">
        <v>1416</v>
      </c>
      <c r="D9" s="357"/>
      <c r="E9" s="357"/>
      <c r="F9" s="357"/>
      <c r="G9" s="357"/>
      <c r="H9" s="357"/>
      <c r="I9" s="357"/>
      <c r="J9" s="357"/>
      <c r="K9" s="357"/>
      <c r="L9" s="357"/>
      <c r="M9" s="357"/>
      <c r="N9" s="357"/>
      <c r="O9" s="357"/>
      <c r="P9" s="357"/>
      <c r="Q9" s="357"/>
      <c r="R9" s="357"/>
      <c r="S9" s="357"/>
      <c r="T9" s="357"/>
      <c r="U9" s="357"/>
      <c r="V9" s="357"/>
      <c r="W9" s="357"/>
      <c r="X9" s="357"/>
      <c r="Y9" s="357"/>
      <c r="Z9" s="357"/>
    </row>
    <row r="10" ht="12.75" customHeight="1">
      <c r="A10" s="357"/>
      <c r="B10" s="357"/>
      <c r="C10" s="357" t="s">
        <v>1417</v>
      </c>
      <c r="D10" s="357"/>
      <c r="E10" s="357"/>
      <c r="F10" s="357"/>
      <c r="G10" s="357"/>
      <c r="H10" s="357"/>
      <c r="I10" s="357"/>
      <c r="J10" s="357"/>
      <c r="K10" s="357"/>
      <c r="L10" s="357"/>
      <c r="M10" s="357"/>
      <c r="N10" s="357"/>
      <c r="O10" s="357"/>
      <c r="P10" s="357"/>
      <c r="Q10" s="357"/>
      <c r="R10" s="357"/>
      <c r="S10" s="357"/>
      <c r="T10" s="357"/>
      <c r="U10" s="357"/>
      <c r="V10" s="357"/>
      <c r="W10" s="357"/>
      <c r="X10" s="357"/>
      <c r="Y10" s="357"/>
      <c r="Z10" s="357"/>
    </row>
    <row r="11" ht="12.75" customHeight="1">
      <c r="A11" s="357"/>
      <c r="B11" s="357"/>
      <c r="C11" s="357" t="s">
        <v>1418</v>
      </c>
      <c r="D11" s="357"/>
      <c r="E11" s="357"/>
      <c r="F11" s="357"/>
      <c r="G11" s="357"/>
      <c r="H11" s="357"/>
      <c r="I11" s="357"/>
      <c r="J11" s="357"/>
      <c r="K11" s="357"/>
      <c r="L11" s="357"/>
      <c r="M11" s="357"/>
      <c r="N11" s="357"/>
      <c r="O11" s="357"/>
      <c r="P11" s="357"/>
      <c r="Q11" s="357"/>
      <c r="R11" s="357"/>
      <c r="S11" s="357"/>
      <c r="T11" s="357"/>
      <c r="U11" s="357"/>
      <c r="V11" s="357"/>
      <c r="W11" s="357"/>
      <c r="X11" s="357"/>
      <c r="Y11" s="357"/>
      <c r="Z11" s="357"/>
    </row>
    <row r="12" ht="12.75" customHeight="1">
      <c r="A12" s="357"/>
      <c r="B12" s="357"/>
      <c r="C12" s="357" t="s">
        <v>1419</v>
      </c>
      <c r="D12" s="357"/>
      <c r="E12" s="357"/>
      <c r="F12" s="357"/>
      <c r="G12" s="357"/>
      <c r="H12" s="357"/>
      <c r="I12" s="357"/>
      <c r="J12" s="357"/>
      <c r="K12" s="357"/>
      <c r="L12" s="357"/>
      <c r="M12" s="357"/>
      <c r="N12" s="357"/>
      <c r="O12" s="357"/>
      <c r="P12" s="357"/>
      <c r="Q12" s="357"/>
      <c r="R12" s="357"/>
      <c r="S12" s="357"/>
      <c r="T12" s="357"/>
      <c r="U12" s="357"/>
      <c r="V12" s="357"/>
      <c r="W12" s="357"/>
      <c r="X12" s="357"/>
      <c r="Y12" s="357"/>
      <c r="Z12" s="357"/>
    </row>
    <row r="13" ht="12.75" customHeight="1">
      <c r="A13" s="357"/>
      <c r="B13" s="1682" t="s">
        <v>1420</v>
      </c>
      <c r="C13" s="357" t="s">
        <v>1421</v>
      </c>
      <c r="D13" s="357"/>
      <c r="E13" s="357"/>
      <c r="F13" s="357"/>
      <c r="G13" s="357"/>
      <c r="H13" s="357"/>
      <c r="I13" s="357"/>
      <c r="J13" s="357"/>
      <c r="K13" s="357"/>
      <c r="L13" s="357"/>
      <c r="M13" s="357"/>
      <c r="N13" s="357"/>
      <c r="O13" s="357"/>
      <c r="P13" s="357"/>
      <c r="Q13" s="357"/>
      <c r="R13" s="357"/>
      <c r="S13" s="357"/>
      <c r="T13" s="357"/>
      <c r="U13" s="357"/>
      <c r="V13" s="357"/>
      <c r="W13" s="357"/>
      <c r="X13" s="357"/>
      <c r="Y13" s="357"/>
      <c r="Z13" s="357"/>
    </row>
    <row r="14" ht="12.75" customHeight="1">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row>
    <row r="15" ht="12.75" customHeight="1">
      <c r="A15" s="357"/>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row>
    <row r="16" ht="12.75" customHeight="1">
      <c r="A16" s="357"/>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row>
    <row r="17" ht="12.75" customHeight="1">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row>
    <row r="18" ht="12.75" customHeight="1">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row>
    <row r="19" ht="12.75" customHeight="1">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row>
    <row r="20" ht="12.75" customHeight="1">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row>
    <row r="21" ht="12.75" customHeight="1">
      <c r="A21" s="357"/>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row>
    <row r="22" ht="12.75" customHeight="1">
      <c r="A22" s="357"/>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row>
    <row r="23" ht="12.75"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row>
    <row r="24" ht="12.75" customHeight="1">
      <c r="A24" s="357"/>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row>
    <row r="25" ht="12.75" customHeight="1">
      <c r="A25" s="5" t="s">
        <v>1422</v>
      </c>
      <c r="B25" s="5"/>
      <c r="C25" s="5"/>
      <c r="D25" s="5"/>
      <c r="E25" s="5" t="s">
        <v>1423</v>
      </c>
      <c r="F25" s="5"/>
      <c r="G25" s="5"/>
      <c r="H25" s="5"/>
      <c r="I25" s="5"/>
      <c r="J25" s="5"/>
      <c r="K25" s="5"/>
      <c r="L25" s="5"/>
      <c r="M25" s="5"/>
      <c r="N25" s="5"/>
      <c r="O25" s="5"/>
      <c r="P25" s="5"/>
      <c r="Q25" s="357"/>
      <c r="R25" s="357"/>
      <c r="S25" s="357"/>
      <c r="T25" s="357"/>
      <c r="U25" s="357"/>
      <c r="V25" s="357"/>
      <c r="W25" s="357"/>
      <c r="X25" s="357"/>
      <c r="Y25" s="357"/>
      <c r="Z25" s="357"/>
    </row>
    <row r="26" ht="12.75" customHeight="1">
      <c r="A26" s="5"/>
      <c r="B26" s="5"/>
      <c r="C26" s="5"/>
      <c r="D26" s="5"/>
      <c r="E26" s="5"/>
      <c r="F26" s="5"/>
      <c r="G26" s="5"/>
      <c r="H26" s="5"/>
      <c r="I26" s="5"/>
      <c r="J26" s="5"/>
      <c r="K26" s="5"/>
      <c r="L26" s="5"/>
      <c r="M26" s="5"/>
      <c r="N26" s="5"/>
      <c r="O26" s="5"/>
      <c r="P26" s="5"/>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5"/>
      <c r="P27" s="5"/>
      <c r="Q27" s="357"/>
      <c r="R27" s="357"/>
      <c r="S27" s="357"/>
      <c r="T27" s="357"/>
      <c r="U27" s="357"/>
      <c r="V27" s="357"/>
      <c r="W27" s="357"/>
      <c r="X27" s="357"/>
      <c r="Y27" s="357"/>
      <c r="Z27" s="357"/>
    </row>
    <row r="28" ht="12.75" customHeight="1">
      <c r="A28" s="5" t="s">
        <v>237</v>
      </c>
      <c r="B28" s="1683">
        <v>1.0</v>
      </c>
      <c r="C28" s="5"/>
      <c r="D28" s="5"/>
      <c r="E28" s="5"/>
      <c r="F28" s="5"/>
      <c r="G28" s="5"/>
      <c r="H28" s="5"/>
      <c r="I28" s="5"/>
      <c r="J28" s="5"/>
      <c r="K28" s="5"/>
      <c r="L28" s="5"/>
      <c r="M28" s="5"/>
      <c r="N28" s="5"/>
      <c r="O28" s="5"/>
      <c r="P28" s="5"/>
      <c r="Q28" s="357"/>
      <c r="R28" s="357"/>
      <c r="S28" s="357"/>
      <c r="T28" s="357"/>
      <c r="U28" s="357"/>
      <c r="V28" s="357"/>
      <c r="W28" s="357"/>
      <c r="X28" s="357"/>
      <c r="Y28" s="357"/>
      <c r="Z28" s="357"/>
    </row>
    <row r="29" ht="12.75" customHeight="1">
      <c r="A29" s="5" t="s">
        <v>237</v>
      </c>
      <c r="B29" s="1683">
        <v>2.0</v>
      </c>
      <c r="C29" s="5"/>
      <c r="D29" s="5"/>
      <c r="E29" s="5"/>
      <c r="F29" s="5"/>
      <c r="G29" s="5"/>
      <c r="H29" s="5"/>
      <c r="I29" s="5"/>
      <c r="J29" s="5"/>
      <c r="K29" s="5"/>
      <c r="L29" s="5"/>
      <c r="M29" s="5"/>
      <c r="N29" s="5"/>
      <c r="O29" s="5"/>
      <c r="P29" s="5"/>
      <c r="Q29" s="357"/>
      <c r="R29" s="357"/>
      <c r="S29" s="357"/>
      <c r="T29" s="357"/>
      <c r="U29" s="357" t="s">
        <v>1424</v>
      </c>
      <c r="V29" s="357"/>
      <c r="W29" s="357"/>
      <c r="X29" s="357"/>
      <c r="Y29" s="357"/>
      <c r="Z29" s="357"/>
    </row>
    <row r="30" ht="12.75" customHeight="1">
      <c r="A30" s="5" t="s">
        <v>237</v>
      </c>
      <c r="B30" s="1683">
        <v>3.0</v>
      </c>
      <c r="C30" s="5"/>
      <c r="D30" s="5"/>
      <c r="E30" s="5"/>
      <c r="F30" s="5"/>
      <c r="G30" s="5"/>
      <c r="H30" s="5"/>
      <c r="I30" s="5"/>
      <c r="J30" s="5"/>
      <c r="K30" s="5"/>
      <c r="L30" s="5"/>
      <c r="M30" s="5"/>
      <c r="N30" s="5"/>
      <c r="O30" s="5"/>
      <c r="P30" s="5"/>
      <c r="Q30" s="357"/>
      <c r="R30" s="357"/>
      <c r="S30" s="357"/>
      <c r="T30" s="357"/>
      <c r="U30" s="357"/>
      <c r="V30" s="357"/>
      <c r="W30" s="357"/>
      <c r="X30" s="357"/>
      <c r="Y30" s="357"/>
      <c r="Z30" s="357"/>
    </row>
    <row r="31" ht="12.75" customHeight="1">
      <c r="A31" s="5" t="s">
        <v>237</v>
      </c>
      <c r="B31" s="1683">
        <v>4.0</v>
      </c>
      <c r="C31" s="5"/>
      <c r="D31" s="5"/>
      <c r="E31" s="5"/>
      <c r="F31" s="5"/>
      <c r="G31" s="5"/>
      <c r="H31" s="5"/>
      <c r="I31" s="5"/>
      <c r="J31" s="5"/>
      <c r="K31" s="5"/>
      <c r="L31" s="5"/>
      <c r="M31" s="5"/>
      <c r="N31" s="5"/>
      <c r="O31" s="5"/>
      <c r="P31" s="5"/>
      <c r="Q31" s="357"/>
      <c r="R31" s="357"/>
      <c r="S31" s="357"/>
      <c r="T31" s="357"/>
      <c r="U31" s="357"/>
      <c r="V31" s="357"/>
      <c r="W31" s="357"/>
      <c r="X31" s="357"/>
      <c r="Y31" s="357"/>
      <c r="Z31" s="357"/>
    </row>
    <row r="32" ht="12.75" customHeight="1">
      <c r="A32" s="5" t="s">
        <v>237</v>
      </c>
      <c r="B32" s="1683">
        <v>5.0</v>
      </c>
      <c r="C32" s="5"/>
      <c r="D32" s="5"/>
      <c r="E32" s="5"/>
      <c r="F32" s="5"/>
      <c r="G32" s="5"/>
      <c r="H32" s="5"/>
      <c r="I32" s="5"/>
      <c r="J32" s="5"/>
      <c r="K32" s="5"/>
      <c r="L32" s="5"/>
      <c r="M32" s="5"/>
      <c r="N32" s="5"/>
      <c r="O32" s="5"/>
      <c r="P32" s="5"/>
      <c r="Q32" s="357"/>
      <c r="R32" s="357"/>
      <c r="S32" s="357"/>
      <c r="T32" s="357"/>
      <c r="U32" s="357"/>
      <c r="V32" s="357"/>
      <c r="W32" s="357"/>
      <c r="X32" s="357"/>
      <c r="Y32" s="357"/>
      <c r="Z32" s="357"/>
    </row>
    <row r="33" ht="12.75" customHeight="1">
      <c r="A33" s="5" t="s">
        <v>1425</v>
      </c>
      <c r="B33" s="5"/>
      <c r="C33" s="5"/>
      <c r="D33" s="5"/>
      <c r="E33" s="5"/>
      <c r="F33" s="5"/>
      <c r="G33" s="5"/>
      <c r="H33" s="5"/>
      <c r="I33" s="5"/>
      <c r="J33" s="5"/>
      <c r="K33" s="5"/>
      <c r="L33" s="5"/>
      <c r="M33" s="5"/>
      <c r="N33" s="5"/>
      <c r="O33" s="5"/>
      <c r="P33" s="5"/>
      <c r="Q33" s="357"/>
      <c r="R33" s="357"/>
      <c r="S33" s="357"/>
      <c r="T33" s="357"/>
      <c r="U33" s="357"/>
      <c r="V33" s="357"/>
      <c r="W33" s="357"/>
      <c r="X33" s="357"/>
      <c r="Y33" s="357"/>
      <c r="Z33" s="357"/>
    </row>
    <row r="34" ht="12.75" customHeight="1">
      <c r="A34" s="5" t="s">
        <v>1425</v>
      </c>
      <c r="B34" s="5"/>
      <c r="C34" s="5"/>
      <c r="D34" s="5"/>
      <c r="E34" s="5"/>
      <c r="F34" s="5"/>
      <c r="G34" s="5"/>
      <c r="H34" s="5"/>
      <c r="I34" s="5"/>
      <c r="J34" s="5"/>
      <c r="K34" s="5"/>
      <c r="L34" s="5"/>
      <c r="M34" s="5"/>
      <c r="N34" s="5"/>
      <c r="O34" s="5"/>
      <c r="P34" s="5"/>
      <c r="Q34" s="357"/>
      <c r="R34" s="357"/>
      <c r="S34" s="357"/>
      <c r="T34" s="357"/>
      <c r="U34" s="357"/>
      <c r="V34" s="357"/>
      <c r="W34" s="357"/>
      <c r="X34" s="357"/>
      <c r="Y34" s="357"/>
      <c r="Z34" s="357"/>
    </row>
    <row r="35" ht="12.75" customHeight="1">
      <c r="A35" s="5" t="s">
        <v>1426</v>
      </c>
      <c r="B35" s="5"/>
      <c r="C35" s="5"/>
      <c r="D35" s="5"/>
      <c r="E35" s="5"/>
      <c r="F35" s="5"/>
      <c r="G35" s="5"/>
      <c r="H35" s="5"/>
      <c r="I35" s="5"/>
      <c r="J35" s="5"/>
      <c r="K35" s="5"/>
      <c r="L35" s="5"/>
      <c r="M35" s="5"/>
      <c r="N35" s="5"/>
      <c r="O35" s="5"/>
      <c r="P35" s="5"/>
      <c r="Q35" s="357"/>
      <c r="R35" s="357"/>
      <c r="S35" s="357"/>
      <c r="T35" s="357"/>
      <c r="U35" s="357"/>
      <c r="V35" s="357"/>
      <c r="W35" s="357"/>
      <c r="X35" s="357"/>
      <c r="Y35" s="357"/>
      <c r="Z35" s="357"/>
    </row>
    <row r="36" ht="12.75" customHeight="1">
      <c r="A36" s="5" t="s">
        <v>1427</v>
      </c>
      <c r="B36" s="5"/>
      <c r="C36" s="5"/>
      <c r="D36" s="5"/>
      <c r="E36" s="5"/>
      <c r="F36" s="5"/>
      <c r="G36" s="5"/>
      <c r="H36" s="5"/>
      <c r="I36" s="5"/>
      <c r="J36" s="5"/>
      <c r="K36" s="5"/>
      <c r="L36" s="5"/>
      <c r="M36" s="5"/>
      <c r="N36" s="5"/>
      <c r="O36" s="5"/>
      <c r="P36" s="5"/>
      <c r="Q36" s="357"/>
      <c r="R36" s="357"/>
      <c r="S36" s="357"/>
      <c r="T36" s="357"/>
      <c r="U36" s="357"/>
      <c r="V36" s="357"/>
      <c r="W36" s="357"/>
      <c r="X36" s="357"/>
      <c r="Y36" s="357"/>
      <c r="Z36" s="357"/>
    </row>
    <row r="37" ht="12.75" customHeight="1">
      <c r="A37" s="5" t="s">
        <v>1428</v>
      </c>
      <c r="B37" s="5"/>
      <c r="C37" s="5"/>
      <c r="D37" s="5"/>
      <c r="E37" s="5"/>
      <c r="F37" s="5"/>
      <c r="G37" s="5"/>
      <c r="H37" s="5"/>
      <c r="I37" s="5"/>
      <c r="J37" s="5"/>
      <c r="K37" s="5"/>
      <c r="L37" s="5"/>
      <c r="M37" s="5"/>
      <c r="N37" s="5"/>
      <c r="O37" s="5"/>
      <c r="P37" s="5"/>
      <c r="Q37" s="357"/>
      <c r="R37" s="357"/>
      <c r="S37" s="357"/>
      <c r="T37" s="357"/>
      <c r="U37" s="357"/>
      <c r="V37" s="357"/>
      <c r="W37" s="357"/>
      <c r="X37" s="357"/>
      <c r="Y37" s="357"/>
      <c r="Z37" s="357"/>
    </row>
    <row r="38" ht="12.75" customHeight="1">
      <c r="A38" s="5" t="s">
        <v>1429</v>
      </c>
      <c r="B38" s="5"/>
      <c r="C38" s="5"/>
      <c r="D38" s="5"/>
      <c r="E38" s="5"/>
      <c r="F38" s="5"/>
      <c r="G38" s="5"/>
      <c r="H38" s="5"/>
      <c r="I38" s="5"/>
      <c r="J38" s="5"/>
      <c r="K38" s="5"/>
      <c r="L38" s="5"/>
      <c r="M38" s="5"/>
      <c r="N38" s="5"/>
      <c r="O38" s="5"/>
      <c r="P38" s="5"/>
      <c r="Q38" s="357"/>
      <c r="R38" s="357"/>
      <c r="S38" s="357"/>
      <c r="T38" s="357"/>
      <c r="U38" s="357"/>
      <c r="V38" s="357"/>
      <c r="W38" s="357"/>
      <c r="X38" s="357"/>
      <c r="Y38" s="357"/>
      <c r="Z38" s="357"/>
    </row>
    <row r="39" ht="12.75" customHeight="1">
      <c r="A39" s="5" t="s">
        <v>750</v>
      </c>
      <c r="B39" s="5"/>
      <c r="C39" s="5"/>
      <c r="D39" s="5"/>
      <c r="E39" s="5"/>
      <c r="F39" s="5"/>
      <c r="G39" s="5"/>
      <c r="H39" s="5"/>
      <c r="I39" s="5"/>
      <c r="J39" s="5"/>
      <c r="K39" s="5"/>
      <c r="L39" s="5"/>
      <c r="M39" s="5"/>
      <c r="N39" s="5"/>
      <c r="O39" s="5"/>
      <c r="P39" s="5"/>
      <c r="Q39" s="357"/>
      <c r="R39" s="357"/>
      <c r="S39" s="357"/>
      <c r="T39" s="357"/>
      <c r="U39" s="357"/>
      <c r="V39" s="357"/>
      <c r="W39" s="357"/>
      <c r="X39" s="357"/>
      <c r="Y39" s="357"/>
      <c r="Z39" s="357"/>
    </row>
    <row r="40" ht="12.75" customHeight="1">
      <c r="A40" s="1684" t="s">
        <v>1430</v>
      </c>
      <c r="B40" s="5"/>
      <c r="C40" s="5"/>
      <c r="D40" s="5"/>
      <c r="E40" s="5"/>
      <c r="F40" s="5"/>
      <c r="G40" s="5"/>
      <c r="H40" s="5"/>
      <c r="I40" s="5"/>
      <c r="J40" s="5"/>
      <c r="K40" s="5"/>
      <c r="L40" s="5"/>
      <c r="M40" s="5"/>
      <c r="N40" s="5"/>
      <c r="O40" s="5"/>
      <c r="P40" s="5"/>
      <c r="Q40" s="357"/>
      <c r="R40" s="357"/>
      <c r="S40" s="357"/>
      <c r="T40" s="357"/>
      <c r="U40" s="357"/>
      <c r="V40" s="357"/>
      <c r="W40" s="357"/>
      <c r="X40" s="357"/>
      <c r="Y40" s="357"/>
      <c r="Z40" s="357"/>
    </row>
    <row r="41" ht="12.75" customHeight="1">
      <c r="A41" s="5" t="s">
        <v>1431</v>
      </c>
      <c r="B41" s="5"/>
      <c r="C41" s="5"/>
      <c r="D41" s="5"/>
      <c r="E41" s="5"/>
      <c r="F41" s="5"/>
      <c r="G41" s="5"/>
      <c r="H41" s="5"/>
      <c r="I41" s="5"/>
      <c r="J41" s="5"/>
      <c r="K41" s="5"/>
      <c r="L41" s="5"/>
      <c r="M41" s="5"/>
      <c r="N41" s="5"/>
      <c r="O41" s="5"/>
      <c r="P41" s="5"/>
      <c r="Q41" s="357"/>
      <c r="R41" s="357"/>
      <c r="S41" s="357"/>
      <c r="T41" s="357"/>
      <c r="U41" s="357"/>
      <c r="V41" s="357"/>
      <c r="W41" s="357"/>
      <c r="X41" s="357"/>
      <c r="Y41" s="357"/>
      <c r="Z41" s="357"/>
    </row>
    <row r="42" ht="12.75" customHeight="1">
      <c r="A42" s="5" t="s">
        <v>1432</v>
      </c>
      <c r="B42" s="5"/>
      <c r="C42" s="5"/>
      <c r="D42" s="5"/>
      <c r="E42" s="5"/>
      <c r="F42" s="5"/>
      <c r="G42" s="5"/>
      <c r="H42" s="5"/>
      <c r="I42" s="5"/>
      <c r="J42" s="5"/>
      <c r="K42" s="5"/>
      <c r="L42" s="5"/>
      <c r="M42" s="5"/>
      <c r="N42" s="5"/>
      <c r="O42" s="5"/>
      <c r="P42" s="5"/>
      <c r="Q42" s="357"/>
      <c r="R42" s="357"/>
      <c r="S42" s="357"/>
      <c r="T42" s="357"/>
      <c r="U42" s="357"/>
      <c r="V42" s="357"/>
      <c r="W42" s="357"/>
      <c r="X42" s="357"/>
      <c r="Y42" s="357"/>
      <c r="Z42" s="357"/>
    </row>
    <row r="43" ht="12.75" customHeight="1">
      <c r="A43" s="5" t="s">
        <v>1427</v>
      </c>
      <c r="B43" s="5"/>
      <c r="C43" s="5"/>
      <c r="D43" s="5"/>
      <c r="E43" s="5"/>
      <c r="F43" s="5"/>
      <c r="G43" s="5"/>
      <c r="H43" s="5"/>
      <c r="I43" s="5"/>
      <c r="J43" s="5"/>
      <c r="K43" s="5"/>
      <c r="L43" s="5"/>
      <c r="M43" s="5"/>
      <c r="N43" s="5"/>
      <c r="O43" s="5"/>
      <c r="P43" s="5"/>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5"/>
      <c r="P44" s="5"/>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5"/>
      <c r="P45" s="5"/>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5"/>
      <c r="P46" s="5"/>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5"/>
      <c r="P47" s="5"/>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5"/>
      <c r="P48" s="5"/>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5"/>
      <c r="P49" s="5"/>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5"/>
      <c r="P50" s="5"/>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5"/>
      <c r="P51" s="5"/>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5"/>
      <c r="P52" s="5"/>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5"/>
      <c r="P53" s="5"/>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5"/>
      <c r="P54" s="5"/>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5"/>
      <c r="P55" s="5"/>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5"/>
      <c r="P56" s="5"/>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5"/>
      <c r="P57" s="5"/>
      <c r="Q57" s="357"/>
      <c r="R57" s="357"/>
      <c r="S57" s="357"/>
      <c r="T57" s="357"/>
      <c r="U57" s="357"/>
      <c r="V57" s="357"/>
      <c r="W57" s="357"/>
      <c r="X57" s="357"/>
      <c r="Y57" s="357"/>
      <c r="Z57" s="357"/>
    </row>
    <row r="58" ht="12.75" customHeight="1">
      <c r="A58" s="5"/>
      <c r="B58" s="5" t="s">
        <v>1433</v>
      </c>
      <c r="C58" s="5"/>
      <c r="D58" s="5"/>
      <c r="E58" s="5"/>
      <c r="F58" s="5"/>
      <c r="G58" s="5"/>
      <c r="H58" s="5"/>
      <c r="I58" s="5"/>
      <c r="J58" s="5"/>
      <c r="K58" s="5"/>
      <c r="L58" s="5"/>
      <c r="M58" s="5"/>
      <c r="N58" s="5"/>
      <c r="O58" s="5"/>
      <c r="P58" s="5"/>
      <c r="Q58" s="357"/>
      <c r="R58" s="357"/>
      <c r="S58" s="357"/>
      <c r="T58" s="357"/>
      <c r="U58" s="357"/>
      <c r="V58" s="357"/>
      <c r="W58" s="357"/>
      <c r="X58" s="357"/>
      <c r="Y58" s="357"/>
      <c r="Z58" s="357"/>
    </row>
    <row r="59" ht="12.75" customHeight="1">
      <c r="A59" s="5"/>
      <c r="B59" s="5" t="s">
        <v>1434</v>
      </c>
      <c r="C59" s="5"/>
      <c r="D59" s="5"/>
      <c r="E59" s="5"/>
      <c r="F59" s="5"/>
      <c r="G59" s="5"/>
      <c r="H59" s="5"/>
      <c r="I59" s="5"/>
      <c r="J59" s="5"/>
      <c r="K59" s="5"/>
      <c r="L59" s="5"/>
      <c r="M59" s="5"/>
      <c r="N59" s="5"/>
      <c r="O59" s="5"/>
      <c r="P59" s="5"/>
      <c r="Q59" s="357"/>
      <c r="R59" s="357"/>
      <c r="S59" s="357"/>
      <c r="T59" s="357"/>
      <c r="U59" s="357"/>
      <c r="V59" s="357"/>
      <c r="W59" s="357"/>
      <c r="X59" s="357"/>
      <c r="Y59" s="357"/>
      <c r="Z59" s="357"/>
    </row>
    <row r="60" ht="12.75" customHeight="1">
      <c r="A60" s="5"/>
      <c r="B60" s="357" t="s">
        <v>1435</v>
      </c>
      <c r="C60" s="357"/>
      <c r="D60" s="5" t="s">
        <v>1436</v>
      </c>
      <c r="E60" s="5"/>
      <c r="F60" s="5"/>
      <c r="G60" s="5"/>
      <c r="H60" s="5"/>
      <c r="I60" s="5"/>
      <c r="J60" s="5"/>
      <c r="K60" s="5"/>
      <c r="L60" s="5"/>
      <c r="M60" s="5"/>
      <c r="N60" s="5"/>
      <c r="O60" s="5"/>
      <c r="P60" s="5"/>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5"/>
      <c r="P61" s="5"/>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5"/>
      <c r="P62" s="5"/>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5"/>
      <c r="P63" s="5"/>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5"/>
      <c r="P64" s="5"/>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5"/>
      <c r="P65" s="5"/>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5"/>
      <c r="P66" s="5"/>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5"/>
      <c r="P67" s="5"/>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5"/>
      <c r="P68" s="5"/>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5"/>
      <c r="P69" s="5"/>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5"/>
      <c r="P70" s="5"/>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5"/>
      <c r="P71" s="5"/>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5"/>
      <c r="P72" s="5"/>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5"/>
      <c r="P73" s="5"/>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5"/>
      <c r="P74" s="5"/>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5"/>
      <c r="P75" s="5"/>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5"/>
      <c r="P76" s="5"/>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5"/>
      <c r="P77" s="5"/>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5"/>
      <c r="P78" s="5"/>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5"/>
      <c r="P79" s="5"/>
      <c r="Q79" s="357"/>
      <c r="R79" s="357"/>
      <c r="S79" s="357"/>
      <c r="T79" s="357"/>
      <c r="U79" s="357"/>
      <c r="V79" s="357"/>
      <c r="W79" s="357"/>
      <c r="X79" s="357"/>
      <c r="Y79" s="357"/>
      <c r="Z79" s="357"/>
    </row>
    <row r="80" ht="12.75" customHeight="1">
      <c r="A80" s="5"/>
      <c r="B80" s="5"/>
      <c r="C80" s="5"/>
      <c r="D80" s="5"/>
      <c r="E80" s="5"/>
      <c r="F80" s="5"/>
      <c r="G80" s="5"/>
      <c r="H80" s="5"/>
      <c r="I80" s="5"/>
      <c r="J80" s="5"/>
      <c r="K80" s="5"/>
      <c r="L80" s="5"/>
      <c r="M80" s="5"/>
      <c r="N80" s="5"/>
      <c r="O80" s="5"/>
      <c r="P80" s="5"/>
      <c r="Q80" s="357"/>
      <c r="R80" s="357"/>
      <c r="S80" s="357"/>
      <c r="T80" s="357"/>
      <c r="U80" s="357"/>
      <c r="V80" s="357"/>
      <c r="W80" s="357"/>
      <c r="X80" s="357"/>
      <c r="Y80" s="357"/>
      <c r="Z80" s="357"/>
    </row>
    <row r="81" ht="12.75" customHeight="1">
      <c r="A81" s="5"/>
      <c r="B81" s="5"/>
      <c r="C81" s="5"/>
      <c r="D81" s="5"/>
      <c r="E81" s="5"/>
      <c r="F81" s="5"/>
      <c r="G81" s="5"/>
      <c r="H81" s="5"/>
      <c r="I81" s="5"/>
      <c r="J81" s="5"/>
      <c r="K81" s="5"/>
      <c r="L81" s="5"/>
      <c r="M81" s="5"/>
      <c r="N81" s="5"/>
      <c r="O81" s="5"/>
      <c r="P81" s="5"/>
      <c r="Q81" s="357"/>
      <c r="R81" s="357"/>
      <c r="S81" s="357"/>
      <c r="T81" s="357"/>
      <c r="U81" s="357"/>
      <c r="V81" s="357"/>
      <c r="W81" s="357"/>
      <c r="X81" s="357"/>
      <c r="Y81" s="357"/>
      <c r="Z81" s="357"/>
    </row>
    <row r="82" ht="12.75" customHeight="1">
      <c r="A82" s="5"/>
      <c r="B82" s="5"/>
      <c r="C82" s="5"/>
      <c r="D82" s="5"/>
      <c r="E82" s="5"/>
      <c r="F82" s="5"/>
      <c r="G82" s="5"/>
      <c r="H82" s="5"/>
      <c r="I82" s="5"/>
      <c r="J82" s="5"/>
      <c r="K82" s="5"/>
      <c r="L82" s="5"/>
      <c r="M82" s="5"/>
      <c r="N82" s="5"/>
      <c r="O82" s="5"/>
      <c r="P82" s="5"/>
      <c r="Q82" s="357"/>
      <c r="R82" s="357"/>
      <c r="S82" s="357"/>
      <c r="T82" s="357"/>
      <c r="U82" s="357" t="s">
        <v>1437</v>
      </c>
      <c r="V82" s="357"/>
      <c r="W82" s="357"/>
      <c r="X82" s="357"/>
      <c r="Y82" s="357"/>
      <c r="Z82" s="357"/>
    </row>
    <row r="83" ht="12.75" customHeight="1">
      <c r="A83" s="5"/>
      <c r="B83" s="5"/>
      <c r="C83" s="5"/>
      <c r="D83" s="5"/>
      <c r="E83" s="5"/>
      <c r="F83" s="5"/>
      <c r="G83" s="5"/>
      <c r="H83" s="5"/>
      <c r="I83" s="5"/>
      <c r="J83" s="5"/>
      <c r="K83" s="5"/>
      <c r="L83" s="5"/>
      <c r="M83" s="5"/>
      <c r="N83" s="5"/>
      <c r="O83" s="5"/>
      <c r="P83" s="5"/>
      <c r="Q83" s="357"/>
      <c r="R83" s="357"/>
      <c r="S83" s="357"/>
      <c r="T83" s="357"/>
      <c r="U83" s="357"/>
      <c r="V83" s="357"/>
      <c r="W83" s="357"/>
      <c r="X83" s="357"/>
      <c r="Y83" s="357"/>
      <c r="Z83" s="357"/>
    </row>
    <row r="84" ht="12.75" customHeight="1">
      <c r="A84" s="5"/>
      <c r="B84" s="5"/>
      <c r="C84" s="5"/>
      <c r="D84" s="5"/>
      <c r="E84" s="5"/>
      <c r="F84" s="5"/>
      <c r="G84" s="5"/>
      <c r="H84" s="5"/>
      <c r="I84" s="5"/>
      <c r="J84" s="5"/>
      <c r="K84" s="5"/>
      <c r="L84" s="5"/>
      <c r="M84" s="5"/>
      <c r="N84" s="5"/>
      <c r="O84" s="5"/>
      <c r="P84" s="5"/>
      <c r="Q84" s="357"/>
      <c r="R84" s="357"/>
      <c r="S84" s="357"/>
      <c r="T84" s="357"/>
      <c r="U84" s="357"/>
      <c r="V84" s="357"/>
      <c r="W84" s="357"/>
      <c r="X84" s="357"/>
      <c r="Y84" s="357"/>
      <c r="Z84" s="357"/>
    </row>
    <row r="85" ht="12.75" customHeight="1">
      <c r="A85" s="5"/>
      <c r="B85" s="5"/>
      <c r="C85" s="5"/>
      <c r="D85" s="5"/>
      <c r="E85" s="5"/>
      <c r="F85" s="5"/>
      <c r="G85" s="5"/>
      <c r="H85" s="5"/>
      <c r="I85" s="5"/>
      <c r="J85" s="5"/>
      <c r="K85" s="5"/>
      <c r="L85" s="5"/>
      <c r="M85" s="5"/>
      <c r="N85" s="5"/>
      <c r="O85" s="5"/>
      <c r="P85" s="5"/>
      <c r="Q85" s="357"/>
      <c r="R85" s="357"/>
      <c r="S85" s="357"/>
      <c r="T85" s="357"/>
      <c r="U85" s="357"/>
      <c r="V85" s="357"/>
      <c r="W85" s="357"/>
      <c r="X85" s="357"/>
      <c r="Y85" s="357"/>
      <c r="Z85" s="357"/>
    </row>
    <row r="86" ht="12.75" customHeight="1">
      <c r="A86" s="5"/>
      <c r="B86" s="5"/>
      <c r="C86" s="5"/>
      <c r="D86" s="5"/>
      <c r="E86" s="5"/>
      <c r="F86" s="5"/>
      <c r="G86" s="5"/>
      <c r="H86" s="5"/>
      <c r="I86" s="5"/>
      <c r="J86" s="5"/>
      <c r="K86" s="5"/>
      <c r="L86" s="5"/>
      <c r="M86" s="5"/>
      <c r="N86" s="5"/>
      <c r="O86" s="5"/>
      <c r="P86" s="5"/>
      <c r="Q86" s="357"/>
      <c r="R86" s="357"/>
      <c r="S86" s="357"/>
      <c r="T86" s="357"/>
      <c r="U86" s="357"/>
      <c r="V86" s="357"/>
      <c r="W86" s="357"/>
      <c r="X86" s="357"/>
      <c r="Y86" s="357"/>
      <c r="Z86" s="357"/>
    </row>
    <row r="87" ht="12.75" customHeight="1">
      <c r="A87" s="5"/>
      <c r="B87" s="5"/>
      <c r="C87" s="5"/>
      <c r="D87" s="5"/>
      <c r="E87" s="5"/>
      <c r="F87" s="5"/>
      <c r="G87" s="5"/>
      <c r="H87" s="5"/>
      <c r="I87" s="5"/>
      <c r="J87" s="5"/>
      <c r="K87" s="5"/>
      <c r="L87" s="5"/>
      <c r="M87" s="5"/>
      <c r="N87" s="5"/>
      <c r="O87" s="5"/>
      <c r="P87" s="5"/>
      <c r="Q87" s="357"/>
      <c r="R87" s="357"/>
      <c r="S87" s="357"/>
      <c r="T87" s="357"/>
      <c r="U87" s="357"/>
      <c r="V87" s="357"/>
      <c r="W87" s="357"/>
      <c r="X87" s="357"/>
      <c r="Y87" s="357"/>
      <c r="Z87" s="357"/>
    </row>
    <row r="88" ht="12.75" customHeight="1">
      <c r="A88" s="5"/>
      <c r="B88" s="5"/>
      <c r="C88" s="5"/>
      <c r="D88" s="5"/>
      <c r="E88" s="5"/>
      <c r="F88" s="5"/>
      <c r="G88" s="5"/>
      <c r="H88" s="5"/>
      <c r="I88" s="5"/>
      <c r="J88" s="5"/>
      <c r="K88" s="5"/>
      <c r="L88" s="5"/>
      <c r="M88" s="5"/>
      <c r="N88" s="5"/>
      <c r="O88" s="5"/>
      <c r="P88" s="5"/>
      <c r="Q88" s="357"/>
      <c r="R88" s="357"/>
      <c r="S88" s="357"/>
      <c r="T88" s="357"/>
      <c r="U88" s="357"/>
      <c r="V88" s="357"/>
      <c r="W88" s="357"/>
      <c r="X88" s="357"/>
      <c r="Y88" s="357"/>
      <c r="Z88" s="357"/>
    </row>
    <row r="89" ht="12.75" customHeight="1">
      <c r="A89" s="5" t="s">
        <v>1438</v>
      </c>
      <c r="B89" s="5"/>
      <c r="C89" s="5"/>
      <c r="D89" s="5"/>
      <c r="E89" s="5"/>
      <c r="F89" s="5"/>
      <c r="G89" s="5"/>
      <c r="H89" s="5"/>
      <c r="I89" s="5"/>
      <c r="J89" s="5"/>
      <c r="K89" s="5"/>
      <c r="L89" s="5"/>
      <c r="M89" s="5"/>
      <c r="N89" s="5"/>
      <c r="O89" s="5"/>
      <c r="P89" s="5"/>
      <c r="Q89" s="357"/>
      <c r="R89" s="357"/>
      <c r="S89" s="357"/>
      <c r="T89" s="357"/>
      <c r="U89" s="357"/>
      <c r="V89" s="357"/>
      <c r="W89" s="357"/>
      <c r="X89" s="357"/>
      <c r="Y89" s="357"/>
      <c r="Z89" s="357"/>
    </row>
    <row r="90" ht="12.75" customHeight="1">
      <c r="A90" s="5" t="s">
        <v>1439</v>
      </c>
      <c r="B90" s="5"/>
      <c r="C90" s="5"/>
      <c r="D90" s="5"/>
      <c r="E90" s="5"/>
      <c r="F90" s="5"/>
      <c r="G90" s="5"/>
      <c r="H90" s="5"/>
      <c r="I90" s="5"/>
      <c r="J90" s="5"/>
      <c r="K90" s="5"/>
      <c r="L90" s="5"/>
      <c r="M90" s="5"/>
      <c r="N90" s="5"/>
      <c r="O90" s="5"/>
      <c r="P90" s="5"/>
      <c r="Q90" s="357"/>
      <c r="R90" s="357"/>
      <c r="S90" s="357"/>
      <c r="T90" s="357"/>
      <c r="U90" s="357"/>
      <c r="V90" s="357"/>
      <c r="W90" s="357"/>
      <c r="X90" s="357"/>
      <c r="Y90" s="357"/>
      <c r="Z90" s="357"/>
    </row>
    <row r="91" ht="12.75" customHeight="1">
      <c r="A91" s="5"/>
      <c r="B91" s="5"/>
      <c r="C91" s="5"/>
      <c r="D91" s="5"/>
      <c r="E91" s="5"/>
      <c r="F91" s="5"/>
      <c r="G91" s="5"/>
      <c r="H91" s="5"/>
      <c r="I91" s="5"/>
      <c r="J91" s="5"/>
      <c r="K91" s="5"/>
      <c r="L91" s="5"/>
      <c r="M91" s="5"/>
      <c r="N91" s="5"/>
      <c r="O91" s="5"/>
      <c r="P91" s="5"/>
      <c r="Q91" s="357"/>
      <c r="R91" s="357"/>
      <c r="S91" s="357"/>
      <c r="T91" s="357"/>
      <c r="U91" s="357"/>
      <c r="V91" s="357"/>
      <c r="W91" s="357"/>
      <c r="X91" s="357"/>
      <c r="Y91" s="357"/>
      <c r="Z91" s="357"/>
    </row>
    <row r="92" ht="12.75" customHeight="1">
      <c r="A92" s="5"/>
      <c r="B92" s="5"/>
      <c r="C92" s="5"/>
      <c r="D92" s="5"/>
      <c r="E92" s="5"/>
      <c r="F92" s="5"/>
      <c r="G92" s="5"/>
      <c r="H92" s="5"/>
      <c r="I92" s="5"/>
      <c r="J92" s="5"/>
      <c r="K92" s="5"/>
      <c r="L92" s="5"/>
      <c r="M92" s="5"/>
      <c r="N92" s="5"/>
      <c r="O92" s="5"/>
      <c r="P92" s="5"/>
      <c r="Q92" s="357"/>
      <c r="R92" s="357"/>
      <c r="S92" s="357"/>
      <c r="T92" s="357"/>
      <c r="U92" s="357"/>
      <c r="V92" s="357"/>
      <c r="W92" s="357"/>
      <c r="X92" s="357"/>
      <c r="Y92" s="357"/>
      <c r="Z92" s="357"/>
    </row>
    <row r="93" ht="12.75" customHeight="1">
      <c r="A93" s="5"/>
      <c r="B93" s="5"/>
      <c r="C93" s="5"/>
      <c r="D93" s="5"/>
      <c r="E93" s="5"/>
      <c r="F93" s="5"/>
      <c r="G93" s="5"/>
      <c r="H93" s="5"/>
      <c r="I93" s="5"/>
      <c r="J93" s="5"/>
      <c r="K93" s="5"/>
      <c r="L93" s="5"/>
      <c r="M93" s="5"/>
      <c r="N93" s="5"/>
      <c r="O93" s="5"/>
      <c r="P93" s="5"/>
      <c r="Q93" s="357"/>
      <c r="R93" s="357"/>
      <c r="S93" s="357"/>
      <c r="T93" s="357"/>
      <c r="U93" s="357"/>
      <c r="V93" s="357"/>
      <c r="W93" s="357"/>
      <c r="X93" s="357"/>
      <c r="Y93" s="357"/>
      <c r="Z93" s="357"/>
    </row>
    <row r="94" ht="12.75" customHeight="1">
      <c r="A94" s="5"/>
      <c r="B94" s="5"/>
      <c r="C94" s="5"/>
      <c r="D94" s="5"/>
      <c r="E94" s="5"/>
      <c r="F94" s="5"/>
      <c r="G94" s="5"/>
      <c r="H94" s="5"/>
      <c r="I94" s="5"/>
      <c r="J94" s="5"/>
      <c r="K94" s="5"/>
      <c r="L94" s="5"/>
      <c r="M94" s="5"/>
      <c r="N94" s="5"/>
      <c r="O94" s="5"/>
      <c r="P94" s="5"/>
      <c r="Q94" s="357"/>
      <c r="R94" s="357"/>
      <c r="S94" s="357"/>
      <c r="T94" s="357"/>
      <c r="U94" s="357"/>
      <c r="V94" s="357"/>
      <c r="W94" s="357"/>
      <c r="X94" s="357"/>
      <c r="Y94" s="357"/>
      <c r="Z94" s="357"/>
    </row>
    <row r="95" ht="12.75" customHeight="1">
      <c r="A95" s="5"/>
      <c r="B95" s="5"/>
      <c r="C95" s="5"/>
      <c r="D95" s="5"/>
      <c r="E95" s="5"/>
      <c r="F95" s="5"/>
      <c r="G95" s="5"/>
      <c r="H95" s="5"/>
      <c r="I95" s="5"/>
      <c r="J95" s="5"/>
      <c r="K95" s="5"/>
      <c r="L95" s="5"/>
      <c r="M95" s="5"/>
      <c r="N95" s="5"/>
      <c r="O95" s="5"/>
      <c r="P95" s="5"/>
      <c r="Q95" s="357"/>
      <c r="R95" s="357"/>
      <c r="S95" s="357"/>
      <c r="T95" s="357"/>
      <c r="U95" s="357"/>
      <c r="V95" s="357"/>
      <c r="W95" s="357"/>
      <c r="X95" s="357"/>
      <c r="Y95" s="357"/>
      <c r="Z95" s="357"/>
    </row>
    <row r="96" ht="12.75" customHeight="1">
      <c r="A96" s="5"/>
      <c r="B96" s="5"/>
      <c r="C96" s="5"/>
      <c r="D96" s="5"/>
      <c r="E96" s="5"/>
      <c r="F96" s="5"/>
      <c r="G96" s="5"/>
      <c r="H96" s="5"/>
      <c r="I96" s="5"/>
      <c r="J96" s="5"/>
      <c r="K96" s="5"/>
      <c r="L96" s="5"/>
      <c r="M96" s="5"/>
      <c r="N96" s="5"/>
      <c r="O96" s="5"/>
      <c r="P96" s="5"/>
      <c r="Q96" s="357"/>
      <c r="R96" s="357"/>
      <c r="S96" s="357"/>
      <c r="T96" s="357"/>
      <c r="U96" s="357"/>
      <c r="V96" s="357"/>
      <c r="W96" s="357"/>
      <c r="X96" s="357"/>
      <c r="Y96" s="357"/>
      <c r="Z96" s="357"/>
    </row>
    <row r="97" ht="12.75" customHeight="1">
      <c r="A97" s="5"/>
      <c r="B97" s="5"/>
      <c r="C97" s="5"/>
      <c r="D97" s="5"/>
      <c r="E97" s="5"/>
      <c r="F97" s="5"/>
      <c r="G97" s="5"/>
      <c r="H97" s="5"/>
      <c r="I97" s="5"/>
      <c r="J97" s="5"/>
      <c r="K97" s="5"/>
      <c r="L97" s="5"/>
      <c r="M97" s="5"/>
      <c r="N97" s="5"/>
      <c r="O97" s="5"/>
      <c r="P97" s="5"/>
      <c r="Q97" s="357"/>
      <c r="R97" s="357"/>
      <c r="S97" s="357"/>
      <c r="T97" s="357"/>
      <c r="U97" s="357"/>
      <c r="V97" s="357"/>
      <c r="W97" s="357"/>
      <c r="X97" s="357"/>
      <c r="Y97" s="357"/>
      <c r="Z97" s="357"/>
    </row>
    <row r="98" ht="12.75" customHeight="1">
      <c r="A98" s="5"/>
      <c r="B98" s="5"/>
      <c r="C98" s="5"/>
      <c r="D98" s="5"/>
      <c r="E98" s="5"/>
      <c r="F98" s="5"/>
      <c r="G98" s="5"/>
      <c r="H98" s="5"/>
      <c r="I98" s="5"/>
      <c r="J98" s="5"/>
      <c r="K98" s="5"/>
      <c r="L98" s="5"/>
      <c r="M98" s="5"/>
      <c r="N98" s="5"/>
      <c r="O98" s="5"/>
      <c r="P98" s="5"/>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conditionalFormatting sqref="K1">
    <cfRule type="expression" dxfId="2" priority="1" stopIfTrue="1">
      <formula>MOD(ROW(),2)=0</formula>
    </cfRule>
  </conditionalFormatting>
  <printOptions/>
  <pageMargins bottom="0.5" footer="0.0" header="0.0" left="0.35" right="0.25" top="0.32"/>
  <pageSetup orientation="portrait"/>
  <headerFooter>
    <oddFooter>&amp;L&amp;D  at &amp;T Mike 702.486.8879&amp;CPage &amp;P of &amp;R&amp;F  &amp;A</oddFooter>
  </headerFooter>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10.71"/>
    <col customWidth="1" min="2" max="26" width="9.29"/>
  </cols>
  <sheetData>
    <row r="1" ht="12.75" customHeight="1">
      <c r="A1" s="2" t="s">
        <v>1440</v>
      </c>
      <c r="B1" s="2"/>
      <c r="C1" s="2"/>
      <c r="D1" s="357"/>
      <c r="E1" s="219" t="s">
        <v>3</v>
      </c>
      <c r="F1" s="357"/>
      <c r="G1" s="357"/>
      <c r="H1" s="357"/>
      <c r="I1" s="357"/>
      <c r="J1" s="357"/>
      <c r="K1" s="357"/>
      <c r="L1" s="357"/>
      <c r="M1" s="357"/>
      <c r="N1" s="357"/>
      <c r="O1" s="357"/>
      <c r="P1" s="5"/>
      <c r="Q1" s="5"/>
      <c r="R1" s="5"/>
      <c r="S1" s="5"/>
      <c r="T1" s="5"/>
      <c r="U1" s="357"/>
      <c r="V1" s="357"/>
      <c r="W1" s="357"/>
      <c r="X1" s="357"/>
      <c r="Y1" s="357"/>
      <c r="Z1" s="357"/>
    </row>
    <row r="2" ht="12.75" customHeight="1">
      <c r="A2" s="3" t="str">
        <f>SchoolName</f>
        <v>Explore Knowledge Academy</v>
      </c>
      <c r="B2" s="1681"/>
      <c r="C2" s="1681"/>
      <c r="D2" s="357"/>
      <c r="E2" s="357"/>
      <c r="F2" s="357"/>
      <c r="G2" s="357"/>
      <c r="H2" s="357"/>
      <c r="I2" s="357"/>
      <c r="J2" s="357"/>
      <c r="K2" s="357"/>
      <c r="L2" s="357"/>
      <c r="M2" s="357"/>
      <c r="N2" s="357"/>
      <c r="O2" s="357"/>
      <c r="P2" s="5"/>
      <c r="Q2" s="5"/>
      <c r="R2" s="5"/>
      <c r="S2" s="5"/>
      <c r="T2" s="5"/>
      <c r="U2" s="357"/>
      <c r="V2" s="357"/>
      <c r="W2" s="357"/>
      <c r="X2" s="357"/>
      <c r="Y2" s="357"/>
      <c r="Z2" s="357"/>
    </row>
    <row r="3" ht="12.75" customHeight="1">
      <c r="A3" s="70" t="s">
        <v>134</v>
      </c>
      <c r="B3" s="357"/>
      <c r="C3" s="357"/>
      <c r="D3" s="357"/>
      <c r="E3" s="357"/>
      <c r="F3" s="357"/>
      <c r="G3" s="357"/>
      <c r="H3" s="357"/>
      <c r="I3" s="357"/>
      <c r="J3" s="357"/>
      <c r="K3" s="357"/>
      <c r="L3" s="357"/>
      <c r="M3" s="357"/>
      <c r="N3" s="357"/>
      <c r="O3" s="357"/>
      <c r="P3" s="5"/>
      <c r="Q3" s="5"/>
      <c r="R3" s="5"/>
      <c r="S3" s="5"/>
      <c r="T3" s="5"/>
      <c r="U3" s="357"/>
      <c r="V3" s="357"/>
      <c r="W3" s="357"/>
      <c r="X3" s="357"/>
      <c r="Y3" s="357"/>
      <c r="Z3" s="357"/>
    </row>
    <row r="4" ht="12.75" customHeight="1">
      <c r="A4" s="71" t="s">
        <v>135</v>
      </c>
      <c r="B4" s="357"/>
      <c r="C4" s="357"/>
      <c r="D4" s="357"/>
      <c r="E4" s="357"/>
      <c r="F4" s="357"/>
      <c r="G4" s="357"/>
      <c r="H4" s="357"/>
      <c r="I4" s="357"/>
      <c r="J4" s="357"/>
      <c r="K4" s="357"/>
      <c r="L4" s="357"/>
      <c r="M4" s="357"/>
      <c r="N4" s="357"/>
      <c r="O4" s="357"/>
      <c r="P4" s="5"/>
      <c r="Q4" s="5"/>
      <c r="R4" s="5"/>
      <c r="S4" s="5"/>
      <c r="T4" s="5"/>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5"/>
      <c r="Q5" s="5"/>
      <c r="R5" s="5"/>
      <c r="S5" s="5"/>
      <c r="T5" s="5"/>
      <c r="U5" s="357"/>
      <c r="V5" s="357"/>
      <c r="W5" s="357"/>
      <c r="X5" s="357"/>
      <c r="Y5" s="357"/>
      <c r="Z5" s="357"/>
    </row>
    <row r="6" ht="12.75" customHeight="1">
      <c r="A6" s="357"/>
      <c r="B6" s="357"/>
      <c r="C6" s="357"/>
      <c r="D6" s="357"/>
      <c r="E6" s="357"/>
      <c r="F6" s="357"/>
      <c r="G6" s="357"/>
      <c r="H6" s="357"/>
      <c r="I6" s="357"/>
      <c r="J6" s="357"/>
      <c r="K6" s="357"/>
      <c r="L6" s="357"/>
      <c r="M6" s="357"/>
      <c r="N6" s="357"/>
      <c r="O6" s="357"/>
      <c r="P6" s="5"/>
      <c r="Q6" s="5"/>
      <c r="R6" s="5"/>
      <c r="S6" s="5"/>
      <c r="T6" s="5"/>
      <c r="U6" s="357"/>
      <c r="V6" s="357"/>
      <c r="W6" s="357"/>
      <c r="X6" s="357"/>
      <c r="Y6" s="357"/>
      <c r="Z6" s="357"/>
    </row>
    <row r="7" ht="12.75" customHeight="1">
      <c r="A7" s="5"/>
      <c r="B7" s="5"/>
      <c r="C7" s="5"/>
      <c r="D7" s="5"/>
      <c r="E7" s="5"/>
      <c r="F7" s="5"/>
      <c r="G7" s="5"/>
      <c r="H7" s="5"/>
      <c r="I7" s="5"/>
      <c r="J7" s="5"/>
      <c r="K7" s="5"/>
      <c r="L7" s="5"/>
      <c r="M7" s="5"/>
      <c r="N7" s="5"/>
      <c r="O7" s="5"/>
      <c r="P7" s="5"/>
      <c r="Q7" s="5"/>
      <c r="R7" s="5"/>
      <c r="S7" s="5"/>
      <c r="T7" s="5"/>
      <c r="U7" s="357"/>
      <c r="V7" s="357"/>
      <c r="W7" s="357"/>
      <c r="X7" s="357"/>
      <c r="Y7" s="357"/>
      <c r="Z7" s="357"/>
    </row>
    <row r="8" ht="12.75" customHeight="1">
      <c r="A8" s="5"/>
      <c r="B8" s="5"/>
      <c r="C8" s="5"/>
      <c r="D8" s="5"/>
      <c r="E8" s="5"/>
      <c r="F8" s="5"/>
      <c r="G8" s="5"/>
      <c r="H8" s="5"/>
      <c r="I8" s="5"/>
      <c r="J8" s="5"/>
      <c r="K8" s="5"/>
      <c r="L8" s="5"/>
      <c r="M8" s="5"/>
      <c r="N8" s="5"/>
      <c r="O8" s="5"/>
      <c r="P8" s="5"/>
      <c r="Q8" s="5"/>
      <c r="R8" s="5"/>
      <c r="S8" s="5"/>
      <c r="T8" s="5"/>
      <c r="U8" s="357"/>
      <c r="V8" s="357"/>
      <c r="W8" s="357"/>
      <c r="X8" s="357"/>
      <c r="Y8" s="357"/>
      <c r="Z8" s="357"/>
    </row>
    <row r="9" ht="12.75" customHeight="1">
      <c r="A9" s="5"/>
      <c r="B9" s="5"/>
      <c r="C9" s="5"/>
      <c r="D9" s="5"/>
      <c r="E9" s="5"/>
      <c r="F9" s="5"/>
      <c r="G9" s="5"/>
      <c r="H9" s="5"/>
      <c r="I9" s="5"/>
      <c r="J9" s="5"/>
      <c r="K9" s="5"/>
      <c r="L9" s="5"/>
      <c r="M9" s="5"/>
      <c r="N9" s="5"/>
      <c r="O9" s="5"/>
      <c r="P9" s="5"/>
      <c r="Q9" s="5"/>
      <c r="R9" s="5"/>
      <c r="S9" s="5"/>
      <c r="T9" s="5"/>
      <c r="U9" s="357"/>
      <c r="V9" s="357"/>
      <c r="W9" s="357"/>
      <c r="X9" s="357"/>
      <c r="Y9" s="357"/>
      <c r="Z9" s="357"/>
    </row>
    <row r="10" ht="12.75" customHeight="1">
      <c r="A10" s="5"/>
      <c r="B10" s="5"/>
      <c r="C10" s="5"/>
      <c r="D10" s="5"/>
      <c r="E10" s="5"/>
      <c r="F10" s="5"/>
      <c r="G10" s="5"/>
      <c r="H10" s="5"/>
      <c r="I10" s="5"/>
      <c r="J10" s="5"/>
      <c r="K10" s="5"/>
      <c r="L10" s="5"/>
      <c r="M10" s="5"/>
      <c r="N10" s="5"/>
      <c r="O10" s="5"/>
      <c r="P10" s="5"/>
      <c r="Q10" s="5"/>
      <c r="R10" s="5"/>
      <c r="S10" s="5"/>
      <c r="T10" s="5"/>
      <c r="U10" s="357"/>
      <c r="V10" s="357"/>
      <c r="W10" s="357"/>
      <c r="X10" s="357"/>
      <c r="Y10" s="357"/>
      <c r="Z10" s="357"/>
    </row>
    <row r="11" ht="12.75" customHeight="1">
      <c r="A11" s="5"/>
      <c r="B11" s="5"/>
      <c r="C11" s="5"/>
      <c r="D11" s="5"/>
      <c r="E11" s="5"/>
      <c r="F11" s="5"/>
      <c r="G11" s="5"/>
      <c r="H11" s="5"/>
      <c r="I11" s="5"/>
      <c r="J11" s="5"/>
      <c r="K11" s="5"/>
      <c r="L11" s="5"/>
      <c r="M11" s="5"/>
      <c r="N11" s="5"/>
      <c r="O11" s="5"/>
      <c r="P11" s="5"/>
      <c r="Q11" s="5"/>
      <c r="R11" s="5"/>
      <c r="S11" s="5"/>
      <c r="T11" s="5"/>
      <c r="U11" s="357"/>
      <c r="V11" s="357"/>
      <c r="W11" s="357"/>
      <c r="X11" s="357"/>
      <c r="Y11" s="357"/>
      <c r="Z11" s="357"/>
    </row>
    <row r="12" ht="12.75" customHeight="1">
      <c r="A12" s="5"/>
      <c r="B12" s="5"/>
      <c r="C12" s="5"/>
      <c r="D12" s="5"/>
      <c r="E12" s="5"/>
      <c r="F12" s="5"/>
      <c r="G12" s="5"/>
      <c r="H12" s="5"/>
      <c r="I12" s="5"/>
      <c r="J12" s="5"/>
      <c r="K12" s="5"/>
      <c r="L12" s="5"/>
      <c r="M12" s="5"/>
      <c r="N12" s="5"/>
      <c r="O12" s="5"/>
      <c r="P12" s="5"/>
      <c r="Q12" s="5"/>
      <c r="R12" s="5"/>
      <c r="S12" s="5"/>
      <c r="T12" s="5"/>
      <c r="U12" s="357"/>
      <c r="V12" s="357"/>
      <c r="W12" s="357"/>
      <c r="X12" s="357"/>
      <c r="Y12" s="357"/>
      <c r="Z12" s="357"/>
    </row>
    <row r="13" ht="12.75" customHeight="1">
      <c r="A13" s="5"/>
      <c r="B13" s="5"/>
      <c r="C13" s="5"/>
      <c r="D13" s="5"/>
      <c r="E13" s="5"/>
      <c r="F13" s="5"/>
      <c r="G13" s="5"/>
      <c r="H13" s="5"/>
      <c r="I13" s="5"/>
      <c r="J13" s="5"/>
      <c r="K13" s="5"/>
      <c r="L13" s="5"/>
      <c r="M13" s="5"/>
      <c r="N13" s="5"/>
      <c r="O13" s="5"/>
      <c r="P13" s="5"/>
      <c r="Q13" s="5"/>
      <c r="R13" s="5"/>
      <c r="S13" s="5"/>
      <c r="T13" s="5"/>
      <c r="U13" s="357"/>
      <c r="V13" s="357"/>
      <c r="W13" s="357"/>
      <c r="X13" s="357"/>
      <c r="Y13" s="357"/>
      <c r="Z13" s="357"/>
    </row>
    <row r="14" ht="12.75" customHeight="1">
      <c r="A14" s="5"/>
      <c r="B14" s="5"/>
      <c r="C14" s="5"/>
      <c r="D14" s="5"/>
      <c r="E14" s="5"/>
      <c r="F14" s="5"/>
      <c r="G14" s="5"/>
      <c r="H14" s="5"/>
      <c r="I14" s="5"/>
      <c r="J14" s="5"/>
      <c r="K14" s="5"/>
      <c r="L14" s="5"/>
      <c r="M14" s="5"/>
      <c r="N14" s="5"/>
      <c r="O14" s="5"/>
      <c r="P14" s="5"/>
      <c r="Q14" s="5"/>
      <c r="R14" s="5"/>
      <c r="S14" s="5"/>
      <c r="T14" s="5"/>
      <c r="U14" s="357"/>
      <c r="V14" s="357"/>
      <c r="W14" s="357"/>
      <c r="X14" s="357"/>
      <c r="Y14" s="357"/>
      <c r="Z14" s="357"/>
    </row>
    <row r="15" ht="12.75" customHeight="1">
      <c r="A15" s="5"/>
      <c r="B15" s="5"/>
      <c r="C15" s="5"/>
      <c r="D15" s="5"/>
      <c r="E15" s="5"/>
      <c r="F15" s="5"/>
      <c r="G15" s="5"/>
      <c r="H15" s="5"/>
      <c r="I15" s="5"/>
      <c r="J15" s="5"/>
      <c r="K15" s="5"/>
      <c r="L15" s="5"/>
      <c r="M15" s="5"/>
      <c r="N15" s="5"/>
      <c r="O15" s="5"/>
      <c r="P15" s="5"/>
      <c r="Q15" s="5"/>
      <c r="R15" s="5"/>
      <c r="S15" s="5"/>
      <c r="T15" s="5"/>
      <c r="U15" s="357"/>
      <c r="V15" s="357"/>
      <c r="W15" s="357"/>
      <c r="X15" s="357"/>
      <c r="Y15" s="357"/>
      <c r="Z15" s="357"/>
    </row>
    <row r="16" ht="12.75" customHeight="1">
      <c r="A16" s="5"/>
      <c r="B16" s="5"/>
      <c r="C16" s="5"/>
      <c r="D16" s="5"/>
      <c r="E16" s="5"/>
      <c r="F16" s="5"/>
      <c r="G16" s="5"/>
      <c r="H16" s="5"/>
      <c r="I16" s="5"/>
      <c r="J16" s="5"/>
      <c r="K16" s="5"/>
      <c r="L16" s="5"/>
      <c r="M16" s="5"/>
      <c r="N16" s="5"/>
      <c r="O16" s="5"/>
      <c r="P16" s="5"/>
      <c r="Q16" s="5"/>
      <c r="R16" s="5"/>
      <c r="S16" s="5"/>
      <c r="T16" s="5"/>
      <c r="U16" s="357"/>
      <c r="V16" s="357"/>
      <c r="W16" s="357"/>
      <c r="X16" s="357"/>
      <c r="Y16" s="357"/>
      <c r="Z16" s="357"/>
    </row>
    <row r="17" ht="12.75" customHeight="1">
      <c r="A17" s="5"/>
      <c r="B17" s="5"/>
      <c r="C17" s="5"/>
      <c r="D17" s="5"/>
      <c r="E17" s="5"/>
      <c r="F17" s="5"/>
      <c r="G17" s="5"/>
      <c r="H17" s="5"/>
      <c r="I17" s="5"/>
      <c r="J17" s="5"/>
      <c r="K17" s="5"/>
      <c r="L17" s="5"/>
      <c r="M17" s="5"/>
      <c r="N17" s="5"/>
      <c r="O17" s="5"/>
      <c r="P17" s="5"/>
      <c r="Q17" s="5"/>
      <c r="R17" s="5"/>
      <c r="S17" s="5"/>
      <c r="T17" s="5"/>
      <c r="U17" s="357"/>
      <c r="V17" s="357"/>
      <c r="W17" s="357"/>
      <c r="X17" s="357"/>
      <c r="Y17" s="357"/>
      <c r="Z17" s="357"/>
    </row>
    <row r="18" ht="12.75" customHeight="1">
      <c r="A18" s="5"/>
      <c r="B18" s="5"/>
      <c r="C18" s="5"/>
      <c r="D18" s="5"/>
      <c r="E18" s="5"/>
      <c r="F18" s="5"/>
      <c r="G18" s="5"/>
      <c r="H18" s="5"/>
      <c r="I18" s="5"/>
      <c r="J18" s="5"/>
      <c r="K18" s="5"/>
      <c r="L18" s="5"/>
      <c r="M18" s="5"/>
      <c r="N18" s="5"/>
      <c r="O18" s="5"/>
      <c r="P18" s="5"/>
      <c r="Q18" s="5"/>
      <c r="R18" s="5"/>
      <c r="S18" s="5"/>
      <c r="T18" s="5"/>
      <c r="U18" s="357"/>
      <c r="V18" s="357"/>
      <c r="W18" s="357"/>
      <c r="X18" s="357"/>
      <c r="Y18" s="357"/>
      <c r="Z18" s="357"/>
    </row>
    <row r="19" ht="12.75" customHeight="1">
      <c r="A19" s="5"/>
      <c r="B19" s="5"/>
      <c r="C19" s="5"/>
      <c r="D19" s="5"/>
      <c r="E19" s="5"/>
      <c r="F19" s="5"/>
      <c r="G19" s="5"/>
      <c r="H19" s="5"/>
      <c r="I19" s="5"/>
      <c r="J19" s="5"/>
      <c r="K19" s="5"/>
      <c r="L19" s="5"/>
      <c r="M19" s="5"/>
      <c r="N19" s="5"/>
      <c r="O19" s="5"/>
      <c r="P19" s="5"/>
      <c r="Q19" s="5"/>
      <c r="R19" s="5"/>
      <c r="S19" s="5"/>
      <c r="T19" s="5"/>
      <c r="U19" s="357"/>
      <c r="V19" s="357"/>
      <c r="W19" s="357"/>
      <c r="X19" s="357"/>
      <c r="Y19" s="357"/>
      <c r="Z19" s="357"/>
    </row>
    <row r="20" ht="12.75" customHeight="1">
      <c r="A20" s="5"/>
      <c r="B20" s="5"/>
      <c r="C20" s="5"/>
      <c r="D20" s="5"/>
      <c r="E20" s="5"/>
      <c r="F20" s="5"/>
      <c r="G20" s="5"/>
      <c r="H20" s="5"/>
      <c r="I20" s="5"/>
      <c r="J20" s="5"/>
      <c r="K20" s="5"/>
      <c r="L20" s="5"/>
      <c r="M20" s="5"/>
      <c r="N20" s="5"/>
      <c r="O20" s="5"/>
      <c r="P20" s="5"/>
      <c r="Q20" s="5"/>
      <c r="R20" s="5"/>
      <c r="S20" s="5"/>
      <c r="T20" s="5"/>
      <c r="U20" s="357"/>
      <c r="V20" s="357"/>
      <c r="W20" s="357"/>
      <c r="X20" s="357"/>
      <c r="Y20" s="357"/>
      <c r="Z20" s="357"/>
    </row>
    <row r="21" ht="12.75" customHeight="1">
      <c r="A21" s="5"/>
      <c r="B21" s="5"/>
      <c r="C21" s="5"/>
      <c r="D21" s="5"/>
      <c r="E21" s="5"/>
      <c r="F21" s="5"/>
      <c r="G21" s="5"/>
      <c r="H21" s="5"/>
      <c r="I21" s="5"/>
      <c r="J21" s="5"/>
      <c r="K21" s="5"/>
      <c r="L21" s="5"/>
      <c r="M21" s="5"/>
      <c r="N21" s="5"/>
      <c r="O21" s="5"/>
      <c r="P21" s="5"/>
      <c r="Q21" s="5"/>
      <c r="R21" s="5"/>
      <c r="S21" s="5"/>
      <c r="T21" s="5"/>
      <c r="U21" s="357"/>
      <c r="V21" s="357"/>
      <c r="W21" s="357"/>
      <c r="X21" s="357"/>
      <c r="Y21" s="357"/>
      <c r="Z21" s="357"/>
    </row>
    <row r="22" ht="12.75" customHeight="1">
      <c r="A22" s="5"/>
      <c r="B22" s="5"/>
      <c r="C22" s="5"/>
      <c r="D22" s="5"/>
      <c r="E22" s="5"/>
      <c r="F22" s="5"/>
      <c r="G22" s="5"/>
      <c r="H22" s="5"/>
      <c r="I22" s="5"/>
      <c r="J22" s="5"/>
      <c r="K22" s="5"/>
      <c r="L22" s="5"/>
      <c r="M22" s="5"/>
      <c r="N22" s="5"/>
      <c r="O22" s="5"/>
      <c r="P22" s="5"/>
      <c r="Q22" s="5"/>
      <c r="R22" s="5"/>
      <c r="S22" s="5"/>
      <c r="T22" s="5"/>
      <c r="U22" s="357"/>
      <c r="V22" s="357"/>
      <c r="W22" s="357"/>
      <c r="X22" s="357"/>
      <c r="Y22" s="357"/>
      <c r="Z22" s="357"/>
    </row>
    <row r="23" ht="12.75" customHeight="1">
      <c r="A23" s="5"/>
      <c r="B23" s="5"/>
      <c r="C23" s="5"/>
      <c r="D23" s="5"/>
      <c r="E23" s="5"/>
      <c r="F23" s="5"/>
      <c r="G23" s="5"/>
      <c r="H23" s="5"/>
      <c r="I23" s="5"/>
      <c r="J23" s="5"/>
      <c r="K23" s="5"/>
      <c r="L23" s="5"/>
      <c r="M23" s="5"/>
      <c r="N23" s="5"/>
      <c r="O23" s="5"/>
      <c r="P23" s="5"/>
      <c r="Q23" s="5"/>
      <c r="R23" s="5"/>
      <c r="S23" s="5"/>
      <c r="T23" s="5"/>
      <c r="U23" s="357"/>
      <c r="V23" s="357"/>
      <c r="W23" s="357"/>
      <c r="X23" s="357"/>
      <c r="Y23" s="357"/>
      <c r="Z23" s="357"/>
    </row>
    <row r="24" ht="12.75" customHeight="1">
      <c r="A24" s="5"/>
      <c r="B24" s="5"/>
      <c r="C24" s="5"/>
      <c r="D24" s="5"/>
      <c r="E24" s="5"/>
      <c r="F24" s="5"/>
      <c r="G24" s="5"/>
      <c r="H24" s="5"/>
      <c r="I24" s="5"/>
      <c r="J24" s="5"/>
      <c r="K24" s="5"/>
      <c r="L24" s="5"/>
      <c r="M24" s="5"/>
      <c r="N24" s="5"/>
      <c r="O24" s="5"/>
      <c r="P24" s="5"/>
      <c r="Q24" s="5"/>
      <c r="R24" s="5"/>
      <c r="S24" s="5"/>
      <c r="T24" s="5"/>
      <c r="U24" s="357"/>
      <c r="V24" s="357"/>
      <c r="W24" s="357"/>
      <c r="X24" s="357"/>
      <c r="Y24" s="357"/>
      <c r="Z24" s="357"/>
    </row>
    <row r="25" ht="12.75" customHeight="1">
      <c r="A25" s="5"/>
      <c r="B25" s="5"/>
      <c r="C25" s="5"/>
      <c r="D25" s="5"/>
      <c r="E25" s="5"/>
      <c r="F25" s="5"/>
      <c r="G25" s="5"/>
      <c r="H25" s="5"/>
      <c r="I25" s="5"/>
      <c r="J25" s="5"/>
      <c r="K25" s="5"/>
      <c r="L25" s="5"/>
      <c r="M25" s="5"/>
      <c r="N25" s="5"/>
      <c r="O25" s="5"/>
      <c r="P25" s="5"/>
      <c r="Q25" s="5"/>
      <c r="R25" s="5"/>
      <c r="S25" s="5"/>
      <c r="T25" s="5"/>
      <c r="U25" s="357"/>
      <c r="V25" s="357"/>
      <c r="W25" s="357"/>
      <c r="X25" s="357"/>
      <c r="Y25" s="357"/>
      <c r="Z25" s="357"/>
    </row>
    <row r="26" ht="12.75" customHeight="1">
      <c r="A26" s="5"/>
      <c r="B26" s="5"/>
      <c r="C26" s="5"/>
      <c r="D26" s="5"/>
      <c r="E26" s="5"/>
      <c r="F26" s="5"/>
      <c r="G26" s="5"/>
      <c r="H26" s="5"/>
      <c r="I26" s="5"/>
      <c r="J26" s="5"/>
      <c r="K26" s="5"/>
      <c r="L26" s="5"/>
      <c r="M26" s="5"/>
      <c r="N26" s="5"/>
      <c r="O26" s="5"/>
      <c r="P26" s="5"/>
      <c r="Q26" s="5"/>
      <c r="R26" s="5"/>
      <c r="S26" s="5"/>
      <c r="T26" s="5"/>
      <c r="U26" s="357"/>
      <c r="V26" s="357"/>
      <c r="W26" s="357"/>
      <c r="X26" s="357"/>
      <c r="Y26" s="357"/>
      <c r="Z26" s="357"/>
    </row>
    <row r="27" ht="12.75" customHeight="1">
      <c r="A27" s="5"/>
      <c r="B27" s="5"/>
      <c r="C27" s="5"/>
      <c r="D27" s="5"/>
      <c r="E27" s="5"/>
      <c r="F27" s="5"/>
      <c r="G27" s="5"/>
      <c r="H27" s="5"/>
      <c r="I27" s="5"/>
      <c r="J27" s="5"/>
      <c r="K27" s="5"/>
      <c r="L27" s="5"/>
      <c r="M27" s="5"/>
      <c r="N27" s="5"/>
      <c r="O27" s="5"/>
      <c r="P27" s="5"/>
      <c r="Q27" s="5"/>
      <c r="R27" s="5"/>
      <c r="S27" s="5"/>
      <c r="T27" s="5"/>
      <c r="U27" s="357"/>
      <c r="V27" s="357"/>
      <c r="W27" s="357"/>
      <c r="X27" s="357"/>
      <c r="Y27" s="357"/>
      <c r="Z27" s="357"/>
    </row>
    <row r="28" ht="12.75" customHeight="1">
      <c r="A28" s="5"/>
      <c r="B28" s="5"/>
      <c r="C28" s="5"/>
      <c r="D28" s="5"/>
      <c r="E28" s="5"/>
      <c r="F28" s="5"/>
      <c r="G28" s="5"/>
      <c r="H28" s="5"/>
      <c r="I28" s="5"/>
      <c r="J28" s="5"/>
      <c r="K28" s="5"/>
      <c r="L28" s="5"/>
      <c r="M28" s="5"/>
      <c r="N28" s="5"/>
      <c r="O28" s="5"/>
      <c r="P28" s="5"/>
      <c r="Q28" s="5"/>
      <c r="R28" s="5"/>
      <c r="S28" s="5"/>
      <c r="T28" s="5"/>
      <c r="U28" s="357"/>
      <c r="V28" s="357"/>
      <c r="W28" s="357"/>
      <c r="X28" s="357"/>
      <c r="Y28" s="357"/>
      <c r="Z28" s="357"/>
    </row>
    <row r="29" ht="12.75" customHeight="1">
      <c r="A29" s="5"/>
      <c r="B29" s="5"/>
      <c r="C29" s="5"/>
      <c r="D29" s="5"/>
      <c r="E29" s="5"/>
      <c r="F29" s="5"/>
      <c r="G29" s="5"/>
      <c r="H29" s="5"/>
      <c r="I29" s="5"/>
      <c r="J29" s="5"/>
      <c r="K29" s="5"/>
      <c r="L29" s="5"/>
      <c r="M29" s="5"/>
      <c r="N29" s="5"/>
      <c r="O29" s="5"/>
      <c r="P29" s="5"/>
      <c r="Q29" s="5"/>
      <c r="R29" s="5"/>
      <c r="S29" s="5"/>
      <c r="T29" s="5"/>
      <c r="U29" s="357"/>
      <c r="V29" s="357"/>
      <c r="W29" s="357"/>
      <c r="X29" s="357"/>
      <c r="Y29" s="357"/>
      <c r="Z29" s="357"/>
    </row>
    <row r="30" ht="12.75" customHeight="1">
      <c r="A30" s="5"/>
      <c r="B30" s="5"/>
      <c r="C30" s="5"/>
      <c r="D30" s="5"/>
      <c r="E30" s="5"/>
      <c r="F30" s="5"/>
      <c r="G30" s="5"/>
      <c r="H30" s="5"/>
      <c r="I30" s="5"/>
      <c r="J30" s="5"/>
      <c r="K30" s="5"/>
      <c r="L30" s="5"/>
      <c r="M30" s="5"/>
      <c r="N30" s="5"/>
      <c r="O30" s="5"/>
      <c r="P30" s="5"/>
      <c r="Q30" s="357"/>
      <c r="R30" s="357"/>
      <c r="S30" s="357"/>
      <c r="T30" s="357"/>
      <c r="U30" s="357"/>
      <c r="V30" s="357"/>
      <c r="W30" s="357"/>
      <c r="X30" s="357"/>
      <c r="Y30" s="357"/>
      <c r="Z30" s="357"/>
    </row>
    <row r="31" ht="12.75" customHeight="1">
      <c r="A31" s="5"/>
      <c r="B31" s="5"/>
      <c r="C31" s="5"/>
      <c r="D31" s="5"/>
      <c r="E31" s="5"/>
      <c r="F31" s="5"/>
      <c r="G31" s="5"/>
      <c r="H31" s="5"/>
      <c r="I31" s="5"/>
      <c r="J31" s="5"/>
      <c r="K31" s="5"/>
      <c r="L31" s="5"/>
      <c r="M31" s="5"/>
      <c r="N31" s="5"/>
      <c r="O31" s="5"/>
      <c r="P31" s="5"/>
      <c r="Q31" s="357"/>
      <c r="R31" s="357"/>
      <c r="S31" s="357"/>
      <c r="T31" s="357"/>
      <c r="U31" s="357"/>
      <c r="V31" s="357"/>
      <c r="W31" s="357"/>
      <c r="X31" s="357"/>
      <c r="Y31" s="357"/>
      <c r="Z31" s="357"/>
    </row>
    <row r="32" ht="12.75" customHeight="1">
      <c r="A32" s="5"/>
      <c r="B32" s="5"/>
      <c r="C32" s="5"/>
      <c r="D32" s="5"/>
      <c r="E32" s="5"/>
      <c r="F32" s="5"/>
      <c r="G32" s="5"/>
      <c r="H32" s="5"/>
      <c r="I32" s="5"/>
      <c r="J32" s="5"/>
      <c r="K32" s="5"/>
      <c r="L32" s="5"/>
      <c r="M32" s="5"/>
      <c r="N32" s="5"/>
      <c r="O32" s="5"/>
      <c r="P32" s="5"/>
      <c r="Q32" s="357"/>
      <c r="R32" s="357"/>
      <c r="S32" s="357"/>
      <c r="T32" s="357"/>
      <c r="U32" s="357"/>
      <c r="V32" s="357"/>
      <c r="W32" s="357"/>
      <c r="X32" s="357"/>
      <c r="Y32" s="357"/>
      <c r="Z32" s="357"/>
    </row>
    <row r="33" ht="12.75" customHeight="1">
      <c r="A33" s="5"/>
      <c r="B33" s="5"/>
      <c r="C33" s="5"/>
      <c r="D33" s="5"/>
      <c r="E33" s="5"/>
      <c r="F33" s="5"/>
      <c r="G33" s="5"/>
      <c r="H33" s="5"/>
      <c r="I33" s="5"/>
      <c r="J33" s="5"/>
      <c r="K33" s="5"/>
      <c r="L33" s="5"/>
      <c r="M33" s="5"/>
      <c r="N33" s="5"/>
      <c r="O33" s="5"/>
      <c r="P33" s="5"/>
      <c r="Q33" s="357"/>
      <c r="R33" s="357"/>
      <c r="S33" s="357"/>
      <c r="T33" s="357"/>
      <c r="U33" s="357"/>
      <c r="V33" s="357"/>
      <c r="W33" s="357"/>
      <c r="X33" s="357"/>
      <c r="Y33" s="357"/>
      <c r="Z33" s="357"/>
    </row>
    <row r="34" ht="12.75" customHeight="1">
      <c r="A34" s="5"/>
      <c r="B34" s="5"/>
      <c r="C34" s="5"/>
      <c r="D34" s="5"/>
      <c r="E34" s="5"/>
      <c r="F34" s="5"/>
      <c r="G34" s="5"/>
      <c r="H34" s="5"/>
      <c r="I34" s="5"/>
      <c r="J34" s="5"/>
      <c r="K34" s="5"/>
      <c r="L34" s="5"/>
      <c r="M34" s="5"/>
      <c r="N34" s="5"/>
      <c r="O34" s="5"/>
      <c r="P34" s="5"/>
      <c r="Q34" s="357"/>
      <c r="R34" s="357"/>
      <c r="S34" s="357"/>
      <c r="T34" s="357"/>
      <c r="U34" s="357"/>
      <c r="V34" s="357"/>
      <c r="W34" s="357"/>
      <c r="X34" s="357"/>
      <c r="Y34" s="357"/>
      <c r="Z34" s="357"/>
    </row>
    <row r="35" ht="12.75" customHeight="1">
      <c r="A35" s="5"/>
      <c r="B35" s="5"/>
      <c r="C35" s="5"/>
      <c r="D35" s="5"/>
      <c r="E35" s="5"/>
      <c r="F35" s="5"/>
      <c r="G35" s="5"/>
      <c r="H35" s="5"/>
      <c r="I35" s="5"/>
      <c r="J35" s="5"/>
      <c r="K35" s="5"/>
      <c r="L35" s="5"/>
      <c r="M35" s="5"/>
      <c r="N35" s="5"/>
      <c r="O35" s="5"/>
      <c r="P35" s="5"/>
      <c r="Q35" s="357"/>
      <c r="R35" s="357"/>
      <c r="S35" s="357"/>
      <c r="T35" s="357"/>
      <c r="U35" s="357"/>
      <c r="V35" s="357"/>
      <c r="W35" s="357"/>
      <c r="X35" s="357"/>
      <c r="Y35" s="357"/>
      <c r="Z35" s="357"/>
    </row>
    <row r="36" ht="12.75" customHeight="1">
      <c r="A36" s="5"/>
      <c r="B36" s="5"/>
      <c r="C36" s="5"/>
      <c r="D36" s="5"/>
      <c r="E36" s="5"/>
      <c r="F36" s="5"/>
      <c r="G36" s="5"/>
      <c r="H36" s="5"/>
      <c r="I36" s="5"/>
      <c r="J36" s="5"/>
      <c r="K36" s="5"/>
      <c r="L36" s="5"/>
      <c r="M36" s="5"/>
      <c r="N36" s="5"/>
      <c r="O36" s="5"/>
      <c r="P36" s="5"/>
      <c r="Q36" s="357"/>
      <c r="R36" s="357"/>
      <c r="S36" s="357"/>
      <c r="T36" s="357"/>
      <c r="U36" s="357"/>
      <c r="V36" s="357"/>
      <c r="W36" s="357"/>
      <c r="X36" s="357"/>
      <c r="Y36" s="357"/>
      <c r="Z36" s="357"/>
    </row>
    <row r="37" ht="12.75" customHeight="1">
      <c r="A37" s="5"/>
      <c r="B37" s="5"/>
      <c r="C37" s="5"/>
      <c r="D37" s="5"/>
      <c r="E37" s="5"/>
      <c r="F37" s="5"/>
      <c r="G37" s="5"/>
      <c r="H37" s="5"/>
      <c r="I37" s="5"/>
      <c r="J37" s="5"/>
      <c r="K37" s="5"/>
      <c r="L37" s="5"/>
      <c r="M37" s="5"/>
      <c r="N37" s="5"/>
      <c r="O37" s="5"/>
      <c r="P37" s="5"/>
      <c r="Q37" s="357"/>
      <c r="R37" s="357"/>
      <c r="S37" s="357"/>
      <c r="T37" s="357"/>
      <c r="U37" s="357"/>
      <c r="V37" s="357"/>
      <c r="W37" s="357"/>
      <c r="X37" s="357"/>
      <c r="Y37" s="357"/>
      <c r="Z37" s="357"/>
    </row>
    <row r="38" ht="12.75" customHeight="1">
      <c r="A38" s="5"/>
      <c r="B38" s="5"/>
      <c r="C38" s="5"/>
      <c r="D38" s="5"/>
      <c r="E38" s="5"/>
      <c r="F38" s="5"/>
      <c r="G38" s="5"/>
      <c r="H38" s="5"/>
      <c r="I38" s="5"/>
      <c r="J38" s="5"/>
      <c r="K38" s="5"/>
      <c r="L38" s="5"/>
      <c r="M38" s="5"/>
      <c r="N38" s="5"/>
      <c r="O38" s="5"/>
      <c r="P38" s="5"/>
      <c r="Q38" s="357"/>
      <c r="R38" s="357"/>
      <c r="S38" s="357"/>
      <c r="T38" s="357"/>
      <c r="U38" s="357"/>
      <c r="V38" s="357"/>
      <c r="W38" s="357"/>
      <c r="X38" s="357"/>
      <c r="Y38" s="357"/>
      <c r="Z38" s="357"/>
    </row>
    <row r="39" ht="12.75" customHeight="1">
      <c r="A39" s="5"/>
      <c r="B39" s="5"/>
      <c r="C39" s="5"/>
      <c r="D39" s="5"/>
      <c r="E39" s="5"/>
      <c r="F39" s="5"/>
      <c r="G39" s="5"/>
      <c r="H39" s="5"/>
      <c r="I39" s="5"/>
      <c r="J39" s="5"/>
      <c r="K39" s="5"/>
      <c r="L39" s="5"/>
      <c r="M39" s="5"/>
      <c r="N39" s="5"/>
      <c r="O39" s="5"/>
      <c r="P39" s="5"/>
      <c r="Q39" s="357"/>
      <c r="R39" s="357"/>
      <c r="S39" s="357"/>
      <c r="T39" s="357"/>
      <c r="U39" s="357"/>
      <c r="V39" s="357"/>
      <c r="W39" s="357"/>
      <c r="X39" s="357"/>
      <c r="Y39" s="357"/>
      <c r="Z39" s="357"/>
    </row>
    <row r="40" ht="12.75" customHeight="1">
      <c r="A40" s="5"/>
      <c r="B40" s="5"/>
      <c r="C40" s="5"/>
      <c r="D40" s="5"/>
      <c r="E40" s="5"/>
      <c r="F40" s="5"/>
      <c r="G40" s="5"/>
      <c r="H40" s="5"/>
      <c r="I40" s="5"/>
      <c r="J40" s="5"/>
      <c r="K40" s="5"/>
      <c r="L40" s="5"/>
      <c r="M40" s="5"/>
      <c r="N40" s="5"/>
      <c r="O40" s="5"/>
      <c r="P40" s="5"/>
      <c r="Q40" s="357"/>
      <c r="R40" s="357"/>
      <c r="S40" s="357"/>
      <c r="T40" s="357"/>
      <c r="U40" s="357"/>
      <c r="V40" s="357"/>
      <c r="W40" s="357"/>
      <c r="X40" s="357"/>
      <c r="Y40" s="357"/>
      <c r="Z40" s="357"/>
    </row>
    <row r="41" ht="12.75" customHeight="1">
      <c r="A41" s="5"/>
      <c r="B41" s="5"/>
      <c r="C41" s="5"/>
      <c r="D41" s="5"/>
      <c r="E41" s="5"/>
      <c r="F41" s="5"/>
      <c r="G41" s="5"/>
      <c r="H41" s="5"/>
      <c r="I41" s="5"/>
      <c r="J41" s="5"/>
      <c r="K41" s="5"/>
      <c r="L41" s="5"/>
      <c r="M41" s="5"/>
      <c r="N41" s="5"/>
      <c r="O41" s="5"/>
      <c r="P41" s="5"/>
      <c r="Q41" s="357"/>
      <c r="R41" s="357"/>
      <c r="S41" s="357"/>
      <c r="T41" s="357"/>
      <c r="U41" s="357"/>
      <c r="V41" s="357"/>
      <c r="W41" s="357"/>
      <c r="X41" s="357"/>
      <c r="Y41" s="357"/>
      <c r="Z41" s="357"/>
    </row>
    <row r="42" ht="12.75" customHeight="1">
      <c r="A42" s="5"/>
      <c r="B42" s="5"/>
      <c r="C42" s="5"/>
      <c r="D42" s="5"/>
      <c r="E42" s="5"/>
      <c r="F42" s="5"/>
      <c r="G42" s="5"/>
      <c r="H42" s="5"/>
      <c r="I42" s="5"/>
      <c r="J42" s="5"/>
      <c r="K42" s="5"/>
      <c r="L42" s="5"/>
      <c r="M42" s="5"/>
      <c r="N42" s="5"/>
      <c r="O42" s="5"/>
      <c r="P42" s="5"/>
      <c r="Q42" s="357"/>
      <c r="R42" s="357"/>
      <c r="S42" s="357"/>
      <c r="T42" s="357"/>
      <c r="U42" s="357"/>
      <c r="V42" s="357"/>
      <c r="W42" s="357"/>
      <c r="X42" s="357"/>
      <c r="Y42" s="357"/>
      <c r="Z42" s="357"/>
    </row>
    <row r="43" ht="12.75" customHeight="1">
      <c r="A43" s="5"/>
      <c r="B43" s="5"/>
      <c r="C43" s="5"/>
      <c r="D43" s="5"/>
      <c r="E43" s="5"/>
      <c r="F43" s="5"/>
      <c r="G43" s="5"/>
      <c r="H43" s="5"/>
      <c r="I43" s="5"/>
      <c r="J43" s="5"/>
      <c r="K43" s="5"/>
      <c r="L43" s="5"/>
      <c r="M43" s="5"/>
      <c r="N43" s="5"/>
      <c r="O43" s="5"/>
      <c r="P43" s="5"/>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5"/>
      <c r="P44" s="5"/>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5"/>
      <c r="P45" s="5"/>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5"/>
      <c r="P46" s="5"/>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5"/>
      <c r="P47" s="5"/>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5"/>
      <c r="P48" s="5"/>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5"/>
      <c r="P49" s="5"/>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5"/>
      <c r="P50" s="5"/>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5"/>
      <c r="P51" s="5"/>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5"/>
      <c r="P52" s="5"/>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5"/>
      <c r="P53" s="5"/>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5"/>
      <c r="P54" s="5"/>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5"/>
      <c r="P55" s="5"/>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5"/>
      <c r="P56" s="5"/>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5"/>
      <c r="P57" s="5"/>
      <c r="Q57" s="357"/>
      <c r="R57" s="357"/>
      <c r="S57" s="357"/>
      <c r="T57" s="357"/>
      <c r="U57" s="357"/>
      <c r="V57" s="357"/>
      <c r="W57" s="357"/>
      <c r="X57" s="357"/>
      <c r="Y57" s="357"/>
      <c r="Z57" s="357"/>
    </row>
    <row r="58" ht="12.75" customHeight="1">
      <c r="A58" s="5"/>
      <c r="B58" s="5"/>
      <c r="C58" s="5"/>
      <c r="D58" s="5"/>
      <c r="E58" s="5"/>
      <c r="F58" s="5"/>
      <c r="G58" s="5"/>
      <c r="H58" s="5"/>
      <c r="I58" s="5"/>
      <c r="J58" s="5"/>
      <c r="K58" s="5"/>
      <c r="L58" s="5"/>
      <c r="M58" s="5"/>
      <c r="N58" s="5"/>
      <c r="O58" s="5"/>
      <c r="P58" s="5"/>
      <c r="Q58" s="357"/>
      <c r="R58" s="357"/>
      <c r="S58" s="357"/>
      <c r="T58" s="357"/>
      <c r="U58" s="357"/>
      <c r="V58" s="357"/>
      <c r="W58" s="357"/>
      <c r="X58" s="357"/>
      <c r="Y58" s="357"/>
      <c r="Z58" s="357"/>
    </row>
    <row r="59" ht="12.75" customHeight="1">
      <c r="A59" s="5"/>
      <c r="B59" s="5"/>
      <c r="C59" s="5"/>
      <c r="D59" s="5"/>
      <c r="E59" s="5"/>
      <c r="F59" s="5"/>
      <c r="G59" s="5"/>
      <c r="H59" s="5"/>
      <c r="I59" s="5"/>
      <c r="J59" s="5"/>
      <c r="K59" s="5"/>
      <c r="L59" s="5"/>
      <c r="M59" s="5"/>
      <c r="N59" s="5"/>
      <c r="O59" s="5"/>
      <c r="P59" s="5"/>
      <c r="Q59" s="357"/>
      <c r="R59" s="357"/>
      <c r="S59" s="357"/>
      <c r="T59" s="357"/>
      <c r="U59" s="357"/>
      <c r="V59" s="357"/>
      <c r="W59" s="357"/>
      <c r="X59" s="357"/>
      <c r="Y59" s="357"/>
      <c r="Z59" s="357"/>
    </row>
    <row r="60" ht="12.75" customHeight="1">
      <c r="A60" s="5"/>
      <c r="B60" s="5"/>
      <c r="C60" s="5"/>
      <c r="D60" s="5"/>
      <c r="E60" s="5"/>
      <c r="F60" s="5"/>
      <c r="G60" s="5"/>
      <c r="H60" s="5"/>
      <c r="I60" s="5"/>
      <c r="J60" s="5"/>
      <c r="K60" s="5"/>
      <c r="L60" s="5"/>
      <c r="M60" s="5"/>
      <c r="N60" s="5"/>
      <c r="O60" s="5"/>
      <c r="P60" s="5"/>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5"/>
      <c r="P61" s="5"/>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5"/>
      <c r="P62" s="5"/>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5"/>
      <c r="P63" s="5"/>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5"/>
      <c r="P64" s="5"/>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5"/>
      <c r="P65" s="5"/>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5"/>
      <c r="P66" s="5"/>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5"/>
      <c r="P67" s="5"/>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5"/>
      <c r="P68" s="5"/>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5"/>
      <c r="P69" s="5"/>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5"/>
      <c r="P70" s="5"/>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5"/>
      <c r="P71" s="5"/>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5"/>
      <c r="P72" s="5"/>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5"/>
      <c r="P73" s="5"/>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5"/>
      <c r="P74" s="5"/>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5"/>
      <c r="P75" s="5"/>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5"/>
      <c r="P76" s="5"/>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5"/>
      <c r="P77" s="5"/>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5"/>
      <c r="P78" s="5"/>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5"/>
      <c r="P79" s="5"/>
      <c r="Q79" s="357"/>
      <c r="R79" s="357"/>
      <c r="S79" s="357"/>
      <c r="T79" s="357"/>
      <c r="U79" s="357"/>
      <c r="V79" s="357"/>
      <c r="W79" s="357"/>
      <c r="X79" s="357"/>
      <c r="Y79" s="357"/>
      <c r="Z79" s="357"/>
    </row>
    <row r="80" ht="12.75" customHeight="1">
      <c r="A80" s="5"/>
      <c r="B80" s="5"/>
      <c r="C80" s="5"/>
      <c r="D80" s="5"/>
      <c r="E80" s="5"/>
      <c r="F80" s="5"/>
      <c r="G80" s="5"/>
      <c r="H80" s="5"/>
      <c r="I80" s="5"/>
      <c r="J80" s="5"/>
      <c r="K80" s="5"/>
      <c r="L80" s="5"/>
      <c r="M80" s="5"/>
      <c r="N80" s="5"/>
      <c r="O80" s="5"/>
      <c r="P80" s="5"/>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conditionalFormatting sqref="E1">
    <cfRule type="expression" dxfId="2" priority="1" stopIfTrue="1">
      <formula>MOD(ROW(),2)=0</formula>
    </cfRule>
  </conditionalFormatting>
  <conditionalFormatting sqref="P1:T29">
    <cfRule type="cellIs" dxfId="1" priority="2" stopIfTrue="1" operator="equal">
      <formula>0</formula>
    </cfRule>
  </conditionalFormatting>
  <printOptions/>
  <pageMargins bottom="0.5" footer="0.0" header="0.0" left="0.35" right="0.25" top="0.32"/>
  <pageSetup orientation="portrait"/>
  <headerFooter>
    <oddFooter>&amp;L&amp;D  at &amp;T Mike 702.486.8879&amp;CPage &amp;P of &amp;R&amp;F  &amp;A</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4.43"/>
    <col customWidth="1" min="2" max="26" width="9.29"/>
  </cols>
  <sheetData>
    <row r="1" ht="12.75" customHeight="1">
      <c r="A1" s="1685" t="s">
        <v>1441</v>
      </c>
      <c r="B1" s="1685"/>
      <c r="C1" s="1685"/>
      <c r="D1" s="1685"/>
      <c r="E1" s="1685"/>
      <c r="F1" s="1685"/>
      <c r="G1" s="1685"/>
      <c r="H1" s="357"/>
      <c r="I1" s="357"/>
      <c r="J1" s="357"/>
      <c r="K1" s="357"/>
      <c r="L1" s="357"/>
      <c r="M1" s="1372" t="s">
        <v>3</v>
      </c>
      <c r="N1" s="357"/>
      <c r="O1" s="357"/>
      <c r="P1" s="357"/>
      <c r="Q1" s="357"/>
      <c r="R1" s="357"/>
      <c r="S1" s="357"/>
      <c r="T1" s="357"/>
      <c r="U1" s="357"/>
      <c r="V1" s="357"/>
      <c r="W1" s="357"/>
      <c r="X1" s="357"/>
      <c r="Y1" s="357"/>
      <c r="Z1" s="357"/>
    </row>
    <row r="2" ht="12.75" customHeight="1">
      <c r="A2" s="3"/>
      <c r="B2" s="1681"/>
      <c r="C2" s="1681"/>
      <c r="D2" s="1681"/>
      <c r="E2" s="1681"/>
      <c r="F2" s="1681"/>
      <c r="G2" s="1681"/>
      <c r="H2" s="357" t="s">
        <v>1442</v>
      </c>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t="s">
        <v>1443</v>
      </c>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5"/>
      <c r="C6" s="5"/>
      <c r="D6" s="5"/>
      <c r="E6" s="5"/>
      <c r="F6" s="5"/>
      <c r="G6" s="5"/>
      <c r="H6" s="5"/>
      <c r="I6" s="5"/>
      <c r="J6" s="5"/>
      <c r="K6" s="5"/>
      <c r="L6" s="5"/>
      <c r="M6" s="5"/>
      <c r="N6" s="5"/>
      <c r="O6" s="5"/>
      <c r="P6" s="5"/>
      <c r="Q6" s="357"/>
      <c r="R6" s="357"/>
      <c r="S6" s="357"/>
      <c r="T6" s="357"/>
      <c r="U6" s="357"/>
      <c r="V6" s="357"/>
      <c r="W6" s="357"/>
      <c r="X6" s="357"/>
      <c r="Y6" s="357"/>
      <c r="Z6" s="357"/>
    </row>
    <row r="7" ht="12.75" customHeight="1">
      <c r="A7" s="5"/>
      <c r="B7" s="5" t="s">
        <v>1444</v>
      </c>
      <c r="C7" s="5"/>
      <c r="D7" s="5"/>
      <c r="E7" s="5"/>
      <c r="F7" s="5"/>
      <c r="G7" s="5"/>
      <c r="H7" s="5"/>
      <c r="I7" s="5"/>
      <c r="J7" s="5"/>
      <c r="K7" s="5"/>
      <c r="L7" s="5"/>
      <c r="M7" s="5"/>
      <c r="N7" s="5"/>
      <c r="O7" s="5"/>
      <c r="P7" s="5"/>
      <c r="Q7" s="357"/>
      <c r="R7" s="357"/>
      <c r="S7" s="357"/>
      <c r="T7" s="357"/>
      <c r="U7" s="357"/>
      <c r="V7" s="357"/>
      <c r="W7" s="357"/>
      <c r="X7" s="357"/>
      <c r="Y7" s="357"/>
      <c r="Z7" s="357"/>
    </row>
    <row r="8" ht="12.75" customHeight="1">
      <c r="A8" s="5"/>
      <c r="B8" s="5" t="s">
        <v>1445</v>
      </c>
      <c r="C8" s="5"/>
      <c r="D8" s="5"/>
      <c r="E8" s="5"/>
      <c r="F8" s="5"/>
      <c r="G8" s="5"/>
      <c r="H8" s="5"/>
      <c r="I8" s="5"/>
      <c r="J8" s="5"/>
      <c r="K8" s="5"/>
      <c r="L8" s="5"/>
      <c r="M8" s="5"/>
      <c r="N8" s="5"/>
      <c r="O8" s="5"/>
      <c r="P8" s="5"/>
      <c r="Q8" s="357"/>
      <c r="R8" s="357"/>
      <c r="S8" s="357"/>
      <c r="T8" s="357"/>
      <c r="U8" s="357"/>
      <c r="V8" s="357"/>
      <c r="W8" s="357"/>
      <c r="X8" s="357"/>
      <c r="Y8" s="357"/>
      <c r="Z8" s="357"/>
    </row>
    <row r="9" ht="12.75" customHeight="1">
      <c r="A9" s="5"/>
      <c r="B9" s="5"/>
      <c r="C9" s="5"/>
      <c r="D9" s="5"/>
      <c r="E9" s="5"/>
      <c r="F9" s="5"/>
      <c r="G9" s="5"/>
      <c r="H9" s="5"/>
      <c r="I9" s="5"/>
      <c r="J9" s="5"/>
      <c r="K9" s="5"/>
      <c r="L9" s="5"/>
      <c r="M9" s="5"/>
      <c r="N9" s="5"/>
      <c r="O9" s="5"/>
      <c r="P9" s="5"/>
      <c r="Q9" s="357"/>
      <c r="R9" s="357"/>
      <c r="S9" s="357"/>
      <c r="T9" s="357"/>
      <c r="U9" s="357"/>
      <c r="V9" s="357"/>
      <c r="W9" s="357"/>
      <c r="X9" s="357"/>
      <c r="Y9" s="357"/>
      <c r="Z9" s="357"/>
    </row>
    <row r="10" ht="12.75" customHeight="1">
      <c r="A10" s="5"/>
      <c r="B10" s="1686"/>
      <c r="C10" s="1686"/>
      <c r="D10" s="1686"/>
      <c r="E10" s="1686"/>
      <c r="F10" s="1686"/>
      <c r="G10" s="1687" t="s">
        <v>1446</v>
      </c>
      <c r="H10" s="722"/>
      <c r="I10" s="1687" t="s">
        <v>1447</v>
      </c>
      <c r="J10" s="1687"/>
      <c r="K10" s="1687"/>
      <c r="L10" s="1687"/>
      <c r="M10" s="1687"/>
      <c r="N10" s="1687"/>
      <c r="O10" s="5"/>
      <c r="P10" s="5"/>
      <c r="Q10" s="357"/>
      <c r="R10" s="357"/>
      <c r="S10" s="357"/>
      <c r="T10" s="357"/>
      <c r="U10" s="357"/>
      <c r="V10" s="357"/>
      <c r="W10" s="357"/>
      <c r="X10" s="357"/>
      <c r="Y10" s="357"/>
      <c r="Z10" s="357"/>
    </row>
    <row r="11" ht="12.75" customHeight="1">
      <c r="A11" s="5"/>
      <c r="B11" s="1688"/>
      <c r="C11" s="1689"/>
      <c r="D11" s="1689"/>
      <c r="E11" s="1689"/>
      <c r="F11" s="1689"/>
      <c r="G11" s="1690" t="s">
        <v>1448</v>
      </c>
      <c r="H11" s="1690" t="s">
        <v>1449</v>
      </c>
      <c r="I11" s="1690" t="s">
        <v>715</v>
      </c>
      <c r="J11" s="1690">
        <v>1.0</v>
      </c>
      <c r="K11" s="1690">
        <f t="shared" ref="K11:N11" si="1">+J11+1</f>
        <v>2</v>
      </c>
      <c r="L11" s="1690">
        <f t="shared" si="1"/>
        <v>3</v>
      </c>
      <c r="M11" s="1690">
        <f t="shared" si="1"/>
        <v>4</v>
      </c>
      <c r="N11" s="1690">
        <f t="shared" si="1"/>
        <v>5</v>
      </c>
      <c r="O11" s="5"/>
      <c r="P11" s="5"/>
      <c r="Q11" s="357"/>
      <c r="R11" s="357"/>
      <c r="S11" s="357"/>
      <c r="T11" s="357"/>
      <c r="U11" s="357"/>
      <c r="V11" s="357"/>
      <c r="W11" s="357"/>
      <c r="X11" s="357"/>
      <c r="Y11" s="357"/>
      <c r="Z11" s="357"/>
    </row>
    <row r="12" ht="12.75" customHeight="1">
      <c r="A12" s="5"/>
      <c r="B12" s="357"/>
      <c r="C12" s="5"/>
      <c r="D12" s="5"/>
      <c r="E12" s="5"/>
      <c r="F12" s="5"/>
      <c r="G12" s="5"/>
      <c r="H12" s="5"/>
      <c r="I12" s="5"/>
      <c r="J12" s="5"/>
      <c r="K12" s="5"/>
      <c r="L12" s="5"/>
      <c r="M12" s="5"/>
      <c r="N12" s="5"/>
      <c r="O12" s="5"/>
      <c r="P12" s="5"/>
      <c r="Q12" s="357"/>
      <c r="R12" s="357"/>
      <c r="S12" s="357"/>
      <c r="T12" s="357"/>
      <c r="U12" s="357"/>
      <c r="V12" s="357"/>
      <c r="W12" s="357"/>
      <c r="X12" s="357"/>
      <c r="Y12" s="357"/>
      <c r="Z12" s="357"/>
    </row>
    <row r="13" ht="12.75" customHeight="1">
      <c r="A13" s="5"/>
      <c r="B13" s="1691" t="s">
        <v>1450</v>
      </c>
      <c r="C13" s="1689"/>
      <c r="D13" s="1689"/>
      <c r="E13" s="1689"/>
      <c r="F13" s="1689"/>
      <c r="G13" s="1689"/>
      <c r="H13" s="1689"/>
      <c r="I13" s="1689"/>
      <c r="J13" s="1689"/>
      <c r="K13" s="1689"/>
      <c r="L13" s="1689"/>
      <c r="M13" s="1689"/>
      <c r="N13" s="1689"/>
      <c r="O13" s="5"/>
      <c r="P13" s="5"/>
      <c r="Q13" s="357"/>
      <c r="R13" s="357"/>
      <c r="S13" s="357"/>
      <c r="T13" s="357"/>
      <c r="U13" s="357"/>
      <c r="V13" s="357"/>
      <c r="W13" s="357"/>
      <c r="X13" s="357"/>
      <c r="Y13" s="357"/>
      <c r="Z13" s="357"/>
    </row>
    <row r="14" ht="12.75" customHeight="1">
      <c r="A14" s="5"/>
      <c r="B14" s="1692" t="s">
        <v>1451</v>
      </c>
      <c r="C14" s="1692"/>
      <c r="D14" s="1692"/>
      <c r="E14" s="1692"/>
      <c r="F14" s="1692"/>
      <c r="G14" s="1693"/>
      <c r="H14" s="1693"/>
      <c r="I14" s="1693"/>
      <c r="J14" s="1693"/>
      <c r="K14" s="1693"/>
      <c r="L14" s="1693"/>
      <c r="M14" s="1693"/>
      <c r="N14" s="1693"/>
      <c r="O14" s="5"/>
      <c r="P14" s="5"/>
      <c r="Q14" s="357"/>
      <c r="R14" s="357"/>
      <c r="S14" s="357"/>
      <c r="T14" s="357"/>
      <c r="U14" s="357"/>
      <c r="V14" s="357"/>
      <c r="W14" s="357"/>
      <c r="X14" s="357"/>
      <c r="Y14" s="357"/>
      <c r="Z14" s="357"/>
    </row>
    <row r="15" ht="12.75" customHeight="1">
      <c r="A15" s="5"/>
      <c r="B15" s="1694" t="s">
        <v>1452</v>
      </c>
      <c r="C15" s="1694"/>
      <c r="D15" s="1694"/>
      <c r="E15" s="1694"/>
      <c r="F15" s="1694"/>
      <c r="G15" s="1695"/>
      <c r="H15" s="1695"/>
      <c r="I15" s="1695"/>
      <c r="J15" s="1695"/>
      <c r="K15" s="1695"/>
      <c r="L15" s="1695"/>
      <c r="M15" s="1695"/>
      <c r="N15" s="1695"/>
      <c r="O15" s="5"/>
      <c r="P15" s="5"/>
      <c r="Q15" s="357"/>
      <c r="R15" s="357"/>
      <c r="S15" s="357"/>
      <c r="T15" s="357"/>
      <c r="U15" s="357"/>
      <c r="V15" s="357"/>
      <c r="W15" s="357"/>
      <c r="X15" s="357"/>
      <c r="Y15" s="357"/>
      <c r="Z15" s="357"/>
    </row>
    <row r="16" ht="12.75" customHeight="1">
      <c r="A16" s="5"/>
      <c r="B16" s="1694" t="s">
        <v>1453</v>
      </c>
      <c r="C16" s="1694"/>
      <c r="D16" s="1694"/>
      <c r="E16" s="1694"/>
      <c r="F16" s="1694"/>
      <c r="G16" s="1695"/>
      <c r="H16" s="1695"/>
      <c r="I16" s="1695"/>
      <c r="J16" s="1695"/>
      <c r="K16" s="1695"/>
      <c r="L16" s="1695"/>
      <c r="M16" s="1695"/>
      <c r="N16" s="1695"/>
      <c r="O16" s="5"/>
      <c r="P16" s="5"/>
      <c r="Q16" s="357"/>
      <c r="R16" s="357"/>
      <c r="S16" s="357"/>
      <c r="T16" s="357"/>
      <c r="U16" s="357"/>
      <c r="V16" s="357"/>
      <c r="W16" s="357"/>
      <c r="X16" s="357"/>
      <c r="Y16" s="357"/>
      <c r="Z16" s="357"/>
    </row>
    <row r="17" ht="12.75" customHeight="1">
      <c r="A17" s="5"/>
      <c r="B17" s="1694" t="s">
        <v>1454</v>
      </c>
      <c r="C17" s="1694"/>
      <c r="D17" s="1694"/>
      <c r="E17" s="1694"/>
      <c r="F17" s="1694"/>
      <c r="G17" s="1695"/>
      <c r="H17" s="1695"/>
      <c r="I17" s="1695"/>
      <c r="J17" s="1695"/>
      <c r="K17" s="1695"/>
      <c r="L17" s="1695"/>
      <c r="M17" s="1695"/>
      <c r="N17" s="1695"/>
      <c r="O17" s="5"/>
      <c r="P17" s="5"/>
      <c r="Q17" s="357"/>
      <c r="R17" s="357"/>
      <c r="S17" s="357"/>
      <c r="T17" s="357"/>
      <c r="U17" s="357"/>
      <c r="V17" s="357"/>
      <c r="W17" s="357"/>
      <c r="X17" s="357"/>
      <c r="Y17" s="357"/>
      <c r="Z17" s="357"/>
    </row>
    <row r="18" ht="12.75" customHeight="1">
      <c r="A18" s="5"/>
      <c r="B18" s="1694" t="s">
        <v>1455</v>
      </c>
      <c r="C18" s="1694"/>
      <c r="D18" s="1694"/>
      <c r="E18" s="1694"/>
      <c r="F18" s="1694"/>
      <c r="G18" s="1695"/>
      <c r="H18" s="1695"/>
      <c r="I18" s="1695"/>
      <c r="J18" s="1695"/>
      <c r="K18" s="1695"/>
      <c r="L18" s="1695"/>
      <c r="M18" s="1695"/>
      <c r="N18" s="1695"/>
      <c r="O18" s="5"/>
      <c r="P18" s="5"/>
      <c r="Q18" s="357"/>
      <c r="R18" s="357"/>
      <c r="S18" s="357"/>
      <c r="T18" s="357"/>
      <c r="U18" s="357"/>
      <c r="V18" s="357"/>
      <c r="W18" s="357"/>
      <c r="X18" s="357"/>
      <c r="Y18" s="357"/>
      <c r="Z18" s="357"/>
    </row>
    <row r="19" ht="12.75" customHeight="1">
      <c r="A19" s="5"/>
      <c r="B19" s="1694" t="s">
        <v>1456</v>
      </c>
      <c r="C19" s="1694"/>
      <c r="D19" s="1694"/>
      <c r="E19" s="1694"/>
      <c r="F19" s="1694"/>
      <c r="G19" s="1695"/>
      <c r="H19" s="1695"/>
      <c r="I19" s="1695"/>
      <c r="J19" s="1695"/>
      <c r="K19" s="1695"/>
      <c r="L19" s="1695"/>
      <c r="M19" s="1695"/>
      <c r="N19" s="1695"/>
      <c r="O19" s="5"/>
      <c r="P19" s="5"/>
      <c r="Q19" s="357"/>
      <c r="R19" s="357"/>
      <c r="S19" s="357"/>
      <c r="T19" s="357"/>
      <c r="U19" s="357"/>
      <c r="V19" s="357"/>
      <c r="W19" s="357"/>
      <c r="X19" s="357"/>
      <c r="Y19" s="357"/>
      <c r="Z19" s="357"/>
    </row>
    <row r="20" ht="12.75" customHeight="1">
      <c r="A20" s="5"/>
      <c r="B20" s="1694" t="s">
        <v>1457</v>
      </c>
      <c r="C20" s="1694"/>
      <c r="D20" s="1694"/>
      <c r="E20" s="1694"/>
      <c r="F20" s="1694"/>
      <c r="G20" s="1695"/>
      <c r="H20" s="1695"/>
      <c r="I20" s="1695"/>
      <c r="J20" s="1695"/>
      <c r="K20" s="1695"/>
      <c r="L20" s="1695"/>
      <c r="M20" s="1695"/>
      <c r="N20" s="1695"/>
      <c r="O20" s="5"/>
      <c r="P20" s="5"/>
      <c r="Q20" s="357"/>
      <c r="R20" s="357"/>
      <c r="S20" s="357"/>
      <c r="T20" s="357"/>
      <c r="U20" s="357"/>
      <c r="V20" s="357"/>
      <c r="W20" s="357"/>
      <c r="X20" s="357"/>
      <c r="Y20" s="357"/>
      <c r="Z20" s="357"/>
    </row>
    <row r="21" ht="12.75" customHeight="1">
      <c r="A21" s="5"/>
      <c r="B21" s="1694" t="s">
        <v>1458</v>
      </c>
      <c r="C21" s="1694"/>
      <c r="D21" s="1694"/>
      <c r="E21" s="1694"/>
      <c r="F21" s="1694"/>
      <c r="G21" s="1695"/>
      <c r="H21" s="1695"/>
      <c r="I21" s="1695"/>
      <c r="J21" s="1695"/>
      <c r="K21" s="1695"/>
      <c r="L21" s="1695"/>
      <c r="M21" s="1695"/>
      <c r="N21" s="1695"/>
      <c r="O21" s="5"/>
      <c r="P21" s="5"/>
      <c r="Q21" s="357"/>
      <c r="R21" s="357"/>
      <c r="S21" s="357"/>
      <c r="T21" s="357"/>
      <c r="U21" s="357"/>
      <c r="V21" s="357"/>
      <c r="W21" s="357"/>
      <c r="X21" s="357"/>
      <c r="Y21" s="357"/>
      <c r="Z21" s="357"/>
    </row>
    <row r="22" ht="12.75" customHeight="1">
      <c r="A22" s="5"/>
      <c r="B22" s="1694" t="s">
        <v>1459</v>
      </c>
      <c r="C22" s="1694"/>
      <c r="D22" s="1694"/>
      <c r="E22" s="1694"/>
      <c r="F22" s="1694"/>
      <c r="G22" s="1695"/>
      <c r="H22" s="1695"/>
      <c r="I22" s="1695"/>
      <c r="J22" s="1695"/>
      <c r="K22" s="1695"/>
      <c r="L22" s="1695"/>
      <c r="M22" s="1695"/>
      <c r="N22" s="1695"/>
      <c r="O22" s="5"/>
      <c r="P22" s="5"/>
      <c r="Q22" s="357"/>
      <c r="R22" s="357"/>
      <c r="S22" s="357"/>
      <c r="T22" s="357"/>
      <c r="U22" s="357"/>
      <c r="V22" s="357"/>
      <c r="W22" s="357"/>
      <c r="X22" s="357"/>
      <c r="Y22" s="357"/>
      <c r="Z22" s="357"/>
    </row>
    <row r="23" ht="12.75" customHeight="1">
      <c r="A23" s="5"/>
      <c r="B23" s="1694" t="s">
        <v>1460</v>
      </c>
      <c r="C23" s="1694"/>
      <c r="D23" s="1694"/>
      <c r="E23" s="1694"/>
      <c r="F23" s="1694"/>
      <c r="G23" s="1695"/>
      <c r="H23" s="1695"/>
      <c r="I23" s="1695"/>
      <c r="J23" s="1695"/>
      <c r="K23" s="1695"/>
      <c r="L23" s="1695"/>
      <c r="M23" s="1695"/>
      <c r="N23" s="1695"/>
      <c r="O23" s="5"/>
      <c r="P23" s="5"/>
      <c r="Q23" s="357"/>
      <c r="R23" s="357"/>
      <c r="S23" s="357"/>
      <c r="T23" s="357"/>
      <c r="U23" s="357"/>
      <c r="V23" s="357"/>
      <c r="W23" s="357"/>
      <c r="X23" s="357"/>
      <c r="Y23" s="357"/>
      <c r="Z23" s="357"/>
    </row>
    <row r="24" ht="12.75" customHeight="1">
      <c r="A24" s="5"/>
      <c r="B24" s="1694" t="s">
        <v>1461</v>
      </c>
      <c r="C24" s="1694"/>
      <c r="D24" s="1694"/>
      <c r="E24" s="1694"/>
      <c r="F24" s="1694"/>
      <c r="G24" s="1695"/>
      <c r="H24" s="1695"/>
      <c r="I24" s="1695"/>
      <c r="J24" s="1695"/>
      <c r="K24" s="1695"/>
      <c r="L24" s="1695"/>
      <c r="M24" s="1695"/>
      <c r="N24" s="1695"/>
      <c r="O24" s="5"/>
      <c r="P24" s="5"/>
      <c r="Q24" s="357"/>
      <c r="R24" s="357"/>
      <c r="S24" s="357"/>
      <c r="T24" s="357"/>
      <c r="U24" s="357"/>
      <c r="V24" s="357"/>
      <c r="W24" s="357"/>
      <c r="X24" s="357"/>
      <c r="Y24" s="357"/>
      <c r="Z24" s="357"/>
    </row>
    <row r="25" ht="12.75" customHeight="1">
      <c r="A25" s="5"/>
      <c r="B25" s="1694" t="s">
        <v>1462</v>
      </c>
      <c r="C25" s="1694"/>
      <c r="D25" s="1694"/>
      <c r="E25" s="1694"/>
      <c r="F25" s="1694"/>
      <c r="G25" s="1695"/>
      <c r="H25" s="1695"/>
      <c r="I25" s="1695"/>
      <c r="J25" s="1695"/>
      <c r="K25" s="1695"/>
      <c r="L25" s="1695"/>
      <c r="M25" s="1695"/>
      <c r="N25" s="1695"/>
      <c r="O25" s="5"/>
      <c r="P25" s="5"/>
      <c r="Q25" s="357"/>
      <c r="R25" s="357"/>
      <c r="S25" s="357"/>
      <c r="T25" s="357"/>
      <c r="U25" s="357"/>
      <c r="V25" s="357"/>
      <c r="W25" s="357"/>
      <c r="X25" s="357"/>
      <c r="Y25" s="357"/>
      <c r="Z25" s="357"/>
    </row>
    <row r="26" ht="12.75" customHeight="1">
      <c r="A26" s="5"/>
      <c r="B26" s="5"/>
      <c r="C26" s="5"/>
      <c r="D26" s="5"/>
      <c r="E26" s="5"/>
      <c r="F26" s="5"/>
      <c r="G26" s="5"/>
      <c r="H26" s="5"/>
      <c r="I26" s="5">
        <f t="shared" ref="I26:N26" si="2">SUM(I14:I25)</f>
        <v>0</v>
      </c>
      <c r="J26" s="5">
        <f t="shared" si="2"/>
        <v>0</v>
      </c>
      <c r="K26" s="5">
        <f t="shared" si="2"/>
        <v>0</v>
      </c>
      <c r="L26" s="5">
        <f t="shared" si="2"/>
        <v>0</v>
      </c>
      <c r="M26" s="5">
        <f t="shared" si="2"/>
        <v>0</v>
      </c>
      <c r="N26" s="5">
        <f t="shared" si="2"/>
        <v>0</v>
      </c>
      <c r="O26" s="5"/>
      <c r="P26" s="5"/>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5"/>
      <c r="P27" s="5"/>
      <c r="Q27" s="357"/>
      <c r="R27" s="357"/>
      <c r="S27" s="357"/>
      <c r="T27" s="357"/>
      <c r="U27" s="357"/>
      <c r="V27" s="357"/>
      <c r="W27" s="357"/>
      <c r="X27" s="357"/>
      <c r="Y27" s="357"/>
      <c r="Z27" s="357"/>
    </row>
    <row r="28" ht="12.75" customHeight="1">
      <c r="A28" s="5"/>
      <c r="B28" s="1691" t="s">
        <v>1463</v>
      </c>
      <c r="C28" s="1689"/>
      <c r="D28" s="1689"/>
      <c r="E28" s="1689"/>
      <c r="F28" s="1689"/>
      <c r="G28" s="1689"/>
      <c r="H28" s="1689"/>
      <c r="I28" s="1689"/>
      <c r="J28" s="1689"/>
      <c r="K28" s="1689"/>
      <c r="L28" s="1689"/>
      <c r="M28" s="1689"/>
      <c r="N28" s="1689"/>
      <c r="O28" s="5"/>
      <c r="P28" s="5"/>
      <c r="Q28" s="357"/>
      <c r="R28" s="357"/>
      <c r="S28" s="357"/>
      <c r="T28" s="357"/>
      <c r="U28" s="357"/>
      <c r="V28" s="357"/>
      <c r="W28" s="357"/>
      <c r="X28" s="357"/>
      <c r="Y28" s="357"/>
      <c r="Z28" s="357"/>
    </row>
    <row r="29" ht="12.75" customHeight="1">
      <c r="A29" s="5"/>
      <c r="B29" s="1692" t="s">
        <v>1464</v>
      </c>
      <c r="C29" s="1692"/>
      <c r="D29" s="1692"/>
      <c r="E29" s="1692"/>
      <c r="F29" s="1692"/>
      <c r="G29" s="1693"/>
      <c r="H29" s="1693"/>
      <c r="I29" s="1693"/>
      <c r="J29" s="1693"/>
      <c r="K29" s="1693"/>
      <c r="L29" s="1693"/>
      <c r="M29" s="1693"/>
      <c r="N29" s="1693"/>
      <c r="O29" s="5"/>
      <c r="P29" s="5"/>
      <c r="Q29" s="357"/>
      <c r="R29" s="357"/>
      <c r="S29" s="357"/>
      <c r="T29" s="357"/>
      <c r="U29" s="357"/>
      <c r="V29" s="357"/>
      <c r="W29" s="357"/>
      <c r="X29" s="357"/>
      <c r="Y29" s="357"/>
      <c r="Z29" s="357"/>
    </row>
    <row r="30" ht="12.75" customHeight="1">
      <c r="A30" s="5"/>
      <c r="B30" s="1694" t="s">
        <v>1465</v>
      </c>
      <c r="C30" s="1694"/>
      <c r="D30" s="1694"/>
      <c r="E30" s="1694"/>
      <c r="F30" s="1694"/>
      <c r="G30" s="1695"/>
      <c r="H30" s="1695"/>
      <c r="I30" s="1695"/>
      <c r="J30" s="1695"/>
      <c r="K30" s="1695"/>
      <c r="L30" s="1695"/>
      <c r="M30" s="1695"/>
      <c r="N30" s="1695"/>
      <c r="O30" s="5"/>
      <c r="P30" s="5"/>
      <c r="Q30" s="357"/>
      <c r="R30" s="357"/>
      <c r="S30" s="357"/>
      <c r="T30" s="357"/>
      <c r="U30" s="357"/>
      <c r="V30" s="357"/>
      <c r="W30" s="357"/>
      <c r="X30" s="357"/>
      <c r="Y30" s="357"/>
      <c r="Z30" s="357"/>
    </row>
    <row r="31" ht="12.75" customHeight="1">
      <c r="A31" s="5"/>
      <c r="B31" s="1694" t="s">
        <v>1466</v>
      </c>
      <c r="C31" s="1694"/>
      <c r="D31" s="1694"/>
      <c r="E31" s="1694"/>
      <c r="F31" s="1694"/>
      <c r="G31" s="1695"/>
      <c r="H31" s="1695"/>
      <c r="I31" s="1695"/>
      <c r="J31" s="1695"/>
      <c r="K31" s="1695"/>
      <c r="L31" s="1695"/>
      <c r="M31" s="1695"/>
      <c r="N31" s="1695"/>
      <c r="O31" s="5"/>
      <c r="P31" s="5"/>
      <c r="Q31" s="357"/>
      <c r="R31" s="357"/>
      <c r="S31" s="357"/>
      <c r="T31" s="357"/>
      <c r="U31" s="357"/>
      <c r="V31" s="357"/>
      <c r="W31" s="357"/>
      <c r="X31" s="357"/>
      <c r="Y31" s="357"/>
      <c r="Z31" s="357"/>
    </row>
    <row r="32" ht="12.75" customHeight="1">
      <c r="A32" s="5"/>
      <c r="B32" s="1694" t="s">
        <v>1467</v>
      </c>
      <c r="C32" s="1694"/>
      <c r="D32" s="1694"/>
      <c r="E32" s="1694"/>
      <c r="F32" s="1694"/>
      <c r="G32" s="1695"/>
      <c r="H32" s="1695"/>
      <c r="I32" s="1695"/>
      <c r="J32" s="1695"/>
      <c r="K32" s="1695"/>
      <c r="L32" s="1695"/>
      <c r="M32" s="1695"/>
      <c r="N32" s="1695"/>
      <c r="O32" s="5"/>
      <c r="P32" s="5"/>
      <c r="Q32" s="357"/>
      <c r="R32" s="357"/>
      <c r="S32" s="357"/>
      <c r="T32" s="357"/>
      <c r="U32" s="357"/>
      <c r="V32" s="357"/>
      <c r="W32" s="357"/>
      <c r="X32" s="357"/>
      <c r="Y32" s="357"/>
      <c r="Z32" s="357"/>
    </row>
    <row r="33" ht="12.75" customHeight="1">
      <c r="A33" s="5"/>
      <c r="B33" s="1694" t="s">
        <v>1468</v>
      </c>
      <c r="C33" s="1694"/>
      <c r="D33" s="1694"/>
      <c r="E33" s="1694"/>
      <c r="F33" s="1694"/>
      <c r="G33" s="1695"/>
      <c r="H33" s="1695"/>
      <c r="I33" s="1695"/>
      <c r="J33" s="1695"/>
      <c r="K33" s="1695"/>
      <c r="L33" s="1695"/>
      <c r="M33" s="1695"/>
      <c r="N33" s="1695"/>
      <c r="O33" s="5"/>
      <c r="P33" s="5"/>
      <c r="Q33" s="357"/>
      <c r="R33" s="357"/>
      <c r="S33" s="357"/>
      <c r="T33" s="357"/>
      <c r="U33" s="357"/>
      <c r="V33" s="357"/>
      <c r="W33" s="357"/>
      <c r="X33" s="357"/>
      <c r="Y33" s="357"/>
      <c r="Z33" s="357"/>
    </row>
    <row r="34" ht="12.75" customHeight="1">
      <c r="A34" s="5"/>
      <c r="B34" s="1696" t="s">
        <v>1469</v>
      </c>
      <c r="C34" s="1694"/>
      <c r="D34" s="1694"/>
      <c r="E34" s="1694"/>
      <c r="F34" s="1694"/>
      <c r="G34" s="1695"/>
      <c r="H34" s="1695"/>
      <c r="I34" s="1695"/>
      <c r="J34" s="1695"/>
      <c r="K34" s="1695"/>
      <c r="L34" s="1695"/>
      <c r="M34" s="1695"/>
      <c r="N34" s="1695"/>
      <c r="O34" s="5"/>
      <c r="P34" s="5"/>
      <c r="Q34" s="357"/>
      <c r="R34" s="357"/>
      <c r="S34" s="357"/>
      <c r="T34" s="357"/>
      <c r="U34" s="357"/>
      <c r="V34" s="357"/>
      <c r="W34" s="357"/>
      <c r="X34" s="357"/>
      <c r="Y34" s="357"/>
      <c r="Z34" s="357"/>
    </row>
    <row r="35" ht="12.75" customHeight="1">
      <c r="A35" s="5"/>
      <c r="B35" s="1696" t="s">
        <v>1470</v>
      </c>
      <c r="C35" s="1694"/>
      <c r="D35" s="1694"/>
      <c r="E35" s="1694"/>
      <c r="F35" s="1694"/>
      <c r="G35" s="1695"/>
      <c r="H35" s="1695"/>
      <c r="I35" s="1695"/>
      <c r="J35" s="1695"/>
      <c r="K35" s="1695"/>
      <c r="L35" s="1695"/>
      <c r="M35" s="1695"/>
      <c r="N35" s="1695"/>
      <c r="O35" s="5"/>
      <c r="P35" s="5"/>
      <c r="Q35" s="357"/>
      <c r="R35" s="357"/>
      <c r="S35" s="357"/>
      <c r="T35" s="357"/>
      <c r="U35" s="357"/>
      <c r="V35" s="357"/>
      <c r="W35" s="357"/>
      <c r="X35" s="357"/>
      <c r="Y35" s="357"/>
      <c r="Z35" s="357"/>
    </row>
    <row r="36" ht="12.75" customHeight="1">
      <c r="A36" s="5"/>
      <c r="B36" s="1696" t="s">
        <v>1471</v>
      </c>
      <c r="C36" s="1694"/>
      <c r="D36" s="1694"/>
      <c r="E36" s="1694"/>
      <c r="F36" s="1694"/>
      <c r="G36" s="1695"/>
      <c r="H36" s="1695"/>
      <c r="I36" s="1695"/>
      <c r="J36" s="1695"/>
      <c r="K36" s="1695"/>
      <c r="L36" s="1695"/>
      <c r="M36" s="1695"/>
      <c r="N36" s="1695"/>
      <c r="O36" s="5"/>
      <c r="P36" s="5"/>
      <c r="Q36" s="357"/>
      <c r="R36" s="357"/>
      <c r="S36" s="357"/>
      <c r="T36" s="357"/>
      <c r="U36" s="357"/>
      <c r="V36" s="357"/>
      <c r="W36" s="357"/>
      <c r="X36" s="357"/>
      <c r="Y36" s="357"/>
      <c r="Z36" s="357"/>
    </row>
    <row r="37" ht="12.75" customHeight="1">
      <c r="A37" s="5"/>
      <c r="B37" s="1696" t="s">
        <v>1472</v>
      </c>
      <c r="C37" s="1694"/>
      <c r="D37" s="1694"/>
      <c r="E37" s="1694"/>
      <c r="F37" s="1694"/>
      <c r="G37" s="1695"/>
      <c r="H37" s="1695"/>
      <c r="I37" s="1695"/>
      <c r="J37" s="1695"/>
      <c r="K37" s="1695"/>
      <c r="L37" s="1695"/>
      <c r="M37" s="1695"/>
      <c r="N37" s="1695"/>
      <c r="O37" s="5"/>
      <c r="P37" s="5"/>
      <c r="Q37" s="357"/>
      <c r="R37" s="357"/>
      <c r="S37" s="357"/>
      <c r="T37" s="357"/>
      <c r="U37" s="357"/>
      <c r="V37" s="357"/>
      <c r="W37" s="357"/>
      <c r="X37" s="357"/>
      <c r="Y37" s="357"/>
      <c r="Z37" s="357"/>
    </row>
    <row r="38" ht="12.75" customHeight="1">
      <c r="A38" s="5"/>
      <c r="B38" s="1696" t="s">
        <v>1473</v>
      </c>
      <c r="C38" s="1694"/>
      <c r="D38" s="1694"/>
      <c r="E38" s="1694"/>
      <c r="F38" s="1694"/>
      <c r="G38" s="1695"/>
      <c r="H38" s="1695"/>
      <c r="I38" s="1695"/>
      <c r="J38" s="1695"/>
      <c r="K38" s="1695"/>
      <c r="L38" s="1695"/>
      <c r="M38" s="1695"/>
      <c r="N38" s="1695"/>
      <c r="O38" s="5"/>
      <c r="P38" s="5"/>
      <c r="Q38" s="357"/>
      <c r="R38" s="357"/>
      <c r="S38" s="357"/>
      <c r="T38" s="357"/>
      <c r="U38" s="357"/>
      <c r="V38" s="357"/>
      <c r="W38" s="357"/>
      <c r="X38" s="357"/>
      <c r="Y38" s="357"/>
      <c r="Z38" s="357"/>
    </row>
    <row r="39" ht="12.75" customHeight="1">
      <c r="A39" s="5"/>
      <c r="B39" s="5"/>
      <c r="C39" s="5"/>
      <c r="D39" s="5"/>
      <c r="E39" s="5"/>
      <c r="F39" s="5"/>
      <c r="G39" s="5"/>
      <c r="H39" s="5"/>
      <c r="I39" s="5">
        <f t="shared" ref="I39:N39" si="3">SUM(I29:I38)</f>
        <v>0</v>
      </c>
      <c r="J39" s="5">
        <f t="shared" si="3"/>
        <v>0</v>
      </c>
      <c r="K39" s="5">
        <f t="shared" si="3"/>
        <v>0</v>
      </c>
      <c r="L39" s="5">
        <f t="shared" si="3"/>
        <v>0</v>
      </c>
      <c r="M39" s="5">
        <f t="shared" si="3"/>
        <v>0</v>
      </c>
      <c r="N39" s="5">
        <f t="shared" si="3"/>
        <v>0</v>
      </c>
      <c r="O39" s="5"/>
      <c r="P39" s="5"/>
      <c r="Q39" s="357"/>
      <c r="R39" s="357"/>
      <c r="S39" s="357"/>
      <c r="T39" s="357"/>
      <c r="U39" s="357"/>
      <c r="V39" s="357"/>
      <c r="W39" s="357"/>
      <c r="X39" s="357"/>
      <c r="Y39" s="357"/>
      <c r="Z39" s="357"/>
    </row>
    <row r="40" ht="12.75" customHeight="1">
      <c r="A40" s="5"/>
      <c r="B40" s="5"/>
      <c r="C40" s="5"/>
      <c r="D40" s="5"/>
      <c r="E40" s="5"/>
      <c r="F40" s="5"/>
      <c r="G40" s="5"/>
      <c r="H40" s="5"/>
      <c r="I40" s="5"/>
      <c r="J40" s="5"/>
      <c r="K40" s="5"/>
      <c r="L40" s="5"/>
      <c r="M40" s="5"/>
      <c r="N40" s="5"/>
      <c r="O40" s="5"/>
      <c r="P40" s="5"/>
      <c r="Q40" s="357"/>
      <c r="R40" s="357"/>
      <c r="S40" s="357"/>
      <c r="T40" s="357"/>
      <c r="U40" s="357"/>
      <c r="V40" s="357"/>
      <c r="W40" s="357"/>
      <c r="X40" s="357"/>
      <c r="Y40" s="357"/>
      <c r="Z40" s="357"/>
    </row>
    <row r="41" ht="12.75" customHeight="1">
      <c r="A41" s="5"/>
      <c r="B41" s="5" t="s">
        <v>1474</v>
      </c>
      <c r="C41" s="5"/>
      <c r="D41" s="5"/>
      <c r="E41" s="5"/>
      <c r="F41" s="5"/>
      <c r="G41" s="5"/>
      <c r="H41" s="5"/>
      <c r="I41" s="5"/>
      <c r="J41" s="5"/>
      <c r="K41" s="5"/>
      <c r="L41" s="5"/>
      <c r="M41" s="5"/>
      <c r="N41" s="5"/>
      <c r="O41" s="5"/>
      <c r="P41" s="5"/>
      <c r="Q41" s="357"/>
      <c r="R41" s="357"/>
      <c r="S41" s="357"/>
      <c r="T41" s="357"/>
      <c r="U41" s="357"/>
      <c r="V41" s="357"/>
      <c r="W41" s="357"/>
      <c r="X41" s="357"/>
      <c r="Y41" s="357"/>
      <c r="Z41" s="357"/>
    </row>
    <row r="42" ht="12.75" customHeight="1">
      <c r="A42" s="5"/>
      <c r="B42" s="5" t="s">
        <v>1475</v>
      </c>
      <c r="C42" s="5"/>
      <c r="D42" s="5"/>
      <c r="E42" s="5"/>
      <c r="F42" s="5"/>
      <c r="G42" s="5"/>
      <c r="H42" s="5"/>
      <c r="I42" s="5"/>
      <c r="J42" s="5"/>
      <c r="K42" s="5"/>
      <c r="L42" s="5"/>
      <c r="M42" s="5"/>
      <c r="N42" s="5"/>
      <c r="O42" s="5"/>
      <c r="P42" s="5"/>
      <c r="Q42" s="357"/>
      <c r="R42" s="357"/>
      <c r="S42" s="357"/>
      <c r="T42" s="357"/>
      <c r="U42" s="357"/>
      <c r="V42" s="357"/>
      <c r="W42" s="357"/>
      <c r="X42" s="357"/>
      <c r="Y42" s="357"/>
      <c r="Z42" s="357"/>
    </row>
    <row r="43" ht="12.75" customHeight="1">
      <c r="A43" s="5"/>
      <c r="B43" s="5" t="s">
        <v>1476</v>
      </c>
      <c r="C43" s="5"/>
      <c r="D43" s="5"/>
      <c r="E43" s="5"/>
      <c r="F43" s="5"/>
      <c r="G43" s="5"/>
      <c r="H43" s="5"/>
      <c r="I43" s="5"/>
      <c r="J43" s="5"/>
      <c r="K43" s="5"/>
      <c r="L43" s="5"/>
      <c r="M43" s="5"/>
      <c r="N43" s="5"/>
      <c r="O43" s="5"/>
      <c r="P43" s="5"/>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5"/>
      <c r="P44" s="5"/>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5"/>
      <c r="P45" s="5"/>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5"/>
      <c r="P46" s="5"/>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5"/>
      <c r="P47" s="5"/>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5"/>
      <c r="P48" s="5"/>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5"/>
      <c r="P49" s="5"/>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5"/>
      <c r="P50" s="5"/>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5"/>
      <c r="P51" s="5"/>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5"/>
      <c r="P52" s="5"/>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5"/>
      <c r="P53" s="5"/>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5"/>
      <c r="P54" s="5"/>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5"/>
      <c r="P55" s="5"/>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5"/>
      <c r="P56" s="5"/>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5"/>
      <c r="P57" s="5"/>
      <c r="Q57" s="357"/>
      <c r="R57" s="357"/>
      <c r="S57" s="357"/>
      <c r="T57" s="357"/>
      <c r="U57" s="357"/>
      <c r="V57" s="357"/>
      <c r="W57" s="357"/>
      <c r="X57" s="357"/>
      <c r="Y57" s="357"/>
      <c r="Z57" s="357"/>
    </row>
    <row r="58" ht="12.75" customHeight="1">
      <c r="A58" s="5"/>
      <c r="B58" s="5"/>
      <c r="C58" s="5"/>
      <c r="D58" s="5"/>
      <c r="E58" s="5"/>
      <c r="F58" s="5"/>
      <c r="G58" s="5"/>
      <c r="H58" s="5"/>
      <c r="I58" s="5"/>
      <c r="J58" s="5"/>
      <c r="K58" s="5"/>
      <c r="L58" s="5"/>
      <c r="M58" s="5"/>
      <c r="N58" s="5"/>
      <c r="O58" s="5"/>
      <c r="P58" s="5"/>
      <c r="Q58" s="357"/>
      <c r="R58" s="357"/>
      <c r="S58" s="357"/>
      <c r="T58" s="357"/>
      <c r="U58" s="357"/>
      <c r="V58" s="357"/>
      <c r="W58" s="357"/>
      <c r="X58" s="357"/>
      <c r="Y58" s="357"/>
      <c r="Z58" s="357"/>
    </row>
    <row r="59" ht="12.75" customHeight="1">
      <c r="A59" s="5"/>
      <c r="B59" s="5"/>
      <c r="C59" s="5"/>
      <c r="D59" s="5"/>
      <c r="E59" s="5"/>
      <c r="F59" s="5"/>
      <c r="G59" s="5"/>
      <c r="H59" s="5"/>
      <c r="I59" s="5"/>
      <c r="J59" s="5"/>
      <c r="K59" s="5"/>
      <c r="L59" s="5"/>
      <c r="M59" s="5"/>
      <c r="N59" s="5"/>
      <c r="O59" s="5"/>
      <c r="P59" s="5"/>
      <c r="Q59" s="357"/>
      <c r="R59" s="357"/>
      <c r="S59" s="357"/>
      <c r="T59" s="357"/>
      <c r="U59" s="357"/>
      <c r="V59" s="357"/>
      <c r="W59" s="357"/>
      <c r="X59" s="357"/>
      <c r="Y59" s="357"/>
      <c r="Z59" s="357"/>
    </row>
    <row r="60" ht="12.75" customHeight="1">
      <c r="A60" s="5"/>
      <c r="B60" s="5"/>
      <c r="C60" s="5"/>
      <c r="D60" s="5"/>
      <c r="E60" s="5"/>
      <c r="F60" s="5"/>
      <c r="G60" s="5"/>
      <c r="H60" s="5"/>
      <c r="I60" s="5"/>
      <c r="J60" s="5"/>
      <c r="K60" s="5"/>
      <c r="L60" s="5"/>
      <c r="M60" s="5"/>
      <c r="N60" s="5"/>
      <c r="O60" s="5"/>
      <c r="P60" s="5"/>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5"/>
      <c r="P61" s="5"/>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5"/>
      <c r="P62" s="5"/>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5"/>
      <c r="P63" s="5"/>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5"/>
      <c r="P64" s="5"/>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5"/>
      <c r="P65" s="5"/>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5"/>
      <c r="P66" s="5"/>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5"/>
      <c r="P67" s="5"/>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5"/>
      <c r="P68" s="5"/>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5"/>
      <c r="P69" s="5"/>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5"/>
      <c r="P70" s="5"/>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5"/>
      <c r="P71" s="5"/>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5"/>
      <c r="P72" s="5"/>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5"/>
      <c r="P73" s="5"/>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5"/>
      <c r="P74" s="5"/>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5"/>
      <c r="P75" s="5"/>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5"/>
      <c r="P76" s="5"/>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5"/>
      <c r="P77" s="5"/>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5"/>
      <c r="P78" s="5"/>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5"/>
      <c r="P79" s="5"/>
      <c r="Q79" s="357"/>
      <c r="R79" s="357"/>
      <c r="S79" s="357"/>
      <c r="T79" s="357"/>
      <c r="U79" s="357"/>
      <c r="V79" s="357"/>
      <c r="W79" s="357"/>
      <c r="X79" s="357"/>
      <c r="Y79" s="357"/>
      <c r="Z79" s="357"/>
    </row>
    <row r="80" ht="12.75" customHeight="1">
      <c r="A80" s="5"/>
      <c r="B80" s="5"/>
      <c r="C80" s="5"/>
      <c r="D80" s="5"/>
      <c r="E80" s="5"/>
      <c r="F80" s="5"/>
      <c r="G80" s="5"/>
      <c r="H80" s="5"/>
      <c r="I80" s="5"/>
      <c r="J80" s="5"/>
      <c r="K80" s="5"/>
      <c r="L80" s="5"/>
      <c r="M80" s="5"/>
      <c r="N80" s="5"/>
      <c r="O80" s="5"/>
      <c r="P80" s="5"/>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1">
    <mergeCell ref="G10:H10"/>
  </mergeCells>
  <conditionalFormatting sqref="M1">
    <cfRule type="expression" dxfId="2" priority="1" stopIfTrue="1">
      <formula>MOD(ROW(),2)=0</formula>
    </cfRule>
  </conditionalFormatting>
  <printOptions/>
  <pageMargins bottom="0.5" footer="0.0" header="0.0" left="0.35" right="0.25" top="0.32"/>
  <pageSetup orientation="portrait"/>
  <headerFooter>
    <oddFooter>&amp;L&amp;D  at &amp;T Mike 702.486.8879&amp;CPage &amp;P of &amp;R&amp;F  &amp;A</oddFooter>
  </headerFooter>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9"/>
    <col customWidth="1" min="2" max="2" width="2.71"/>
    <col customWidth="1" min="3" max="5" width="8.71"/>
    <col customWidth="1" min="6" max="6" width="9.0"/>
    <col customWidth="1" min="7" max="7" width="9.71"/>
    <col customWidth="1" min="8" max="8" width="9.0"/>
    <col customWidth="1" min="9" max="11" width="9.71"/>
    <col customWidth="1" min="12" max="13" width="1.71"/>
    <col customWidth="1" min="14" max="14" width="18.71"/>
    <col customWidth="1" min="15" max="15" width="22.29"/>
    <col customWidth="1" min="16" max="16" width="16.29"/>
    <col customWidth="1" min="17" max="26" width="8.71"/>
  </cols>
  <sheetData>
    <row r="1" ht="12.75" customHeight="1">
      <c r="A1" s="1685"/>
      <c r="B1" s="1685"/>
      <c r="C1" s="1685"/>
      <c r="D1" s="357"/>
      <c r="E1" s="357"/>
      <c r="F1" s="357"/>
      <c r="G1" s="357"/>
      <c r="H1" s="357"/>
      <c r="I1" s="357"/>
      <c r="J1" s="357"/>
      <c r="K1" s="357"/>
      <c r="L1" s="357"/>
      <c r="M1" s="357"/>
      <c r="N1" s="357"/>
      <c r="O1" s="357"/>
      <c r="P1" s="357"/>
      <c r="Q1" s="357"/>
      <c r="R1" s="357"/>
      <c r="S1" s="357"/>
      <c r="T1" s="357"/>
      <c r="U1" s="357"/>
      <c r="V1" s="357"/>
      <c r="W1" s="357"/>
      <c r="X1" s="357"/>
      <c r="Y1" s="357"/>
      <c r="Z1" s="357"/>
    </row>
    <row r="2" ht="12.75" customHeight="1">
      <c r="A2" s="3"/>
      <c r="B2" s="1681"/>
      <c r="C2" s="1681"/>
      <c r="D2" s="357"/>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357"/>
      <c r="C6" s="357"/>
      <c r="D6" s="357"/>
      <c r="E6" s="357"/>
      <c r="F6" s="357"/>
      <c r="G6" s="357"/>
      <c r="H6" s="357"/>
      <c r="I6" s="357"/>
      <c r="J6" s="357"/>
      <c r="K6" s="357"/>
      <c r="L6" s="5"/>
      <c r="M6" s="5"/>
      <c r="N6" s="5"/>
      <c r="O6" s="357"/>
      <c r="P6" s="357"/>
      <c r="Q6" s="357"/>
      <c r="R6" s="357"/>
      <c r="S6" s="357"/>
      <c r="T6" s="357"/>
      <c r="U6" s="357"/>
      <c r="V6" s="357"/>
      <c r="W6" s="357"/>
      <c r="X6" s="357"/>
      <c r="Y6" s="357"/>
      <c r="Z6" s="357"/>
    </row>
    <row r="7" ht="12.75" customHeight="1">
      <c r="A7" s="5"/>
      <c r="B7" s="357"/>
      <c r="C7" s="357"/>
      <c r="D7" s="357"/>
      <c r="E7" s="357"/>
      <c r="F7" s="357"/>
      <c r="G7" s="357"/>
      <c r="H7" s="357"/>
      <c r="I7" s="357"/>
      <c r="J7" s="357"/>
      <c r="K7" s="357"/>
      <c r="L7" s="5"/>
      <c r="M7" s="5"/>
      <c r="N7" s="5"/>
      <c r="O7" s="357"/>
      <c r="P7" s="357"/>
      <c r="Q7" s="357"/>
      <c r="R7" s="357"/>
      <c r="S7" s="357"/>
      <c r="T7" s="357"/>
      <c r="U7" s="357"/>
      <c r="V7" s="357"/>
      <c r="W7" s="357"/>
      <c r="X7" s="357"/>
      <c r="Y7" s="357"/>
      <c r="Z7" s="357"/>
    </row>
    <row r="8" ht="12.75" customHeight="1">
      <c r="A8" s="5"/>
      <c r="B8" s="1371" t="s">
        <v>1477</v>
      </c>
      <c r="C8" s="357"/>
      <c r="D8" s="357"/>
      <c r="E8" s="357"/>
      <c r="F8" s="357"/>
      <c r="G8" s="357"/>
      <c r="H8" s="357"/>
      <c r="I8" s="357"/>
      <c r="J8" s="357"/>
      <c r="K8" s="357"/>
      <c r="L8" s="5"/>
      <c r="M8" s="5"/>
      <c r="N8" s="5"/>
      <c r="O8" s="357"/>
      <c r="P8" s="357"/>
      <c r="Q8" s="357"/>
      <c r="R8" s="357"/>
      <c r="S8" s="357"/>
      <c r="T8" s="357"/>
      <c r="U8" s="357"/>
      <c r="V8" s="357"/>
      <c r="W8" s="357"/>
      <c r="X8" s="357"/>
      <c r="Y8" s="357"/>
      <c r="Z8" s="357"/>
    </row>
    <row r="9" ht="12.75" customHeight="1">
      <c r="A9" s="5"/>
      <c r="B9" s="357"/>
      <c r="C9" s="357"/>
      <c r="D9" s="357"/>
      <c r="E9" s="357"/>
      <c r="F9" s="357"/>
      <c r="G9" s="357"/>
      <c r="H9" s="357"/>
      <c r="I9" s="357"/>
      <c r="J9" s="357"/>
      <c r="K9" s="357"/>
      <c r="L9" s="5"/>
      <c r="M9" s="5"/>
      <c r="N9" s="5"/>
      <c r="O9" s="357"/>
      <c r="P9" s="357"/>
      <c r="Q9" s="357"/>
      <c r="R9" s="357"/>
      <c r="S9" s="357"/>
      <c r="T9" s="357"/>
      <c r="U9" s="357"/>
      <c r="V9" s="357"/>
      <c r="W9" s="357"/>
      <c r="X9" s="357"/>
      <c r="Y9" s="357"/>
      <c r="Z9" s="357"/>
    </row>
    <row r="10" ht="12.75" customHeight="1">
      <c r="A10" s="5"/>
      <c r="B10" s="357"/>
      <c r="C10" s="357"/>
      <c r="D10" s="357"/>
      <c r="E10" s="357"/>
      <c r="F10" s="1697">
        <v>1.0</v>
      </c>
      <c r="G10" s="101">
        <v>2.0</v>
      </c>
      <c r="H10" s="101">
        <v>3.0</v>
      </c>
      <c r="I10" s="101">
        <v>4.0</v>
      </c>
      <c r="J10" s="101">
        <v>5.0</v>
      </c>
      <c r="K10" s="102">
        <v>6.0</v>
      </c>
      <c r="L10" s="5"/>
      <c r="M10" s="5"/>
      <c r="N10" s="357"/>
      <c r="O10" s="357"/>
      <c r="P10" s="357"/>
      <c r="Q10" s="357"/>
      <c r="R10" s="357"/>
      <c r="S10" s="357"/>
      <c r="T10" s="357"/>
      <c r="U10" s="357"/>
      <c r="V10" s="357"/>
      <c r="W10" s="357"/>
      <c r="X10" s="357"/>
      <c r="Y10" s="357"/>
      <c r="Z10" s="357"/>
    </row>
    <row r="11" ht="12.75" customHeight="1">
      <c r="A11" s="5"/>
      <c r="B11" s="5"/>
      <c r="C11" s="5"/>
      <c r="D11" s="5"/>
      <c r="E11" s="5"/>
      <c r="F11" s="359">
        <v>2022.0</v>
      </c>
      <c r="G11" s="105">
        <v>2023.0</v>
      </c>
      <c r="H11" s="105">
        <v>2024.0</v>
      </c>
      <c r="I11" s="105">
        <v>2025.0</v>
      </c>
      <c r="J11" s="105">
        <v>2026.0</v>
      </c>
      <c r="K11" s="106">
        <v>2027.0</v>
      </c>
      <c r="L11" s="5"/>
      <c r="M11" s="5"/>
      <c r="N11" s="357"/>
      <c r="O11" s="357"/>
      <c r="P11" s="357"/>
      <c r="Q11" s="357"/>
      <c r="R11" s="357"/>
      <c r="S11" s="357"/>
      <c r="T11" s="357"/>
      <c r="U11" s="357"/>
      <c r="V11" s="357"/>
      <c r="W11" s="357"/>
      <c r="X11" s="357"/>
      <c r="Y11" s="357"/>
      <c r="Z11" s="357"/>
    </row>
    <row r="12" ht="12.75" customHeight="1">
      <c r="A12" s="5"/>
      <c r="B12" s="1698" t="s">
        <v>1478</v>
      </c>
      <c r="C12" s="5"/>
      <c r="D12" s="5"/>
      <c r="E12" s="5"/>
      <c r="F12" s="361">
        <v>2023.0</v>
      </c>
      <c r="G12" s="108">
        <v>2024.0</v>
      </c>
      <c r="H12" s="108">
        <v>2025.0</v>
      </c>
      <c r="I12" s="108">
        <v>2026.0</v>
      </c>
      <c r="J12" s="108">
        <v>2027.0</v>
      </c>
      <c r="K12" s="109">
        <v>2028.0</v>
      </c>
      <c r="L12" s="5"/>
      <c r="M12" s="5"/>
      <c r="N12" s="357"/>
      <c r="O12" s="357"/>
      <c r="P12" s="357"/>
      <c r="Q12" s="357"/>
      <c r="R12" s="357"/>
      <c r="S12" s="357"/>
      <c r="T12" s="357"/>
      <c r="U12" s="357"/>
      <c r="V12" s="357"/>
      <c r="W12" s="357"/>
      <c r="X12" s="357"/>
      <c r="Y12" s="357"/>
      <c r="Z12" s="357"/>
    </row>
    <row r="13" ht="12.75" customHeight="1">
      <c r="A13" s="5"/>
      <c r="B13" s="357" t="s">
        <v>1479</v>
      </c>
      <c r="C13" s="5"/>
      <c r="D13" s="5"/>
      <c r="E13" s="5"/>
      <c r="F13" s="5">
        <v>10.0</v>
      </c>
      <c r="G13" s="5">
        <v>16.0</v>
      </c>
      <c r="H13" s="5">
        <v>20.0</v>
      </c>
      <c r="I13" s="5">
        <v>21.0</v>
      </c>
      <c r="J13" s="5">
        <v>21.0</v>
      </c>
      <c r="K13" s="5">
        <v>21.0</v>
      </c>
      <c r="L13" s="5"/>
      <c r="M13" s="5"/>
      <c r="N13" s="357"/>
      <c r="O13" s="357"/>
      <c r="P13" s="357"/>
      <c r="Q13" s="357"/>
      <c r="R13" s="357"/>
      <c r="S13" s="357"/>
      <c r="T13" s="357"/>
      <c r="U13" s="357"/>
      <c r="V13" s="357"/>
      <c r="W13" s="357"/>
      <c r="X13" s="357"/>
      <c r="Y13" s="357"/>
      <c r="Z13" s="357"/>
    </row>
    <row r="14" ht="12.75" customHeight="1">
      <c r="A14" s="5"/>
      <c r="B14" s="357" t="s">
        <v>1480</v>
      </c>
      <c r="C14" s="5"/>
      <c r="D14" s="5"/>
      <c r="E14" s="5"/>
      <c r="F14" s="5">
        <v>10.0</v>
      </c>
      <c r="G14" s="5">
        <v>13.0</v>
      </c>
      <c r="H14" s="5">
        <v>18.0</v>
      </c>
      <c r="I14" s="5">
        <v>18.0</v>
      </c>
      <c r="J14" s="5">
        <f t="shared" ref="J14:K14" si="1">+I14</f>
        <v>18</v>
      </c>
      <c r="K14" s="5">
        <f t="shared" si="1"/>
        <v>18</v>
      </c>
      <c r="L14" s="5"/>
      <c r="M14" s="5"/>
      <c r="N14" s="357"/>
      <c r="O14" s="357"/>
      <c r="P14" s="357"/>
      <c r="Q14" s="357"/>
      <c r="R14" s="357"/>
      <c r="S14" s="357"/>
      <c r="T14" s="357"/>
      <c r="U14" s="357"/>
      <c r="V14" s="357"/>
      <c r="W14" s="357"/>
      <c r="X14" s="357"/>
      <c r="Y14" s="357"/>
      <c r="Z14" s="357"/>
    </row>
    <row r="15" ht="12.75" customHeight="1">
      <c r="A15" s="5"/>
      <c r="B15" s="5"/>
      <c r="C15" s="5" t="s">
        <v>1481</v>
      </c>
      <c r="D15" s="5"/>
      <c r="E15" s="1699">
        <v>40000.0</v>
      </c>
      <c r="F15" s="5">
        <f t="shared" ref="F15:K15" si="2">+F13-F14</f>
        <v>0</v>
      </c>
      <c r="G15" s="5">
        <f t="shared" si="2"/>
        <v>3</v>
      </c>
      <c r="H15" s="5">
        <f t="shared" si="2"/>
        <v>2</v>
      </c>
      <c r="I15" s="5">
        <f t="shared" si="2"/>
        <v>3</v>
      </c>
      <c r="J15" s="5">
        <f t="shared" si="2"/>
        <v>3</v>
      </c>
      <c r="K15" s="5">
        <f t="shared" si="2"/>
        <v>3</v>
      </c>
      <c r="L15" s="5"/>
      <c r="M15" s="5"/>
      <c r="N15" s="5"/>
      <c r="O15" s="357"/>
      <c r="P15" s="357"/>
      <c r="Q15" s="357"/>
      <c r="R15" s="357"/>
      <c r="S15" s="357"/>
      <c r="T15" s="357"/>
      <c r="U15" s="357"/>
      <c r="V15" s="357"/>
      <c r="W15" s="357"/>
      <c r="X15" s="357"/>
      <c r="Y15" s="357"/>
      <c r="Z15" s="357"/>
    </row>
    <row r="16" ht="12.75" customHeight="1">
      <c r="A16" s="5"/>
      <c r="B16" s="5"/>
      <c r="C16" s="1700" t="s">
        <v>1482</v>
      </c>
      <c r="D16" s="5"/>
      <c r="E16" s="5"/>
      <c r="F16" s="1701">
        <f t="shared" ref="F16:K16" si="3">+F15*$E$15</f>
        <v>0</v>
      </c>
      <c r="G16" s="1701">
        <f t="shared" si="3"/>
        <v>120000</v>
      </c>
      <c r="H16" s="1701">
        <f t="shared" si="3"/>
        <v>80000</v>
      </c>
      <c r="I16" s="1701">
        <f t="shared" si="3"/>
        <v>120000</v>
      </c>
      <c r="J16" s="1701">
        <f t="shared" si="3"/>
        <v>120000</v>
      </c>
      <c r="K16" s="1701">
        <f t="shared" si="3"/>
        <v>120000</v>
      </c>
      <c r="L16" s="5"/>
      <c r="M16" s="5"/>
      <c r="N16" s="5"/>
      <c r="O16" s="357"/>
      <c r="P16" s="357"/>
      <c r="Q16" s="357"/>
      <c r="R16" s="357"/>
      <c r="S16" s="357"/>
      <c r="T16" s="357"/>
      <c r="U16" s="357"/>
      <c r="V16" s="357"/>
      <c r="W16" s="357"/>
      <c r="X16" s="357"/>
      <c r="Y16" s="357"/>
      <c r="Z16" s="357"/>
    </row>
    <row r="17" ht="12.75" customHeight="1">
      <c r="A17" s="5"/>
      <c r="B17" s="5"/>
      <c r="C17" s="5"/>
      <c r="D17" s="5"/>
      <c r="E17" s="5"/>
      <c r="F17" s="5"/>
      <c r="G17" s="5"/>
      <c r="H17" s="5"/>
      <c r="I17" s="5"/>
      <c r="J17" s="5"/>
      <c r="K17" s="5"/>
      <c r="L17" s="5"/>
      <c r="M17" s="5"/>
      <c r="N17" s="357"/>
      <c r="O17" s="357"/>
      <c r="P17" s="357"/>
      <c r="Q17" s="357"/>
      <c r="R17" s="357"/>
      <c r="S17" s="357"/>
      <c r="T17" s="357"/>
      <c r="U17" s="357"/>
      <c r="V17" s="357"/>
      <c r="W17" s="357"/>
      <c r="X17" s="357"/>
      <c r="Y17" s="357"/>
      <c r="Z17" s="357"/>
    </row>
    <row r="18" ht="12.75" customHeight="1">
      <c r="A18" s="5"/>
      <c r="B18" s="5"/>
      <c r="C18" s="5"/>
      <c r="D18" s="5"/>
      <c r="E18" s="5"/>
      <c r="F18" s="5"/>
      <c r="G18" s="5"/>
      <c r="H18" s="5"/>
      <c r="I18" s="5"/>
      <c r="J18" s="5"/>
      <c r="K18" s="5"/>
      <c r="L18" s="5"/>
      <c r="M18" s="5"/>
      <c r="N18" s="1525" t="s">
        <v>1285</v>
      </c>
      <c r="O18" s="1525" t="s">
        <v>1286</v>
      </c>
      <c r="P18" s="1525" t="s">
        <v>1287</v>
      </c>
      <c r="Q18" s="357"/>
      <c r="R18" s="357"/>
      <c r="S18" s="357"/>
      <c r="T18" s="357"/>
      <c r="U18" s="357"/>
      <c r="V18" s="357"/>
      <c r="W18" s="357"/>
      <c r="X18" s="357"/>
      <c r="Y18" s="357"/>
      <c r="Z18" s="357"/>
    </row>
    <row r="19" ht="12.75" customHeight="1">
      <c r="A19" s="5"/>
      <c r="B19" s="5"/>
      <c r="C19" s="5"/>
      <c r="D19" s="5"/>
      <c r="E19" s="5"/>
      <c r="F19" s="5"/>
      <c r="G19" s="5"/>
      <c r="H19" s="5"/>
      <c r="I19" s="5"/>
      <c r="J19" s="5"/>
      <c r="K19" s="5"/>
      <c r="L19" s="5"/>
      <c r="M19" s="5"/>
      <c r="N19" s="1525" t="s">
        <v>513</v>
      </c>
      <c r="O19" s="1525" t="s">
        <v>1288</v>
      </c>
      <c r="P19" s="1525" t="s">
        <v>1289</v>
      </c>
      <c r="Q19" s="357"/>
      <c r="R19" s="357"/>
      <c r="S19" s="357"/>
      <c r="T19" s="357"/>
      <c r="U19" s="357"/>
      <c r="V19" s="357"/>
      <c r="W19" s="357"/>
      <c r="X19" s="357"/>
      <c r="Y19" s="357"/>
      <c r="Z19" s="357"/>
    </row>
    <row r="20" ht="12.75" customHeight="1">
      <c r="A20" s="5"/>
      <c r="B20" s="5"/>
      <c r="C20" s="5"/>
      <c r="D20" s="5"/>
      <c r="E20" s="5"/>
      <c r="F20" s="5"/>
      <c r="G20" s="5"/>
      <c r="H20" s="5"/>
      <c r="I20" s="5"/>
      <c r="J20" s="5"/>
      <c r="K20" s="5"/>
      <c r="L20" s="5"/>
      <c r="M20" s="5"/>
      <c r="N20" s="1525" t="s">
        <v>166</v>
      </c>
      <c r="O20" s="1525" t="s">
        <v>1290</v>
      </c>
      <c r="P20" s="1525" t="s">
        <v>1291</v>
      </c>
      <c r="Q20" s="357"/>
      <c r="R20" s="357"/>
      <c r="S20" s="357"/>
      <c r="T20" s="357"/>
      <c r="U20" s="357"/>
      <c r="V20" s="357"/>
      <c r="W20" s="357"/>
      <c r="X20" s="357"/>
      <c r="Y20" s="357"/>
      <c r="Z20" s="357"/>
    </row>
    <row r="21" ht="12.75" customHeight="1">
      <c r="A21" s="5"/>
      <c r="B21" s="5"/>
      <c r="C21" s="5"/>
      <c r="D21" s="5"/>
      <c r="E21" s="5"/>
      <c r="F21" s="5"/>
      <c r="G21" s="5"/>
      <c r="H21" s="5"/>
      <c r="I21" s="5"/>
      <c r="J21" s="5"/>
      <c r="K21" s="5"/>
      <c r="L21" s="5"/>
      <c r="M21" s="5"/>
      <c r="N21" s="1525" t="s">
        <v>517</v>
      </c>
      <c r="O21" s="1525" t="s">
        <v>1292</v>
      </c>
      <c r="P21" s="1525" t="s">
        <v>1291</v>
      </c>
      <c r="Q21" s="357"/>
      <c r="R21" s="357"/>
      <c r="S21" s="357"/>
      <c r="T21" s="357"/>
      <c r="U21" s="357"/>
      <c r="V21" s="357"/>
      <c r="W21" s="357"/>
      <c r="X21" s="357"/>
      <c r="Y21" s="357"/>
      <c r="Z21" s="357"/>
    </row>
    <row r="22" ht="12.75" customHeight="1">
      <c r="A22" s="5"/>
      <c r="B22" s="5"/>
      <c r="C22" s="5"/>
      <c r="D22" s="5"/>
      <c r="E22" s="357"/>
      <c r="F22" s="357"/>
      <c r="G22" s="357"/>
      <c r="H22" s="5"/>
      <c r="I22" s="5"/>
      <c r="J22" s="5"/>
      <c r="K22" s="5"/>
      <c r="L22" s="5"/>
      <c r="M22" s="5"/>
      <c r="N22" s="1525" t="s">
        <v>1293</v>
      </c>
      <c r="O22" s="1525" t="s">
        <v>1294</v>
      </c>
      <c r="P22" s="1525" t="s">
        <v>1295</v>
      </c>
      <c r="Q22" s="357"/>
      <c r="R22" s="357"/>
      <c r="S22" s="357"/>
      <c r="T22" s="357"/>
      <c r="U22" s="357"/>
      <c r="V22" s="357"/>
      <c r="W22" s="357"/>
      <c r="X22" s="357"/>
      <c r="Y22" s="357"/>
      <c r="Z22" s="357"/>
    </row>
    <row r="23" ht="12.75" customHeight="1">
      <c r="A23" s="5"/>
      <c r="B23" s="5"/>
      <c r="C23" s="5"/>
      <c r="D23" s="5"/>
      <c r="E23" s="357"/>
      <c r="F23" s="357"/>
      <c r="G23" s="357"/>
      <c r="H23" s="5"/>
      <c r="I23" s="5"/>
      <c r="J23" s="5"/>
      <c r="K23" s="5"/>
      <c r="L23" s="5"/>
      <c r="M23" s="5"/>
      <c r="N23" s="5"/>
      <c r="O23" s="357"/>
      <c r="P23" s="357"/>
      <c r="Q23" s="357"/>
      <c r="R23" s="357"/>
      <c r="S23" s="357"/>
      <c r="T23" s="357"/>
      <c r="U23" s="357"/>
      <c r="V23" s="357"/>
      <c r="W23" s="357"/>
      <c r="X23" s="357"/>
      <c r="Y23" s="357"/>
      <c r="Z23" s="357"/>
    </row>
    <row r="24" ht="12.75" customHeight="1">
      <c r="A24" s="5"/>
      <c r="B24" s="5"/>
      <c r="C24" s="5"/>
      <c r="D24" s="5"/>
      <c r="E24" s="357"/>
      <c r="F24" s="357"/>
      <c r="G24" s="357"/>
      <c r="H24" s="5"/>
      <c r="I24" s="5"/>
      <c r="J24" s="5"/>
      <c r="K24" s="5"/>
      <c r="L24" s="5"/>
      <c r="M24" s="5"/>
      <c r="N24" s="5"/>
      <c r="O24" s="357"/>
      <c r="P24" s="357"/>
      <c r="Q24" s="357"/>
      <c r="R24" s="357"/>
      <c r="S24" s="357"/>
      <c r="T24" s="357"/>
      <c r="U24" s="357"/>
      <c r="V24" s="357"/>
      <c r="W24" s="357"/>
      <c r="X24" s="357"/>
      <c r="Y24" s="357"/>
      <c r="Z24" s="357"/>
    </row>
    <row r="25" ht="12.75" customHeight="1">
      <c r="A25" s="5"/>
      <c r="B25" s="5"/>
      <c r="C25" s="5"/>
      <c r="D25" s="5"/>
      <c r="E25" s="357"/>
      <c r="F25" s="357"/>
      <c r="G25" s="357"/>
      <c r="H25" s="5"/>
      <c r="I25" s="5"/>
      <c r="J25" s="5"/>
      <c r="K25" s="5"/>
      <c r="L25" s="5"/>
      <c r="M25" s="5"/>
      <c r="N25" s="5"/>
      <c r="O25" s="357"/>
      <c r="P25" s="357"/>
      <c r="Q25" s="357"/>
      <c r="R25" s="357"/>
      <c r="S25" s="357"/>
      <c r="T25" s="357"/>
      <c r="U25" s="357"/>
      <c r="V25" s="357"/>
      <c r="W25" s="357"/>
      <c r="X25" s="357"/>
      <c r="Y25" s="357"/>
      <c r="Z25" s="357"/>
    </row>
    <row r="26" ht="12.75" customHeight="1">
      <c r="A26" s="5"/>
      <c r="B26" s="5"/>
      <c r="C26" s="5"/>
      <c r="D26" s="5"/>
      <c r="E26" s="357"/>
      <c r="F26" s="357"/>
      <c r="G26" s="357"/>
      <c r="H26" s="5"/>
      <c r="I26" s="5"/>
      <c r="J26" s="5"/>
      <c r="K26" s="5"/>
      <c r="L26" s="5"/>
      <c r="M26" s="5"/>
      <c r="N26" s="5"/>
      <c r="O26" s="357"/>
      <c r="P26" s="357"/>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357"/>
      <c r="P27" s="357"/>
      <c r="Q27" s="357"/>
      <c r="R27" s="357"/>
      <c r="S27" s="357"/>
      <c r="T27" s="357"/>
      <c r="U27" s="357"/>
      <c r="V27" s="357"/>
      <c r="W27" s="357"/>
      <c r="X27" s="357"/>
      <c r="Y27" s="357"/>
      <c r="Z27" s="357"/>
    </row>
    <row r="28" ht="12.75" customHeight="1">
      <c r="A28" s="5"/>
      <c r="B28" s="5"/>
      <c r="C28" s="5"/>
      <c r="D28" s="5"/>
      <c r="E28" s="5"/>
      <c r="F28" s="5"/>
      <c r="G28" s="5"/>
      <c r="H28" s="5"/>
      <c r="I28" s="5"/>
      <c r="J28" s="5"/>
      <c r="K28" s="5"/>
      <c r="L28" s="5"/>
      <c r="M28" s="5"/>
      <c r="N28" s="5"/>
      <c r="O28" s="357"/>
      <c r="P28" s="357"/>
      <c r="Q28" s="357"/>
      <c r="R28" s="357"/>
      <c r="S28" s="357"/>
      <c r="T28" s="357"/>
      <c r="U28" s="357"/>
      <c r="V28" s="357"/>
      <c r="W28" s="357"/>
      <c r="X28" s="357"/>
      <c r="Y28" s="357"/>
      <c r="Z28" s="357"/>
    </row>
    <row r="29" ht="12.75" customHeight="1">
      <c r="A29" s="5"/>
      <c r="B29" s="5"/>
      <c r="C29" s="5"/>
      <c r="D29" s="5"/>
      <c r="E29" s="5"/>
      <c r="F29" s="5"/>
      <c r="G29" s="5"/>
      <c r="H29" s="5"/>
      <c r="I29" s="5"/>
      <c r="J29" s="5"/>
      <c r="K29" s="5"/>
      <c r="L29" s="5"/>
      <c r="M29" s="5"/>
      <c r="N29" s="5"/>
      <c r="O29" s="357"/>
      <c r="P29" s="357"/>
      <c r="Q29" s="357"/>
      <c r="R29" s="357"/>
      <c r="S29" s="357"/>
      <c r="T29" s="357"/>
      <c r="U29" s="357"/>
      <c r="V29" s="357"/>
      <c r="W29" s="357"/>
      <c r="X29" s="357"/>
      <c r="Y29" s="357"/>
      <c r="Z29" s="357"/>
    </row>
    <row r="30" ht="12.75" customHeight="1">
      <c r="A30" s="5"/>
      <c r="B30" s="5"/>
      <c r="C30" s="5"/>
      <c r="D30" s="5"/>
      <c r="E30" s="5"/>
      <c r="F30" s="5"/>
      <c r="G30" s="5"/>
      <c r="H30" s="5"/>
      <c r="I30" s="5"/>
      <c r="J30" s="5"/>
      <c r="K30" s="5"/>
      <c r="L30" s="5"/>
      <c r="M30" s="5"/>
      <c r="N30" s="5"/>
      <c r="O30" s="357"/>
      <c r="P30" s="357"/>
      <c r="Q30" s="357"/>
      <c r="R30" s="357"/>
      <c r="S30" s="357"/>
      <c r="T30" s="357"/>
      <c r="U30" s="357"/>
      <c r="V30" s="357"/>
      <c r="W30" s="357"/>
      <c r="X30" s="357"/>
      <c r="Y30" s="357"/>
      <c r="Z30" s="357"/>
    </row>
    <row r="31" ht="12.75" customHeight="1">
      <c r="A31" s="5"/>
      <c r="B31" s="5"/>
      <c r="C31" s="5"/>
      <c r="D31" s="5"/>
      <c r="E31" s="5"/>
      <c r="F31" s="5"/>
      <c r="G31" s="5"/>
      <c r="H31" s="5"/>
      <c r="I31" s="5"/>
      <c r="J31" s="5"/>
      <c r="K31" s="5"/>
      <c r="L31" s="5"/>
      <c r="M31" s="5"/>
      <c r="N31" s="5"/>
      <c r="O31" s="357"/>
      <c r="P31" s="357"/>
      <c r="Q31" s="357"/>
      <c r="R31" s="357"/>
      <c r="S31" s="357"/>
      <c r="T31" s="357"/>
      <c r="U31" s="357"/>
      <c r="V31" s="357"/>
      <c r="W31" s="357"/>
      <c r="X31" s="357"/>
      <c r="Y31" s="357"/>
      <c r="Z31" s="357"/>
    </row>
    <row r="32" ht="12.75" customHeight="1">
      <c r="A32" s="5"/>
      <c r="B32" s="5"/>
      <c r="C32" s="5"/>
      <c r="D32" s="5"/>
      <c r="E32" s="5"/>
      <c r="F32" s="5"/>
      <c r="G32" s="5"/>
      <c r="H32" s="5"/>
      <c r="I32" s="5"/>
      <c r="J32" s="5"/>
      <c r="K32" s="5"/>
      <c r="L32" s="5"/>
      <c r="M32" s="5"/>
      <c r="N32" s="5"/>
      <c r="O32" s="357"/>
      <c r="P32" s="357"/>
      <c r="Q32" s="357"/>
      <c r="R32" s="357"/>
      <c r="S32" s="357"/>
      <c r="T32" s="357"/>
      <c r="U32" s="357"/>
      <c r="V32" s="357"/>
      <c r="W32" s="357"/>
      <c r="X32" s="357"/>
      <c r="Y32" s="357"/>
      <c r="Z32" s="357"/>
    </row>
    <row r="33" ht="12.75" customHeight="1">
      <c r="A33" s="5"/>
      <c r="B33" s="5"/>
      <c r="C33" s="5"/>
      <c r="D33" s="5"/>
      <c r="E33" s="5"/>
      <c r="F33" s="5"/>
      <c r="G33" s="5"/>
      <c r="H33" s="5"/>
      <c r="I33" s="5"/>
      <c r="J33" s="5"/>
      <c r="K33" s="5"/>
      <c r="L33" s="5"/>
      <c r="M33" s="5"/>
      <c r="N33" s="5"/>
      <c r="O33" s="357"/>
      <c r="P33" s="357"/>
      <c r="Q33" s="357"/>
      <c r="R33" s="357"/>
      <c r="S33" s="357"/>
      <c r="T33" s="357"/>
      <c r="U33" s="357"/>
      <c r="V33" s="357"/>
      <c r="W33" s="357"/>
      <c r="X33" s="357"/>
      <c r="Y33" s="357"/>
      <c r="Z33" s="357"/>
    </row>
    <row r="34" ht="12.75" customHeight="1">
      <c r="A34" s="5"/>
      <c r="B34" s="5"/>
      <c r="C34" s="5"/>
      <c r="D34" s="5"/>
      <c r="E34" s="5"/>
      <c r="F34" s="5"/>
      <c r="G34" s="5"/>
      <c r="H34" s="5"/>
      <c r="I34" s="5"/>
      <c r="J34" s="5"/>
      <c r="K34" s="5"/>
      <c r="L34" s="5"/>
      <c r="M34" s="5"/>
      <c r="N34" s="5"/>
      <c r="O34" s="357"/>
      <c r="P34" s="357"/>
      <c r="Q34" s="357"/>
      <c r="R34" s="357"/>
      <c r="S34" s="357"/>
      <c r="T34" s="357"/>
      <c r="U34" s="357"/>
      <c r="V34" s="357"/>
      <c r="W34" s="357"/>
      <c r="X34" s="357"/>
      <c r="Y34" s="357"/>
      <c r="Z34" s="357"/>
    </row>
    <row r="35" ht="12.75" customHeight="1">
      <c r="A35" s="5"/>
      <c r="B35" s="5"/>
      <c r="C35" s="5"/>
      <c r="D35" s="5"/>
      <c r="E35" s="5"/>
      <c r="F35" s="5"/>
      <c r="G35" s="5"/>
      <c r="H35" s="5"/>
      <c r="I35" s="5"/>
      <c r="J35" s="5"/>
      <c r="K35" s="5"/>
      <c r="L35" s="5"/>
      <c r="M35" s="5"/>
      <c r="N35" s="5"/>
      <c r="O35" s="357"/>
      <c r="P35" s="357"/>
      <c r="Q35" s="357"/>
      <c r="R35" s="357"/>
      <c r="S35" s="357"/>
      <c r="T35" s="357"/>
      <c r="U35" s="357"/>
      <c r="V35" s="357"/>
      <c r="W35" s="357"/>
      <c r="X35" s="357"/>
      <c r="Y35" s="357"/>
      <c r="Z35" s="357"/>
    </row>
    <row r="36" ht="12.75" customHeight="1">
      <c r="A36" s="5"/>
      <c r="B36" s="5"/>
      <c r="C36" s="5"/>
      <c r="D36" s="5"/>
      <c r="E36" s="5"/>
      <c r="F36" s="5"/>
      <c r="G36" s="5"/>
      <c r="H36" s="5"/>
      <c r="I36" s="5"/>
      <c r="J36" s="5"/>
      <c r="K36" s="5"/>
      <c r="L36" s="5"/>
      <c r="M36" s="5"/>
      <c r="N36" s="5"/>
      <c r="O36" s="357"/>
      <c r="P36" s="357"/>
      <c r="Q36" s="357"/>
      <c r="R36" s="357"/>
      <c r="S36" s="357"/>
      <c r="T36" s="357"/>
      <c r="U36" s="357"/>
      <c r="V36" s="357"/>
      <c r="W36" s="357"/>
      <c r="X36" s="357"/>
      <c r="Y36" s="357"/>
      <c r="Z36" s="357"/>
    </row>
    <row r="37" ht="12.75" customHeight="1">
      <c r="A37" s="5"/>
      <c r="B37" s="5"/>
      <c r="C37" s="5"/>
      <c r="D37" s="5"/>
      <c r="E37" s="5"/>
      <c r="F37" s="5"/>
      <c r="G37" s="5"/>
      <c r="H37" s="5"/>
      <c r="I37" s="5"/>
      <c r="J37" s="5"/>
      <c r="K37" s="5"/>
      <c r="L37" s="5"/>
      <c r="M37" s="5"/>
      <c r="N37" s="5"/>
      <c r="O37" s="357"/>
      <c r="P37" s="357"/>
      <c r="Q37" s="357"/>
      <c r="R37" s="357"/>
      <c r="S37" s="357"/>
      <c r="T37" s="357"/>
      <c r="U37" s="357"/>
      <c r="V37" s="357"/>
      <c r="W37" s="357"/>
      <c r="X37" s="357"/>
      <c r="Y37" s="357"/>
      <c r="Z37" s="357"/>
    </row>
    <row r="38" ht="12.75" customHeight="1">
      <c r="A38" s="5"/>
      <c r="B38" s="5"/>
      <c r="C38" s="5"/>
      <c r="D38" s="5"/>
      <c r="E38" s="5"/>
      <c r="F38" s="5"/>
      <c r="G38" s="5"/>
      <c r="H38" s="5"/>
      <c r="I38" s="5"/>
      <c r="J38" s="5"/>
      <c r="K38" s="5"/>
      <c r="L38" s="5"/>
      <c r="M38" s="5"/>
      <c r="N38" s="5"/>
      <c r="O38" s="357"/>
      <c r="P38" s="357"/>
      <c r="Q38" s="357"/>
      <c r="R38" s="357"/>
      <c r="S38" s="357"/>
      <c r="T38" s="357"/>
      <c r="U38" s="357"/>
      <c r="V38" s="357"/>
      <c r="W38" s="357"/>
      <c r="X38" s="357"/>
      <c r="Y38" s="357"/>
      <c r="Z38" s="357"/>
    </row>
    <row r="39" ht="12.75" customHeight="1">
      <c r="A39" s="5"/>
      <c r="B39" s="5"/>
      <c r="C39" s="5"/>
      <c r="D39" s="5"/>
      <c r="E39" s="5"/>
      <c r="F39" s="5"/>
      <c r="G39" s="5"/>
      <c r="H39" s="5"/>
      <c r="I39" s="5"/>
      <c r="J39" s="5"/>
      <c r="K39" s="5"/>
      <c r="L39" s="5"/>
      <c r="M39" s="5"/>
      <c r="N39" s="5"/>
      <c r="O39" s="357"/>
      <c r="P39" s="357"/>
      <c r="Q39" s="357"/>
      <c r="R39" s="357"/>
      <c r="S39" s="357"/>
      <c r="T39" s="357"/>
      <c r="U39" s="357"/>
      <c r="V39" s="357"/>
      <c r="W39" s="357"/>
      <c r="X39" s="357"/>
      <c r="Y39" s="357"/>
      <c r="Z39" s="357"/>
    </row>
    <row r="40" ht="12.75" customHeight="1">
      <c r="A40" s="5"/>
      <c r="B40" s="5"/>
      <c r="C40" s="5"/>
      <c r="D40" s="5"/>
      <c r="E40" s="5"/>
      <c r="F40" s="5"/>
      <c r="G40" s="5"/>
      <c r="H40" s="5"/>
      <c r="I40" s="5"/>
      <c r="J40" s="5"/>
      <c r="K40" s="5"/>
      <c r="L40" s="5"/>
      <c r="M40" s="5"/>
      <c r="N40" s="5"/>
      <c r="O40" s="357"/>
      <c r="P40" s="357"/>
      <c r="Q40" s="357"/>
      <c r="R40" s="357"/>
      <c r="S40" s="357"/>
      <c r="T40" s="357"/>
      <c r="U40" s="357"/>
      <c r="V40" s="357"/>
      <c r="W40" s="357"/>
      <c r="X40" s="357"/>
      <c r="Y40" s="357"/>
      <c r="Z40" s="357"/>
    </row>
    <row r="41" ht="12.75" customHeight="1">
      <c r="A41" s="5"/>
      <c r="B41" s="5"/>
      <c r="C41" s="5"/>
      <c r="D41" s="5"/>
      <c r="E41" s="5"/>
      <c r="F41" s="5"/>
      <c r="G41" s="5"/>
      <c r="H41" s="5"/>
      <c r="I41" s="5"/>
      <c r="J41" s="5"/>
      <c r="K41" s="5"/>
      <c r="L41" s="5"/>
      <c r="M41" s="5"/>
      <c r="N41" s="5"/>
      <c r="O41" s="357"/>
      <c r="P41" s="357"/>
      <c r="Q41" s="357"/>
      <c r="R41" s="357"/>
      <c r="S41" s="357"/>
      <c r="T41" s="357"/>
      <c r="U41" s="357"/>
      <c r="V41" s="357"/>
      <c r="W41" s="357"/>
      <c r="X41" s="357"/>
      <c r="Y41" s="357"/>
      <c r="Z41" s="357"/>
    </row>
    <row r="42" ht="12.75" customHeight="1">
      <c r="A42" s="5"/>
      <c r="B42" s="5"/>
      <c r="C42" s="5"/>
      <c r="D42" s="5"/>
      <c r="E42" s="5"/>
      <c r="F42" s="5"/>
      <c r="G42" s="5"/>
      <c r="H42" s="5"/>
      <c r="I42" s="5"/>
      <c r="J42" s="5"/>
      <c r="K42" s="5"/>
      <c r="L42" s="5"/>
      <c r="M42" s="5"/>
      <c r="N42" s="5"/>
      <c r="O42" s="357"/>
      <c r="P42" s="357"/>
      <c r="Q42" s="357"/>
      <c r="R42" s="357"/>
      <c r="S42" s="357"/>
      <c r="T42" s="357"/>
      <c r="U42" s="357"/>
      <c r="V42" s="357"/>
      <c r="W42" s="357"/>
      <c r="X42" s="357"/>
      <c r="Y42" s="357"/>
      <c r="Z42" s="357"/>
    </row>
    <row r="43" ht="12.75" customHeight="1">
      <c r="A43" s="5"/>
      <c r="B43" s="5"/>
      <c r="C43" s="5"/>
      <c r="D43" s="5"/>
      <c r="E43" s="5"/>
      <c r="F43" s="5"/>
      <c r="G43" s="5"/>
      <c r="H43" s="5"/>
      <c r="I43" s="5"/>
      <c r="J43" s="5"/>
      <c r="K43" s="5"/>
      <c r="L43" s="5"/>
      <c r="M43" s="5"/>
      <c r="N43" s="5"/>
      <c r="O43" s="357"/>
      <c r="P43" s="357"/>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357"/>
      <c r="P44" s="357"/>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357"/>
      <c r="P45" s="357"/>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357"/>
      <c r="P46" s="357"/>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357"/>
      <c r="P47" s="357"/>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357"/>
      <c r="P48" s="357"/>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357"/>
      <c r="P49" s="357"/>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357"/>
      <c r="P50" s="357"/>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357"/>
      <c r="P51" s="357"/>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357"/>
      <c r="P52" s="357"/>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357"/>
      <c r="P53" s="357"/>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357"/>
      <c r="P54" s="357"/>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357"/>
      <c r="P55" s="357"/>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357"/>
      <c r="P56" s="357"/>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357"/>
      <c r="P57" s="357"/>
      <c r="Q57" s="357"/>
      <c r="R57" s="357"/>
      <c r="S57" s="357"/>
      <c r="T57" s="357"/>
      <c r="U57" s="357"/>
      <c r="V57" s="357"/>
      <c r="W57" s="357"/>
      <c r="X57" s="357"/>
      <c r="Y57" s="357"/>
      <c r="Z57" s="357"/>
    </row>
    <row r="58" ht="12.75" customHeight="1">
      <c r="A58" s="5"/>
      <c r="B58" s="5"/>
      <c r="C58" s="5"/>
      <c r="D58" s="5"/>
      <c r="E58" s="5"/>
      <c r="F58" s="5"/>
      <c r="G58" s="5"/>
      <c r="H58" s="5"/>
      <c r="I58" s="5"/>
      <c r="J58" s="5"/>
      <c r="K58" s="5"/>
      <c r="L58" s="5"/>
      <c r="M58" s="5"/>
      <c r="N58" s="5"/>
      <c r="O58" s="357"/>
      <c r="P58" s="357"/>
      <c r="Q58" s="357"/>
      <c r="R58" s="357"/>
      <c r="S58" s="357"/>
      <c r="T58" s="357"/>
      <c r="U58" s="357"/>
      <c r="V58" s="357"/>
      <c r="W58" s="357"/>
      <c r="X58" s="357"/>
      <c r="Y58" s="357"/>
      <c r="Z58" s="357"/>
    </row>
    <row r="59" ht="12.75" customHeight="1">
      <c r="A59" s="5"/>
      <c r="B59" s="5"/>
      <c r="C59" s="5"/>
      <c r="D59" s="5"/>
      <c r="E59" s="5"/>
      <c r="F59" s="5"/>
      <c r="G59" s="5"/>
      <c r="H59" s="5"/>
      <c r="I59" s="5"/>
      <c r="J59" s="5"/>
      <c r="K59" s="5"/>
      <c r="L59" s="5"/>
      <c r="M59" s="5"/>
      <c r="N59" s="5"/>
      <c r="O59" s="357"/>
      <c r="P59" s="357"/>
      <c r="Q59" s="357"/>
      <c r="R59" s="357"/>
      <c r="S59" s="357"/>
      <c r="T59" s="357"/>
      <c r="U59" s="357"/>
      <c r="V59" s="357"/>
      <c r="W59" s="357"/>
      <c r="X59" s="357"/>
      <c r="Y59" s="357"/>
      <c r="Z59" s="357"/>
    </row>
    <row r="60" ht="12.75" customHeight="1">
      <c r="A60" s="5"/>
      <c r="B60" s="5"/>
      <c r="C60" s="5"/>
      <c r="D60" s="5"/>
      <c r="E60" s="5"/>
      <c r="F60" s="5"/>
      <c r="G60" s="5"/>
      <c r="H60" s="5"/>
      <c r="I60" s="5"/>
      <c r="J60" s="5"/>
      <c r="K60" s="5"/>
      <c r="L60" s="5"/>
      <c r="M60" s="5"/>
      <c r="N60" s="5"/>
      <c r="O60" s="357"/>
      <c r="P60" s="357"/>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357"/>
      <c r="P61" s="357"/>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357"/>
      <c r="P62" s="357"/>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357"/>
      <c r="P63" s="357"/>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357"/>
      <c r="P64" s="357"/>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357"/>
      <c r="P65" s="357"/>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357"/>
      <c r="P66" s="357"/>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357"/>
      <c r="P67" s="357"/>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357"/>
      <c r="P68" s="357"/>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357"/>
      <c r="P69" s="357"/>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357"/>
      <c r="P70" s="357"/>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357"/>
      <c r="P71" s="357"/>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357"/>
      <c r="P72" s="357"/>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357"/>
      <c r="P73" s="357"/>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357"/>
      <c r="P74" s="357"/>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357"/>
      <c r="P75" s="357"/>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357"/>
      <c r="P76" s="357"/>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357"/>
      <c r="P77" s="357"/>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357"/>
      <c r="P78" s="357"/>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357"/>
      <c r="P79" s="357"/>
      <c r="Q79" s="357"/>
      <c r="R79" s="357"/>
      <c r="S79" s="357"/>
      <c r="T79" s="357"/>
      <c r="U79" s="357"/>
      <c r="V79" s="357"/>
      <c r="W79" s="357"/>
      <c r="X79" s="357"/>
      <c r="Y79" s="357"/>
      <c r="Z79" s="357"/>
    </row>
    <row r="80" ht="12.75" customHeight="1">
      <c r="A80" s="5"/>
      <c r="B80" s="5"/>
      <c r="C80" s="5"/>
      <c r="D80" s="5"/>
      <c r="E80" s="5"/>
      <c r="F80" s="5"/>
      <c r="G80" s="5"/>
      <c r="H80" s="5"/>
      <c r="I80" s="5"/>
      <c r="J80" s="5"/>
      <c r="K80" s="5"/>
      <c r="L80" s="5"/>
      <c r="M80" s="5"/>
      <c r="N80" s="5"/>
      <c r="O80" s="357"/>
      <c r="P80" s="357"/>
      <c r="Q80" s="357"/>
      <c r="R80" s="357"/>
      <c r="S80" s="357"/>
      <c r="T80" s="357"/>
      <c r="U80" s="357"/>
      <c r="V80" s="357"/>
      <c r="W80" s="357"/>
      <c r="X80" s="357"/>
      <c r="Y80" s="357"/>
      <c r="Z80" s="357"/>
    </row>
    <row r="81" ht="12.75" customHeight="1">
      <c r="A81" s="5"/>
      <c r="B81" s="5"/>
      <c r="C81" s="5"/>
      <c r="D81" s="5"/>
      <c r="E81" s="5"/>
      <c r="F81" s="5"/>
      <c r="G81" s="5"/>
      <c r="H81" s="5"/>
      <c r="I81" s="5"/>
      <c r="J81" s="5"/>
      <c r="K81" s="5"/>
      <c r="L81" s="5"/>
      <c r="M81" s="5"/>
      <c r="N81" s="5"/>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printOptions/>
  <pageMargins bottom="0.5" footer="0.0" header="0.0" left="0.35" right="0.25" top="0.32"/>
  <pageSetup orientation="portrait"/>
  <headerFooter>
    <oddFooter>&amp;L&amp;D  at &amp;T Mike 702.486.8879&amp;CPage &amp;P of &amp;R&amp;F  &amp;A</oddFooter>
  </headerFooter>
  <colBreaks count="1" manualBreakCount="1">
    <brk id="12" man="1"/>
  </colBreak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27.71"/>
    <col customWidth="1" min="2" max="2" width="13.43"/>
    <col customWidth="1" min="3" max="3" width="11.43"/>
    <col customWidth="1" min="4" max="9" width="14.43"/>
    <col customWidth="1" min="10" max="26" width="8.86"/>
  </cols>
  <sheetData>
    <row r="1">
      <c r="A1" s="2" t="s">
        <v>1483</v>
      </c>
      <c r="I1" s="69" t="s">
        <v>3</v>
      </c>
    </row>
    <row r="2">
      <c r="A2" s="3" t="str">
        <f>SchoolName</f>
        <v>Explore Knowledge Academy</v>
      </c>
    </row>
    <row r="3">
      <c r="A3" s="4" t="s">
        <v>2</v>
      </c>
    </row>
    <row r="4">
      <c r="A4" s="6" t="str">
        <f>CELL("filename")</f>
        <v>#N/A</v>
      </c>
    </row>
    <row r="5">
      <c r="A5" s="30"/>
      <c r="B5" s="30"/>
      <c r="C5" s="99"/>
      <c r="D5" s="63"/>
      <c r="E5" s="30"/>
      <c r="F5" s="30"/>
      <c r="G5" s="30"/>
      <c r="H5" s="30"/>
      <c r="I5" s="30"/>
    </row>
    <row r="6">
      <c r="A6" s="30"/>
      <c r="B6" s="30"/>
      <c r="C6" s="1702">
        <f>' Enrol &amp; Rev'!F9</f>
        <v>0</v>
      </c>
      <c r="D6" s="1703">
        <f>' Enrol &amp; Rev'!G9</f>
        <v>1</v>
      </c>
      <c r="E6" s="1703">
        <f>' Enrol &amp; Rev'!H9</f>
        <v>2</v>
      </c>
      <c r="F6" s="1703">
        <f>' Enrol &amp; Rev'!I9</f>
        <v>3</v>
      </c>
      <c r="G6" s="1703">
        <f>' Enrol &amp; Rev'!J9</f>
        <v>4</v>
      </c>
      <c r="H6" s="1703">
        <f>' Enrol &amp; Rev'!K9</f>
        <v>5</v>
      </c>
      <c r="I6" s="1704">
        <f>' Enrol &amp; Rev'!L9</f>
        <v>6</v>
      </c>
    </row>
    <row r="7">
      <c r="A7" s="30"/>
      <c r="B7" s="30"/>
      <c r="C7" s="1705">
        <f>' Enrol &amp; Rev'!F10</f>
        <v>2024</v>
      </c>
      <c r="D7" s="1596">
        <f>' Enrol &amp; Rev'!G10</f>
        <v>2025</v>
      </c>
      <c r="E7" s="1597">
        <f>' Enrol &amp; Rev'!H10</f>
        <v>2026</v>
      </c>
      <c r="F7" s="1597">
        <f>' Enrol &amp; Rev'!I10</f>
        <v>2027</v>
      </c>
      <c r="G7" s="1597">
        <f>' Enrol &amp; Rev'!J10</f>
        <v>2028</v>
      </c>
      <c r="H7" s="1597">
        <f>' Enrol &amp; Rev'!K10</f>
        <v>2029</v>
      </c>
      <c r="I7" s="1598">
        <f>' Enrol &amp; Rev'!L10</f>
        <v>2030</v>
      </c>
    </row>
    <row r="8">
      <c r="A8" s="1706"/>
      <c r="B8" s="1707" t="s">
        <v>450</v>
      </c>
      <c r="C8" s="1708">
        <f>' Enrol &amp; Rev'!F11</f>
        <v>2025</v>
      </c>
      <c r="D8" s="1272">
        <f>' Enrol &amp; Rev'!G11</f>
        <v>2026</v>
      </c>
      <c r="E8" s="1273">
        <f>' Enrol &amp; Rev'!H11</f>
        <v>2027</v>
      </c>
      <c r="F8" s="1273">
        <f>' Enrol &amp; Rev'!I11</f>
        <v>2028</v>
      </c>
      <c r="G8" s="1273">
        <f>' Enrol &amp; Rev'!J11</f>
        <v>2029</v>
      </c>
      <c r="H8" s="1273">
        <f>' Enrol &amp; Rev'!K11</f>
        <v>2030</v>
      </c>
      <c r="I8" s="1274">
        <f>' Enrol &amp; Rev'!L11</f>
        <v>2031</v>
      </c>
    </row>
    <row r="9">
      <c r="A9" s="18" t="s">
        <v>1027</v>
      </c>
      <c r="B9" s="17">
        <f t="shared" ref="B9:B10" si="1">SUM(C9:I9)</f>
        <v>4585</v>
      </c>
      <c r="C9" s="17">
        <f>' Enrol &amp; Rev'!F36</f>
        <v>607</v>
      </c>
      <c r="D9" s="17">
        <f>' Enrol &amp; Rev'!G36</f>
        <v>632</v>
      </c>
      <c r="E9" s="17">
        <f>' Enrol &amp; Rev'!H36</f>
        <v>645</v>
      </c>
      <c r="F9" s="17">
        <f>' Enrol &amp; Rev'!I36</f>
        <v>667</v>
      </c>
      <c r="G9" s="17">
        <f>' Enrol &amp; Rev'!J36</f>
        <v>673</v>
      </c>
      <c r="H9" s="17">
        <f>' Enrol &amp; Rev'!K36</f>
        <v>676</v>
      </c>
      <c r="I9" s="17">
        <f>' Enrol &amp; Rev'!L36</f>
        <v>685</v>
      </c>
    </row>
    <row r="10">
      <c r="A10" s="18" t="s">
        <v>664</v>
      </c>
      <c r="B10" s="1427">
        <f t="shared" si="1"/>
        <v>49036598.63</v>
      </c>
      <c r="C10" s="1427">
        <f>' Enrol &amp; Rev'!F145</f>
        <v>6431812.88</v>
      </c>
      <c r="D10" s="1427">
        <f>' Enrol &amp; Rev'!G145</f>
        <v>6792118.003</v>
      </c>
      <c r="E10" s="1427">
        <f>' Enrol &amp; Rev'!H145</f>
        <v>6917370.748</v>
      </c>
      <c r="F10" s="1427">
        <f>' Enrol &amp; Rev'!I145</f>
        <v>7139336.931</v>
      </c>
      <c r="G10" s="1427">
        <f>' Enrol &amp; Rev'!J145</f>
        <v>7197145.89</v>
      </c>
      <c r="H10" s="1427">
        <f>' Enrol &amp; Rev'!K145</f>
        <v>7236050.369</v>
      </c>
      <c r="I10" s="1427">
        <f>' Enrol &amp; Rev'!L145</f>
        <v>7322763.808</v>
      </c>
    </row>
    <row r="11">
      <c r="A11" s="18" t="s">
        <v>1028</v>
      </c>
      <c r="B11" s="1427">
        <f t="shared" ref="B11:I11" si="2">IFERROR(B10/B9,0)</f>
        <v>10695.00515</v>
      </c>
      <c r="C11" s="1427">
        <f t="shared" si="2"/>
        <v>10596.06735</v>
      </c>
      <c r="D11" s="1427">
        <f t="shared" si="2"/>
        <v>10747.02216</v>
      </c>
      <c r="E11" s="1427">
        <f t="shared" si="2"/>
        <v>10724.60581</v>
      </c>
      <c r="F11" s="1427">
        <f t="shared" si="2"/>
        <v>10703.65357</v>
      </c>
      <c r="G11" s="1427">
        <f t="shared" si="2"/>
        <v>10694.12465</v>
      </c>
      <c r="H11" s="1427">
        <f t="shared" si="2"/>
        <v>10704.21652</v>
      </c>
      <c r="I11" s="1427">
        <f t="shared" si="2"/>
        <v>10690.16614</v>
      </c>
    </row>
    <row r="12">
      <c r="A12" s="18" t="s">
        <v>1484</v>
      </c>
      <c r="B12" s="1427">
        <f>SUM(C12:I12)</f>
        <v>32224618.18</v>
      </c>
      <c r="C12" s="1427">
        <f>Staff!G42</f>
        <v>4377734.355</v>
      </c>
      <c r="D12" s="1427">
        <f>Staff!H42</f>
        <v>4492476.771</v>
      </c>
      <c r="E12" s="1427">
        <f>Staff!I42</f>
        <v>4577289.306</v>
      </c>
      <c r="F12" s="1427">
        <f>Staff!J42</f>
        <v>4563205.603</v>
      </c>
      <c r="G12" s="1427">
        <f>Staff!K42</f>
        <v>4649432.715</v>
      </c>
      <c r="H12" s="1427">
        <f>Staff!L42</f>
        <v>4737384.369</v>
      </c>
      <c r="I12" s="1427">
        <f>Staff!M42</f>
        <v>4827095.057</v>
      </c>
    </row>
    <row r="13">
      <c r="A13" s="18" t="s">
        <v>1485</v>
      </c>
      <c r="B13" s="1427">
        <f t="shared" ref="B13:I13" si="3">IFERROR(B12/B9,0)</f>
        <v>7028.270049</v>
      </c>
      <c r="C13" s="1427">
        <f t="shared" si="3"/>
        <v>7212.082957</v>
      </c>
      <c r="D13" s="1427">
        <f t="shared" si="3"/>
        <v>7108.349321</v>
      </c>
      <c r="E13" s="1427">
        <f t="shared" si="3"/>
        <v>7096.572568</v>
      </c>
      <c r="F13" s="1427">
        <f t="shared" si="3"/>
        <v>6841.38771</v>
      </c>
      <c r="G13" s="1427">
        <f t="shared" si="3"/>
        <v>6908.51815</v>
      </c>
      <c r="H13" s="1427">
        <f t="shared" si="3"/>
        <v>7007.965043</v>
      </c>
      <c r="I13" s="1427">
        <f t="shared" si="3"/>
        <v>7046.854097</v>
      </c>
    </row>
    <row r="14">
      <c r="A14" s="18" t="s">
        <v>672</v>
      </c>
      <c r="B14" s="1427">
        <f t="shared" ref="B14:I14" si="4">B10-B12</f>
        <v>16811980.45</v>
      </c>
      <c r="C14" s="1427">
        <f t="shared" si="4"/>
        <v>2054078.525</v>
      </c>
      <c r="D14" s="1427">
        <f t="shared" si="4"/>
        <v>2299641.232</v>
      </c>
      <c r="E14" s="1427">
        <f t="shared" si="4"/>
        <v>2340081.441</v>
      </c>
      <c r="F14" s="1427">
        <f t="shared" si="4"/>
        <v>2576131.328</v>
      </c>
      <c r="G14" s="1427">
        <f t="shared" si="4"/>
        <v>2547713.175</v>
      </c>
      <c r="H14" s="1427">
        <f t="shared" si="4"/>
        <v>2498666</v>
      </c>
      <c r="I14" s="1427">
        <f t="shared" si="4"/>
        <v>2495668.751</v>
      </c>
    </row>
    <row r="15" ht="30.0" customHeight="1">
      <c r="A15" s="1709" t="s">
        <v>1486</v>
      </c>
      <c r="B15" s="1427">
        <f t="shared" ref="B15:I15" si="5">IFERROR(B14/B9,0)</f>
        <v>3666.735104</v>
      </c>
      <c r="C15" s="1427">
        <f t="shared" si="5"/>
        <v>3383.984391</v>
      </c>
      <c r="D15" s="1427">
        <f t="shared" si="5"/>
        <v>3638.672836</v>
      </c>
      <c r="E15" s="1427">
        <f t="shared" si="5"/>
        <v>3628.033242</v>
      </c>
      <c r="F15" s="1427">
        <f t="shared" si="5"/>
        <v>3862.265859</v>
      </c>
      <c r="G15" s="1427">
        <f t="shared" si="5"/>
        <v>3785.6065</v>
      </c>
      <c r="H15" s="1427">
        <f t="shared" si="5"/>
        <v>3696.251479</v>
      </c>
      <c r="I15" s="1427">
        <f t="shared" si="5"/>
        <v>3643.312045</v>
      </c>
    </row>
    <row r="16">
      <c r="A16" s="18" t="s">
        <v>1487</v>
      </c>
      <c r="B16" s="1427">
        <f>SUM(C16:I16)</f>
        <v>7345658.296</v>
      </c>
      <c r="C16" s="1427">
        <f>'Gen Optg'!F197</f>
        <v>957790.0638</v>
      </c>
      <c r="D16" s="1427">
        <f>'Gen Optg'!G197</f>
        <v>987017.4218</v>
      </c>
      <c r="E16" s="1427">
        <f>'Gen Optg'!H197</f>
        <v>1016875.16</v>
      </c>
      <c r="F16" s="1427">
        <f>'Gen Optg'!I197</f>
        <v>1047727.77</v>
      </c>
      <c r="G16" s="1427">
        <f>'Gen Optg'!J197</f>
        <v>1079275.111</v>
      </c>
      <c r="H16" s="1427">
        <f>'Gen Optg'!K197</f>
        <v>1111715.169</v>
      </c>
      <c r="I16" s="1427">
        <f>'Gen Optg'!L197</f>
        <v>1145257.601</v>
      </c>
    </row>
    <row r="17">
      <c r="A17" s="18" t="s">
        <v>1488</v>
      </c>
      <c r="B17" s="1427">
        <f t="shared" ref="B17:I17" si="6">IFERROR(B16/B9,0)</f>
        <v>1602.106499</v>
      </c>
      <c r="C17" s="1427">
        <f t="shared" si="6"/>
        <v>1577.907848</v>
      </c>
      <c r="D17" s="1427">
        <f t="shared" si="6"/>
        <v>1561.736427</v>
      </c>
      <c r="E17" s="1427">
        <f t="shared" si="6"/>
        <v>1576.550636</v>
      </c>
      <c r="F17" s="1427">
        <f t="shared" si="6"/>
        <v>1570.806252</v>
      </c>
      <c r="G17" s="1427">
        <f t="shared" si="6"/>
        <v>1603.677728</v>
      </c>
      <c r="H17" s="1427">
        <f t="shared" si="6"/>
        <v>1644.549066</v>
      </c>
      <c r="I17" s="1427">
        <f t="shared" si="6"/>
        <v>1671.908906</v>
      </c>
    </row>
    <row r="18">
      <c r="A18" s="18" t="s">
        <v>862</v>
      </c>
      <c r="B18" s="1427">
        <f t="shared" ref="B18:I18" si="7">B10-B16</f>
        <v>41690940.33</v>
      </c>
      <c r="C18" s="1427">
        <f t="shared" si="7"/>
        <v>5474022.816</v>
      </c>
      <c r="D18" s="1427">
        <f t="shared" si="7"/>
        <v>5805100.581</v>
      </c>
      <c r="E18" s="1427">
        <f t="shared" si="7"/>
        <v>5900495.587</v>
      </c>
      <c r="F18" s="1427">
        <f t="shared" si="7"/>
        <v>6091609.16</v>
      </c>
      <c r="G18" s="1427">
        <f t="shared" si="7"/>
        <v>6117870.779</v>
      </c>
      <c r="H18" s="1427">
        <f t="shared" si="7"/>
        <v>6124335.2</v>
      </c>
      <c r="I18" s="1427">
        <f t="shared" si="7"/>
        <v>6177506.207</v>
      </c>
    </row>
    <row r="19" ht="31.5" customHeight="1">
      <c r="A19" s="12" t="s">
        <v>863</v>
      </c>
      <c r="B19" s="1427">
        <f t="shared" ref="B19:I19" si="8">IFERROR(B18/B9,0)</f>
        <v>9092.898654</v>
      </c>
      <c r="C19" s="1427">
        <f t="shared" si="8"/>
        <v>9018.1595</v>
      </c>
      <c r="D19" s="1427">
        <f t="shared" si="8"/>
        <v>9185.28573</v>
      </c>
      <c r="E19" s="1427">
        <f t="shared" si="8"/>
        <v>9148.055174</v>
      </c>
      <c r="F19" s="1427">
        <f t="shared" si="8"/>
        <v>9132.847316</v>
      </c>
      <c r="G19" s="1427">
        <f t="shared" si="8"/>
        <v>9090.446922</v>
      </c>
      <c r="H19" s="1427">
        <f t="shared" si="8"/>
        <v>9059.667456</v>
      </c>
      <c r="I19" s="1427">
        <f t="shared" si="8"/>
        <v>9018.257236</v>
      </c>
    </row>
    <row r="20">
      <c r="A20" s="18" t="s">
        <v>1489</v>
      </c>
      <c r="B20" s="1427">
        <f>SUM(C20:I20)</f>
        <v>5689883.9</v>
      </c>
      <c r="C20" s="1710">
        <f>Facilities!F76</f>
        <v>812840</v>
      </c>
      <c r="D20" s="1427">
        <f>Facilities!G76</f>
        <v>812840.65</v>
      </c>
      <c r="E20" s="1427">
        <f>Facilities!H76</f>
        <v>812840.65</v>
      </c>
      <c r="F20" s="1427">
        <f>Facilities!I76</f>
        <v>812840.65</v>
      </c>
      <c r="G20" s="1427">
        <f>Facilities!J76</f>
        <v>812840.65</v>
      </c>
      <c r="H20" s="1427">
        <f>Facilities!K76</f>
        <v>812840.65</v>
      </c>
      <c r="I20" s="1427">
        <f>Facilities!L76</f>
        <v>812840.65</v>
      </c>
    </row>
    <row r="21" ht="15.75" customHeight="1">
      <c r="A21" s="18" t="s">
        <v>1490</v>
      </c>
      <c r="B21" s="1427">
        <f t="shared" ref="B21:I21" si="9">IFERROR(B20/B9,0)</f>
        <v>1240.97795</v>
      </c>
      <c r="C21" s="1427">
        <f t="shared" si="9"/>
        <v>1339.110379</v>
      </c>
      <c r="D21" s="1427">
        <f t="shared" si="9"/>
        <v>1286.140269</v>
      </c>
      <c r="E21" s="1427">
        <f t="shared" si="9"/>
        <v>1260.218062</v>
      </c>
      <c r="F21" s="1427">
        <f t="shared" si="9"/>
        <v>1218.651649</v>
      </c>
      <c r="G21" s="1427">
        <f t="shared" si="9"/>
        <v>1207.786999</v>
      </c>
      <c r="H21" s="1427">
        <f t="shared" si="9"/>
        <v>1202.426997</v>
      </c>
      <c r="I21" s="1427">
        <f t="shared" si="9"/>
        <v>1186.628686</v>
      </c>
    </row>
    <row r="22" ht="15.75" customHeight="1">
      <c r="A22" s="18" t="s">
        <v>1491</v>
      </c>
      <c r="B22" s="1427">
        <f t="shared" ref="B22:I22" si="10">B10-B20</f>
        <v>43346714.73</v>
      </c>
      <c r="C22" s="1427">
        <f t="shared" si="10"/>
        <v>5618972.88</v>
      </c>
      <c r="D22" s="1427">
        <f t="shared" si="10"/>
        <v>5979277.353</v>
      </c>
      <c r="E22" s="1427">
        <f t="shared" si="10"/>
        <v>6104530.098</v>
      </c>
      <c r="F22" s="1427">
        <f t="shared" si="10"/>
        <v>6326496.281</v>
      </c>
      <c r="G22" s="1427">
        <f t="shared" si="10"/>
        <v>6384305.24</v>
      </c>
      <c r="H22" s="1427">
        <f t="shared" si="10"/>
        <v>6423209.719</v>
      </c>
      <c r="I22" s="1427">
        <f t="shared" si="10"/>
        <v>6509923.158</v>
      </c>
    </row>
    <row r="23" ht="30.75" customHeight="1">
      <c r="A23" s="12" t="s">
        <v>1492</v>
      </c>
      <c r="B23" s="1427">
        <f>IFERROR(B22/B9,0)</f>
        <v>9454.027203</v>
      </c>
      <c r="C23" s="1427"/>
      <c r="D23" s="1427">
        <f t="shared" ref="D23:I23" si="11">IFERROR(D22/D9,0)</f>
        <v>9460.881888</v>
      </c>
      <c r="E23" s="1427">
        <f t="shared" si="11"/>
        <v>9464.387748</v>
      </c>
      <c r="F23" s="1427">
        <f t="shared" si="11"/>
        <v>9485.00192</v>
      </c>
      <c r="G23" s="1427">
        <f t="shared" si="11"/>
        <v>9486.337652</v>
      </c>
      <c r="H23" s="1427">
        <f t="shared" si="11"/>
        <v>9501.789525</v>
      </c>
      <c r="I23" s="1427">
        <f t="shared" si="11"/>
        <v>9503.537456</v>
      </c>
    </row>
    <row r="24" ht="15.75" customHeight="1">
      <c r="A24" s="18" t="s">
        <v>1029</v>
      </c>
      <c r="B24" s="1427">
        <f>SUM(C24:I24)</f>
        <v>1397980.3</v>
      </c>
      <c r="C24" s="1427">
        <f>'FFE&amp;T'!F43</f>
        <v>186214.5</v>
      </c>
      <c r="D24" s="1427">
        <f>'FFE&amp;T'!G43</f>
        <v>192519.2</v>
      </c>
      <c r="E24" s="1427">
        <f>'FFE&amp;T'!H43</f>
        <v>195796.5</v>
      </c>
      <c r="F24" s="1427">
        <f>'FFE&amp;T'!I43</f>
        <v>211282.7</v>
      </c>
      <c r="G24" s="1427">
        <f>'FFE&amp;T'!J43</f>
        <v>202795.3</v>
      </c>
      <c r="H24" s="1427">
        <f>'FFE&amp;T'!K43</f>
        <v>203551.6</v>
      </c>
      <c r="I24" s="1427">
        <f>'FFE&amp;T'!L43</f>
        <v>205820.5</v>
      </c>
    </row>
    <row r="25" ht="15.75" customHeight="1">
      <c r="A25" s="18" t="s">
        <v>1030</v>
      </c>
      <c r="B25" s="1427">
        <f>IFERROR(B24/B9,0)</f>
        <v>304.9030098</v>
      </c>
      <c r="C25" s="1427"/>
      <c r="D25" s="1427">
        <f t="shared" ref="D25:I25" si="12">IFERROR(D24/D9,0)</f>
        <v>304.6189873</v>
      </c>
      <c r="E25" s="1427">
        <f t="shared" si="12"/>
        <v>303.5604651</v>
      </c>
      <c r="F25" s="1427">
        <f t="shared" si="12"/>
        <v>316.7656672</v>
      </c>
      <c r="G25" s="1427">
        <f t="shared" si="12"/>
        <v>301.330312</v>
      </c>
      <c r="H25" s="1427">
        <f t="shared" si="12"/>
        <v>301.1118343</v>
      </c>
      <c r="I25" s="1427">
        <f t="shared" si="12"/>
        <v>300.4678832</v>
      </c>
    </row>
    <row r="26" ht="15.75" customHeight="1">
      <c r="A26" s="18" t="s">
        <v>1031</v>
      </c>
      <c r="B26" s="1427">
        <f t="shared" ref="B26:I26" si="13">B10-B24</f>
        <v>47638618.33</v>
      </c>
      <c r="C26" s="1427">
        <f t="shared" si="13"/>
        <v>6245598.38</v>
      </c>
      <c r="D26" s="1427">
        <f t="shared" si="13"/>
        <v>6599598.803</v>
      </c>
      <c r="E26" s="1427">
        <f t="shared" si="13"/>
        <v>6721574.248</v>
      </c>
      <c r="F26" s="1427">
        <f t="shared" si="13"/>
        <v>6928054.231</v>
      </c>
      <c r="G26" s="1427">
        <f t="shared" si="13"/>
        <v>6994350.59</v>
      </c>
      <c r="H26" s="1427">
        <f t="shared" si="13"/>
        <v>7032498.769</v>
      </c>
      <c r="I26" s="1427">
        <f t="shared" si="13"/>
        <v>7116943.308</v>
      </c>
    </row>
    <row r="27" ht="30.75" customHeight="1">
      <c r="A27" s="12" t="s">
        <v>1032</v>
      </c>
      <c r="B27" s="1427">
        <f t="shared" ref="B27:I27" si="14">IFERROR(B26/B9,0)</f>
        <v>10390.10214</v>
      </c>
      <c r="C27" s="1427">
        <f t="shared" si="14"/>
        <v>10289.28893</v>
      </c>
      <c r="D27" s="1427">
        <f t="shared" si="14"/>
        <v>10442.40317</v>
      </c>
      <c r="E27" s="1427">
        <f t="shared" si="14"/>
        <v>10421.04534</v>
      </c>
      <c r="F27" s="1427">
        <f t="shared" si="14"/>
        <v>10386.8879</v>
      </c>
      <c r="G27" s="1427">
        <f t="shared" si="14"/>
        <v>10392.79434</v>
      </c>
      <c r="H27" s="1427">
        <f t="shared" si="14"/>
        <v>10403.10469</v>
      </c>
      <c r="I27" s="1427">
        <f t="shared" si="14"/>
        <v>10389.69826</v>
      </c>
    </row>
    <row r="28" ht="15.75" customHeight="1">
      <c r="A28" s="18" t="s">
        <v>1493</v>
      </c>
      <c r="B28" s="1427">
        <f>SUM(C28:I28)</f>
        <v>0</v>
      </c>
      <c r="C28" s="1427">
        <f>'Gen Optg'!F177</f>
        <v>0</v>
      </c>
      <c r="D28" s="1427">
        <f>'Gen Optg'!G177</f>
        <v>0</v>
      </c>
      <c r="E28" s="1427">
        <f>'Gen Optg'!H177</f>
        <v>0</v>
      </c>
      <c r="F28" s="1427">
        <f>'Gen Optg'!I177</f>
        <v>0</v>
      </c>
      <c r="G28" s="1427">
        <f>'Gen Optg'!J177</f>
        <v>0</v>
      </c>
      <c r="H28" s="1427">
        <f>'Gen Optg'!K177</f>
        <v>0</v>
      </c>
      <c r="I28" s="1427">
        <f>'Gen Optg'!L177</f>
        <v>0</v>
      </c>
    </row>
    <row r="29" ht="15.75" customHeight="1">
      <c r="A29" s="18" t="s">
        <v>1494</v>
      </c>
      <c r="B29" s="1427">
        <f t="shared" ref="B29:I29" si="15">IFERROR(B28/B9,0)</f>
        <v>0</v>
      </c>
      <c r="C29" s="1427">
        <f t="shared" si="15"/>
        <v>0</v>
      </c>
      <c r="D29" s="1427">
        <f t="shared" si="15"/>
        <v>0</v>
      </c>
      <c r="E29" s="1427">
        <f t="shared" si="15"/>
        <v>0</v>
      </c>
      <c r="F29" s="1427">
        <f t="shared" si="15"/>
        <v>0</v>
      </c>
      <c r="G29" s="1427">
        <f t="shared" si="15"/>
        <v>0</v>
      </c>
      <c r="H29" s="1427">
        <f t="shared" si="15"/>
        <v>0</v>
      </c>
      <c r="I29" s="1427">
        <f t="shared" si="15"/>
        <v>0</v>
      </c>
    </row>
    <row r="30" ht="15.75" customHeight="1">
      <c r="A30" s="18" t="s">
        <v>1495</v>
      </c>
      <c r="B30" s="1427">
        <f>SUM(C30:I30)</f>
        <v>439023.7992</v>
      </c>
      <c r="C30" s="1427">
        <f>Ins!F51</f>
        <v>59053.95</v>
      </c>
      <c r="D30" s="1427">
        <f>Ins!G51</f>
        <v>60235.029</v>
      </c>
      <c r="E30" s="1427">
        <f>Ins!H51</f>
        <v>61439.72958</v>
      </c>
      <c r="F30" s="1427">
        <f>Ins!I51</f>
        <v>62668.52417</v>
      </c>
      <c r="G30" s="1427">
        <f>Ins!J51</f>
        <v>63921.89466</v>
      </c>
      <c r="H30" s="1427">
        <f>Ins!K51</f>
        <v>65200.33255</v>
      </c>
      <c r="I30" s="1427">
        <f>Ins!L51</f>
        <v>66504.3392</v>
      </c>
    </row>
    <row r="31" ht="15.75" customHeight="1">
      <c r="A31" s="18" t="s">
        <v>1496</v>
      </c>
      <c r="B31" s="1427">
        <f t="shared" ref="B31:I31" si="16">IFERROR(B30/B9,0)</f>
        <v>95.75219175</v>
      </c>
      <c r="C31" s="1427">
        <f t="shared" si="16"/>
        <v>97.28822076</v>
      </c>
      <c r="D31" s="1427">
        <f t="shared" si="16"/>
        <v>95.30859019</v>
      </c>
      <c r="E31" s="1427">
        <f t="shared" si="16"/>
        <v>95.2553947</v>
      </c>
      <c r="F31" s="1427">
        <f t="shared" si="16"/>
        <v>93.95580835</v>
      </c>
      <c r="G31" s="1427">
        <f t="shared" si="16"/>
        <v>94.98052698</v>
      </c>
      <c r="H31" s="1427">
        <f t="shared" si="16"/>
        <v>96.45019608</v>
      </c>
      <c r="I31" s="1427">
        <f t="shared" si="16"/>
        <v>97.08662657</v>
      </c>
    </row>
    <row r="32" ht="15.75" customHeight="1">
      <c r="A32" s="18" t="s">
        <v>1497</v>
      </c>
      <c r="B32" s="1427">
        <f>SUM(C32:I32)</f>
        <v>70000</v>
      </c>
      <c r="C32" s="1427">
        <f>Marketing!H44</f>
        <v>12000</v>
      </c>
      <c r="D32" s="1427">
        <f>Marketing!I44</f>
        <v>8000</v>
      </c>
      <c r="E32" s="1427">
        <f>Marketing!J44</f>
        <v>10000</v>
      </c>
      <c r="F32" s="1427">
        <f>Marketing!K44</f>
        <v>10000</v>
      </c>
      <c r="G32" s="1427">
        <f>Marketing!L44</f>
        <v>10000</v>
      </c>
      <c r="H32" s="1427">
        <f>Marketing!M44</f>
        <v>10000</v>
      </c>
      <c r="I32" s="1427">
        <f>Marketing!N44</f>
        <v>10000</v>
      </c>
    </row>
    <row r="33" ht="15.75" customHeight="1">
      <c r="A33" s="18" t="s">
        <v>1498</v>
      </c>
      <c r="B33" s="1427">
        <f t="shared" ref="B33:I33" si="17">IFERROR(B32/B9,0)</f>
        <v>15.26717557</v>
      </c>
      <c r="C33" s="1427">
        <f t="shared" si="17"/>
        <v>19.7693575</v>
      </c>
      <c r="D33" s="1427">
        <f t="shared" si="17"/>
        <v>12.65822785</v>
      </c>
      <c r="E33" s="1427">
        <f t="shared" si="17"/>
        <v>15.50387597</v>
      </c>
      <c r="F33" s="1427">
        <f t="shared" si="17"/>
        <v>14.99250375</v>
      </c>
      <c r="G33" s="1427">
        <f t="shared" si="17"/>
        <v>14.85884101</v>
      </c>
      <c r="H33" s="1427">
        <f t="shared" si="17"/>
        <v>14.79289941</v>
      </c>
      <c r="I33" s="1427">
        <f t="shared" si="17"/>
        <v>14.59854015</v>
      </c>
    </row>
    <row r="34" ht="15.75" customHeight="1">
      <c r="A34" s="18" t="s">
        <v>1499</v>
      </c>
      <c r="B34" s="1427">
        <f t="shared" ref="B34:I34" si="18">B32+B30+B28</f>
        <v>509023.7992</v>
      </c>
      <c r="C34" s="1427">
        <f t="shared" si="18"/>
        <v>71053.95</v>
      </c>
      <c r="D34" s="1427">
        <f t="shared" si="18"/>
        <v>68235.029</v>
      </c>
      <c r="E34" s="1427">
        <f t="shared" si="18"/>
        <v>71439.72958</v>
      </c>
      <c r="F34" s="1427">
        <f t="shared" si="18"/>
        <v>72668.52417</v>
      </c>
      <c r="G34" s="1427">
        <f t="shared" si="18"/>
        <v>73921.89466</v>
      </c>
      <c r="H34" s="1427">
        <f t="shared" si="18"/>
        <v>75200.33255</v>
      </c>
      <c r="I34" s="1427">
        <f t="shared" si="18"/>
        <v>76504.3392</v>
      </c>
    </row>
    <row r="35" ht="15.75" customHeight="1">
      <c r="A35" s="18" t="s">
        <v>1500</v>
      </c>
      <c r="B35" s="1427">
        <f t="shared" ref="B35:I35" si="19">IFERROR(B34/B9,0)</f>
        <v>111.0193673</v>
      </c>
      <c r="C35" s="1427">
        <f t="shared" si="19"/>
        <v>117.0575783</v>
      </c>
      <c r="D35" s="1427">
        <f t="shared" si="19"/>
        <v>107.966818</v>
      </c>
      <c r="E35" s="1427">
        <f t="shared" si="19"/>
        <v>110.7592707</v>
      </c>
      <c r="F35" s="1427">
        <f t="shared" si="19"/>
        <v>108.9483121</v>
      </c>
      <c r="G35" s="1427">
        <f t="shared" si="19"/>
        <v>109.839368</v>
      </c>
      <c r="H35" s="1427">
        <f t="shared" si="19"/>
        <v>111.2430955</v>
      </c>
      <c r="I35" s="1427">
        <f t="shared" si="19"/>
        <v>111.6851667</v>
      </c>
    </row>
    <row r="36" ht="15.75" customHeight="1">
      <c r="A36" s="18" t="s">
        <v>1501</v>
      </c>
      <c r="B36" s="1427">
        <f t="shared" ref="B36:I36" si="20">B10-B34</f>
        <v>48527574.83</v>
      </c>
      <c r="C36" s="1427">
        <f t="shared" si="20"/>
        <v>6360758.93</v>
      </c>
      <c r="D36" s="1427">
        <f t="shared" si="20"/>
        <v>6723882.974</v>
      </c>
      <c r="E36" s="1427">
        <f t="shared" si="20"/>
        <v>6845931.018</v>
      </c>
      <c r="F36" s="1427">
        <f t="shared" si="20"/>
        <v>7066668.406</v>
      </c>
      <c r="G36" s="1427">
        <f t="shared" si="20"/>
        <v>7123223.995</v>
      </c>
      <c r="H36" s="1427">
        <f t="shared" si="20"/>
        <v>7160850.036</v>
      </c>
      <c r="I36" s="1427">
        <f t="shared" si="20"/>
        <v>7246259.468</v>
      </c>
    </row>
    <row r="37" ht="30.0" customHeight="1">
      <c r="A37" s="12" t="s">
        <v>1502</v>
      </c>
      <c r="B37" s="1427">
        <f t="shared" ref="B37:I37" si="21">IFERROR(B36/B9,0)</f>
        <v>10583.98579</v>
      </c>
      <c r="C37" s="1427">
        <f t="shared" si="21"/>
        <v>10479.00977</v>
      </c>
      <c r="D37" s="1427">
        <f t="shared" si="21"/>
        <v>10639.05534</v>
      </c>
      <c r="E37" s="1427">
        <f t="shared" si="21"/>
        <v>10613.84654</v>
      </c>
      <c r="F37" s="1427">
        <f t="shared" si="21"/>
        <v>10594.70526</v>
      </c>
      <c r="G37" s="1427">
        <f t="shared" si="21"/>
        <v>10584.28528</v>
      </c>
      <c r="H37" s="1427">
        <f t="shared" si="21"/>
        <v>10592.97343</v>
      </c>
      <c r="I37" s="1427">
        <f t="shared" si="21"/>
        <v>10578.48098</v>
      </c>
    </row>
    <row r="38" ht="15.75" customHeight="1">
      <c r="A38" s="18" t="s">
        <v>633</v>
      </c>
      <c r="B38" s="1427">
        <f t="shared" ref="B38:I38" si="22">B10-B12-B16-B28-B20-B24-B30-B32</f>
        <v>1869434.156</v>
      </c>
      <c r="C38" s="1427">
        <f t="shared" si="22"/>
        <v>26180.0113</v>
      </c>
      <c r="D38" s="1427">
        <f t="shared" si="22"/>
        <v>239028.9313</v>
      </c>
      <c r="E38" s="1427">
        <f t="shared" si="22"/>
        <v>243129.4016</v>
      </c>
      <c r="F38" s="1427">
        <f t="shared" si="22"/>
        <v>431611.6831</v>
      </c>
      <c r="G38" s="1427">
        <f t="shared" si="22"/>
        <v>378880.2193</v>
      </c>
      <c r="H38" s="1427">
        <f t="shared" si="22"/>
        <v>295358.2485</v>
      </c>
      <c r="I38" s="1427">
        <f t="shared" si="22"/>
        <v>255245.6612</v>
      </c>
    </row>
    <row r="39" ht="15.75" customHeight="1">
      <c r="A39" s="18" t="s">
        <v>634</v>
      </c>
      <c r="B39" s="1427">
        <f t="shared" ref="B39:I39" si="23">IFERROR(B38/B9,0)</f>
        <v>407.7282784</v>
      </c>
      <c r="C39" s="1427">
        <f t="shared" si="23"/>
        <v>43.13016689</v>
      </c>
      <c r="D39" s="1427">
        <f t="shared" si="23"/>
        <v>378.2103344</v>
      </c>
      <c r="E39" s="1427">
        <f t="shared" si="23"/>
        <v>376.9448086</v>
      </c>
      <c r="F39" s="1427">
        <f t="shared" si="23"/>
        <v>647.0939777</v>
      </c>
      <c r="G39" s="1427">
        <f t="shared" si="23"/>
        <v>562.972094</v>
      </c>
      <c r="H39" s="1427">
        <f t="shared" si="23"/>
        <v>436.9204859</v>
      </c>
      <c r="I39" s="1427">
        <f t="shared" si="23"/>
        <v>372.6214032</v>
      </c>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1">
    <cfRule type="expression" dxfId="2" priority="1" stopIfTrue="1">
      <formula>MOD(ROW(),2)=0</formula>
    </cfRule>
  </conditionalFormatting>
  <printOptions/>
  <pageMargins bottom="0.45" footer="0.0" header="0.0" left="0.25" right="0.25" top="0.5"/>
  <pageSetup scale="88" orientation="landscape"/>
  <headerFooter>
    <oddHeader>&amp;L &amp;C &amp;R </oddHeader>
    <oddFooter>&amp;L&amp;D  at &amp;T Mike 702.486.8879&amp;C&amp;F  &amp;A&amp;RPage &amp;P of </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9"/>
    <col customWidth="1" min="2" max="2" width="2.71"/>
    <col customWidth="1" min="3" max="5" width="8.71"/>
    <col customWidth="1" min="6" max="6" width="16.29"/>
    <col customWidth="1" min="7" max="26" width="8.71"/>
  </cols>
  <sheetData>
    <row r="1" ht="12.75" customHeight="1">
      <c r="A1" s="2" t="s">
        <v>1503</v>
      </c>
      <c r="B1" s="2"/>
      <c r="C1" s="2"/>
      <c r="D1" s="2"/>
      <c r="E1" s="357"/>
      <c r="F1" s="357"/>
      <c r="G1" s="357"/>
      <c r="H1" s="357"/>
      <c r="I1" s="357"/>
      <c r="J1" s="357"/>
      <c r="K1" s="357"/>
      <c r="L1" s="357"/>
      <c r="M1" s="357"/>
      <c r="N1" s="357"/>
      <c r="O1" s="357"/>
      <c r="P1" s="357"/>
      <c r="Q1" s="357"/>
      <c r="R1" s="357"/>
      <c r="S1" s="357"/>
      <c r="T1" s="357"/>
      <c r="U1" s="357"/>
      <c r="V1" s="357"/>
      <c r="W1" s="357"/>
      <c r="X1" s="357"/>
      <c r="Y1" s="357"/>
      <c r="Z1" s="357"/>
    </row>
    <row r="2" ht="12.75" customHeight="1">
      <c r="A2" s="3" t="str">
        <f>SchoolName</f>
        <v>Explore Knowledge Academy</v>
      </c>
      <c r="B2" s="3"/>
      <c r="C2" s="3"/>
      <c r="D2" s="3"/>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357"/>
      <c r="C6" s="357"/>
      <c r="D6" s="357"/>
      <c r="E6" s="357"/>
      <c r="F6" s="357"/>
      <c r="G6" s="357"/>
      <c r="H6" s="357"/>
      <c r="I6" s="357"/>
      <c r="J6" s="357"/>
      <c r="K6" s="357"/>
      <c r="L6" s="357"/>
      <c r="M6" s="357"/>
      <c r="N6" s="357"/>
      <c r="O6" s="357"/>
      <c r="P6" s="357"/>
      <c r="Q6" s="357"/>
      <c r="R6" s="357"/>
      <c r="S6" s="357"/>
      <c r="T6" s="357"/>
      <c r="U6" s="357"/>
      <c r="V6" s="357"/>
      <c r="W6" s="357"/>
      <c r="X6" s="357"/>
      <c r="Y6" s="357"/>
      <c r="Z6" s="357"/>
    </row>
    <row r="7" ht="12.75" customHeight="1">
      <c r="A7" s="5"/>
      <c r="B7" s="357"/>
      <c r="C7" s="357"/>
      <c r="D7" s="357"/>
      <c r="E7" s="357"/>
      <c r="F7" s="357"/>
      <c r="G7" s="357"/>
      <c r="H7" s="357"/>
      <c r="I7" s="357"/>
      <c r="J7" s="357"/>
      <c r="K7" s="357"/>
      <c r="L7" s="357"/>
      <c r="M7" s="357"/>
      <c r="N7" s="357"/>
      <c r="O7" s="357"/>
      <c r="P7" s="357"/>
      <c r="Q7" s="357"/>
      <c r="R7" s="357"/>
      <c r="S7" s="357"/>
      <c r="T7" s="357"/>
      <c r="U7" s="357"/>
      <c r="V7" s="357"/>
      <c r="W7" s="357"/>
      <c r="X7" s="357"/>
      <c r="Y7" s="357"/>
      <c r="Z7" s="357"/>
    </row>
    <row r="8" ht="12.75" customHeight="1">
      <c r="A8" s="5"/>
      <c r="B8" s="357"/>
      <c r="C8" s="357"/>
      <c r="D8" s="357"/>
      <c r="E8" s="357"/>
      <c r="F8" s="357"/>
      <c r="G8" s="357"/>
      <c r="H8" s="357"/>
      <c r="I8" s="357"/>
      <c r="J8" s="357"/>
      <c r="K8" s="357"/>
      <c r="L8" s="357"/>
      <c r="M8" s="357"/>
      <c r="N8" s="357"/>
      <c r="O8" s="357"/>
      <c r="P8" s="357"/>
      <c r="Q8" s="357"/>
      <c r="R8" s="357"/>
      <c r="S8" s="357"/>
      <c r="T8" s="357"/>
      <c r="U8" s="357"/>
      <c r="V8" s="357"/>
      <c r="W8" s="357"/>
      <c r="X8" s="357"/>
      <c r="Y8" s="357"/>
      <c r="Z8" s="357"/>
    </row>
    <row r="9" ht="12.75" customHeight="1">
      <c r="A9" s="5"/>
      <c r="B9" s="357"/>
      <c r="C9" s="357"/>
      <c r="D9" s="357"/>
      <c r="E9" s="357"/>
      <c r="F9" s="357"/>
      <c r="G9" s="357"/>
      <c r="H9" s="357"/>
      <c r="I9" s="357"/>
      <c r="J9" s="357"/>
      <c r="K9" s="357"/>
      <c r="L9" s="357"/>
      <c r="M9" s="357"/>
      <c r="N9" s="357"/>
      <c r="O9" s="357"/>
      <c r="P9" s="357"/>
      <c r="Q9" s="357"/>
      <c r="R9" s="357"/>
      <c r="S9" s="357"/>
      <c r="T9" s="357"/>
      <c r="U9" s="357"/>
      <c r="V9" s="357"/>
      <c r="W9" s="357"/>
      <c r="X9" s="357"/>
      <c r="Y9" s="357"/>
      <c r="Z9" s="357"/>
    </row>
    <row r="10" ht="12.75" customHeight="1">
      <c r="A10" s="5"/>
      <c r="B10" s="357"/>
      <c r="C10" s="357"/>
      <c r="D10" s="357"/>
      <c r="E10" s="357"/>
      <c r="F10" s="357"/>
      <c r="G10" s="357"/>
      <c r="H10" s="357"/>
      <c r="I10" s="357"/>
      <c r="J10" s="357"/>
      <c r="K10" s="357"/>
      <c r="L10" s="357"/>
      <c r="M10" s="357"/>
      <c r="N10" s="357"/>
      <c r="O10" s="357"/>
      <c r="P10" s="357"/>
      <c r="Q10" s="357"/>
      <c r="R10" s="357"/>
      <c r="S10" s="357"/>
      <c r="T10" s="357"/>
      <c r="U10" s="357"/>
      <c r="V10" s="357"/>
      <c r="W10" s="357"/>
      <c r="X10" s="357"/>
      <c r="Y10" s="357"/>
      <c r="Z10" s="357"/>
    </row>
    <row r="11" ht="12.75" customHeight="1">
      <c r="A11" s="5"/>
      <c r="B11" s="357"/>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row>
    <row r="12" ht="12.75" customHeight="1">
      <c r="A12" s="5"/>
      <c r="B12" s="357"/>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row>
    <row r="13" ht="12.75" customHeight="1">
      <c r="A13" s="5"/>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57"/>
      <c r="Z13" s="357"/>
    </row>
    <row r="14" ht="12.75" customHeight="1">
      <c r="A14" s="5"/>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row>
    <row r="15" ht="12.75" customHeight="1">
      <c r="A15" s="5"/>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row>
    <row r="16" ht="12.75" customHeight="1">
      <c r="A16" s="5"/>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row>
    <row r="17" ht="12.75" customHeight="1">
      <c r="A17" s="5"/>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row>
    <row r="18" ht="12.75" customHeight="1">
      <c r="A18" s="5"/>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row>
    <row r="19" ht="12.75" customHeight="1">
      <c r="A19" s="5"/>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row>
    <row r="20" ht="12.75" customHeight="1">
      <c r="A20" s="5"/>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row>
    <row r="21" ht="12.75" customHeight="1">
      <c r="A21" s="5"/>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row>
    <row r="22" ht="12.75" customHeight="1">
      <c r="A22" s="5"/>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row>
    <row r="23" ht="12.75" customHeight="1">
      <c r="A23" s="5"/>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row>
    <row r="24" ht="12.75" customHeight="1">
      <c r="A24" s="5"/>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row>
    <row r="25" ht="12.75" customHeight="1">
      <c r="A25" s="5"/>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row>
    <row r="26" ht="12.75" customHeight="1">
      <c r="A26" s="5"/>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row>
    <row r="27" ht="12.75" customHeight="1">
      <c r="A27" s="5"/>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row>
    <row r="28" ht="12.75" customHeight="1">
      <c r="A28" s="5"/>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row>
    <row r="29" ht="12.75" customHeight="1">
      <c r="A29" s="5"/>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row>
    <row r="30" ht="12.75" customHeight="1">
      <c r="A30" s="5"/>
      <c r="B30" s="5"/>
      <c r="C30" s="5"/>
      <c r="D30" s="5"/>
      <c r="E30" s="5"/>
      <c r="F30" s="357"/>
      <c r="G30" s="357"/>
      <c r="H30" s="357"/>
      <c r="I30" s="357"/>
      <c r="J30" s="357"/>
      <c r="K30" s="357"/>
      <c r="L30" s="357"/>
      <c r="M30" s="357"/>
      <c r="N30" s="357"/>
      <c r="O30" s="357"/>
      <c r="P30" s="357"/>
      <c r="Q30" s="357"/>
      <c r="R30" s="357"/>
      <c r="S30" s="357"/>
      <c r="T30" s="357"/>
      <c r="U30" s="357"/>
      <c r="V30" s="357"/>
      <c r="W30" s="357"/>
      <c r="X30" s="357"/>
      <c r="Y30" s="357"/>
      <c r="Z30" s="357"/>
    </row>
    <row r="31" ht="12.75" customHeight="1">
      <c r="A31" s="5"/>
      <c r="B31" s="5"/>
      <c r="C31" s="5"/>
      <c r="D31" s="5"/>
      <c r="E31" s="5"/>
      <c r="F31" s="357"/>
      <c r="G31" s="357"/>
      <c r="H31" s="357"/>
      <c r="I31" s="357"/>
      <c r="J31" s="357"/>
      <c r="K31" s="357"/>
      <c r="L31" s="357"/>
      <c r="M31" s="357"/>
      <c r="N31" s="357"/>
      <c r="O31" s="357"/>
      <c r="P31" s="357"/>
      <c r="Q31" s="357"/>
      <c r="R31" s="357"/>
      <c r="S31" s="357"/>
      <c r="T31" s="357"/>
      <c r="U31" s="357"/>
      <c r="V31" s="357"/>
      <c r="W31" s="357"/>
      <c r="X31" s="357"/>
      <c r="Y31" s="357"/>
      <c r="Z31" s="357"/>
    </row>
    <row r="32" ht="12.75" customHeight="1">
      <c r="A32" s="5"/>
      <c r="B32" s="5"/>
      <c r="C32" s="5"/>
      <c r="D32" s="5"/>
      <c r="E32" s="5"/>
      <c r="F32" s="357"/>
      <c r="G32" s="357"/>
      <c r="H32" s="357"/>
      <c r="I32" s="357"/>
      <c r="J32" s="357"/>
      <c r="K32" s="357"/>
      <c r="L32" s="357"/>
      <c r="M32" s="357"/>
      <c r="N32" s="357"/>
      <c r="O32" s="357"/>
      <c r="P32" s="357"/>
      <c r="Q32" s="357"/>
      <c r="R32" s="357"/>
      <c r="S32" s="357"/>
      <c r="T32" s="357"/>
      <c r="U32" s="357"/>
      <c r="V32" s="357"/>
      <c r="W32" s="357"/>
      <c r="X32" s="357"/>
      <c r="Y32" s="357"/>
      <c r="Z32" s="357"/>
    </row>
    <row r="33" ht="12.75" customHeight="1">
      <c r="A33" s="5"/>
      <c r="B33" s="5"/>
      <c r="C33" s="5"/>
      <c r="D33" s="5"/>
      <c r="E33" s="5"/>
      <c r="F33" s="357"/>
      <c r="G33" s="357"/>
      <c r="H33" s="357"/>
      <c r="I33" s="357"/>
      <c r="J33" s="357"/>
      <c r="K33" s="357"/>
      <c r="L33" s="357"/>
      <c r="M33" s="357"/>
      <c r="N33" s="357"/>
      <c r="O33" s="357"/>
      <c r="P33" s="357"/>
      <c r="Q33" s="357"/>
      <c r="R33" s="357"/>
      <c r="S33" s="357"/>
      <c r="T33" s="357"/>
      <c r="U33" s="357"/>
      <c r="V33" s="357"/>
      <c r="W33" s="357"/>
      <c r="X33" s="357"/>
      <c r="Y33" s="357"/>
      <c r="Z33" s="357"/>
    </row>
    <row r="34" ht="12.75" customHeight="1">
      <c r="A34" s="5"/>
      <c r="B34" s="5"/>
      <c r="C34" s="5"/>
      <c r="D34" s="5"/>
      <c r="E34" s="5"/>
      <c r="F34" s="357"/>
      <c r="G34" s="357"/>
      <c r="H34" s="357"/>
      <c r="I34" s="357"/>
      <c r="J34" s="357"/>
      <c r="K34" s="357"/>
      <c r="L34" s="357"/>
      <c r="M34" s="357"/>
      <c r="N34" s="357"/>
      <c r="O34" s="357"/>
      <c r="P34" s="357"/>
      <c r="Q34" s="357"/>
      <c r="R34" s="357"/>
      <c r="S34" s="357"/>
      <c r="T34" s="357"/>
      <c r="U34" s="357"/>
      <c r="V34" s="357"/>
      <c r="W34" s="357"/>
      <c r="X34" s="357"/>
      <c r="Y34" s="357"/>
      <c r="Z34" s="357"/>
    </row>
    <row r="35" ht="12.75" customHeight="1">
      <c r="A35" s="5"/>
      <c r="B35" s="5"/>
      <c r="C35" s="5"/>
      <c r="D35" s="5"/>
      <c r="E35" s="5"/>
      <c r="F35" s="357"/>
      <c r="G35" s="357"/>
      <c r="H35" s="357"/>
      <c r="I35" s="357"/>
      <c r="J35" s="357"/>
      <c r="K35" s="357"/>
      <c r="L35" s="357"/>
      <c r="M35" s="357"/>
      <c r="N35" s="357"/>
      <c r="O35" s="357"/>
      <c r="P35" s="357"/>
      <c r="Q35" s="357"/>
      <c r="R35" s="357"/>
      <c r="S35" s="357"/>
      <c r="T35" s="357"/>
      <c r="U35" s="357"/>
      <c r="V35" s="357"/>
      <c r="W35" s="357"/>
      <c r="X35" s="357"/>
      <c r="Y35" s="357"/>
      <c r="Z35" s="357"/>
    </row>
    <row r="36" ht="12.75" customHeight="1">
      <c r="A36" s="5"/>
      <c r="B36" s="5"/>
      <c r="C36" s="5"/>
      <c r="D36" s="5"/>
      <c r="E36" s="5"/>
      <c r="F36" s="357"/>
      <c r="G36" s="357"/>
      <c r="H36" s="357"/>
      <c r="I36" s="357"/>
      <c r="J36" s="357"/>
      <c r="K36" s="357"/>
      <c r="L36" s="357"/>
      <c r="M36" s="357"/>
      <c r="N36" s="357"/>
      <c r="O36" s="357"/>
      <c r="P36" s="357"/>
      <c r="Q36" s="357"/>
      <c r="R36" s="357"/>
      <c r="S36" s="357"/>
      <c r="T36" s="357"/>
      <c r="U36" s="357"/>
      <c r="V36" s="357"/>
      <c r="W36" s="357"/>
      <c r="X36" s="357"/>
      <c r="Y36" s="357"/>
      <c r="Z36" s="357"/>
    </row>
    <row r="37" ht="12.75" customHeight="1">
      <c r="A37" s="5"/>
      <c r="B37" s="5"/>
      <c r="C37" s="5"/>
      <c r="D37" s="5"/>
      <c r="E37" s="5"/>
      <c r="F37" s="357"/>
      <c r="G37" s="357"/>
      <c r="H37" s="357"/>
      <c r="I37" s="357"/>
      <c r="J37" s="357"/>
      <c r="K37" s="357"/>
      <c r="L37" s="357"/>
      <c r="M37" s="357"/>
      <c r="N37" s="357"/>
      <c r="O37" s="357"/>
      <c r="P37" s="357"/>
      <c r="Q37" s="357"/>
      <c r="R37" s="357"/>
      <c r="S37" s="357"/>
      <c r="T37" s="357"/>
      <c r="U37" s="357"/>
      <c r="V37" s="357"/>
      <c r="W37" s="357"/>
      <c r="X37" s="357"/>
      <c r="Y37" s="357"/>
      <c r="Z37" s="357"/>
    </row>
    <row r="38" ht="12.75" customHeight="1">
      <c r="A38" s="5"/>
      <c r="B38" s="5"/>
      <c r="C38" s="5"/>
      <c r="D38" s="5"/>
      <c r="E38" s="5"/>
      <c r="F38" s="357"/>
      <c r="G38" s="357"/>
      <c r="H38" s="357"/>
      <c r="I38" s="357"/>
      <c r="J38" s="357"/>
      <c r="K38" s="357"/>
      <c r="L38" s="357"/>
      <c r="M38" s="357"/>
      <c r="N38" s="357"/>
      <c r="O38" s="357"/>
      <c r="P38" s="357"/>
      <c r="Q38" s="357"/>
      <c r="R38" s="357"/>
      <c r="S38" s="357"/>
      <c r="T38" s="357"/>
      <c r="U38" s="357"/>
      <c r="V38" s="357"/>
      <c r="W38" s="357"/>
      <c r="X38" s="357"/>
      <c r="Y38" s="357"/>
      <c r="Z38" s="357"/>
    </row>
    <row r="39" ht="12.75" customHeight="1">
      <c r="A39" s="5"/>
      <c r="B39" s="5"/>
      <c r="C39" s="5"/>
      <c r="D39" s="5"/>
      <c r="E39" s="5"/>
      <c r="F39" s="357"/>
      <c r="G39" s="357"/>
      <c r="H39" s="357"/>
      <c r="I39" s="357"/>
      <c r="J39" s="357"/>
      <c r="K39" s="357"/>
      <c r="L39" s="357"/>
      <c r="M39" s="357"/>
      <c r="N39" s="357"/>
      <c r="O39" s="357"/>
      <c r="P39" s="357"/>
      <c r="Q39" s="357"/>
      <c r="R39" s="357"/>
      <c r="S39" s="357"/>
      <c r="T39" s="357"/>
      <c r="U39" s="357"/>
      <c r="V39" s="357"/>
      <c r="W39" s="357"/>
      <c r="X39" s="357"/>
      <c r="Y39" s="357"/>
      <c r="Z39" s="357"/>
    </row>
    <row r="40" ht="12.75" customHeight="1">
      <c r="A40" s="5"/>
      <c r="B40" s="5"/>
      <c r="C40" s="5"/>
      <c r="D40" s="5"/>
      <c r="E40" s="5"/>
      <c r="F40" s="357"/>
      <c r="G40" s="357"/>
      <c r="H40" s="357"/>
      <c r="I40" s="357"/>
      <c r="J40" s="357"/>
      <c r="K40" s="357"/>
      <c r="L40" s="357"/>
      <c r="M40" s="357"/>
      <c r="N40" s="357"/>
      <c r="O40" s="357"/>
      <c r="P40" s="357"/>
      <c r="Q40" s="357"/>
      <c r="R40" s="357"/>
      <c r="S40" s="357"/>
      <c r="T40" s="357"/>
      <c r="U40" s="357"/>
      <c r="V40" s="357"/>
      <c r="W40" s="357"/>
      <c r="X40" s="357"/>
      <c r="Y40" s="357"/>
      <c r="Z40" s="357"/>
    </row>
    <row r="41" ht="12.75" customHeight="1">
      <c r="A41" s="5"/>
      <c r="B41" s="5"/>
      <c r="C41" s="5"/>
      <c r="D41" s="5"/>
      <c r="E41" s="5"/>
      <c r="F41" s="357"/>
      <c r="G41" s="357"/>
      <c r="H41" s="357"/>
      <c r="I41" s="357"/>
      <c r="J41" s="357"/>
      <c r="K41" s="357"/>
      <c r="L41" s="357"/>
      <c r="M41" s="357"/>
      <c r="N41" s="357"/>
      <c r="O41" s="357"/>
      <c r="P41" s="357"/>
      <c r="Q41" s="357"/>
      <c r="R41" s="357"/>
      <c r="S41" s="357"/>
      <c r="T41" s="357"/>
      <c r="U41" s="357"/>
      <c r="V41" s="357"/>
      <c r="W41" s="357"/>
      <c r="X41" s="357"/>
      <c r="Y41" s="357"/>
      <c r="Z41" s="357"/>
    </row>
    <row r="42" ht="12.75" customHeight="1">
      <c r="A42" s="5"/>
      <c r="B42" s="5"/>
      <c r="C42" s="5"/>
      <c r="D42" s="5"/>
      <c r="E42" s="5"/>
      <c r="F42" s="357"/>
      <c r="G42" s="357"/>
      <c r="H42" s="357"/>
      <c r="I42" s="357"/>
      <c r="J42" s="357"/>
      <c r="K42" s="357"/>
      <c r="L42" s="357"/>
      <c r="M42" s="357"/>
      <c r="N42" s="357"/>
      <c r="O42" s="357"/>
      <c r="P42" s="357"/>
      <c r="Q42" s="357"/>
      <c r="R42" s="357"/>
      <c r="S42" s="357"/>
      <c r="T42" s="357"/>
      <c r="U42" s="357"/>
      <c r="V42" s="357"/>
      <c r="W42" s="357"/>
      <c r="X42" s="357"/>
      <c r="Y42" s="357"/>
      <c r="Z42" s="357"/>
    </row>
    <row r="43" ht="12.75" customHeight="1">
      <c r="A43" s="5"/>
      <c r="B43" s="5"/>
      <c r="C43" s="5"/>
      <c r="D43" s="5"/>
      <c r="E43" s="5"/>
      <c r="F43" s="357"/>
      <c r="G43" s="357"/>
      <c r="H43" s="357"/>
      <c r="I43" s="357"/>
      <c r="J43" s="357"/>
      <c r="K43" s="357"/>
      <c r="L43" s="357"/>
      <c r="M43" s="357"/>
      <c r="N43" s="357"/>
      <c r="O43" s="357"/>
      <c r="P43" s="357"/>
      <c r="Q43" s="357"/>
      <c r="R43" s="357"/>
      <c r="S43" s="357"/>
      <c r="T43" s="357"/>
      <c r="U43" s="357"/>
      <c r="V43" s="357"/>
      <c r="W43" s="357"/>
      <c r="X43" s="357"/>
      <c r="Y43" s="357"/>
      <c r="Z43" s="357"/>
    </row>
    <row r="44" ht="12.75" customHeight="1">
      <c r="A44" s="5"/>
      <c r="B44" s="5"/>
      <c r="C44" s="5"/>
      <c r="D44" s="5"/>
      <c r="E44" s="5"/>
      <c r="F44" s="357"/>
      <c r="G44" s="357"/>
      <c r="H44" s="357"/>
      <c r="I44" s="357"/>
      <c r="J44" s="357"/>
      <c r="K44" s="357"/>
      <c r="L44" s="357"/>
      <c r="M44" s="357"/>
      <c r="N44" s="357"/>
      <c r="O44" s="357"/>
      <c r="P44" s="357"/>
      <c r="Q44" s="357"/>
      <c r="R44" s="357"/>
      <c r="S44" s="357"/>
      <c r="T44" s="357"/>
      <c r="U44" s="357"/>
      <c r="V44" s="357"/>
      <c r="W44" s="357"/>
      <c r="X44" s="357"/>
      <c r="Y44" s="357"/>
      <c r="Z44" s="357"/>
    </row>
    <row r="45" ht="12.75" customHeight="1">
      <c r="A45" s="5"/>
      <c r="B45" s="5"/>
      <c r="C45" s="5"/>
      <c r="D45" s="5"/>
      <c r="E45" s="5"/>
      <c r="F45" s="357"/>
      <c r="G45" s="357"/>
      <c r="H45" s="357"/>
      <c r="I45" s="357"/>
      <c r="J45" s="357"/>
      <c r="K45" s="357"/>
      <c r="L45" s="357"/>
      <c r="M45" s="357"/>
      <c r="N45" s="357"/>
      <c r="O45" s="357"/>
      <c r="P45" s="357"/>
      <c r="Q45" s="357"/>
      <c r="R45" s="357"/>
      <c r="S45" s="357"/>
      <c r="T45" s="357"/>
      <c r="U45" s="357"/>
      <c r="V45" s="357"/>
      <c r="W45" s="357"/>
      <c r="X45" s="357"/>
      <c r="Y45" s="357"/>
      <c r="Z45" s="357"/>
    </row>
    <row r="46" ht="12.75" customHeight="1">
      <c r="A46" s="5"/>
      <c r="B46" s="5"/>
      <c r="C46" s="5"/>
      <c r="D46" s="5"/>
      <c r="E46" s="5"/>
      <c r="F46" s="357"/>
      <c r="G46" s="357"/>
      <c r="H46" s="357"/>
      <c r="I46" s="357"/>
      <c r="J46" s="357"/>
      <c r="K46" s="357"/>
      <c r="L46" s="357"/>
      <c r="M46" s="357"/>
      <c r="N46" s="357"/>
      <c r="O46" s="357"/>
      <c r="P46" s="357"/>
      <c r="Q46" s="357"/>
      <c r="R46" s="357"/>
      <c r="S46" s="357"/>
      <c r="T46" s="357"/>
      <c r="U46" s="357"/>
      <c r="V46" s="357"/>
      <c r="W46" s="357"/>
      <c r="X46" s="357"/>
      <c r="Y46" s="357"/>
      <c r="Z46" s="357"/>
    </row>
    <row r="47" ht="12.75" customHeight="1">
      <c r="A47" s="5"/>
      <c r="B47" s="5"/>
      <c r="C47" s="5"/>
      <c r="D47" s="5"/>
      <c r="E47" s="5"/>
      <c r="F47" s="357"/>
      <c r="G47" s="357"/>
      <c r="H47" s="357"/>
      <c r="I47" s="357"/>
      <c r="J47" s="357"/>
      <c r="K47" s="357"/>
      <c r="L47" s="357"/>
      <c r="M47" s="357"/>
      <c r="N47" s="357"/>
      <c r="O47" s="357"/>
      <c r="P47" s="357"/>
      <c r="Q47" s="357"/>
      <c r="R47" s="357"/>
      <c r="S47" s="357"/>
      <c r="T47" s="357"/>
      <c r="U47" s="357"/>
      <c r="V47" s="357"/>
      <c r="W47" s="357"/>
      <c r="X47" s="357"/>
      <c r="Y47" s="357"/>
      <c r="Z47" s="357"/>
    </row>
    <row r="48" ht="12.75" customHeight="1">
      <c r="A48" s="5"/>
      <c r="B48" s="5"/>
      <c r="C48" s="5"/>
      <c r="D48" s="5"/>
      <c r="E48" s="5"/>
      <c r="F48" s="357"/>
      <c r="G48" s="357"/>
      <c r="H48" s="357"/>
      <c r="I48" s="357"/>
      <c r="J48" s="357"/>
      <c r="K48" s="357"/>
      <c r="L48" s="357"/>
      <c r="M48" s="357"/>
      <c r="N48" s="357"/>
      <c r="O48" s="357"/>
      <c r="P48" s="357"/>
      <c r="Q48" s="357"/>
      <c r="R48" s="357"/>
      <c r="S48" s="357"/>
      <c r="T48" s="357"/>
      <c r="U48" s="357"/>
      <c r="V48" s="357"/>
      <c r="W48" s="357"/>
      <c r="X48" s="357"/>
      <c r="Y48" s="357"/>
      <c r="Z48" s="357"/>
    </row>
    <row r="49" ht="12.75" customHeight="1">
      <c r="A49" s="5"/>
      <c r="B49" s="5"/>
      <c r="C49" s="5"/>
      <c r="D49" s="5"/>
      <c r="E49" s="5"/>
      <c r="F49" s="357"/>
      <c r="G49" s="357"/>
      <c r="H49" s="357"/>
      <c r="I49" s="357"/>
      <c r="J49" s="357"/>
      <c r="K49" s="357"/>
      <c r="L49" s="357"/>
      <c r="M49" s="357"/>
      <c r="N49" s="357"/>
      <c r="O49" s="357"/>
      <c r="P49" s="357"/>
      <c r="Q49" s="357"/>
      <c r="R49" s="357"/>
      <c r="S49" s="357"/>
      <c r="T49" s="357"/>
      <c r="U49" s="357"/>
      <c r="V49" s="357"/>
      <c r="W49" s="357"/>
      <c r="X49" s="357"/>
      <c r="Y49" s="357"/>
      <c r="Z49" s="357"/>
    </row>
    <row r="50" ht="12.75" customHeight="1">
      <c r="A50" s="5"/>
      <c r="B50" s="5"/>
      <c r="C50" s="5"/>
      <c r="D50" s="5"/>
      <c r="E50" s="5"/>
      <c r="F50" s="357"/>
      <c r="G50" s="357"/>
      <c r="H50" s="357"/>
      <c r="I50" s="357"/>
      <c r="J50" s="357"/>
      <c r="K50" s="357"/>
      <c r="L50" s="357"/>
      <c r="M50" s="357"/>
      <c r="N50" s="357"/>
      <c r="O50" s="357"/>
      <c r="P50" s="357"/>
      <c r="Q50" s="357"/>
      <c r="R50" s="357"/>
      <c r="S50" s="357"/>
      <c r="T50" s="357"/>
      <c r="U50" s="357"/>
      <c r="V50" s="357"/>
      <c r="W50" s="357"/>
      <c r="X50" s="357"/>
      <c r="Y50" s="357"/>
      <c r="Z50" s="357"/>
    </row>
    <row r="51" ht="12.75" customHeight="1">
      <c r="A51" s="5"/>
      <c r="B51" s="5"/>
      <c r="C51" s="5"/>
      <c r="D51" s="5"/>
      <c r="E51" s="5"/>
      <c r="F51" s="357"/>
      <c r="G51" s="357"/>
      <c r="H51" s="357"/>
      <c r="I51" s="357"/>
      <c r="J51" s="357"/>
      <c r="K51" s="357"/>
      <c r="L51" s="357"/>
      <c r="M51" s="357"/>
      <c r="N51" s="357"/>
      <c r="O51" s="357"/>
      <c r="P51" s="357"/>
      <c r="Q51" s="357"/>
      <c r="R51" s="357"/>
      <c r="S51" s="357"/>
      <c r="T51" s="357"/>
      <c r="U51" s="357"/>
      <c r="V51" s="357"/>
      <c r="W51" s="357"/>
      <c r="X51" s="357"/>
      <c r="Y51" s="357"/>
      <c r="Z51" s="357"/>
    </row>
    <row r="52" ht="12.75" customHeight="1">
      <c r="A52" s="5"/>
      <c r="B52" s="5"/>
      <c r="C52" s="5"/>
      <c r="D52" s="5"/>
      <c r="E52" s="5"/>
      <c r="F52" s="357"/>
      <c r="G52" s="357"/>
      <c r="H52" s="357"/>
      <c r="I52" s="357"/>
      <c r="J52" s="357"/>
      <c r="K52" s="357"/>
      <c r="L52" s="357"/>
      <c r="M52" s="357"/>
      <c r="N52" s="357"/>
      <c r="O52" s="357"/>
      <c r="P52" s="357"/>
      <c r="Q52" s="357"/>
      <c r="R52" s="357"/>
      <c r="S52" s="357"/>
      <c r="T52" s="357"/>
      <c r="U52" s="357"/>
      <c r="V52" s="357"/>
      <c r="W52" s="357"/>
      <c r="X52" s="357"/>
      <c r="Y52" s="357"/>
      <c r="Z52" s="357"/>
    </row>
    <row r="53" ht="12.75" customHeight="1">
      <c r="A53" s="5"/>
      <c r="B53" s="5"/>
      <c r="C53" s="5"/>
      <c r="D53" s="5"/>
      <c r="E53" s="5"/>
      <c r="F53" s="357"/>
      <c r="G53" s="357"/>
      <c r="H53" s="357"/>
      <c r="I53" s="357"/>
      <c r="J53" s="357"/>
      <c r="K53" s="357"/>
      <c r="L53" s="357"/>
      <c r="M53" s="357"/>
      <c r="N53" s="357"/>
      <c r="O53" s="357"/>
      <c r="P53" s="357"/>
      <c r="Q53" s="357"/>
      <c r="R53" s="357"/>
      <c r="S53" s="357"/>
      <c r="T53" s="357"/>
      <c r="U53" s="357"/>
      <c r="V53" s="357"/>
      <c r="W53" s="357"/>
      <c r="X53" s="357"/>
      <c r="Y53" s="357"/>
      <c r="Z53" s="357"/>
    </row>
    <row r="54" ht="12.75" customHeight="1">
      <c r="A54" s="5"/>
      <c r="B54" s="5"/>
      <c r="C54" s="5"/>
      <c r="D54" s="5"/>
      <c r="E54" s="5"/>
      <c r="F54" s="357"/>
      <c r="G54" s="357"/>
      <c r="H54" s="357"/>
      <c r="I54" s="357"/>
      <c r="J54" s="357"/>
      <c r="K54" s="357"/>
      <c r="L54" s="357"/>
      <c r="M54" s="357"/>
      <c r="N54" s="357"/>
      <c r="O54" s="357"/>
      <c r="P54" s="357"/>
      <c r="Q54" s="357"/>
      <c r="R54" s="357"/>
      <c r="S54" s="357"/>
      <c r="T54" s="357"/>
      <c r="U54" s="357"/>
      <c r="V54" s="357"/>
      <c r="W54" s="357"/>
      <c r="X54" s="357"/>
      <c r="Y54" s="357"/>
      <c r="Z54" s="357"/>
    </row>
    <row r="55" ht="12.75" customHeight="1">
      <c r="A55" s="5"/>
      <c r="B55" s="5"/>
      <c r="C55" s="5"/>
      <c r="D55" s="5"/>
      <c r="E55" s="5"/>
      <c r="F55" s="357"/>
      <c r="G55" s="357"/>
      <c r="H55" s="357"/>
      <c r="I55" s="357"/>
      <c r="J55" s="357"/>
      <c r="K55" s="357"/>
      <c r="L55" s="357"/>
      <c r="M55" s="357"/>
      <c r="N55" s="357"/>
      <c r="O55" s="357"/>
      <c r="P55" s="357"/>
      <c r="Q55" s="357"/>
      <c r="R55" s="357"/>
      <c r="S55" s="357"/>
      <c r="T55" s="357"/>
      <c r="U55" s="357"/>
      <c r="V55" s="357"/>
      <c r="W55" s="357"/>
      <c r="X55" s="357"/>
      <c r="Y55" s="357"/>
      <c r="Z55" s="357"/>
    </row>
    <row r="56" ht="12.75" customHeight="1">
      <c r="A56" s="5"/>
      <c r="B56" s="5"/>
      <c r="C56" s="5"/>
      <c r="D56" s="5"/>
      <c r="E56" s="5"/>
      <c r="F56" s="357"/>
      <c r="G56" s="357"/>
      <c r="H56" s="357"/>
      <c r="I56" s="357"/>
      <c r="J56" s="357"/>
      <c r="K56" s="357"/>
      <c r="L56" s="357"/>
      <c r="M56" s="357"/>
      <c r="N56" s="357"/>
      <c r="O56" s="357"/>
      <c r="P56" s="357"/>
      <c r="Q56" s="357"/>
      <c r="R56" s="357"/>
      <c r="S56" s="357"/>
      <c r="T56" s="357"/>
      <c r="U56" s="357"/>
      <c r="V56" s="357"/>
      <c r="W56" s="357"/>
      <c r="X56" s="357"/>
      <c r="Y56" s="357"/>
      <c r="Z56" s="357"/>
    </row>
    <row r="57" ht="12.75" customHeight="1">
      <c r="A57" s="5"/>
      <c r="B57" s="5"/>
      <c r="C57" s="5"/>
      <c r="D57" s="5"/>
      <c r="E57" s="5"/>
      <c r="F57" s="357"/>
      <c r="G57" s="357"/>
      <c r="H57" s="357"/>
      <c r="I57" s="357"/>
      <c r="J57" s="357"/>
      <c r="K57" s="357"/>
      <c r="L57" s="357"/>
      <c r="M57" s="357"/>
      <c r="N57" s="357"/>
      <c r="O57" s="357"/>
      <c r="P57" s="357"/>
      <c r="Q57" s="357"/>
      <c r="R57" s="357"/>
      <c r="S57" s="357"/>
      <c r="T57" s="357"/>
      <c r="U57" s="357"/>
      <c r="V57" s="357"/>
      <c r="W57" s="357"/>
      <c r="X57" s="357"/>
      <c r="Y57" s="357"/>
      <c r="Z57" s="357"/>
    </row>
    <row r="58" ht="12.75" customHeight="1">
      <c r="A58" s="5"/>
      <c r="B58" s="5"/>
      <c r="C58" s="5"/>
      <c r="D58" s="5"/>
      <c r="E58" s="5"/>
      <c r="F58" s="357"/>
      <c r="G58" s="357"/>
      <c r="H58" s="357"/>
      <c r="I58" s="357"/>
      <c r="J58" s="357"/>
      <c r="K58" s="357"/>
      <c r="L58" s="357"/>
      <c r="M58" s="357"/>
      <c r="N58" s="357"/>
      <c r="O58" s="357"/>
      <c r="P58" s="357"/>
      <c r="Q58" s="357"/>
      <c r="R58" s="357"/>
      <c r="S58" s="357"/>
      <c r="T58" s="357"/>
      <c r="U58" s="357"/>
      <c r="V58" s="357"/>
      <c r="W58" s="357"/>
      <c r="X58" s="357"/>
      <c r="Y58" s="357"/>
      <c r="Z58" s="357"/>
    </row>
    <row r="59" ht="12.75" customHeight="1">
      <c r="A59" s="5"/>
      <c r="B59" s="5"/>
      <c r="C59" s="5"/>
      <c r="D59" s="5"/>
      <c r="E59" s="5"/>
      <c r="F59" s="357"/>
      <c r="G59" s="357"/>
      <c r="H59" s="357"/>
      <c r="I59" s="357"/>
      <c r="J59" s="357"/>
      <c r="K59" s="357"/>
      <c r="L59" s="357"/>
      <c r="M59" s="357"/>
      <c r="N59" s="357"/>
      <c r="O59" s="357"/>
      <c r="P59" s="357"/>
      <c r="Q59" s="357"/>
      <c r="R59" s="357"/>
      <c r="S59" s="357"/>
      <c r="T59" s="357"/>
      <c r="U59" s="357"/>
      <c r="V59" s="357"/>
      <c r="W59" s="357"/>
      <c r="X59" s="357"/>
      <c r="Y59" s="357"/>
      <c r="Z59" s="357"/>
    </row>
    <row r="60" ht="12.75" customHeight="1">
      <c r="A60" s="5"/>
      <c r="B60" s="5"/>
      <c r="C60" s="5"/>
      <c r="D60" s="5"/>
      <c r="E60" s="5"/>
      <c r="F60" s="357"/>
      <c r="G60" s="357"/>
      <c r="H60" s="357"/>
      <c r="I60" s="357"/>
      <c r="J60" s="357"/>
      <c r="K60" s="357"/>
      <c r="L60" s="357"/>
      <c r="M60" s="357"/>
      <c r="N60" s="357"/>
      <c r="O60" s="357"/>
      <c r="P60" s="357"/>
      <c r="Q60" s="357"/>
      <c r="R60" s="357"/>
      <c r="S60" s="357"/>
      <c r="T60" s="357"/>
      <c r="U60" s="357"/>
      <c r="V60" s="357"/>
      <c r="W60" s="357"/>
      <c r="X60" s="357"/>
      <c r="Y60" s="357"/>
      <c r="Z60" s="357"/>
    </row>
    <row r="61" ht="12.75" customHeight="1">
      <c r="A61" s="5"/>
      <c r="B61" s="5"/>
      <c r="C61" s="5"/>
      <c r="D61" s="5"/>
      <c r="E61" s="5"/>
      <c r="F61" s="357"/>
      <c r="G61" s="357"/>
      <c r="H61" s="357"/>
      <c r="I61" s="357"/>
      <c r="J61" s="357"/>
      <c r="K61" s="357"/>
      <c r="L61" s="357"/>
      <c r="M61" s="357"/>
      <c r="N61" s="357"/>
      <c r="O61" s="357"/>
      <c r="P61" s="357"/>
      <c r="Q61" s="357"/>
      <c r="R61" s="357"/>
      <c r="S61" s="357"/>
      <c r="T61" s="357"/>
      <c r="U61" s="357"/>
      <c r="V61" s="357"/>
      <c r="W61" s="357"/>
      <c r="X61" s="357"/>
      <c r="Y61" s="357"/>
      <c r="Z61" s="357"/>
    </row>
    <row r="62" ht="12.75" customHeight="1">
      <c r="A62" s="5"/>
      <c r="B62" s="5"/>
      <c r="C62" s="5"/>
      <c r="D62" s="5"/>
      <c r="E62" s="5"/>
      <c r="F62" s="357"/>
      <c r="G62" s="357"/>
      <c r="H62" s="357"/>
      <c r="I62" s="357"/>
      <c r="J62" s="357"/>
      <c r="K62" s="357"/>
      <c r="L62" s="357"/>
      <c r="M62" s="357"/>
      <c r="N62" s="357"/>
      <c r="O62" s="357"/>
      <c r="P62" s="357"/>
      <c r="Q62" s="357"/>
      <c r="R62" s="357"/>
      <c r="S62" s="357"/>
      <c r="T62" s="357"/>
      <c r="U62" s="357"/>
      <c r="V62" s="357"/>
      <c r="W62" s="357"/>
      <c r="X62" s="357"/>
      <c r="Y62" s="357"/>
      <c r="Z62" s="357"/>
    </row>
    <row r="63" ht="12.75" customHeight="1">
      <c r="A63" s="5"/>
      <c r="B63" s="5"/>
      <c r="C63" s="5"/>
      <c r="D63" s="5"/>
      <c r="E63" s="5"/>
      <c r="F63" s="357"/>
      <c r="G63" s="357"/>
      <c r="H63" s="357"/>
      <c r="I63" s="357"/>
      <c r="J63" s="357"/>
      <c r="K63" s="357"/>
      <c r="L63" s="357"/>
      <c r="M63" s="357"/>
      <c r="N63" s="357"/>
      <c r="O63" s="357"/>
      <c r="P63" s="357"/>
      <c r="Q63" s="357"/>
      <c r="R63" s="357"/>
      <c r="S63" s="357"/>
      <c r="T63" s="357"/>
      <c r="U63" s="357"/>
      <c r="V63" s="357"/>
      <c r="W63" s="357"/>
      <c r="X63" s="357"/>
      <c r="Y63" s="357"/>
      <c r="Z63" s="357"/>
    </row>
    <row r="64" ht="12.75" customHeight="1">
      <c r="A64" s="5"/>
      <c r="B64" s="5"/>
      <c r="C64" s="5"/>
      <c r="D64" s="5"/>
      <c r="E64" s="5"/>
      <c r="F64" s="357"/>
      <c r="G64" s="357"/>
      <c r="H64" s="357"/>
      <c r="I64" s="357"/>
      <c r="J64" s="357"/>
      <c r="K64" s="357"/>
      <c r="L64" s="357"/>
      <c r="M64" s="357"/>
      <c r="N64" s="357"/>
      <c r="O64" s="357"/>
      <c r="P64" s="357"/>
      <c r="Q64" s="357"/>
      <c r="R64" s="357"/>
      <c r="S64" s="357"/>
      <c r="T64" s="357"/>
      <c r="U64" s="357"/>
      <c r="V64" s="357"/>
      <c r="W64" s="357"/>
      <c r="X64" s="357"/>
      <c r="Y64" s="357"/>
      <c r="Z64" s="357"/>
    </row>
    <row r="65" ht="12.75" customHeight="1">
      <c r="A65" s="5"/>
      <c r="B65" s="5"/>
      <c r="C65" s="5"/>
      <c r="D65" s="5"/>
      <c r="E65" s="5"/>
      <c r="F65" s="357"/>
      <c r="G65" s="357"/>
      <c r="H65" s="357"/>
      <c r="I65" s="357"/>
      <c r="J65" s="357"/>
      <c r="K65" s="357"/>
      <c r="L65" s="357"/>
      <c r="M65" s="357"/>
      <c r="N65" s="357"/>
      <c r="O65" s="357"/>
      <c r="P65" s="357"/>
      <c r="Q65" s="357"/>
      <c r="R65" s="357"/>
      <c r="S65" s="357"/>
      <c r="T65" s="357"/>
      <c r="U65" s="357"/>
      <c r="V65" s="357"/>
      <c r="W65" s="357"/>
      <c r="X65" s="357"/>
      <c r="Y65" s="357"/>
      <c r="Z65" s="357"/>
    </row>
    <row r="66" ht="12.75" customHeight="1">
      <c r="A66" s="5"/>
      <c r="B66" s="5"/>
      <c r="C66" s="5"/>
      <c r="D66" s="5"/>
      <c r="E66" s="5"/>
      <c r="F66" s="357"/>
      <c r="G66" s="357"/>
      <c r="H66" s="357"/>
      <c r="I66" s="357"/>
      <c r="J66" s="357"/>
      <c r="K66" s="357"/>
      <c r="L66" s="357"/>
      <c r="M66" s="357"/>
      <c r="N66" s="357"/>
      <c r="O66" s="357"/>
      <c r="P66" s="357"/>
      <c r="Q66" s="357"/>
      <c r="R66" s="357"/>
      <c r="S66" s="357"/>
      <c r="T66" s="357"/>
      <c r="U66" s="357"/>
      <c r="V66" s="357"/>
      <c r="W66" s="357"/>
      <c r="X66" s="357"/>
      <c r="Y66" s="357"/>
      <c r="Z66" s="357"/>
    </row>
    <row r="67" ht="12.75" customHeight="1">
      <c r="A67" s="5"/>
      <c r="B67" s="5"/>
      <c r="C67" s="5"/>
      <c r="D67" s="5"/>
      <c r="E67" s="5"/>
      <c r="F67" s="357"/>
      <c r="G67" s="357"/>
      <c r="H67" s="357"/>
      <c r="I67" s="357"/>
      <c r="J67" s="357"/>
      <c r="K67" s="357"/>
      <c r="L67" s="357"/>
      <c r="M67" s="357"/>
      <c r="N67" s="357"/>
      <c r="O67" s="357"/>
      <c r="P67" s="357"/>
      <c r="Q67" s="357"/>
      <c r="R67" s="357"/>
      <c r="S67" s="357"/>
      <c r="T67" s="357"/>
      <c r="U67" s="357"/>
      <c r="V67" s="357"/>
      <c r="W67" s="357"/>
      <c r="X67" s="357"/>
      <c r="Y67" s="357"/>
      <c r="Z67" s="357"/>
    </row>
    <row r="68" ht="12.75" customHeight="1">
      <c r="A68" s="5"/>
      <c r="B68" s="5"/>
      <c r="C68" s="5"/>
      <c r="D68" s="5"/>
      <c r="E68" s="5"/>
      <c r="F68" s="357"/>
      <c r="G68" s="357"/>
      <c r="H68" s="357"/>
      <c r="I68" s="357"/>
      <c r="J68" s="357"/>
      <c r="K68" s="357"/>
      <c r="L68" s="357"/>
      <c r="M68" s="357"/>
      <c r="N68" s="357"/>
      <c r="O68" s="357"/>
      <c r="P68" s="357"/>
      <c r="Q68" s="357"/>
      <c r="R68" s="357"/>
      <c r="S68" s="357"/>
      <c r="T68" s="357"/>
      <c r="U68" s="357"/>
      <c r="V68" s="357"/>
      <c r="W68" s="357"/>
      <c r="X68" s="357"/>
      <c r="Y68" s="357"/>
      <c r="Z68" s="357"/>
    </row>
    <row r="69" ht="12.75" customHeight="1">
      <c r="A69" s="5"/>
      <c r="B69" s="5"/>
      <c r="C69" s="5"/>
      <c r="D69" s="5"/>
      <c r="E69" s="5"/>
      <c r="F69" s="357"/>
      <c r="G69" s="357"/>
      <c r="H69" s="357"/>
      <c r="I69" s="357"/>
      <c r="J69" s="357"/>
      <c r="K69" s="357"/>
      <c r="L69" s="357"/>
      <c r="M69" s="357"/>
      <c r="N69" s="357"/>
      <c r="O69" s="357"/>
      <c r="P69" s="357"/>
      <c r="Q69" s="357"/>
      <c r="R69" s="357"/>
      <c r="S69" s="357"/>
      <c r="T69" s="357"/>
      <c r="U69" s="357"/>
      <c r="V69" s="357"/>
      <c r="W69" s="357"/>
      <c r="X69" s="357"/>
      <c r="Y69" s="357"/>
      <c r="Z69" s="357"/>
    </row>
    <row r="70" ht="12.75" customHeight="1">
      <c r="A70" s="5"/>
      <c r="B70" s="5"/>
      <c r="C70" s="5"/>
      <c r="D70" s="5"/>
      <c r="E70" s="5"/>
      <c r="F70" s="357"/>
      <c r="G70" s="357"/>
      <c r="H70" s="357"/>
      <c r="I70" s="357"/>
      <c r="J70" s="357"/>
      <c r="K70" s="357"/>
      <c r="L70" s="357"/>
      <c r="M70" s="357"/>
      <c r="N70" s="357"/>
      <c r="O70" s="357"/>
      <c r="P70" s="357"/>
      <c r="Q70" s="357"/>
      <c r="R70" s="357"/>
      <c r="S70" s="357"/>
      <c r="T70" s="357"/>
      <c r="U70" s="357"/>
      <c r="V70" s="357"/>
      <c r="W70" s="357"/>
      <c r="X70" s="357"/>
      <c r="Y70" s="357"/>
      <c r="Z70" s="357"/>
    </row>
    <row r="71" ht="12.75" customHeight="1">
      <c r="A71" s="5"/>
      <c r="B71" s="5"/>
      <c r="C71" s="5"/>
      <c r="D71" s="5"/>
      <c r="E71" s="5"/>
      <c r="F71" s="357"/>
      <c r="G71" s="357"/>
      <c r="H71" s="357"/>
      <c r="I71" s="357"/>
      <c r="J71" s="357"/>
      <c r="K71" s="357"/>
      <c r="L71" s="357"/>
      <c r="M71" s="357"/>
      <c r="N71" s="357"/>
      <c r="O71" s="357"/>
      <c r="P71" s="357"/>
      <c r="Q71" s="357"/>
      <c r="R71" s="357"/>
      <c r="S71" s="357"/>
      <c r="T71" s="357"/>
      <c r="U71" s="357"/>
      <c r="V71" s="357"/>
      <c r="W71" s="357"/>
      <c r="X71" s="357"/>
      <c r="Y71" s="357"/>
      <c r="Z71" s="357"/>
    </row>
    <row r="72" ht="12.75" customHeight="1">
      <c r="A72" s="5"/>
      <c r="B72" s="5"/>
      <c r="C72" s="5"/>
      <c r="D72" s="5"/>
      <c r="E72" s="5"/>
      <c r="F72" s="357"/>
      <c r="G72" s="357"/>
      <c r="H72" s="357"/>
      <c r="I72" s="357"/>
      <c r="J72" s="357"/>
      <c r="K72" s="357"/>
      <c r="L72" s="357"/>
      <c r="M72" s="357"/>
      <c r="N72" s="357"/>
      <c r="O72" s="357"/>
      <c r="P72" s="357"/>
      <c r="Q72" s="357"/>
      <c r="R72" s="357"/>
      <c r="S72" s="357"/>
      <c r="T72" s="357"/>
      <c r="U72" s="357"/>
      <c r="V72" s="357"/>
      <c r="W72" s="357"/>
      <c r="X72" s="357"/>
      <c r="Y72" s="357"/>
      <c r="Z72" s="357"/>
    </row>
    <row r="73" ht="12.75" customHeight="1">
      <c r="A73" s="5"/>
      <c r="B73" s="5"/>
      <c r="C73" s="5"/>
      <c r="D73" s="5"/>
      <c r="E73" s="5"/>
      <c r="F73" s="357"/>
      <c r="G73" s="357"/>
      <c r="H73" s="357"/>
      <c r="I73" s="357"/>
      <c r="J73" s="357"/>
      <c r="K73" s="357"/>
      <c r="L73" s="357"/>
      <c r="M73" s="357"/>
      <c r="N73" s="357"/>
      <c r="O73" s="357"/>
      <c r="P73" s="357"/>
      <c r="Q73" s="357"/>
      <c r="R73" s="357"/>
      <c r="S73" s="357"/>
      <c r="T73" s="357"/>
      <c r="U73" s="357"/>
      <c r="V73" s="357"/>
      <c r="W73" s="357"/>
      <c r="X73" s="357"/>
      <c r="Y73" s="357"/>
      <c r="Z73" s="357"/>
    </row>
    <row r="74" ht="12.75" customHeight="1">
      <c r="A74" s="5"/>
      <c r="B74" s="5"/>
      <c r="C74" s="5"/>
      <c r="D74" s="5"/>
      <c r="E74" s="5"/>
      <c r="F74" s="357"/>
      <c r="G74" s="357"/>
      <c r="H74" s="357"/>
      <c r="I74" s="357"/>
      <c r="J74" s="357"/>
      <c r="K74" s="357"/>
      <c r="L74" s="357"/>
      <c r="M74" s="357"/>
      <c r="N74" s="357"/>
      <c r="O74" s="357"/>
      <c r="P74" s="357"/>
      <c r="Q74" s="357"/>
      <c r="R74" s="357"/>
      <c r="S74" s="357"/>
      <c r="T74" s="357"/>
      <c r="U74" s="357"/>
      <c r="V74" s="357"/>
      <c r="W74" s="357"/>
      <c r="X74" s="357"/>
      <c r="Y74" s="357"/>
      <c r="Z74" s="357"/>
    </row>
    <row r="75" ht="12.75" customHeight="1">
      <c r="A75" s="5"/>
      <c r="B75" s="5"/>
      <c r="C75" s="5"/>
      <c r="D75" s="5"/>
      <c r="E75" s="5"/>
      <c r="F75" s="357"/>
      <c r="G75" s="357"/>
      <c r="H75" s="357"/>
      <c r="I75" s="357"/>
      <c r="J75" s="357"/>
      <c r="K75" s="357"/>
      <c r="L75" s="357"/>
      <c r="M75" s="357"/>
      <c r="N75" s="357"/>
      <c r="O75" s="357"/>
      <c r="P75" s="357"/>
      <c r="Q75" s="357"/>
      <c r="R75" s="357"/>
      <c r="S75" s="357"/>
      <c r="T75" s="357"/>
      <c r="U75" s="357"/>
      <c r="V75" s="357"/>
      <c r="W75" s="357"/>
      <c r="X75" s="357"/>
      <c r="Y75" s="357"/>
      <c r="Z75" s="357"/>
    </row>
    <row r="76" ht="12.75" customHeight="1">
      <c r="A76" s="5"/>
      <c r="B76" s="5"/>
      <c r="C76" s="5"/>
      <c r="D76" s="5"/>
      <c r="E76" s="5"/>
      <c r="F76" s="357"/>
      <c r="G76" s="357"/>
      <c r="H76" s="357"/>
      <c r="I76" s="357"/>
      <c r="J76" s="357"/>
      <c r="K76" s="357"/>
      <c r="L76" s="357"/>
      <c r="M76" s="357"/>
      <c r="N76" s="357"/>
      <c r="O76" s="357"/>
      <c r="P76" s="357"/>
      <c r="Q76" s="357"/>
      <c r="R76" s="357"/>
      <c r="S76" s="357"/>
      <c r="T76" s="357"/>
      <c r="U76" s="357"/>
      <c r="V76" s="357"/>
      <c r="W76" s="357"/>
      <c r="X76" s="357"/>
      <c r="Y76" s="357"/>
      <c r="Z76" s="357"/>
    </row>
    <row r="77" ht="12.75" customHeight="1">
      <c r="A77" s="5"/>
      <c r="B77" s="5"/>
      <c r="C77" s="5"/>
      <c r="D77" s="5"/>
      <c r="E77" s="5"/>
      <c r="F77" s="357"/>
      <c r="G77" s="357"/>
      <c r="H77" s="357"/>
      <c r="I77" s="357"/>
      <c r="J77" s="357"/>
      <c r="K77" s="357"/>
      <c r="L77" s="357"/>
      <c r="M77" s="357"/>
      <c r="N77" s="357"/>
      <c r="O77" s="357"/>
      <c r="P77" s="357"/>
      <c r="Q77" s="357"/>
      <c r="R77" s="357"/>
      <c r="S77" s="357"/>
      <c r="T77" s="357"/>
      <c r="U77" s="357"/>
      <c r="V77" s="357"/>
      <c r="W77" s="357"/>
      <c r="X77" s="357"/>
      <c r="Y77" s="357"/>
      <c r="Z77" s="357"/>
    </row>
    <row r="78" ht="12.75" customHeight="1">
      <c r="A78" s="5"/>
      <c r="B78" s="5"/>
      <c r="C78" s="5"/>
      <c r="D78" s="5"/>
      <c r="E78" s="5"/>
      <c r="F78" s="357"/>
      <c r="G78" s="357"/>
      <c r="H78" s="357"/>
      <c r="I78" s="357"/>
      <c r="J78" s="357"/>
      <c r="K78" s="357"/>
      <c r="L78" s="357"/>
      <c r="M78" s="357"/>
      <c r="N78" s="357"/>
      <c r="O78" s="357"/>
      <c r="P78" s="357"/>
      <c r="Q78" s="357"/>
      <c r="R78" s="357"/>
      <c r="S78" s="357"/>
      <c r="T78" s="357"/>
      <c r="U78" s="357"/>
      <c r="V78" s="357"/>
      <c r="W78" s="357"/>
      <c r="X78" s="357"/>
      <c r="Y78" s="357"/>
      <c r="Z78" s="357"/>
    </row>
    <row r="79" ht="12.75" customHeight="1">
      <c r="A79" s="5"/>
      <c r="B79" s="5"/>
      <c r="C79" s="5"/>
      <c r="D79" s="5"/>
      <c r="E79" s="5"/>
      <c r="F79" s="357"/>
      <c r="G79" s="357"/>
      <c r="H79" s="357"/>
      <c r="I79" s="357"/>
      <c r="J79" s="357"/>
      <c r="K79" s="357"/>
      <c r="L79" s="357"/>
      <c r="M79" s="357"/>
      <c r="N79" s="357"/>
      <c r="O79" s="357"/>
      <c r="P79" s="357"/>
      <c r="Q79" s="357"/>
      <c r="R79" s="357"/>
      <c r="S79" s="357"/>
      <c r="T79" s="357"/>
      <c r="U79" s="357"/>
      <c r="V79" s="357"/>
      <c r="W79" s="357"/>
      <c r="X79" s="357"/>
      <c r="Y79" s="357"/>
      <c r="Z79" s="357"/>
    </row>
    <row r="80" ht="12.75" customHeight="1">
      <c r="A80" s="5"/>
      <c r="B80" s="5"/>
      <c r="C80" s="5"/>
      <c r="D80" s="5"/>
      <c r="E80" s="5"/>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5"/>
      <c r="B81" s="5"/>
      <c r="C81" s="5"/>
      <c r="D81" s="5"/>
      <c r="E81" s="5"/>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4.43" defaultRowHeight="15.0"/>
  <cols>
    <col customWidth="1" min="1" max="1" width="9.29"/>
    <col customWidth="1" min="2" max="2" width="2.29"/>
    <col customWidth="1" min="3" max="3" width="19.43"/>
    <col customWidth="1" min="4" max="8" width="11.71"/>
    <col customWidth="1" min="9" max="26" width="9.29"/>
  </cols>
  <sheetData>
    <row r="1" ht="12.75" customHeight="1">
      <c r="A1" s="1685"/>
      <c r="B1" s="1685"/>
      <c r="C1" s="1685"/>
      <c r="D1" s="357"/>
      <c r="E1" s="357"/>
      <c r="F1" s="357"/>
      <c r="G1" s="357"/>
      <c r="H1" s="357"/>
      <c r="I1" s="357"/>
      <c r="J1" s="357"/>
      <c r="K1" s="357"/>
      <c r="L1" s="357"/>
      <c r="M1" s="357"/>
      <c r="N1" s="357"/>
      <c r="O1" s="357"/>
      <c r="P1" s="357"/>
      <c r="Q1" s="357"/>
      <c r="R1" s="357"/>
      <c r="S1" s="357"/>
      <c r="T1" s="357"/>
      <c r="U1" s="357"/>
      <c r="V1" s="357"/>
      <c r="W1" s="357"/>
      <c r="X1" s="357"/>
      <c r="Y1" s="357"/>
      <c r="Z1" s="357"/>
    </row>
    <row r="2" ht="12.75" customHeight="1">
      <c r="A2" s="3"/>
      <c r="B2" s="1681"/>
      <c r="C2" s="1681"/>
      <c r="D2" s="357"/>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5"/>
      <c r="C6" s="5"/>
      <c r="D6" s="5"/>
      <c r="E6" s="5"/>
      <c r="F6" s="5"/>
      <c r="G6" s="5"/>
      <c r="H6" s="5"/>
      <c r="I6" s="5"/>
      <c r="J6" s="5"/>
      <c r="K6" s="5"/>
      <c r="L6" s="5"/>
      <c r="M6" s="5"/>
      <c r="N6" s="5"/>
      <c r="O6" s="5"/>
      <c r="P6" s="5"/>
      <c r="Q6" s="357"/>
      <c r="R6" s="357"/>
      <c r="S6" s="357"/>
      <c r="T6" s="357"/>
      <c r="U6" s="357"/>
      <c r="V6" s="357"/>
      <c r="W6" s="357"/>
      <c r="X6" s="357"/>
      <c r="Y6" s="357"/>
      <c r="Z6" s="357"/>
    </row>
    <row r="7" ht="12.75" customHeight="1">
      <c r="A7" s="5"/>
      <c r="B7" s="5"/>
      <c r="C7" s="5"/>
      <c r="D7" s="5"/>
      <c r="E7" s="5"/>
      <c r="F7" s="5"/>
      <c r="G7" s="5"/>
      <c r="H7" s="5"/>
      <c r="I7" s="5"/>
      <c r="J7" s="5"/>
      <c r="K7" s="5"/>
      <c r="L7" s="5"/>
      <c r="M7" s="5"/>
      <c r="N7" s="5"/>
      <c r="O7" s="5"/>
      <c r="P7" s="5"/>
      <c r="Q7" s="357"/>
      <c r="R7" s="357"/>
      <c r="S7" s="357"/>
      <c r="T7" s="357"/>
      <c r="U7" s="357"/>
      <c r="V7" s="357"/>
      <c r="W7" s="357"/>
      <c r="X7" s="357"/>
      <c r="Y7" s="357"/>
      <c r="Z7" s="357"/>
    </row>
    <row r="8" ht="12.75" customHeight="1">
      <c r="A8" s="5"/>
      <c r="B8" s="5"/>
      <c r="C8" s="357"/>
      <c r="D8" s="357"/>
      <c r="E8" s="357"/>
      <c r="F8" s="357"/>
      <c r="G8" s="357"/>
      <c r="H8" s="357"/>
      <c r="I8" s="5"/>
      <c r="J8" s="5"/>
      <c r="K8" s="5"/>
      <c r="L8" s="5"/>
      <c r="M8" s="5"/>
      <c r="N8" s="5"/>
      <c r="O8" s="5"/>
      <c r="P8" s="5"/>
      <c r="Q8" s="357"/>
      <c r="R8" s="357"/>
      <c r="S8" s="357"/>
      <c r="T8" s="357"/>
      <c r="U8" s="357"/>
      <c r="V8" s="357"/>
      <c r="W8" s="357"/>
      <c r="X8" s="357"/>
      <c r="Y8" s="357"/>
      <c r="Z8" s="357"/>
    </row>
    <row r="9" ht="12.75" customHeight="1">
      <c r="A9" s="5"/>
      <c r="B9" s="5"/>
      <c r="C9" s="357" t="s">
        <v>1504</v>
      </c>
      <c r="D9" s="357"/>
      <c r="E9" s="357"/>
      <c r="F9" s="357"/>
      <c r="G9" s="357"/>
      <c r="H9" s="357"/>
      <c r="I9" s="5"/>
      <c r="J9" s="5"/>
      <c r="K9" s="5"/>
      <c r="L9" s="5"/>
      <c r="M9" s="5"/>
      <c r="N9" s="5"/>
      <c r="O9" s="5"/>
      <c r="P9" s="5"/>
      <c r="Q9" s="357"/>
      <c r="R9" s="357"/>
      <c r="S9" s="357"/>
      <c r="T9" s="357"/>
      <c r="U9" s="357"/>
      <c r="V9" s="357"/>
      <c r="W9" s="357"/>
      <c r="X9" s="357"/>
      <c r="Y9" s="357"/>
      <c r="Z9" s="357"/>
    </row>
    <row r="10" ht="12.75" customHeight="1">
      <c r="A10" s="5"/>
      <c r="B10" s="5"/>
      <c r="C10" s="357"/>
      <c r="D10" s="357"/>
      <c r="E10" s="357"/>
      <c r="F10" s="357"/>
      <c r="G10" s="357"/>
      <c r="H10" s="357"/>
      <c r="I10" s="5"/>
      <c r="J10" s="5"/>
      <c r="K10" s="5"/>
      <c r="L10" s="5"/>
      <c r="M10" s="5"/>
      <c r="N10" s="5"/>
      <c r="O10" s="5"/>
      <c r="P10" s="5"/>
      <c r="Q10" s="357"/>
      <c r="R10" s="357"/>
      <c r="S10" s="357"/>
      <c r="T10" s="357"/>
      <c r="U10" s="357"/>
      <c r="V10" s="357"/>
      <c r="W10" s="357"/>
      <c r="X10" s="357"/>
      <c r="Y10" s="357"/>
      <c r="Z10" s="357"/>
    </row>
    <row r="11" ht="12.75" customHeight="1">
      <c r="A11" s="5"/>
      <c r="B11" s="5"/>
      <c r="C11" s="357"/>
      <c r="D11" s="357"/>
      <c r="E11" s="357"/>
      <c r="F11" s="357"/>
      <c r="G11" s="357"/>
      <c r="H11" s="357"/>
      <c r="I11" s="5"/>
      <c r="J11" s="5"/>
      <c r="K11" s="5"/>
      <c r="L11" s="5"/>
      <c r="M11" s="5"/>
      <c r="N11" s="5"/>
      <c r="O11" s="5"/>
      <c r="P11" s="5"/>
      <c r="Q11" s="357"/>
      <c r="R11" s="357"/>
      <c r="S11" s="357"/>
      <c r="T11" s="357"/>
      <c r="U11" s="357"/>
      <c r="V11" s="357"/>
      <c r="W11" s="357"/>
      <c r="X11" s="357"/>
      <c r="Y11" s="357"/>
      <c r="Z11" s="357"/>
    </row>
    <row r="12" ht="12.75" customHeight="1">
      <c r="A12" s="5"/>
      <c r="B12" s="5"/>
      <c r="C12" s="357"/>
      <c r="D12" s="357"/>
      <c r="E12" s="357"/>
      <c r="F12" s="357"/>
      <c r="G12" s="357"/>
      <c r="H12" s="357"/>
      <c r="I12" s="5"/>
      <c r="J12" s="5"/>
      <c r="K12" s="5"/>
      <c r="L12" s="5"/>
      <c r="M12" s="5"/>
      <c r="N12" s="5"/>
      <c r="O12" s="5"/>
      <c r="P12" s="5"/>
      <c r="Q12" s="357"/>
      <c r="R12" s="357"/>
      <c r="S12" s="357"/>
      <c r="T12" s="357"/>
      <c r="U12" s="357"/>
      <c r="V12" s="357"/>
      <c r="W12" s="357"/>
      <c r="X12" s="357"/>
      <c r="Y12" s="357"/>
      <c r="Z12" s="357"/>
    </row>
    <row r="13" ht="12.75" customHeight="1">
      <c r="A13" s="5"/>
      <c r="B13" s="5"/>
      <c r="C13" s="357"/>
      <c r="D13" s="357"/>
      <c r="E13" s="357"/>
      <c r="F13" s="357"/>
      <c r="G13" s="357"/>
      <c r="H13" s="357"/>
      <c r="I13" s="5"/>
      <c r="J13" s="5"/>
      <c r="K13" s="5"/>
      <c r="L13" s="5"/>
      <c r="M13" s="5"/>
      <c r="N13" s="5"/>
      <c r="O13" s="5"/>
      <c r="P13" s="5"/>
      <c r="Q13" s="357"/>
      <c r="R13" s="357"/>
      <c r="S13" s="357"/>
      <c r="T13" s="357"/>
      <c r="U13" s="357"/>
      <c r="V13" s="357"/>
      <c r="W13" s="357"/>
      <c r="X13" s="357"/>
      <c r="Y13" s="357"/>
      <c r="Z13" s="357"/>
    </row>
    <row r="14" ht="12.75" customHeight="1">
      <c r="A14" s="5"/>
      <c r="B14" s="5"/>
      <c r="C14" s="357"/>
      <c r="D14" s="357"/>
      <c r="E14" s="357"/>
      <c r="F14" s="357"/>
      <c r="G14" s="357"/>
      <c r="H14" s="357"/>
      <c r="I14" s="5"/>
      <c r="J14" s="5"/>
      <c r="K14" s="5"/>
      <c r="L14" s="5"/>
      <c r="M14" s="5"/>
      <c r="N14" s="5"/>
      <c r="O14" s="5"/>
      <c r="P14" s="5"/>
      <c r="Q14" s="357"/>
      <c r="R14" s="357"/>
      <c r="S14" s="357"/>
      <c r="T14" s="357"/>
      <c r="U14" s="357"/>
      <c r="V14" s="357"/>
      <c r="W14" s="357"/>
      <c r="X14" s="357"/>
      <c r="Y14" s="357"/>
      <c r="Z14" s="357"/>
    </row>
    <row r="15" ht="12.75" customHeight="1">
      <c r="A15" s="5"/>
      <c r="B15" s="5"/>
      <c r="C15" s="357"/>
      <c r="D15" s="357"/>
      <c r="E15" s="357"/>
      <c r="F15" s="357"/>
      <c r="G15" s="357"/>
      <c r="H15" s="357"/>
      <c r="I15" s="5"/>
      <c r="J15" s="5"/>
      <c r="K15" s="5"/>
      <c r="L15" s="5"/>
      <c r="M15" s="5"/>
      <c r="N15" s="5"/>
      <c r="O15" s="5"/>
      <c r="P15" s="5"/>
      <c r="Q15" s="357"/>
      <c r="R15" s="357"/>
      <c r="S15" s="357"/>
      <c r="T15" s="357"/>
      <c r="U15" s="357"/>
      <c r="V15" s="357"/>
      <c r="W15" s="357"/>
      <c r="X15" s="357"/>
      <c r="Y15" s="357"/>
      <c r="Z15" s="357"/>
    </row>
    <row r="16" ht="12.75" customHeight="1">
      <c r="A16" s="5"/>
      <c r="B16" s="5"/>
      <c r="C16" s="357"/>
      <c r="D16" s="357"/>
      <c r="E16" s="357"/>
      <c r="F16" s="357"/>
      <c r="G16" s="357"/>
      <c r="H16" s="357"/>
      <c r="I16" s="5"/>
      <c r="J16" s="5"/>
      <c r="K16" s="5"/>
      <c r="L16" s="5"/>
      <c r="M16" s="5"/>
      <c r="N16" s="5"/>
      <c r="O16" s="5"/>
      <c r="P16" s="5"/>
      <c r="Q16" s="357"/>
      <c r="R16" s="357"/>
      <c r="S16" s="357"/>
      <c r="T16" s="357"/>
      <c r="U16" s="357"/>
      <c r="V16" s="357"/>
      <c r="W16" s="357"/>
      <c r="X16" s="357"/>
      <c r="Y16" s="357"/>
      <c r="Z16" s="357"/>
    </row>
    <row r="17" ht="12.75" customHeight="1">
      <c r="A17" s="5"/>
      <c r="B17" s="5"/>
      <c r="C17" s="5"/>
      <c r="D17" s="5"/>
      <c r="E17" s="5"/>
      <c r="F17" s="5"/>
      <c r="G17" s="5"/>
      <c r="H17" s="5"/>
      <c r="I17" s="5"/>
      <c r="J17" s="5"/>
      <c r="K17" s="5"/>
      <c r="L17" s="5"/>
      <c r="M17" s="5"/>
      <c r="N17" s="5"/>
      <c r="O17" s="5"/>
      <c r="P17" s="5"/>
      <c r="Q17" s="357"/>
      <c r="R17" s="357"/>
      <c r="S17" s="357"/>
      <c r="T17" s="357"/>
      <c r="U17" s="357"/>
      <c r="V17" s="357"/>
      <c r="W17" s="357"/>
      <c r="X17" s="357"/>
      <c r="Y17" s="357"/>
      <c r="Z17" s="357"/>
    </row>
    <row r="18" ht="12.75" customHeight="1">
      <c r="A18" s="5"/>
      <c r="B18" s="5"/>
      <c r="C18" s="5"/>
      <c r="D18" s="5"/>
      <c r="E18" s="5"/>
      <c r="F18" s="5"/>
      <c r="G18" s="5"/>
      <c r="H18" s="5"/>
      <c r="I18" s="5"/>
      <c r="J18" s="5"/>
      <c r="K18" s="5"/>
      <c r="L18" s="5"/>
      <c r="M18" s="5"/>
      <c r="N18" s="5"/>
      <c r="O18" s="5"/>
      <c r="P18" s="5"/>
      <c r="Q18" s="357"/>
      <c r="R18" s="357"/>
      <c r="S18" s="357"/>
      <c r="T18" s="357"/>
      <c r="U18" s="357"/>
      <c r="V18" s="357"/>
      <c r="W18" s="357"/>
      <c r="X18" s="357"/>
      <c r="Y18" s="357"/>
      <c r="Z18" s="357"/>
    </row>
    <row r="19" ht="12.75" customHeight="1">
      <c r="A19" s="5"/>
      <c r="B19" s="5"/>
      <c r="C19" s="5"/>
      <c r="D19" s="5"/>
      <c r="E19" s="5"/>
      <c r="F19" s="5"/>
      <c r="G19" s="5"/>
      <c r="H19" s="5"/>
      <c r="I19" s="5"/>
      <c r="J19" s="5"/>
      <c r="K19" s="5"/>
      <c r="L19" s="5"/>
      <c r="M19" s="5"/>
      <c r="N19" s="5"/>
      <c r="O19" s="5"/>
      <c r="P19" s="5"/>
      <c r="Q19" s="357"/>
      <c r="R19" s="357"/>
      <c r="S19" s="357"/>
      <c r="T19" s="357"/>
      <c r="U19" s="357"/>
      <c r="V19" s="357"/>
      <c r="W19" s="357"/>
      <c r="X19" s="357"/>
      <c r="Y19" s="357"/>
      <c r="Z19" s="357"/>
    </row>
    <row r="20" ht="12.75" customHeight="1">
      <c r="A20" s="5"/>
      <c r="B20" s="5"/>
      <c r="C20" s="5"/>
      <c r="D20" s="5"/>
      <c r="E20" s="5"/>
      <c r="F20" s="5"/>
      <c r="G20" s="5"/>
      <c r="H20" s="5"/>
      <c r="I20" s="5"/>
      <c r="J20" s="5"/>
      <c r="K20" s="5"/>
      <c r="L20" s="5"/>
      <c r="M20" s="5"/>
      <c r="N20" s="5"/>
      <c r="O20" s="5"/>
      <c r="P20" s="5"/>
      <c r="Q20" s="357"/>
      <c r="R20" s="357"/>
      <c r="S20" s="357"/>
      <c r="T20" s="357"/>
      <c r="U20" s="357"/>
      <c r="V20" s="357"/>
      <c r="W20" s="357"/>
      <c r="X20" s="357"/>
      <c r="Y20" s="357"/>
      <c r="Z20" s="357"/>
    </row>
    <row r="21" ht="12.75" customHeight="1">
      <c r="A21" s="5"/>
      <c r="B21" s="5"/>
      <c r="C21" s="5"/>
      <c r="D21" s="5"/>
      <c r="E21" s="5"/>
      <c r="F21" s="5"/>
      <c r="G21" s="5"/>
      <c r="H21" s="5"/>
      <c r="I21" s="5"/>
      <c r="J21" s="5"/>
      <c r="K21" s="5"/>
      <c r="L21" s="5"/>
      <c r="M21" s="5"/>
      <c r="N21" s="5"/>
      <c r="O21" s="5"/>
      <c r="P21" s="5"/>
      <c r="Q21" s="357"/>
      <c r="R21" s="357"/>
      <c r="S21" s="357"/>
      <c r="T21" s="357"/>
      <c r="U21" s="357"/>
      <c r="V21" s="357"/>
      <c r="W21" s="357"/>
      <c r="X21" s="357"/>
      <c r="Y21" s="357"/>
      <c r="Z21" s="357"/>
    </row>
    <row r="22" ht="12.75" customHeight="1">
      <c r="A22" s="5"/>
      <c r="B22" s="5"/>
      <c r="C22" s="5"/>
      <c r="D22" s="5"/>
      <c r="E22" s="5"/>
      <c r="F22" s="5"/>
      <c r="G22" s="5"/>
      <c r="H22" s="5"/>
      <c r="I22" s="5"/>
      <c r="J22" s="5"/>
      <c r="K22" s="5"/>
      <c r="L22" s="5"/>
      <c r="M22" s="5"/>
      <c r="N22" s="5"/>
      <c r="O22" s="5"/>
      <c r="P22" s="5"/>
      <c r="Q22" s="357"/>
      <c r="R22" s="357"/>
      <c r="S22" s="357"/>
      <c r="T22" s="357"/>
      <c r="U22" s="357"/>
      <c r="V22" s="357"/>
      <c r="W22" s="357"/>
      <c r="X22" s="357"/>
      <c r="Y22" s="357"/>
      <c r="Z22" s="357"/>
    </row>
    <row r="23" ht="12.75" customHeight="1">
      <c r="A23" s="5"/>
      <c r="B23" s="5"/>
      <c r="C23" s="5"/>
      <c r="D23" s="5"/>
      <c r="E23" s="5"/>
      <c r="F23" s="5"/>
      <c r="G23" s="5"/>
      <c r="H23" s="5"/>
      <c r="I23" s="5"/>
      <c r="J23" s="5"/>
      <c r="K23" s="5"/>
      <c r="L23" s="5"/>
      <c r="M23" s="5"/>
      <c r="N23" s="5"/>
      <c r="O23" s="5"/>
      <c r="P23" s="5"/>
      <c r="Q23" s="357"/>
      <c r="R23" s="357"/>
      <c r="S23" s="357"/>
      <c r="T23" s="357"/>
      <c r="U23" s="357"/>
      <c r="V23" s="357"/>
      <c r="W23" s="357"/>
      <c r="X23" s="357"/>
      <c r="Y23" s="357"/>
      <c r="Z23" s="357"/>
    </row>
    <row r="24" ht="12.75" customHeight="1">
      <c r="A24" s="5"/>
      <c r="B24" s="5"/>
      <c r="C24" s="5"/>
      <c r="D24" s="5"/>
      <c r="E24" s="5"/>
      <c r="F24" s="5"/>
      <c r="G24" s="5"/>
      <c r="H24" s="5"/>
      <c r="I24" s="5"/>
      <c r="J24" s="5"/>
      <c r="K24" s="5"/>
      <c r="L24" s="5"/>
      <c r="M24" s="5"/>
      <c r="N24" s="5"/>
      <c r="O24" s="5"/>
      <c r="P24" s="5"/>
      <c r="Q24" s="357"/>
      <c r="R24" s="357"/>
      <c r="S24" s="357"/>
      <c r="T24" s="357"/>
      <c r="U24" s="357"/>
      <c r="V24" s="357"/>
      <c r="W24" s="357"/>
      <c r="X24" s="357"/>
      <c r="Y24" s="357"/>
      <c r="Z24" s="357"/>
    </row>
    <row r="25" ht="12.75" customHeight="1">
      <c r="A25" s="5"/>
      <c r="B25" s="5"/>
      <c r="C25" s="5"/>
      <c r="D25" s="5"/>
      <c r="E25" s="5"/>
      <c r="F25" s="5"/>
      <c r="G25" s="5"/>
      <c r="H25" s="5"/>
      <c r="I25" s="5"/>
      <c r="J25" s="5"/>
      <c r="K25" s="5"/>
      <c r="L25" s="5"/>
      <c r="M25" s="5"/>
      <c r="N25" s="5"/>
      <c r="O25" s="5"/>
      <c r="P25" s="5"/>
      <c r="Q25" s="357"/>
      <c r="R25" s="357"/>
      <c r="S25" s="357"/>
      <c r="T25" s="357"/>
      <c r="U25" s="357"/>
      <c r="V25" s="357"/>
      <c r="W25" s="357"/>
      <c r="X25" s="357"/>
      <c r="Y25" s="357"/>
      <c r="Z25" s="357"/>
    </row>
    <row r="26" ht="12.75" customHeight="1">
      <c r="A26" s="5"/>
      <c r="B26" s="5"/>
      <c r="C26" s="5"/>
      <c r="D26" s="5"/>
      <c r="E26" s="5"/>
      <c r="F26" s="5"/>
      <c r="G26" s="5"/>
      <c r="H26" s="5"/>
      <c r="I26" s="5"/>
      <c r="J26" s="5"/>
      <c r="K26" s="5"/>
      <c r="L26" s="5"/>
      <c r="M26" s="5"/>
      <c r="N26" s="5"/>
      <c r="O26" s="5"/>
      <c r="P26" s="5"/>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5"/>
      <c r="P27" s="5"/>
      <c r="Q27" s="357"/>
      <c r="R27" s="357"/>
      <c r="S27" s="357"/>
      <c r="T27" s="357"/>
      <c r="U27" s="357"/>
      <c r="V27" s="357"/>
      <c r="W27" s="357"/>
      <c r="X27" s="357"/>
      <c r="Y27" s="357"/>
      <c r="Z27" s="357"/>
    </row>
    <row r="28" ht="12.75" customHeight="1">
      <c r="A28" s="5"/>
      <c r="B28" s="5"/>
      <c r="C28" s="5"/>
      <c r="D28" s="5"/>
      <c r="E28" s="5"/>
      <c r="F28" s="5"/>
      <c r="G28" s="5"/>
      <c r="H28" s="5"/>
      <c r="I28" s="5"/>
      <c r="J28" s="5"/>
      <c r="K28" s="5"/>
      <c r="L28" s="5"/>
      <c r="M28" s="5"/>
      <c r="N28" s="5"/>
      <c r="O28" s="5"/>
      <c r="P28" s="5"/>
      <c r="Q28" s="357"/>
      <c r="R28" s="357"/>
      <c r="S28" s="357"/>
      <c r="T28" s="357"/>
      <c r="U28" s="357"/>
      <c r="V28" s="357"/>
      <c r="W28" s="357"/>
      <c r="X28" s="357"/>
      <c r="Y28" s="357"/>
      <c r="Z28" s="357"/>
    </row>
    <row r="29" ht="12.75" customHeight="1">
      <c r="A29" s="5"/>
      <c r="B29" s="5"/>
      <c r="C29" s="5"/>
      <c r="D29" s="5"/>
      <c r="E29" s="5"/>
      <c r="F29" s="5"/>
      <c r="G29" s="5"/>
      <c r="H29" s="5"/>
      <c r="I29" s="5"/>
      <c r="J29" s="5"/>
      <c r="K29" s="5"/>
      <c r="L29" s="5"/>
      <c r="M29" s="5"/>
      <c r="N29" s="5"/>
      <c r="O29" s="5"/>
      <c r="P29" s="5"/>
      <c r="Q29" s="357"/>
      <c r="R29" s="357"/>
      <c r="S29" s="357"/>
      <c r="T29" s="357"/>
      <c r="U29" s="357"/>
      <c r="V29" s="357"/>
      <c r="W29" s="357"/>
      <c r="X29" s="357"/>
      <c r="Y29" s="357"/>
      <c r="Z29" s="357"/>
    </row>
    <row r="30" ht="12.75" customHeight="1">
      <c r="A30" s="5"/>
      <c r="B30" s="5"/>
      <c r="C30" s="5"/>
      <c r="D30" s="5"/>
      <c r="E30" s="5"/>
      <c r="F30" s="5"/>
      <c r="G30" s="5"/>
      <c r="H30" s="5"/>
      <c r="I30" s="5"/>
      <c r="J30" s="5"/>
      <c r="K30" s="5"/>
      <c r="L30" s="5"/>
      <c r="M30" s="5"/>
      <c r="N30" s="5"/>
      <c r="O30" s="5"/>
      <c r="P30" s="5"/>
      <c r="Q30" s="357"/>
      <c r="R30" s="357"/>
      <c r="S30" s="357"/>
      <c r="T30" s="357"/>
      <c r="U30" s="357"/>
      <c r="V30" s="357"/>
      <c r="W30" s="357"/>
      <c r="X30" s="357"/>
      <c r="Y30" s="357"/>
      <c r="Z30" s="357"/>
    </row>
    <row r="31" ht="12.75" customHeight="1">
      <c r="A31" s="5"/>
      <c r="B31" s="5"/>
      <c r="C31" s="5"/>
      <c r="D31" s="5"/>
      <c r="E31" s="5"/>
      <c r="F31" s="5"/>
      <c r="G31" s="5"/>
      <c r="H31" s="5"/>
      <c r="I31" s="5"/>
      <c r="J31" s="5"/>
      <c r="K31" s="5"/>
      <c r="L31" s="5"/>
      <c r="M31" s="5"/>
      <c r="N31" s="5"/>
      <c r="O31" s="5"/>
      <c r="P31" s="5"/>
      <c r="Q31" s="357"/>
      <c r="R31" s="357"/>
      <c r="S31" s="357"/>
      <c r="T31" s="357"/>
      <c r="U31" s="357"/>
      <c r="V31" s="357"/>
      <c r="W31" s="357"/>
      <c r="X31" s="357"/>
      <c r="Y31" s="357"/>
      <c r="Z31" s="357"/>
    </row>
    <row r="32" ht="12.75" customHeight="1">
      <c r="A32" s="5"/>
      <c r="B32" s="5"/>
      <c r="C32" s="5"/>
      <c r="D32" s="5"/>
      <c r="E32" s="5"/>
      <c r="F32" s="5"/>
      <c r="G32" s="5"/>
      <c r="H32" s="5"/>
      <c r="I32" s="5"/>
      <c r="J32" s="5"/>
      <c r="K32" s="5"/>
      <c r="L32" s="5"/>
      <c r="M32" s="5"/>
      <c r="N32" s="5"/>
      <c r="O32" s="5"/>
      <c r="P32" s="5"/>
      <c r="Q32" s="357"/>
      <c r="R32" s="357"/>
      <c r="S32" s="357"/>
      <c r="T32" s="357"/>
      <c r="U32" s="357"/>
      <c r="V32" s="357"/>
      <c r="W32" s="357"/>
      <c r="X32" s="357"/>
      <c r="Y32" s="357"/>
      <c r="Z32" s="357"/>
    </row>
    <row r="33" ht="12.75" customHeight="1">
      <c r="A33" s="5"/>
      <c r="B33" s="5"/>
      <c r="C33" s="5"/>
      <c r="D33" s="5"/>
      <c r="E33" s="5"/>
      <c r="F33" s="5"/>
      <c r="G33" s="5"/>
      <c r="H33" s="5"/>
      <c r="I33" s="5"/>
      <c r="J33" s="5"/>
      <c r="K33" s="5"/>
      <c r="L33" s="5"/>
      <c r="M33" s="5"/>
      <c r="N33" s="5"/>
      <c r="O33" s="5"/>
      <c r="P33" s="5"/>
      <c r="Q33" s="357"/>
      <c r="R33" s="357"/>
      <c r="S33" s="357"/>
      <c r="T33" s="357"/>
      <c r="U33" s="357"/>
      <c r="V33" s="357"/>
      <c r="W33" s="357"/>
      <c r="X33" s="357"/>
      <c r="Y33" s="357"/>
      <c r="Z33" s="357"/>
    </row>
    <row r="34" ht="12.75" customHeight="1">
      <c r="A34" s="5"/>
      <c r="B34" s="5"/>
      <c r="C34" s="5"/>
      <c r="D34" s="5"/>
      <c r="E34" s="5"/>
      <c r="F34" s="5"/>
      <c r="G34" s="5"/>
      <c r="H34" s="5"/>
      <c r="I34" s="5"/>
      <c r="J34" s="5"/>
      <c r="K34" s="5"/>
      <c r="L34" s="5"/>
      <c r="M34" s="5"/>
      <c r="N34" s="5"/>
      <c r="O34" s="5"/>
      <c r="P34" s="5"/>
      <c r="Q34" s="357"/>
      <c r="R34" s="357"/>
      <c r="S34" s="357"/>
      <c r="T34" s="357"/>
      <c r="U34" s="357"/>
      <c r="V34" s="357"/>
      <c r="W34" s="357"/>
      <c r="X34" s="357"/>
      <c r="Y34" s="357"/>
      <c r="Z34" s="357"/>
    </row>
    <row r="35" ht="12.75" customHeight="1">
      <c r="A35" s="5"/>
      <c r="B35" s="5"/>
      <c r="C35" s="5"/>
      <c r="D35" s="5"/>
      <c r="E35" s="5"/>
      <c r="F35" s="5"/>
      <c r="G35" s="5"/>
      <c r="H35" s="5"/>
      <c r="I35" s="5"/>
      <c r="J35" s="5"/>
      <c r="K35" s="5"/>
      <c r="L35" s="5"/>
      <c r="M35" s="5"/>
      <c r="N35" s="5"/>
      <c r="O35" s="5"/>
      <c r="P35" s="5"/>
      <c r="Q35" s="357"/>
      <c r="R35" s="357"/>
      <c r="S35" s="357"/>
      <c r="T35" s="357"/>
      <c r="U35" s="357"/>
      <c r="V35" s="357"/>
      <c r="W35" s="357"/>
      <c r="X35" s="357"/>
      <c r="Y35" s="357"/>
      <c r="Z35" s="357"/>
    </row>
    <row r="36" ht="12.75" customHeight="1">
      <c r="A36" s="5"/>
      <c r="B36" s="5"/>
      <c r="C36" s="5"/>
      <c r="D36" s="5"/>
      <c r="E36" s="5"/>
      <c r="F36" s="5"/>
      <c r="G36" s="5"/>
      <c r="H36" s="5"/>
      <c r="I36" s="5"/>
      <c r="J36" s="5"/>
      <c r="K36" s="5"/>
      <c r="L36" s="5"/>
      <c r="M36" s="5"/>
      <c r="N36" s="5"/>
      <c r="O36" s="5"/>
      <c r="P36" s="5"/>
      <c r="Q36" s="357"/>
      <c r="R36" s="357"/>
      <c r="S36" s="357"/>
      <c r="T36" s="357"/>
      <c r="U36" s="357"/>
      <c r="V36" s="357"/>
      <c r="W36" s="357"/>
      <c r="X36" s="357"/>
      <c r="Y36" s="357"/>
      <c r="Z36" s="357"/>
    </row>
    <row r="37" ht="12.75" customHeight="1">
      <c r="A37" s="5"/>
      <c r="B37" s="5"/>
      <c r="C37" s="5"/>
      <c r="D37" s="5"/>
      <c r="E37" s="5"/>
      <c r="F37" s="5"/>
      <c r="G37" s="5"/>
      <c r="H37" s="5"/>
      <c r="I37" s="5"/>
      <c r="J37" s="5"/>
      <c r="K37" s="5"/>
      <c r="L37" s="5"/>
      <c r="M37" s="5"/>
      <c r="N37" s="5"/>
      <c r="O37" s="5"/>
      <c r="P37" s="5"/>
      <c r="Q37" s="357"/>
      <c r="R37" s="357"/>
      <c r="S37" s="357"/>
      <c r="T37" s="357"/>
      <c r="U37" s="357"/>
      <c r="V37" s="357"/>
      <c r="W37" s="357"/>
      <c r="X37" s="357"/>
      <c r="Y37" s="357"/>
      <c r="Z37" s="357"/>
    </row>
    <row r="38" ht="12.75" customHeight="1">
      <c r="A38" s="5"/>
      <c r="B38" s="5"/>
      <c r="C38" s="5"/>
      <c r="D38" s="5"/>
      <c r="E38" s="5"/>
      <c r="F38" s="5"/>
      <c r="G38" s="5"/>
      <c r="H38" s="5"/>
      <c r="I38" s="5"/>
      <c r="J38" s="5"/>
      <c r="K38" s="5"/>
      <c r="L38" s="5"/>
      <c r="M38" s="5"/>
      <c r="N38" s="5"/>
      <c r="O38" s="5"/>
      <c r="P38" s="5"/>
      <c r="Q38" s="357"/>
      <c r="R38" s="357"/>
      <c r="S38" s="357"/>
      <c r="T38" s="357"/>
      <c r="U38" s="357"/>
      <c r="V38" s="357"/>
      <c r="W38" s="357"/>
      <c r="X38" s="357"/>
      <c r="Y38" s="357"/>
      <c r="Z38" s="357"/>
    </row>
    <row r="39" ht="12.75" customHeight="1">
      <c r="A39" s="5"/>
      <c r="B39" s="5"/>
      <c r="C39" s="5"/>
      <c r="D39" s="5"/>
      <c r="E39" s="5"/>
      <c r="F39" s="5"/>
      <c r="G39" s="5"/>
      <c r="H39" s="5"/>
      <c r="I39" s="5"/>
      <c r="J39" s="5"/>
      <c r="K39" s="5"/>
      <c r="L39" s="5"/>
      <c r="M39" s="5"/>
      <c r="N39" s="5"/>
      <c r="O39" s="5"/>
      <c r="P39" s="5"/>
      <c r="Q39" s="357"/>
      <c r="R39" s="357"/>
      <c r="S39" s="357"/>
      <c r="T39" s="357"/>
      <c r="U39" s="357"/>
      <c r="V39" s="357"/>
      <c r="W39" s="357"/>
      <c r="X39" s="357"/>
      <c r="Y39" s="357"/>
      <c r="Z39" s="357"/>
    </row>
    <row r="40" ht="12.75" customHeight="1">
      <c r="A40" s="5"/>
      <c r="B40" s="5"/>
      <c r="C40" s="5"/>
      <c r="D40" s="5"/>
      <c r="E40" s="5"/>
      <c r="F40" s="5"/>
      <c r="G40" s="5"/>
      <c r="H40" s="5"/>
      <c r="I40" s="5"/>
      <c r="J40" s="5"/>
      <c r="K40" s="5"/>
      <c r="L40" s="5"/>
      <c r="M40" s="5"/>
      <c r="N40" s="5"/>
      <c r="O40" s="5"/>
      <c r="P40" s="5"/>
      <c r="Q40" s="357"/>
      <c r="R40" s="357"/>
      <c r="S40" s="357"/>
      <c r="T40" s="357"/>
      <c r="U40" s="357"/>
      <c r="V40" s="357"/>
      <c r="W40" s="357"/>
      <c r="X40" s="357"/>
      <c r="Y40" s="357"/>
      <c r="Z40" s="357"/>
    </row>
    <row r="41" ht="12.75" customHeight="1">
      <c r="A41" s="5"/>
      <c r="B41" s="5"/>
      <c r="C41" s="5"/>
      <c r="D41" s="5"/>
      <c r="E41" s="5"/>
      <c r="F41" s="5"/>
      <c r="G41" s="5"/>
      <c r="H41" s="5"/>
      <c r="I41" s="5"/>
      <c r="J41" s="5"/>
      <c r="K41" s="5"/>
      <c r="L41" s="5"/>
      <c r="M41" s="5"/>
      <c r="N41" s="5"/>
      <c r="O41" s="5"/>
      <c r="P41" s="5"/>
      <c r="Q41" s="357"/>
      <c r="R41" s="357"/>
      <c r="S41" s="357"/>
      <c r="T41" s="357"/>
      <c r="U41" s="357"/>
      <c r="V41" s="357"/>
      <c r="W41" s="357"/>
      <c r="X41" s="357"/>
      <c r="Y41" s="357"/>
      <c r="Z41" s="357"/>
    </row>
    <row r="42" ht="12.75" customHeight="1">
      <c r="A42" s="5"/>
      <c r="B42" s="5"/>
      <c r="C42" s="5"/>
      <c r="D42" s="5"/>
      <c r="E42" s="5"/>
      <c r="F42" s="5"/>
      <c r="G42" s="5"/>
      <c r="H42" s="5"/>
      <c r="I42" s="5"/>
      <c r="J42" s="5"/>
      <c r="K42" s="5"/>
      <c r="L42" s="5"/>
      <c r="M42" s="5"/>
      <c r="N42" s="5"/>
      <c r="O42" s="5"/>
      <c r="P42" s="5"/>
      <c r="Q42" s="357"/>
      <c r="R42" s="357"/>
      <c r="S42" s="357"/>
      <c r="T42" s="357"/>
      <c r="U42" s="357"/>
      <c r="V42" s="357"/>
      <c r="W42" s="357"/>
      <c r="X42" s="357"/>
      <c r="Y42" s="357"/>
      <c r="Z42" s="357"/>
    </row>
    <row r="43" ht="12.75" customHeight="1">
      <c r="A43" s="5"/>
      <c r="B43" s="5"/>
      <c r="C43" s="5"/>
      <c r="D43" s="5"/>
      <c r="E43" s="5"/>
      <c r="F43" s="5"/>
      <c r="G43" s="5"/>
      <c r="H43" s="5"/>
      <c r="I43" s="5"/>
      <c r="J43" s="5"/>
      <c r="K43" s="5"/>
      <c r="L43" s="5"/>
      <c r="M43" s="5"/>
      <c r="N43" s="5"/>
      <c r="O43" s="5"/>
      <c r="P43" s="5"/>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5"/>
      <c r="P44" s="5"/>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5"/>
      <c r="P45" s="5"/>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5"/>
      <c r="P46" s="5"/>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5"/>
      <c r="P47" s="5"/>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5"/>
      <c r="P48" s="5"/>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5"/>
      <c r="P49" s="5"/>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5"/>
      <c r="P50" s="5"/>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5"/>
      <c r="P51" s="5"/>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5"/>
      <c r="P52" s="5"/>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5"/>
      <c r="P53" s="5"/>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5"/>
      <c r="P54" s="5"/>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5"/>
      <c r="P55" s="5"/>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5"/>
      <c r="P56" s="5"/>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5"/>
      <c r="P57" s="5"/>
      <c r="Q57" s="357"/>
      <c r="R57" s="357"/>
      <c r="S57" s="357"/>
      <c r="T57" s="357"/>
      <c r="U57" s="357"/>
      <c r="V57" s="357"/>
      <c r="W57" s="357"/>
      <c r="X57" s="357"/>
      <c r="Y57" s="357"/>
      <c r="Z57" s="357"/>
    </row>
    <row r="58" ht="12.75" customHeight="1">
      <c r="A58" s="5"/>
      <c r="B58" s="5"/>
      <c r="C58" s="5"/>
      <c r="D58" s="5"/>
      <c r="E58" s="5"/>
      <c r="F58" s="5"/>
      <c r="G58" s="5"/>
      <c r="H58" s="5"/>
      <c r="I58" s="5"/>
      <c r="J58" s="5"/>
      <c r="K58" s="5"/>
      <c r="L58" s="5"/>
      <c r="M58" s="5"/>
      <c r="N58" s="5"/>
      <c r="O58" s="5"/>
      <c r="P58" s="5"/>
      <c r="Q58" s="357"/>
      <c r="R58" s="357"/>
      <c r="S58" s="357"/>
      <c r="T58" s="357"/>
      <c r="U58" s="357"/>
      <c r="V58" s="357"/>
      <c r="W58" s="357"/>
      <c r="X58" s="357"/>
      <c r="Y58" s="357"/>
      <c r="Z58" s="357"/>
    </row>
    <row r="59" ht="12.75" customHeight="1">
      <c r="A59" s="5"/>
      <c r="B59" s="5"/>
      <c r="C59" s="5"/>
      <c r="D59" s="5"/>
      <c r="E59" s="5"/>
      <c r="F59" s="5"/>
      <c r="G59" s="5"/>
      <c r="H59" s="5"/>
      <c r="I59" s="5"/>
      <c r="J59" s="5"/>
      <c r="K59" s="5"/>
      <c r="L59" s="5"/>
      <c r="M59" s="5"/>
      <c r="N59" s="5"/>
      <c r="O59" s="5"/>
      <c r="P59" s="5"/>
      <c r="Q59" s="357"/>
      <c r="R59" s="357"/>
      <c r="S59" s="357"/>
      <c r="T59" s="357"/>
      <c r="U59" s="357"/>
      <c r="V59" s="357"/>
      <c r="W59" s="357"/>
      <c r="X59" s="357"/>
      <c r="Y59" s="357"/>
      <c r="Z59" s="357"/>
    </row>
    <row r="60" ht="12.75" customHeight="1">
      <c r="A60" s="5"/>
      <c r="B60" s="5"/>
      <c r="C60" s="5"/>
      <c r="D60" s="5"/>
      <c r="E60" s="5"/>
      <c r="F60" s="5"/>
      <c r="G60" s="5"/>
      <c r="H60" s="5"/>
      <c r="I60" s="5"/>
      <c r="J60" s="5"/>
      <c r="K60" s="5"/>
      <c r="L60" s="5"/>
      <c r="M60" s="5"/>
      <c r="N60" s="5"/>
      <c r="O60" s="5"/>
      <c r="P60" s="5"/>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5"/>
      <c r="P61" s="5"/>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5"/>
      <c r="P62" s="5"/>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5"/>
      <c r="P63" s="5"/>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5"/>
      <c r="P64" s="5"/>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5"/>
      <c r="P65" s="5"/>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5"/>
      <c r="P66" s="5"/>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5"/>
      <c r="P67" s="5"/>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5"/>
      <c r="P68" s="5"/>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5"/>
      <c r="P69" s="5"/>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5"/>
      <c r="P70" s="5"/>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5"/>
      <c r="P71" s="5"/>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5"/>
      <c r="P72" s="5"/>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5"/>
      <c r="P73" s="5"/>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5"/>
      <c r="P74" s="5"/>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5"/>
      <c r="P75" s="5"/>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5"/>
      <c r="P76" s="5"/>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5"/>
      <c r="P77" s="5"/>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5"/>
      <c r="P78" s="5"/>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5"/>
      <c r="P79" s="5"/>
      <c r="Q79" s="357"/>
      <c r="R79" s="357"/>
      <c r="S79" s="357"/>
      <c r="T79" s="357"/>
      <c r="U79" s="357"/>
      <c r="V79" s="357"/>
      <c r="W79" s="357"/>
      <c r="X79" s="357"/>
      <c r="Y79" s="357"/>
      <c r="Z79" s="357"/>
    </row>
    <row r="80" ht="12.7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26" width="9.29"/>
  </cols>
  <sheetData>
    <row r="1" ht="12.75" customHeight="1">
      <c r="A1" s="1685"/>
      <c r="B1" s="1685"/>
      <c r="C1" s="1685"/>
      <c r="D1" s="357"/>
      <c r="E1" s="357"/>
      <c r="F1" s="357"/>
      <c r="G1" s="357"/>
      <c r="H1" s="357"/>
      <c r="I1" s="357"/>
      <c r="J1" s="357"/>
      <c r="K1" s="357"/>
      <c r="L1" s="357"/>
      <c r="M1" s="357"/>
      <c r="N1" s="357"/>
      <c r="O1" s="357"/>
      <c r="P1" s="357"/>
      <c r="Q1" s="357"/>
      <c r="R1" s="357"/>
      <c r="S1" s="357"/>
      <c r="T1" s="357"/>
      <c r="U1" s="357"/>
      <c r="V1" s="357"/>
      <c r="W1" s="357"/>
      <c r="X1" s="357"/>
      <c r="Y1" s="357"/>
      <c r="Z1" s="357"/>
    </row>
    <row r="2" ht="12.75" customHeight="1">
      <c r="A2" s="3"/>
      <c r="B2" s="1681"/>
      <c r="C2" s="1681"/>
      <c r="D2" s="357"/>
      <c r="E2" s="357"/>
      <c r="F2" s="357"/>
      <c r="G2" s="357"/>
      <c r="H2" s="357"/>
      <c r="I2" s="357"/>
      <c r="J2" s="357"/>
      <c r="K2" s="357"/>
      <c r="L2" s="357"/>
      <c r="M2" s="357"/>
      <c r="N2" s="357"/>
      <c r="O2" s="357"/>
      <c r="P2" s="357"/>
      <c r="Q2" s="357"/>
      <c r="R2" s="357"/>
      <c r="S2" s="357"/>
      <c r="T2" s="357"/>
      <c r="U2" s="357"/>
      <c r="V2" s="357"/>
      <c r="W2" s="357"/>
      <c r="X2" s="357"/>
      <c r="Y2" s="357"/>
      <c r="Z2" s="357"/>
    </row>
    <row r="3" ht="12.75" customHeight="1">
      <c r="A3" s="70" t="s">
        <v>825</v>
      </c>
      <c r="B3" s="357"/>
      <c r="C3" s="357"/>
      <c r="D3" s="357"/>
      <c r="E3" s="357"/>
      <c r="F3" s="357"/>
      <c r="G3" s="357"/>
      <c r="H3" s="357"/>
      <c r="I3" s="357"/>
      <c r="J3" s="357"/>
      <c r="K3" s="357"/>
      <c r="L3" s="357"/>
      <c r="M3" s="357"/>
      <c r="N3" s="357"/>
      <c r="O3" s="357"/>
      <c r="P3" s="357"/>
      <c r="Q3" s="357"/>
      <c r="R3" s="357"/>
      <c r="S3" s="357"/>
      <c r="T3" s="357"/>
      <c r="U3" s="357"/>
      <c r="V3" s="357"/>
      <c r="W3" s="357"/>
      <c r="X3" s="357"/>
      <c r="Y3" s="357"/>
      <c r="Z3" s="357"/>
    </row>
    <row r="4" ht="12.75" customHeight="1">
      <c r="A4" s="71" t="s">
        <v>134</v>
      </c>
      <c r="B4" s="357"/>
      <c r="C4" s="357"/>
      <c r="D4" s="357"/>
      <c r="E4" s="357"/>
      <c r="F4" s="357"/>
      <c r="G4" s="357"/>
      <c r="H4" s="357"/>
      <c r="I4" s="357"/>
      <c r="J4" s="357"/>
      <c r="K4" s="357"/>
      <c r="L4" s="357"/>
      <c r="M4" s="357"/>
      <c r="N4" s="357"/>
      <c r="O4" s="357"/>
      <c r="P4" s="357"/>
      <c r="Q4" s="357"/>
      <c r="R4" s="357"/>
      <c r="S4" s="357"/>
      <c r="T4" s="357"/>
      <c r="U4" s="357"/>
      <c r="V4" s="357"/>
      <c r="W4" s="357"/>
      <c r="X4" s="357"/>
      <c r="Y4" s="357"/>
      <c r="Z4" s="357"/>
    </row>
    <row r="5" ht="12.75" customHeight="1">
      <c r="A5" s="72" t="str">
        <f>CELL("filename")</f>
        <v>#N/A</v>
      </c>
      <c r="B5" s="357"/>
      <c r="C5" s="357"/>
      <c r="D5" s="357"/>
      <c r="E5" s="357"/>
      <c r="F5" s="357"/>
      <c r="G5" s="357"/>
      <c r="H5" s="357"/>
      <c r="I5" s="357"/>
      <c r="J5" s="357"/>
      <c r="K5" s="357"/>
      <c r="L5" s="357"/>
      <c r="M5" s="357"/>
      <c r="N5" s="357"/>
      <c r="O5" s="357"/>
      <c r="P5" s="357"/>
      <c r="Q5" s="357"/>
      <c r="R5" s="357"/>
      <c r="S5" s="357"/>
      <c r="T5" s="357"/>
      <c r="U5" s="357"/>
      <c r="V5" s="357"/>
      <c r="W5" s="357"/>
      <c r="X5" s="357"/>
      <c r="Y5" s="357"/>
      <c r="Z5" s="357"/>
    </row>
    <row r="6" ht="12.75" customHeight="1">
      <c r="A6" s="5"/>
      <c r="B6" s="5"/>
      <c r="C6" s="5"/>
      <c r="D6" s="5"/>
      <c r="E6" s="5"/>
      <c r="F6" s="5"/>
      <c r="G6" s="5"/>
      <c r="H6" s="5"/>
      <c r="I6" s="5"/>
      <c r="J6" s="5"/>
      <c r="K6" s="5"/>
      <c r="L6" s="5"/>
      <c r="M6" s="5"/>
      <c r="N6" s="5"/>
      <c r="O6" s="5"/>
      <c r="P6" s="5"/>
      <c r="Q6" s="357"/>
      <c r="R6" s="357"/>
      <c r="S6" s="357"/>
      <c r="T6" s="357"/>
      <c r="U6" s="357"/>
      <c r="V6" s="357"/>
      <c r="W6" s="357"/>
      <c r="X6" s="357"/>
      <c r="Y6" s="357"/>
      <c r="Z6" s="357"/>
    </row>
    <row r="7" ht="12.75" customHeight="1">
      <c r="A7" s="5"/>
      <c r="B7" s="5"/>
      <c r="C7" s="5"/>
      <c r="D7" s="5"/>
      <c r="E7" s="5"/>
      <c r="F7" s="5"/>
      <c r="G7" s="5"/>
      <c r="H7" s="5"/>
      <c r="I7" s="5"/>
      <c r="J7" s="5"/>
      <c r="K7" s="5"/>
      <c r="L7" s="5"/>
      <c r="M7" s="5"/>
      <c r="N7" s="5"/>
      <c r="O7" s="5"/>
      <c r="P7" s="5"/>
      <c r="Q7" s="357"/>
      <c r="R7" s="357"/>
      <c r="S7" s="357"/>
      <c r="T7" s="357"/>
      <c r="U7" s="357"/>
      <c r="V7" s="357"/>
      <c r="W7" s="357"/>
      <c r="X7" s="357"/>
      <c r="Y7" s="357"/>
      <c r="Z7" s="357"/>
    </row>
    <row r="8" ht="12.75" customHeight="1">
      <c r="A8" s="5"/>
      <c r="B8" s="5" t="s">
        <v>1504</v>
      </c>
      <c r="C8" s="5"/>
      <c r="D8" s="5"/>
      <c r="E8" s="5"/>
      <c r="F8" s="5"/>
      <c r="G8" s="5"/>
      <c r="H8" s="5"/>
      <c r="I8" s="5"/>
      <c r="J8" s="5"/>
      <c r="K8" s="5"/>
      <c r="L8" s="5"/>
      <c r="M8" s="5"/>
      <c r="N8" s="5"/>
      <c r="O8" s="5"/>
      <c r="P8" s="5"/>
      <c r="Q8" s="357"/>
      <c r="R8" s="357"/>
      <c r="S8" s="357"/>
      <c r="T8" s="357"/>
      <c r="U8" s="357"/>
      <c r="V8" s="357"/>
      <c r="W8" s="357"/>
      <c r="X8" s="357"/>
      <c r="Y8" s="357"/>
      <c r="Z8" s="357"/>
    </row>
    <row r="9" ht="12.75" customHeight="1">
      <c r="A9" s="5"/>
      <c r="B9" s="5"/>
      <c r="C9" s="5"/>
      <c r="D9" s="5"/>
      <c r="E9" s="5"/>
      <c r="F9" s="5"/>
      <c r="G9" s="5"/>
      <c r="H9" s="5"/>
      <c r="I9" s="5"/>
      <c r="J9" s="5"/>
      <c r="K9" s="5"/>
      <c r="L9" s="5"/>
      <c r="M9" s="5"/>
      <c r="N9" s="5"/>
      <c r="O9" s="5"/>
      <c r="P9" s="5"/>
      <c r="Q9" s="357"/>
      <c r="R9" s="357"/>
      <c r="S9" s="357"/>
      <c r="T9" s="357"/>
      <c r="U9" s="357"/>
      <c r="V9" s="357"/>
      <c r="W9" s="357"/>
      <c r="X9" s="357"/>
      <c r="Y9" s="357"/>
      <c r="Z9" s="357"/>
    </row>
    <row r="10" ht="12.75" customHeight="1">
      <c r="A10" s="5"/>
      <c r="B10" s="5"/>
      <c r="C10" s="5"/>
      <c r="D10" s="5"/>
      <c r="E10" s="5"/>
      <c r="F10" s="5"/>
      <c r="G10" s="5"/>
      <c r="H10" s="5"/>
      <c r="I10" s="5"/>
      <c r="J10" s="5"/>
      <c r="K10" s="5"/>
      <c r="L10" s="5"/>
      <c r="M10" s="5"/>
      <c r="N10" s="5"/>
      <c r="O10" s="5"/>
      <c r="P10" s="5"/>
      <c r="Q10" s="357"/>
      <c r="R10" s="357"/>
      <c r="S10" s="357"/>
      <c r="T10" s="357"/>
      <c r="U10" s="357"/>
      <c r="V10" s="357"/>
      <c r="W10" s="357"/>
      <c r="X10" s="357"/>
      <c r="Y10" s="357"/>
      <c r="Z10" s="357"/>
    </row>
    <row r="11" ht="12.75" customHeight="1">
      <c r="A11" s="5"/>
      <c r="B11" s="5"/>
      <c r="C11" s="5"/>
      <c r="D11" s="5"/>
      <c r="E11" s="5"/>
      <c r="F11" s="5"/>
      <c r="G11" s="5"/>
      <c r="H11" s="5"/>
      <c r="I11" s="5"/>
      <c r="J11" s="5"/>
      <c r="K11" s="5"/>
      <c r="L11" s="5"/>
      <c r="M11" s="5"/>
      <c r="N11" s="5"/>
      <c r="O11" s="5"/>
      <c r="P11" s="5"/>
      <c r="Q11" s="357"/>
      <c r="R11" s="357"/>
      <c r="S11" s="357"/>
      <c r="T11" s="357"/>
      <c r="U11" s="357"/>
      <c r="V11" s="357"/>
      <c r="W11" s="357"/>
      <c r="X11" s="357"/>
      <c r="Y11" s="357"/>
      <c r="Z11" s="357"/>
    </row>
    <row r="12" ht="12.75" customHeight="1">
      <c r="A12" s="5"/>
      <c r="B12" s="5"/>
      <c r="C12" s="5"/>
      <c r="D12" s="5"/>
      <c r="E12" s="5"/>
      <c r="F12" s="5"/>
      <c r="G12" s="5"/>
      <c r="H12" s="5"/>
      <c r="I12" s="5"/>
      <c r="J12" s="5"/>
      <c r="K12" s="5"/>
      <c r="L12" s="5"/>
      <c r="M12" s="5"/>
      <c r="N12" s="5"/>
      <c r="O12" s="5"/>
      <c r="P12" s="5"/>
      <c r="Q12" s="357"/>
      <c r="R12" s="357"/>
      <c r="S12" s="357"/>
      <c r="T12" s="357"/>
      <c r="U12" s="357"/>
      <c r="V12" s="357"/>
      <c r="W12" s="357"/>
      <c r="X12" s="357"/>
      <c r="Y12" s="357"/>
      <c r="Z12" s="357"/>
    </row>
    <row r="13" ht="12.75" customHeight="1">
      <c r="A13" s="5"/>
      <c r="B13" s="5"/>
      <c r="C13" s="5"/>
      <c r="D13" s="5"/>
      <c r="E13" s="5"/>
      <c r="F13" s="5"/>
      <c r="G13" s="5"/>
      <c r="H13" s="5"/>
      <c r="I13" s="5"/>
      <c r="J13" s="5"/>
      <c r="K13" s="5"/>
      <c r="L13" s="5"/>
      <c r="M13" s="5"/>
      <c r="N13" s="5"/>
      <c r="O13" s="5"/>
      <c r="P13" s="5"/>
      <c r="Q13" s="357"/>
      <c r="R13" s="357"/>
      <c r="S13" s="357"/>
      <c r="T13" s="357"/>
      <c r="U13" s="357"/>
      <c r="V13" s="357"/>
      <c r="W13" s="357"/>
      <c r="X13" s="357"/>
      <c r="Y13" s="357"/>
      <c r="Z13" s="357"/>
    </row>
    <row r="14" ht="12.75" customHeight="1">
      <c r="A14" s="5"/>
      <c r="B14" s="5"/>
      <c r="C14" s="5"/>
      <c r="D14" s="5"/>
      <c r="E14" s="5"/>
      <c r="F14" s="5"/>
      <c r="G14" s="5"/>
      <c r="H14" s="5"/>
      <c r="I14" s="5"/>
      <c r="J14" s="5"/>
      <c r="K14" s="5"/>
      <c r="L14" s="5"/>
      <c r="M14" s="5"/>
      <c r="N14" s="5"/>
      <c r="O14" s="5"/>
      <c r="P14" s="5"/>
      <c r="Q14" s="357"/>
      <c r="R14" s="357"/>
      <c r="S14" s="357"/>
      <c r="T14" s="357"/>
      <c r="U14" s="357"/>
      <c r="V14" s="357"/>
      <c r="W14" s="357"/>
      <c r="X14" s="357"/>
      <c r="Y14" s="357"/>
      <c r="Z14" s="357"/>
    </row>
    <row r="15" ht="12.75" customHeight="1">
      <c r="A15" s="5"/>
      <c r="B15" s="5"/>
      <c r="C15" s="5"/>
      <c r="D15" s="5"/>
      <c r="E15" s="5"/>
      <c r="F15" s="5"/>
      <c r="G15" s="5"/>
      <c r="H15" s="5"/>
      <c r="I15" s="5"/>
      <c r="J15" s="5"/>
      <c r="K15" s="5"/>
      <c r="L15" s="5"/>
      <c r="M15" s="5"/>
      <c r="N15" s="5"/>
      <c r="O15" s="5"/>
      <c r="P15" s="5"/>
      <c r="Q15" s="357"/>
      <c r="R15" s="357"/>
      <c r="S15" s="357"/>
      <c r="T15" s="357"/>
      <c r="U15" s="357"/>
      <c r="V15" s="357"/>
      <c r="W15" s="357"/>
      <c r="X15" s="357"/>
      <c r="Y15" s="357"/>
      <c r="Z15" s="357"/>
    </row>
    <row r="16" ht="12.75" customHeight="1">
      <c r="A16" s="5"/>
      <c r="B16" s="5"/>
      <c r="C16" s="5"/>
      <c r="D16" s="5"/>
      <c r="E16" s="5"/>
      <c r="F16" s="5"/>
      <c r="G16" s="5"/>
      <c r="H16" s="5"/>
      <c r="I16" s="5"/>
      <c r="J16" s="5"/>
      <c r="K16" s="5"/>
      <c r="L16" s="5"/>
      <c r="M16" s="5"/>
      <c r="N16" s="5"/>
      <c r="O16" s="5"/>
      <c r="P16" s="5"/>
      <c r="Q16" s="357"/>
      <c r="R16" s="357"/>
      <c r="S16" s="357"/>
      <c r="T16" s="357"/>
      <c r="U16" s="357"/>
      <c r="V16" s="357"/>
      <c r="W16" s="357"/>
      <c r="X16" s="357"/>
      <c r="Y16" s="357"/>
      <c r="Z16" s="357"/>
    </row>
    <row r="17" ht="12.75" customHeight="1">
      <c r="A17" s="5"/>
      <c r="B17" s="5"/>
      <c r="C17" s="5"/>
      <c r="D17" s="5"/>
      <c r="E17" s="5"/>
      <c r="F17" s="5"/>
      <c r="G17" s="5"/>
      <c r="H17" s="5"/>
      <c r="I17" s="5"/>
      <c r="J17" s="5"/>
      <c r="K17" s="5"/>
      <c r="L17" s="5"/>
      <c r="M17" s="5"/>
      <c r="N17" s="5"/>
      <c r="O17" s="5"/>
      <c r="P17" s="5"/>
      <c r="Q17" s="357"/>
      <c r="R17" s="357"/>
      <c r="S17" s="357"/>
      <c r="T17" s="357"/>
      <c r="U17" s="357"/>
      <c r="V17" s="357"/>
      <c r="W17" s="357"/>
      <c r="X17" s="357"/>
      <c r="Y17" s="357"/>
      <c r="Z17" s="357"/>
    </row>
    <row r="18" ht="12.75" customHeight="1">
      <c r="A18" s="5"/>
      <c r="B18" s="5"/>
      <c r="C18" s="5"/>
      <c r="D18" s="5"/>
      <c r="E18" s="5"/>
      <c r="F18" s="5"/>
      <c r="G18" s="5"/>
      <c r="H18" s="5"/>
      <c r="I18" s="5"/>
      <c r="J18" s="5"/>
      <c r="K18" s="5"/>
      <c r="L18" s="5"/>
      <c r="M18" s="5"/>
      <c r="N18" s="5"/>
      <c r="O18" s="5"/>
      <c r="P18" s="5"/>
      <c r="Q18" s="357"/>
      <c r="R18" s="357"/>
      <c r="S18" s="357"/>
      <c r="T18" s="357"/>
      <c r="U18" s="357"/>
      <c r="V18" s="357"/>
      <c r="W18" s="357"/>
      <c r="X18" s="357"/>
      <c r="Y18" s="357"/>
      <c r="Z18" s="357"/>
    </row>
    <row r="19" ht="12.75" customHeight="1">
      <c r="A19" s="5"/>
      <c r="B19" s="5"/>
      <c r="C19" s="5"/>
      <c r="D19" s="5"/>
      <c r="E19" s="5"/>
      <c r="F19" s="5"/>
      <c r="G19" s="5"/>
      <c r="H19" s="5"/>
      <c r="I19" s="5"/>
      <c r="J19" s="5"/>
      <c r="K19" s="5"/>
      <c r="L19" s="5"/>
      <c r="M19" s="5"/>
      <c r="N19" s="5"/>
      <c r="O19" s="5"/>
      <c r="P19" s="5"/>
      <c r="Q19" s="357"/>
      <c r="R19" s="357"/>
      <c r="S19" s="357"/>
      <c r="T19" s="357"/>
      <c r="U19" s="357"/>
      <c r="V19" s="357"/>
      <c r="W19" s="357"/>
      <c r="X19" s="357"/>
      <c r="Y19" s="357"/>
      <c r="Z19" s="357"/>
    </row>
    <row r="20" ht="12.75" customHeight="1">
      <c r="A20" s="5"/>
      <c r="B20" s="5"/>
      <c r="C20" s="5"/>
      <c r="D20" s="5"/>
      <c r="E20" s="5"/>
      <c r="F20" s="5"/>
      <c r="G20" s="5"/>
      <c r="H20" s="5"/>
      <c r="I20" s="5"/>
      <c r="J20" s="5"/>
      <c r="K20" s="5"/>
      <c r="L20" s="5"/>
      <c r="M20" s="5"/>
      <c r="N20" s="5"/>
      <c r="O20" s="5"/>
      <c r="P20" s="5"/>
      <c r="Q20" s="357"/>
      <c r="R20" s="357"/>
      <c r="S20" s="357"/>
      <c r="T20" s="357"/>
      <c r="U20" s="357"/>
      <c r="V20" s="357"/>
      <c r="W20" s="357"/>
      <c r="X20" s="357"/>
      <c r="Y20" s="357"/>
      <c r="Z20" s="357"/>
    </row>
    <row r="21" ht="12.75" customHeight="1">
      <c r="A21" s="5"/>
      <c r="B21" s="5"/>
      <c r="C21" s="5"/>
      <c r="D21" s="5"/>
      <c r="E21" s="5"/>
      <c r="F21" s="5"/>
      <c r="G21" s="5"/>
      <c r="H21" s="5"/>
      <c r="I21" s="5"/>
      <c r="J21" s="5"/>
      <c r="K21" s="5"/>
      <c r="L21" s="5"/>
      <c r="M21" s="5"/>
      <c r="N21" s="5"/>
      <c r="O21" s="5"/>
      <c r="P21" s="5"/>
      <c r="Q21" s="357"/>
      <c r="R21" s="357"/>
      <c r="S21" s="357"/>
      <c r="T21" s="357"/>
      <c r="U21" s="357"/>
      <c r="V21" s="357"/>
      <c r="W21" s="357"/>
      <c r="X21" s="357"/>
      <c r="Y21" s="357"/>
      <c r="Z21" s="357"/>
    </row>
    <row r="22" ht="12.75" customHeight="1">
      <c r="A22" s="5"/>
      <c r="B22" s="5"/>
      <c r="C22" s="5"/>
      <c r="D22" s="5"/>
      <c r="E22" s="5"/>
      <c r="F22" s="5"/>
      <c r="G22" s="5"/>
      <c r="H22" s="5"/>
      <c r="I22" s="5"/>
      <c r="J22" s="5"/>
      <c r="K22" s="5"/>
      <c r="L22" s="5"/>
      <c r="M22" s="5"/>
      <c r="N22" s="5"/>
      <c r="O22" s="5"/>
      <c r="P22" s="5"/>
      <c r="Q22" s="357"/>
      <c r="R22" s="357"/>
      <c r="S22" s="357"/>
      <c r="T22" s="357"/>
      <c r="U22" s="357"/>
      <c r="V22" s="357"/>
      <c r="W22" s="357"/>
      <c r="X22" s="357"/>
      <c r="Y22" s="357"/>
      <c r="Z22" s="357"/>
    </row>
    <row r="23" ht="12.75" customHeight="1">
      <c r="A23" s="5"/>
      <c r="B23" s="5"/>
      <c r="C23" s="5"/>
      <c r="D23" s="5"/>
      <c r="E23" s="5"/>
      <c r="F23" s="5"/>
      <c r="G23" s="5"/>
      <c r="H23" s="5"/>
      <c r="I23" s="5"/>
      <c r="J23" s="5"/>
      <c r="K23" s="5"/>
      <c r="L23" s="5"/>
      <c r="M23" s="5"/>
      <c r="N23" s="5"/>
      <c r="O23" s="5"/>
      <c r="P23" s="5"/>
      <c r="Q23" s="357"/>
      <c r="R23" s="357"/>
      <c r="S23" s="357"/>
      <c r="T23" s="357"/>
      <c r="U23" s="357"/>
      <c r="V23" s="357"/>
      <c r="W23" s="357"/>
      <c r="X23" s="357"/>
      <c r="Y23" s="357"/>
      <c r="Z23" s="357"/>
    </row>
    <row r="24" ht="12.75" customHeight="1">
      <c r="A24" s="5"/>
      <c r="B24" s="5"/>
      <c r="C24" s="5"/>
      <c r="D24" s="5"/>
      <c r="E24" s="5"/>
      <c r="F24" s="5"/>
      <c r="G24" s="5"/>
      <c r="H24" s="5"/>
      <c r="I24" s="5"/>
      <c r="J24" s="5"/>
      <c r="K24" s="5"/>
      <c r="L24" s="5"/>
      <c r="M24" s="5"/>
      <c r="N24" s="5"/>
      <c r="O24" s="5"/>
      <c r="P24" s="5"/>
      <c r="Q24" s="357"/>
      <c r="R24" s="357"/>
      <c r="S24" s="357"/>
      <c r="T24" s="357"/>
      <c r="U24" s="357"/>
      <c r="V24" s="357"/>
      <c r="W24" s="357"/>
      <c r="X24" s="357"/>
      <c r="Y24" s="357"/>
      <c r="Z24" s="357"/>
    </row>
    <row r="25" ht="12.75" customHeight="1">
      <c r="A25" s="5"/>
      <c r="B25" s="5"/>
      <c r="C25" s="5"/>
      <c r="D25" s="5"/>
      <c r="E25" s="5"/>
      <c r="F25" s="5"/>
      <c r="G25" s="5"/>
      <c r="H25" s="5"/>
      <c r="I25" s="5"/>
      <c r="J25" s="5"/>
      <c r="K25" s="5"/>
      <c r="L25" s="5"/>
      <c r="M25" s="5"/>
      <c r="N25" s="5"/>
      <c r="O25" s="5"/>
      <c r="P25" s="5"/>
      <c r="Q25" s="357"/>
      <c r="R25" s="357"/>
      <c r="S25" s="357"/>
      <c r="T25" s="357"/>
      <c r="U25" s="357"/>
      <c r="V25" s="357"/>
      <c r="W25" s="357"/>
      <c r="X25" s="357"/>
      <c r="Y25" s="357"/>
      <c r="Z25" s="357"/>
    </row>
    <row r="26" ht="12.75" customHeight="1">
      <c r="A26" s="5"/>
      <c r="B26" s="5"/>
      <c r="C26" s="5"/>
      <c r="D26" s="5"/>
      <c r="E26" s="5"/>
      <c r="F26" s="5"/>
      <c r="G26" s="5"/>
      <c r="H26" s="5"/>
      <c r="I26" s="5"/>
      <c r="J26" s="5"/>
      <c r="K26" s="5"/>
      <c r="L26" s="5"/>
      <c r="M26" s="5"/>
      <c r="N26" s="5"/>
      <c r="O26" s="5"/>
      <c r="P26" s="5"/>
      <c r="Q26" s="357"/>
      <c r="R26" s="357"/>
      <c r="S26" s="357"/>
      <c r="T26" s="357"/>
      <c r="U26" s="357"/>
      <c r="V26" s="357"/>
      <c r="W26" s="357"/>
      <c r="X26" s="357"/>
      <c r="Y26" s="357"/>
      <c r="Z26" s="357"/>
    </row>
    <row r="27" ht="12.75" customHeight="1">
      <c r="A27" s="5"/>
      <c r="B27" s="5"/>
      <c r="C27" s="5"/>
      <c r="D27" s="5"/>
      <c r="E27" s="5"/>
      <c r="F27" s="5"/>
      <c r="G27" s="5"/>
      <c r="H27" s="5"/>
      <c r="I27" s="5"/>
      <c r="J27" s="5"/>
      <c r="K27" s="5"/>
      <c r="L27" s="5"/>
      <c r="M27" s="5"/>
      <c r="N27" s="5"/>
      <c r="O27" s="5"/>
      <c r="P27" s="5"/>
      <c r="Q27" s="357"/>
      <c r="R27" s="357"/>
      <c r="S27" s="357"/>
      <c r="T27" s="357"/>
      <c r="U27" s="357"/>
      <c r="V27" s="357"/>
      <c r="W27" s="357"/>
      <c r="X27" s="357"/>
      <c r="Y27" s="357"/>
      <c r="Z27" s="357"/>
    </row>
    <row r="28" ht="12.75" customHeight="1">
      <c r="A28" s="5"/>
      <c r="B28" s="5"/>
      <c r="C28" s="5"/>
      <c r="D28" s="5"/>
      <c r="E28" s="5"/>
      <c r="F28" s="5"/>
      <c r="G28" s="5"/>
      <c r="H28" s="5"/>
      <c r="I28" s="5"/>
      <c r="J28" s="5"/>
      <c r="K28" s="5"/>
      <c r="L28" s="5"/>
      <c r="M28" s="5"/>
      <c r="N28" s="5"/>
      <c r="O28" s="5"/>
      <c r="P28" s="5"/>
      <c r="Q28" s="357"/>
      <c r="R28" s="357"/>
      <c r="S28" s="357"/>
      <c r="T28" s="357"/>
      <c r="U28" s="357"/>
      <c r="V28" s="357"/>
      <c r="W28" s="357"/>
      <c r="X28" s="357"/>
      <c r="Y28" s="357"/>
      <c r="Z28" s="357"/>
    </row>
    <row r="29" ht="12.75" customHeight="1">
      <c r="A29" s="5"/>
      <c r="B29" s="5"/>
      <c r="C29" s="5"/>
      <c r="D29" s="5"/>
      <c r="E29" s="5"/>
      <c r="F29" s="5"/>
      <c r="G29" s="5"/>
      <c r="H29" s="5"/>
      <c r="I29" s="5"/>
      <c r="J29" s="5"/>
      <c r="K29" s="5"/>
      <c r="L29" s="5"/>
      <c r="M29" s="5"/>
      <c r="N29" s="5"/>
      <c r="O29" s="5"/>
      <c r="P29" s="5"/>
      <c r="Q29" s="357"/>
      <c r="R29" s="357"/>
      <c r="S29" s="357"/>
      <c r="T29" s="357"/>
      <c r="U29" s="357"/>
      <c r="V29" s="357"/>
      <c r="W29" s="357"/>
      <c r="X29" s="357"/>
      <c r="Y29" s="357"/>
      <c r="Z29" s="357"/>
    </row>
    <row r="30" ht="12.75" customHeight="1">
      <c r="A30" s="5"/>
      <c r="B30" s="5"/>
      <c r="C30" s="5"/>
      <c r="D30" s="5"/>
      <c r="E30" s="5"/>
      <c r="F30" s="5"/>
      <c r="G30" s="5"/>
      <c r="H30" s="5"/>
      <c r="I30" s="5"/>
      <c r="J30" s="5"/>
      <c r="K30" s="5"/>
      <c r="L30" s="5"/>
      <c r="M30" s="5"/>
      <c r="N30" s="5"/>
      <c r="O30" s="5"/>
      <c r="P30" s="5"/>
      <c r="Q30" s="357"/>
      <c r="R30" s="357"/>
      <c r="S30" s="357"/>
      <c r="T30" s="357"/>
      <c r="U30" s="357"/>
      <c r="V30" s="357"/>
      <c r="W30" s="357"/>
      <c r="X30" s="357"/>
      <c r="Y30" s="357"/>
      <c r="Z30" s="357"/>
    </row>
    <row r="31" ht="12.75" customHeight="1">
      <c r="A31" s="5"/>
      <c r="B31" s="5"/>
      <c r="C31" s="5"/>
      <c r="D31" s="5"/>
      <c r="E31" s="5"/>
      <c r="F31" s="5"/>
      <c r="G31" s="5"/>
      <c r="H31" s="5"/>
      <c r="I31" s="5"/>
      <c r="J31" s="5"/>
      <c r="K31" s="5"/>
      <c r="L31" s="5"/>
      <c r="M31" s="5"/>
      <c r="N31" s="5"/>
      <c r="O31" s="5"/>
      <c r="P31" s="5"/>
      <c r="Q31" s="357"/>
      <c r="R31" s="357"/>
      <c r="S31" s="357"/>
      <c r="T31" s="357"/>
      <c r="U31" s="357"/>
      <c r="V31" s="357"/>
      <c r="W31" s="357"/>
      <c r="X31" s="357"/>
      <c r="Y31" s="357"/>
      <c r="Z31" s="357"/>
    </row>
    <row r="32" ht="12.75" customHeight="1">
      <c r="A32" s="5"/>
      <c r="B32" s="5"/>
      <c r="C32" s="5"/>
      <c r="D32" s="5"/>
      <c r="E32" s="5"/>
      <c r="F32" s="5"/>
      <c r="G32" s="5"/>
      <c r="H32" s="5"/>
      <c r="I32" s="5"/>
      <c r="J32" s="5"/>
      <c r="K32" s="5"/>
      <c r="L32" s="5"/>
      <c r="M32" s="5"/>
      <c r="N32" s="5"/>
      <c r="O32" s="5"/>
      <c r="P32" s="5"/>
      <c r="Q32" s="357"/>
      <c r="R32" s="357"/>
      <c r="S32" s="357"/>
      <c r="T32" s="357"/>
      <c r="U32" s="357"/>
      <c r="V32" s="357"/>
      <c r="W32" s="357"/>
      <c r="X32" s="357"/>
      <c r="Y32" s="357"/>
      <c r="Z32" s="357"/>
    </row>
    <row r="33" ht="12.75" customHeight="1">
      <c r="A33" s="5"/>
      <c r="B33" s="5"/>
      <c r="C33" s="5"/>
      <c r="D33" s="5"/>
      <c r="E33" s="5"/>
      <c r="F33" s="5"/>
      <c r="G33" s="5"/>
      <c r="H33" s="5"/>
      <c r="I33" s="5"/>
      <c r="J33" s="5"/>
      <c r="K33" s="5"/>
      <c r="L33" s="5"/>
      <c r="M33" s="5"/>
      <c r="N33" s="5"/>
      <c r="O33" s="5"/>
      <c r="P33" s="5"/>
      <c r="Q33" s="357"/>
      <c r="R33" s="357"/>
      <c r="S33" s="357"/>
      <c r="T33" s="357"/>
      <c r="U33" s="357"/>
      <c r="V33" s="357"/>
      <c r="W33" s="357"/>
      <c r="X33" s="357"/>
      <c r="Y33" s="357"/>
      <c r="Z33" s="357"/>
    </row>
    <row r="34" ht="12.75" customHeight="1">
      <c r="A34" s="5"/>
      <c r="B34" s="5"/>
      <c r="C34" s="5"/>
      <c r="D34" s="5"/>
      <c r="E34" s="5"/>
      <c r="F34" s="5"/>
      <c r="G34" s="5"/>
      <c r="H34" s="5"/>
      <c r="I34" s="5"/>
      <c r="J34" s="5"/>
      <c r="K34" s="5"/>
      <c r="L34" s="5"/>
      <c r="M34" s="5"/>
      <c r="N34" s="5"/>
      <c r="O34" s="5"/>
      <c r="P34" s="5"/>
      <c r="Q34" s="357"/>
      <c r="R34" s="357"/>
      <c r="S34" s="357"/>
      <c r="T34" s="357"/>
      <c r="U34" s="357"/>
      <c r="V34" s="357"/>
      <c r="W34" s="357"/>
      <c r="X34" s="357"/>
      <c r="Y34" s="357"/>
      <c r="Z34" s="357"/>
    </row>
    <row r="35" ht="12.75" customHeight="1">
      <c r="A35" s="5"/>
      <c r="B35" s="5"/>
      <c r="C35" s="5"/>
      <c r="D35" s="5"/>
      <c r="E35" s="5"/>
      <c r="F35" s="5"/>
      <c r="G35" s="5"/>
      <c r="H35" s="5"/>
      <c r="I35" s="5"/>
      <c r="J35" s="5"/>
      <c r="K35" s="5"/>
      <c r="L35" s="5"/>
      <c r="M35" s="5"/>
      <c r="N35" s="5"/>
      <c r="O35" s="5"/>
      <c r="P35" s="5"/>
      <c r="Q35" s="357"/>
      <c r="R35" s="357"/>
      <c r="S35" s="357"/>
      <c r="T35" s="357"/>
      <c r="U35" s="357"/>
      <c r="V35" s="357"/>
      <c r="W35" s="357"/>
      <c r="X35" s="357"/>
      <c r="Y35" s="357"/>
      <c r="Z35" s="357"/>
    </row>
    <row r="36" ht="12.75" customHeight="1">
      <c r="A36" s="5"/>
      <c r="B36" s="5"/>
      <c r="C36" s="5"/>
      <c r="D36" s="5"/>
      <c r="E36" s="5"/>
      <c r="F36" s="5"/>
      <c r="G36" s="5"/>
      <c r="H36" s="5"/>
      <c r="I36" s="5"/>
      <c r="J36" s="5"/>
      <c r="K36" s="5"/>
      <c r="L36" s="5"/>
      <c r="M36" s="5"/>
      <c r="N36" s="5"/>
      <c r="O36" s="5"/>
      <c r="P36" s="5"/>
      <c r="Q36" s="357"/>
      <c r="R36" s="357"/>
      <c r="S36" s="357"/>
      <c r="T36" s="357"/>
      <c r="U36" s="357"/>
      <c r="V36" s="357"/>
      <c r="W36" s="357"/>
      <c r="X36" s="357"/>
      <c r="Y36" s="357"/>
      <c r="Z36" s="357"/>
    </row>
    <row r="37" ht="12.75" customHeight="1">
      <c r="A37" s="5"/>
      <c r="B37" s="5"/>
      <c r="C37" s="5"/>
      <c r="D37" s="5"/>
      <c r="E37" s="5"/>
      <c r="F37" s="5"/>
      <c r="G37" s="5"/>
      <c r="H37" s="5"/>
      <c r="I37" s="5"/>
      <c r="J37" s="5"/>
      <c r="K37" s="5"/>
      <c r="L37" s="5"/>
      <c r="M37" s="5"/>
      <c r="N37" s="5"/>
      <c r="O37" s="5"/>
      <c r="P37" s="5"/>
      <c r="Q37" s="357"/>
      <c r="R37" s="357"/>
      <c r="S37" s="357"/>
      <c r="T37" s="357"/>
      <c r="U37" s="357"/>
      <c r="V37" s="357"/>
      <c r="W37" s="357"/>
      <c r="X37" s="357"/>
      <c r="Y37" s="357"/>
      <c r="Z37" s="357"/>
    </row>
    <row r="38" ht="12.75" customHeight="1">
      <c r="A38" s="5"/>
      <c r="B38" s="5"/>
      <c r="C38" s="5"/>
      <c r="D38" s="5"/>
      <c r="E38" s="5"/>
      <c r="F38" s="5"/>
      <c r="G38" s="5"/>
      <c r="H38" s="5"/>
      <c r="I38" s="5"/>
      <c r="J38" s="5"/>
      <c r="K38" s="5"/>
      <c r="L38" s="5"/>
      <c r="M38" s="5"/>
      <c r="N38" s="5"/>
      <c r="O38" s="5"/>
      <c r="P38" s="5"/>
      <c r="Q38" s="357"/>
      <c r="R38" s="357"/>
      <c r="S38" s="357"/>
      <c r="T38" s="357"/>
      <c r="U38" s="357"/>
      <c r="V38" s="357"/>
      <c r="W38" s="357"/>
      <c r="X38" s="357"/>
      <c r="Y38" s="357"/>
      <c r="Z38" s="357"/>
    </row>
    <row r="39" ht="12.75" customHeight="1">
      <c r="A39" s="5"/>
      <c r="B39" s="5"/>
      <c r="C39" s="5"/>
      <c r="D39" s="5"/>
      <c r="E39" s="5"/>
      <c r="F39" s="5"/>
      <c r="G39" s="5"/>
      <c r="H39" s="5"/>
      <c r="I39" s="5"/>
      <c r="J39" s="5"/>
      <c r="K39" s="5"/>
      <c r="L39" s="5"/>
      <c r="M39" s="5"/>
      <c r="N39" s="5"/>
      <c r="O39" s="5"/>
      <c r="P39" s="5"/>
      <c r="Q39" s="357"/>
      <c r="R39" s="357"/>
      <c r="S39" s="357"/>
      <c r="T39" s="357"/>
      <c r="U39" s="357"/>
      <c r="V39" s="357"/>
      <c r="W39" s="357"/>
      <c r="X39" s="357"/>
      <c r="Y39" s="357"/>
      <c r="Z39" s="357"/>
    </row>
    <row r="40" ht="12.75" customHeight="1">
      <c r="A40" s="5"/>
      <c r="B40" s="5"/>
      <c r="C40" s="5"/>
      <c r="D40" s="5"/>
      <c r="E40" s="5"/>
      <c r="F40" s="5"/>
      <c r="G40" s="5"/>
      <c r="H40" s="5"/>
      <c r="I40" s="5"/>
      <c r="J40" s="5"/>
      <c r="K40" s="5"/>
      <c r="L40" s="5"/>
      <c r="M40" s="5"/>
      <c r="N40" s="5"/>
      <c r="O40" s="5"/>
      <c r="P40" s="5"/>
      <c r="Q40" s="357"/>
      <c r="R40" s="357"/>
      <c r="S40" s="357"/>
      <c r="T40" s="357"/>
      <c r="U40" s="357"/>
      <c r="V40" s="357"/>
      <c r="W40" s="357"/>
      <c r="X40" s="357"/>
      <c r="Y40" s="357"/>
      <c r="Z40" s="357"/>
    </row>
    <row r="41" ht="12.75" customHeight="1">
      <c r="A41" s="5"/>
      <c r="B41" s="5"/>
      <c r="C41" s="5"/>
      <c r="D41" s="5"/>
      <c r="E41" s="5"/>
      <c r="F41" s="5"/>
      <c r="G41" s="5"/>
      <c r="H41" s="5"/>
      <c r="I41" s="5"/>
      <c r="J41" s="5"/>
      <c r="K41" s="5"/>
      <c r="L41" s="5"/>
      <c r="M41" s="5"/>
      <c r="N41" s="5"/>
      <c r="O41" s="5"/>
      <c r="P41" s="5"/>
      <c r="Q41" s="357"/>
      <c r="R41" s="357"/>
      <c r="S41" s="357"/>
      <c r="T41" s="357"/>
      <c r="U41" s="357"/>
      <c r="V41" s="357"/>
      <c r="W41" s="357"/>
      <c r="X41" s="357"/>
      <c r="Y41" s="357"/>
      <c r="Z41" s="357"/>
    </row>
    <row r="42" ht="12.75" customHeight="1">
      <c r="A42" s="5"/>
      <c r="B42" s="5"/>
      <c r="C42" s="5"/>
      <c r="D42" s="5"/>
      <c r="E42" s="5"/>
      <c r="F42" s="5"/>
      <c r="G42" s="5"/>
      <c r="H42" s="5"/>
      <c r="I42" s="5"/>
      <c r="J42" s="5"/>
      <c r="K42" s="5"/>
      <c r="L42" s="5"/>
      <c r="M42" s="5"/>
      <c r="N42" s="5"/>
      <c r="O42" s="5"/>
      <c r="P42" s="5"/>
      <c r="Q42" s="357"/>
      <c r="R42" s="357"/>
      <c r="S42" s="357"/>
      <c r="T42" s="357"/>
      <c r="U42" s="357"/>
      <c r="V42" s="357"/>
      <c r="W42" s="357"/>
      <c r="X42" s="357"/>
      <c r="Y42" s="357"/>
      <c r="Z42" s="357"/>
    </row>
    <row r="43" ht="12.75" customHeight="1">
      <c r="A43" s="5"/>
      <c r="B43" s="5"/>
      <c r="C43" s="5"/>
      <c r="D43" s="5"/>
      <c r="E43" s="5"/>
      <c r="F43" s="5"/>
      <c r="G43" s="5"/>
      <c r="H43" s="5"/>
      <c r="I43" s="5"/>
      <c r="J43" s="5"/>
      <c r="K43" s="5"/>
      <c r="L43" s="5"/>
      <c r="M43" s="5"/>
      <c r="N43" s="5"/>
      <c r="O43" s="5"/>
      <c r="P43" s="5"/>
      <c r="Q43" s="357"/>
      <c r="R43" s="357"/>
      <c r="S43" s="357"/>
      <c r="T43" s="357"/>
      <c r="U43" s="357"/>
      <c r="V43" s="357"/>
      <c r="W43" s="357"/>
      <c r="X43" s="357"/>
      <c r="Y43" s="357"/>
      <c r="Z43" s="357"/>
    </row>
    <row r="44" ht="12.75" customHeight="1">
      <c r="A44" s="5"/>
      <c r="B44" s="5"/>
      <c r="C44" s="5"/>
      <c r="D44" s="5"/>
      <c r="E44" s="5"/>
      <c r="F44" s="5"/>
      <c r="G44" s="5"/>
      <c r="H44" s="5"/>
      <c r="I44" s="5"/>
      <c r="J44" s="5"/>
      <c r="K44" s="5"/>
      <c r="L44" s="5"/>
      <c r="M44" s="5"/>
      <c r="N44" s="5"/>
      <c r="O44" s="5"/>
      <c r="P44" s="5"/>
      <c r="Q44" s="357"/>
      <c r="R44" s="357"/>
      <c r="S44" s="357"/>
      <c r="T44" s="357"/>
      <c r="U44" s="357"/>
      <c r="V44" s="357"/>
      <c r="W44" s="357"/>
      <c r="X44" s="357"/>
      <c r="Y44" s="357"/>
      <c r="Z44" s="357"/>
    </row>
    <row r="45" ht="12.75" customHeight="1">
      <c r="A45" s="5"/>
      <c r="B45" s="5"/>
      <c r="C45" s="5"/>
      <c r="D45" s="5"/>
      <c r="E45" s="5"/>
      <c r="F45" s="5"/>
      <c r="G45" s="5"/>
      <c r="H45" s="5"/>
      <c r="I45" s="5"/>
      <c r="J45" s="5"/>
      <c r="K45" s="5"/>
      <c r="L45" s="5"/>
      <c r="M45" s="5"/>
      <c r="N45" s="5"/>
      <c r="O45" s="5"/>
      <c r="P45" s="5"/>
      <c r="Q45" s="357"/>
      <c r="R45" s="357"/>
      <c r="S45" s="357"/>
      <c r="T45" s="357"/>
      <c r="U45" s="357"/>
      <c r="V45" s="357"/>
      <c r="W45" s="357"/>
      <c r="X45" s="357"/>
      <c r="Y45" s="357"/>
      <c r="Z45" s="357"/>
    </row>
    <row r="46" ht="12.75" customHeight="1">
      <c r="A46" s="5"/>
      <c r="B46" s="5"/>
      <c r="C46" s="5"/>
      <c r="D46" s="5"/>
      <c r="E46" s="5"/>
      <c r="F46" s="5"/>
      <c r="G46" s="5"/>
      <c r="H46" s="5"/>
      <c r="I46" s="5"/>
      <c r="J46" s="5"/>
      <c r="K46" s="5"/>
      <c r="L46" s="5"/>
      <c r="M46" s="5"/>
      <c r="N46" s="5"/>
      <c r="O46" s="5"/>
      <c r="P46" s="5"/>
      <c r="Q46" s="357"/>
      <c r="R46" s="357"/>
      <c r="S46" s="357"/>
      <c r="T46" s="357"/>
      <c r="U46" s="357"/>
      <c r="V46" s="357"/>
      <c r="W46" s="357"/>
      <c r="X46" s="357"/>
      <c r="Y46" s="357"/>
      <c r="Z46" s="357"/>
    </row>
    <row r="47" ht="12.75" customHeight="1">
      <c r="A47" s="5"/>
      <c r="B47" s="5"/>
      <c r="C47" s="5"/>
      <c r="D47" s="5"/>
      <c r="E47" s="5"/>
      <c r="F47" s="5"/>
      <c r="G47" s="5"/>
      <c r="H47" s="5"/>
      <c r="I47" s="5"/>
      <c r="J47" s="5"/>
      <c r="K47" s="5"/>
      <c r="L47" s="5"/>
      <c r="M47" s="5"/>
      <c r="N47" s="5"/>
      <c r="O47" s="5"/>
      <c r="P47" s="5"/>
      <c r="Q47" s="357"/>
      <c r="R47" s="357"/>
      <c r="S47" s="357"/>
      <c r="T47" s="357"/>
      <c r="U47" s="357"/>
      <c r="V47" s="357"/>
      <c r="W47" s="357"/>
      <c r="X47" s="357"/>
      <c r="Y47" s="357"/>
      <c r="Z47" s="357"/>
    </row>
    <row r="48" ht="12.75" customHeight="1">
      <c r="A48" s="5"/>
      <c r="B48" s="5"/>
      <c r="C48" s="5"/>
      <c r="D48" s="5"/>
      <c r="E48" s="5"/>
      <c r="F48" s="5"/>
      <c r="G48" s="5"/>
      <c r="H48" s="5"/>
      <c r="I48" s="5"/>
      <c r="J48" s="5"/>
      <c r="K48" s="5"/>
      <c r="L48" s="5"/>
      <c r="M48" s="5"/>
      <c r="N48" s="5"/>
      <c r="O48" s="5"/>
      <c r="P48" s="5"/>
      <c r="Q48" s="357"/>
      <c r="R48" s="357"/>
      <c r="S48" s="357"/>
      <c r="T48" s="357"/>
      <c r="U48" s="357"/>
      <c r="V48" s="357"/>
      <c r="W48" s="357"/>
      <c r="X48" s="357"/>
      <c r="Y48" s="357"/>
      <c r="Z48" s="357"/>
    </row>
    <row r="49" ht="12.75" customHeight="1">
      <c r="A49" s="5"/>
      <c r="B49" s="5"/>
      <c r="C49" s="5"/>
      <c r="D49" s="5"/>
      <c r="E49" s="5"/>
      <c r="F49" s="5"/>
      <c r="G49" s="5"/>
      <c r="H49" s="5"/>
      <c r="I49" s="5"/>
      <c r="J49" s="5"/>
      <c r="K49" s="5"/>
      <c r="L49" s="5"/>
      <c r="M49" s="5"/>
      <c r="N49" s="5"/>
      <c r="O49" s="5"/>
      <c r="P49" s="5"/>
      <c r="Q49" s="357"/>
      <c r="R49" s="357"/>
      <c r="S49" s="357"/>
      <c r="T49" s="357"/>
      <c r="U49" s="357"/>
      <c r="V49" s="357"/>
      <c r="W49" s="357"/>
      <c r="X49" s="357"/>
      <c r="Y49" s="357"/>
      <c r="Z49" s="357"/>
    </row>
    <row r="50" ht="12.75" customHeight="1">
      <c r="A50" s="5"/>
      <c r="B50" s="5"/>
      <c r="C50" s="5"/>
      <c r="D50" s="5"/>
      <c r="E50" s="5"/>
      <c r="F50" s="5"/>
      <c r="G50" s="5"/>
      <c r="H50" s="5"/>
      <c r="I50" s="5"/>
      <c r="J50" s="5"/>
      <c r="K50" s="5"/>
      <c r="L50" s="5"/>
      <c r="M50" s="5"/>
      <c r="N50" s="5"/>
      <c r="O50" s="5"/>
      <c r="P50" s="5"/>
      <c r="Q50" s="357"/>
      <c r="R50" s="357"/>
      <c r="S50" s="357"/>
      <c r="T50" s="357"/>
      <c r="U50" s="357"/>
      <c r="V50" s="357"/>
      <c r="W50" s="357"/>
      <c r="X50" s="357"/>
      <c r="Y50" s="357"/>
      <c r="Z50" s="357"/>
    </row>
    <row r="51" ht="12.75" customHeight="1">
      <c r="A51" s="5"/>
      <c r="B51" s="5"/>
      <c r="C51" s="5"/>
      <c r="D51" s="5"/>
      <c r="E51" s="5"/>
      <c r="F51" s="5"/>
      <c r="G51" s="5"/>
      <c r="H51" s="5"/>
      <c r="I51" s="5"/>
      <c r="J51" s="5"/>
      <c r="K51" s="5"/>
      <c r="L51" s="5"/>
      <c r="M51" s="5"/>
      <c r="N51" s="5"/>
      <c r="O51" s="5"/>
      <c r="P51" s="5"/>
      <c r="Q51" s="357"/>
      <c r="R51" s="357"/>
      <c r="S51" s="357"/>
      <c r="T51" s="357"/>
      <c r="U51" s="357"/>
      <c r="V51" s="357"/>
      <c r="W51" s="357"/>
      <c r="X51" s="357"/>
      <c r="Y51" s="357"/>
      <c r="Z51" s="357"/>
    </row>
    <row r="52" ht="12.75" customHeight="1">
      <c r="A52" s="5"/>
      <c r="B52" s="5"/>
      <c r="C52" s="5"/>
      <c r="D52" s="5"/>
      <c r="E52" s="5"/>
      <c r="F52" s="5"/>
      <c r="G52" s="5"/>
      <c r="H52" s="5"/>
      <c r="I52" s="5"/>
      <c r="J52" s="5"/>
      <c r="K52" s="5"/>
      <c r="L52" s="5"/>
      <c r="M52" s="5"/>
      <c r="N52" s="5"/>
      <c r="O52" s="5"/>
      <c r="P52" s="5"/>
      <c r="Q52" s="357"/>
      <c r="R52" s="357"/>
      <c r="S52" s="357"/>
      <c r="T52" s="357"/>
      <c r="U52" s="357"/>
      <c r="V52" s="357"/>
      <c r="W52" s="357"/>
      <c r="X52" s="357"/>
      <c r="Y52" s="357"/>
      <c r="Z52" s="357"/>
    </row>
    <row r="53" ht="12.75" customHeight="1">
      <c r="A53" s="5"/>
      <c r="B53" s="5"/>
      <c r="C53" s="5"/>
      <c r="D53" s="5"/>
      <c r="E53" s="5"/>
      <c r="F53" s="5"/>
      <c r="G53" s="5"/>
      <c r="H53" s="5"/>
      <c r="I53" s="5"/>
      <c r="J53" s="5"/>
      <c r="K53" s="5"/>
      <c r="L53" s="5"/>
      <c r="M53" s="5"/>
      <c r="N53" s="5"/>
      <c r="O53" s="5"/>
      <c r="P53" s="5"/>
      <c r="Q53" s="357"/>
      <c r="R53" s="357"/>
      <c r="S53" s="357"/>
      <c r="T53" s="357"/>
      <c r="U53" s="357"/>
      <c r="V53" s="357"/>
      <c r="W53" s="357"/>
      <c r="X53" s="357"/>
      <c r="Y53" s="357"/>
      <c r="Z53" s="357"/>
    </row>
    <row r="54" ht="12.75" customHeight="1">
      <c r="A54" s="5"/>
      <c r="B54" s="5"/>
      <c r="C54" s="5"/>
      <c r="D54" s="5"/>
      <c r="E54" s="5"/>
      <c r="F54" s="5"/>
      <c r="G54" s="5"/>
      <c r="H54" s="5"/>
      <c r="I54" s="5"/>
      <c r="J54" s="5"/>
      <c r="K54" s="5"/>
      <c r="L54" s="5"/>
      <c r="M54" s="5"/>
      <c r="N54" s="5"/>
      <c r="O54" s="5"/>
      <c r="P54" s="5"/>
      <c r="Q54" s="357"/>
      <c r="R54" s="357"/>
      <c r="S54" s="357"/>
      <c r="T54" s="357"/>
      <c r="U54" s="357"/>
      <c r="V54" s="357"/>
      <c r="W54" s="357"/>
      <c r="X54" s="357"/>
      <c r="Y54" s="357"/>
      <c r="Z54" s="357"/>
    </row>
    <row r="55" ht="12.75" customHeight="1">
      <c r="A55" s="5"/>
      <c r="B55" s="5"/>
      <c r="C55" s="5"/>
      <c r="D55" s="5"/>
      <c r="E55" s="5"/>
      <c r="F55" s="5"/>
      <c r="G55" s="5"/>
      <c r="H55" s="5"/>
      <c r="I55" s="5"/>
      <c r="J55" s="5"/>
      <c r="K55" s="5"/>
      <c r="L55" s="5"/>
      <c r="M55" s="5"/>
      <c r="N55" s="5"/>
      <c r="O55" s="5"/>
      <c r="P55" s="5"/>
      <c r="Q55" s="357"/>
      <c r="R55" s="357"/>
      <c r="S55" s="357"/>
      <c r="T55" s="357"/>
      <c r="U55" s="357"/>
      <c r="V55" s="357"/>
      <c r="W55" s="357"/>
      <c r="X55" s="357"/>
      <c r="Y55" s="357"/>
      <c r="Z55" s="357"/>
    </row>
    <row r="56" ht="12.75" customHeight="1">
      <c r="A56" s="5"/>
      <c r="B56" s="5"/>
      <c r="C56" s="5"/>
      <c r="D56" s="5"/>
      <c r="E56" s="5"/>
      <c r="F56" s="5"/>
      <c r="G56" s="5"/>
      <c r="H56" s="5"/>
      <c r="I56" s="5"/>
      <c r="J56" s="5"/>
      <c r="K56" s="5"/>
      <c r="L56" s="5"/>
      <c r="M56" s="5"/>
      <c r="N56" s="5"/>
      <c r="O56" s="5"/>
      <c r="P56" s="5"/>
      <c r="Q56" s="357"/>
      <c r="R56" s="357"/>
      <c r="S56" s="357"/>
      <c r="T56" s="357"/>
      <c r="U56" s="357"/>
      <c r="V56" s="357"/>
      <c r="W56" s="357"/>
      <c r="X56" s="357"/>
      <c r="Y56" s="357"/>
      <c r="Z56" s="357"/>
    </row>
    <row r="57" ht="12.75" customHeight="1">
      <c r="A57" s="5"/>
      <c r="B57" s="5"/>
      <c r="C57" s="5"/>
      <c r="D57" s="5"/>
      <c r="E57" s="5"/>
      <c r="F57" s="5"/>
      <c r="G57" s="5"/>
      <c r="H57" s="5"/>
      <c r="I57" s="5"/>
      <c r="J57" s="5"/>
      <c r="K57" s="5"/>
      <c r="L57" s="5"/>
      <c r="M57" s="5"/>
      <c r="N57" s="5"/>
      <c r="O57" s="5"/>
      <c r="P57" s="5"/>
      <c r="Q57" s="357"/>
      <c r="R57" s="357"/>
      <c r="S57" s="357"/>
      <c r="T57" s="357"/>
      <c r="U57" s="357"/>
      <c r="V57" s="357"/>
      <c r="W57" s="357"/>
      <c r="X57" s="357"/>
      <c r="Y57" s="357"/>
      <c r="Z57" s="357"/>
    </row>
    <row r="58" ht="12.75" customHeight="1">
      <c r="A58" s="5"/>
      <c r="B58" s="5"/>
      <c r="C58" s="5"/>
      <c r="D58" s="5"/>
      <c r="E58" s="5"/>
      <c r="F58" s="5"/>
      <c r="G58" s="5"/>
      <c r="H58" s="5"/>
      <c r="I58" s="5"/>
      <c r="J58" s="5"/>
      <c r="K58" s="5"/>
      <c r="L58" s="5"/>
      <c r="M58" s="5"/>
      <c r="N58" s="5"/>
      <c r="O58" s="5"/>
      <c r="P58" s="5"/>
      <c r="Q58" s="357"/>
      <c r="R58" s="357"/>
      <c r="S58" s="357"/>
      <c r="T58" s="357"/>
      <c r="U58" s="357"/>
      <c r="V58" s="357"/>
      <c r="W58" s="357"/>
      <c r="X58" s="357"/>
      <c r="Y58" s="357"/>
      <c r="Z58" s="357"/>
    </row>
    <row r="59" ht="12.75" customHeight="1">
      <c r="A59" s="5"/>
      <c r="B59" s="5"/>
      <c r="C59" s="5"/>
      <c r="D59" s="5"/>
      <c r="E59" s="5"/>
      <c r="F59" s="5"/>
      <c r="G59" s="5"/>
      <c r="H59" s="5"/>
      <c r="I59" s="5"/>
      <c r="J59" s="5"/>
      <c r="K59" s="5"/>
      <c r="L59" s="5"/>
      <c r="M59" s="5"/>
      <c r="N59" s="5"/>
      <c r="O59" s="5"/>
      <c r="P59" s="5"/>
      <c r="Q59" s="357"/>
      <c r="R59" s="357"/>
      <c r="S59" s="357"/>
      <c r="T59" s="357"/>
      <c r="U59" s="357"/>
      <c r="V59" s="357"/>
      <c r="W59" s="357"/>
      <c r="X59" s="357"/>
      <c r="Y59" s="357"/>
      <c r="Z59" s="357"/>
    </row>
    <row r="60" ht="12.75" customHeight="1">
      <c r="A60" s="5"/>
      <c r="B60" s="5"/>
      <c r="C60" s="5"/>
      <c r="D60" s="5"/>
      <c r="E60" s="5"/>
      <c r="F60" s="5"/>
      <c r="G60" s="5"/>
      <c r="H60" s="5"/>
      <c r="I60" s="5"/>
      <c r="J60" s="5"/>
      <c r="K60" s="5"/>
      <c r="L60" s="5"/>
      <c r="M60" s="5"/>
      <c r="N60" s="5"/>
      <c r="O60" s="5"/>
      <c r="P60" s="5"/>
      <c r="Q60" s="357"/>
      <c r="R60" s="357"/>
      <c r="S60" s="357"/>
      <c r="T60" s="357"/>
      <c r="U60" s="357"/>
      <c r="V60" s="357"/>
      <c r="W60" s="357"/>
      <c r="X60" s="357"/>
      <c r="Y60" s="357"/>
      <c r="Z60" s="357"/>
    </row>
    <row r="61" ht="12.75" customHeight="1">
      <c r="A61" s="5"/>
      <c r="B61" s="5"/>
      <c r="C61" s="5"/>
      <c r="D61" s="5"/>
      <c r="E61" s="5"/>
      <c r="F61" s="5"/>
      <c r="G61" s="5"/>
      <c r="H61" s="5"/>
      <c r="I61" s="5"/>
      <c r="J61" s="5"/>
      <c r="K61" s="5"/>
      <c r="L61" s="5"/>
      <c r="M61" s="5"/>
      <c r="N61" s="5"/>
      <c r="O61" s="5"/>
      <c r="P61" s="5"/>
      <c r="Q61" s="357"/>
      <c r="R61" s="357"/>
      <c r="S61" s="357"/>
      <c r="T61" s="357"/>
      <c r="U61" s="357"/>
      <c r="V61" s="357"/>
      <c r="W61" s="357"/>
      <c r="X61" s="357"/>
      <c r="Y61" s="357"/>
      <c r="Z61" s="357"/>
    </row>
    <row r="62" ht="12.75" customHeight="1">
      <c r="A62" s="5"/>
      <c r="B62" s="5"/>
      <c r="C62" s="5"/>
      <c r="D62" s="5"/>
      <c r="E62" s="5"/>
      <c r="F62" s="5"/>
      <c r="G62" s="5"/>
      <c r="H62" s="5"/>
      <c r="I62" s="5"/>
      <c r="J62" s="5"/>
      <c r="K62" s="5"/>
      <c r="L62" s="5"/>
      <c r="M62" s="5"/>
      <c r="N62" s="5"/>
      <c r="O62" s="5"/>
      <c r="P62" s="5"/>
      <c r="Q62" s="357"/>
      <c r="R62" s="357"/>
      <c r="S62" s="357"/>
      <c r="T62" s="357"/>
      <c r="U62" s="357"/>
      <c r="V62" s="357"/>
      <c r="W62" s="357"/>
      <c r="X62" s="357"/>
      <c r="Y62" s="357"/>
      <c r="Z62" s="357"/>
    </row>
    <row r="63" ht="12.75" customHeight="1">
      <c r="A63" s="5"/>
      <c r="B63" s="5"/>
      <c r="C63" s="5"/>
      <c r="D63" s="5"/>
      <c r="E63" s="5"/>
      <c r="F63" s="5"/>
      <c r="G63" s="5"/>
      <c r="H63" s="5"/>
      <c r="I63" s="5"/>
      <c r="J63" s="5"/>
      <c r="K63" s="5"/>
      <c r="L63" s="5"/>
      <c r="M63" s="5"/>
      <c r="N63" s="5"/>
      <c r="O63" s="5"/>
      <c r="P63" s="5"/>
      <c r="Q63" s="357"/>
      <c r="R63" s="357"/>
      <c r="S63" s="357"/>
      <c r="T63" s="357"/>
      <c r="U63" s="357"/>
      <c r="V63" s="357"/>
      <c r="W63" s="357"/>
      <c r="X63" s="357"/>
      <c r="Y63" s="357"/>
      <c r="Z63" s="357"/>
    </row>
    <row r="64" ht="12.75" customHeight="1">
      <c r="A64" s="5"/>
      <c r="B64" s="5"/>
      <c r="C64" s="5"/>
      <c r="D64" s="5"/>
      <c r="E64" s="5"/>
      <c r="F64" s="5"/>
      <c r="G64" s="5"/>
      <c r="H64" s="5"/>
      <c r="I64" s="5"/>
      <c r="J64" s="5"/>
      <c r="K64" s="5"/>
      <c r="L64" s="5"/>
      <c r="M64" s="5"/>
      <c r="N64" s="5"/>
      <c r="O64" s="5"/>
      <c r="P64" s="5"/>
      <c r="Q64" s="357"/>
      <c r="R64" s="357"/>
      <c r="S64" s="357"/>
      <c r="T64" s="357"/>
      <c r="U64" s="357"/>
      <c r="V64" s="357"/>
      <c r="W64" s="357"/>
      <c r="X64" s="357"/>
      <c r="Y64" s="357"/>
      <c r="Z64" s="357"/>
    </row>
    <row r="65" ht="12.75" customHeight="1">
      <c r="A65" s="5"/>
      <c r="B65" s="5"/>
      <c r="C65" s="5"/>
      <c r="D65" s="5"/>
      <c r="E65" s="5"/>
      <c r="F65" s="5"/>
      <c r="G65" s="5"/>
      <c r="H65" s="5"/>
      <c r="I65" s="5"/>
      <c r="J65" s="5"/>
      <c r="K65" s="5"/>
      <c r="L65" s="5"/>
      <c r="M65" s="5"/>
      <c r="N65" s="5"/>
      <c r="O65" s="5"/>
      <c r="P65" s="5"/>
      <c r="Q65" s="357"/>
      <c r="R65" s="357"/>
      <c r="S65" s="357"/>
      <c r="T65" s="357"/>
      <c r="U65" s="357"/>
      <c r="V65" s="357"/>
      <c r="W65" s="357"/>
      <c r="X65" s="357"/>
      <c r="Y65" s="357"/>
      <c r="Z65" s="357"/>
    </row>
    <row r="66" ht="12.75" customHeight="1">
      <c r="A66" s="5"/>
      <c r="B66" s="5"/>
      <c r="C66" s="5"/>
      <c r="D66" s="5"/>
      <c r="E66" s="5"/>
      <c r="F66" s="5"/>
      <c r="G66" s="5"/>
      <c r="H66" s="5"/>
      <c r="I66" s="5"/>
      <c r="J66" s="5"/>
      <c r="K66" s="5"/>
      <c r="L66" s="5"/>
      <c r="M66" s="5"/>
      <c r="N66" s="5"/>
      <c r="O66" s="5"/>
      <c r="P66" s="5"/>
      <c r="Q66" s="357"/>
      <c r="R66" s="357"/>
      <c r="S66" s="357"/>
      <c r="T66" s="357"/>
      <c r="U66" s="357"/>
      <c r="V66" s="357"/>
      <c r="W66" s="357"/>
      <c r="X66" s="357"/>
      <c r="Y66" s="357"/>
      <c r="Z66" s="357"/>
    </row>
    <row r="67" ht="12.75" customHeight="1">
      <c r="A67" s="5"/>
      <c r="B67" s="5"/>
      <c r="C67" s="5"/>
      <c r="D67" s="5"/>
      <c r="E67" s="5"/>
      <c r="F67" s="5"/>
      <c r="G67" s="5"/>
      <c r="H67" s="5"/>
      <c r="I67" s="5"/>
      <c r="J67" s="5"/>
      <c r="K67" s="5"/>
      <c r="L67" s="5"/>
      <c r="M67" s="5"/>
      <c r="N67" s="5"/>
      <c r="O67" s="5"/>
      <c r="P67" s="5"/>
      <c r="Q67" s="357"/>
      <c r="R67" s="357"/>
      <c r="S67" s="357"/>
      <c r="T67" s="357"/>
      <c r="U67" s="357"/>
      <c r="V67" s="357"/>
      <c r="W67" s="357"/>
      <c r="X67" s="357"/>
      <c r="Y67" s="357"/>
      <c r="Z67" s="357"/>
    </row>
    <row r="68" ht="12.75" customHeight="1">
      <c r="A68" s="5"/>
      <c r="B68" s="5"/>
      <c r="C68" s="5"/>
      <c r="D68" s="5"/>
      <c r="E68" s="5"/>
      <c r="F68" s="5"/>
      <c r="G68" s="5"/>
      <c r="H68" s="5"/>
      <c r="I68" s="5"/>
      <c r="J68" s="5"/>
      <c r="K68" s="5"/>
      <c r="L68" s="5"/>
      <c r="M68" s="5"/>
      <c r="N68" s="5"/>
      <c r="O68" s="5"/>
      <c r="P68" s="5"/>
      <c r="Q68" s="357"/>
      <c r="R68" s="357"/>
      <c r="S68" s="357"/>
      <c r="T68" s="357"/>
      <c r="U68" s="357"/>
      <c r="V68" s="357"/>
      <c r="W68" s="357"/>
      <c r="X68" s="357"/>
      <c r="Y68" s="357"/>
      <c r="Z68" s="357"/>
    </row>
    <row r="69" ht="12.75" customHeight="1">
      <c r="A69" s="5"/>
      <c r="B69" s="5"/>
      <c r="C69" s="5"/>
      <c r="D69" s="5"/>
      <c r="E69" s="5"/>
      <c r="F69" s="5"/>
      <c r="G69" s="5"/>
      <c r="H69" s="5"/>
      <c r="I69" s="5"/>
      <c r="J69" s="5"/>
      <c r="K69" s="5"/>
      <c r="L69" s="5"/>
      <c r="M69" s="5"/>
      <c r="N69" s="5"/>
      <c r="O69" s="5"/>
      <c r="P69" s="5"/>
      <c r="Q69" s="357"/>
      <c r="R69" s="357"/>
      <c r="S69" s="357"/>
      <c r="T69" s="357"/>
      <c r="U69" s="357"/>
      <c r="V69" s="357"/>
      <c r="W69" s="357"/>
      <c r="X69" s="357"/>
      <c r="Y69" s="357"/>
      <c r="Z69" s="357"/>
    </row>
    <row r="70" ht="12.75" customHeight="1">
      <c r="A70" s="5"/>
      <c r="B70" s="5"/>
      <c r="C70" s="5"/>
      <c r="D70" s="5"/>
      <c r="E70" s="5"/>
      <c r="F70" s="5"/>
      <c r="G70" s="5"/>
      <c r="H70" s="5"/>
      <c r="I70" s="5"/>
      <c r="J70" s="5"/>
      <c r="K70" s="5"/>
      <c r="L70" s="5"/>
      <c r="M70" s="5"/>
      <c r="N70" s="5"/>
      <c r="O70" s="5"/>
      <c r="P70" s="5"/>
      <c r="Q70" s="357"/>
      <c r="R70" s="357"/>
      <c r="S70" s="357"/>
      <c r="T70" s="357"/>
      <c r="U70" s="357"/>
      <c r="V70" s="357"/>
      <c r="W70" s="357"/>
      <c r="X70" s="357"/>
      <c r="Y70" s="357"/>
      <c r="Z70" s="357"/>
    </row>
    <row r="71" ht="12.75" customHeight="1">
      <c r="A71" s="5"/>
      <c r="B71" s="5"/>
      <c r="C71" s="5"/>
      <c r="D71" s="5"/>
      <c r="E71" s="5"/>
      <c r="F71" s="5"/>
      <c r="G71" s="5"/>
      <c r="H71" s="5"/>
      <c r="I71" s="5"/>
      <c r="J71" s="5"/>
      <c r="K71" s="5"/>
      <c r="L71" s="5"/>
      <c r="M71" s="5"/>
      <c r="N71" s="5"/>
      <c r="O71" s="5"/>
      <c r="P71" s="5"/>
      <c r="Q71" s="357"/>
      <c r="R71" s="357"/>
      <c r="S71" s="357"/>
      <c r="T71" s="357"/>
      <c r="U71" s="357"/>
      <c r="V71" s="357"/>
      <c r="W71" s="357"/>
      <c r="X71" s="357"/>
      <c r="Y71" s="357"/>
      <c r="Z71" s="357"/>
    </row>
    <row r="72" ht="12.75" customHeight="1">
      <c r="A72" s="5"/>
      <c r="B72" s="5"/>
      <c r="C72" s="5"/>
      <c r="D72" s="5"/>
      <c r="E72" s="5"/>
      <c r="F72" s="5"/>
      <c r="G72" s="5"/>
      <c r="H72" s="5"/>
      <c r="I72" s="5"/>
      <c r="J72" s="5"/>
      <c r="K72" s="5"/>
      <c r="L72" s="5"/>
      <c r="M72" s="5"/>
      <c r="N72" s="5"/>
      <c r="O72" s="5"/>
      <c r="P72" s="5"/>
      <c r="Q72" s="357"/>
      <c r="R72" s="357"/>
      <c r="S72" s="357"/>
      <c r="T72" s="357"/>
      <c r="U72" s="357"/>
      <c r="V72" s="357"/>
      <c r="W72" s="357"/>
      <c r="X72" s="357"/>
      <c r="Y72" s="357"/>
      <c r="Z72" s="357"/>
    </row>
    <row r="73" ht="12.75" customHeight="1">
      <c r="A73" s="5"/>
      <c r="B73" s="5"/>
      <c r="C73" s="5"/>
      <c r="D73" s="5"/>
      <c r="E73" s="5"/>
      <c r="F73" s="5"/>
      <c r="G73" s="5"/>
      <c r="H73" s="5"/>
      <c r="I73" s="5"/>
      <c r="J73" s="5"/>
      <c r="K73" s="5"/>
      <c r="L73" s="5"/>
      <c r="M73" s="5"/>
      <c r="N73" s="5"/>
      <c r="O73" s="5"/>
      <c r="P73" s="5"/>
      <c r="Q73" s="357"/>
      <c r="R73" s="357"/>
      <c r="S73" s="357"/>
      <c r="T73" s="357"/>
      <c r="U73" s="357"/>
      <c r="V73" s="357"/>
      <c r="W73" s="357"/>
      <c r="X73" s="357"/>
      <c r="Y73" s="357"/>
      <c r="Z73" s="357"/>
    </row>
    <row r="74" ht="12.75" customHeight="1">
      <c r="A74" s="5"/>
      <c r="B74" s="5"/>
      <c r="C74" s="5"/>
      <c r="D74" s="5"/>
      <c r="E74" s="5"/>
      <c r="F74" s="5"/>
      <c r="G74" s="5"/>
      <c r="H74" s="5"/>
      <c r="I74" s="5"/>
      <c r="J74" s="5"/>
      <c r="K74" s="5"/>
      <c r="L74" s="5"/>
      <c r="M74" s="5"/>
      <c r="N74" s="5"/>
      <c r="O74" s="5"/>
      <c r="P74" s="5"/>
      <c r="Q74" s="357"/>
      <c r="R74" s="357"/>
      <c r="S74" s="357"/>
      <c r="T74" s="357"/>
      <c r="U74" s="357"/>
      <c r="V74" s="357"/>
      <c r="W74" s="357"/>
      <c r="X74" s="357"/>
      <c r="Y74" s="357"/>
      <c r="Z74" s="357"/>
    </row>
    <row r="75" ht="12.75" customHeight="1">
      <c r="A75" s="5"/>
      <c r="B75" s="5"/>
      <c r="C75" s="5"/>
      <c r="D75" s="5"/>
      <c r="E75" s="5"/>
      <c r="F75" s="5"/>
      <c r="G75" s="5"/>
      <c r="H75" s="5"/>
      <c r="I75" s="5"/>
      <c r="J75" s="5"/>
      <c r="K75" s="5"/>
      <c r="L75" s="5"/>
      <c r="M75" s="5"/>
      <c r="N75" s="5"/>
      <c r="O75" s="5"/>
      <c r="P75" s="5"/>
      <c r="Q75" s="357"/>
      <c r="R75" s="357"/>
      <c r="S75" s="357"/>
      <c r="T75" s="357"/>
      <c r="U75" s="357"/>
      <c r="V75" s="357"/>
      <c r="W75" s="357"/>
      <c r="X75" s="357"/>
      <c r="Y75" s="357"/>
      <c r="Z75" s="357"/>
    </row>
    <row r="76" ht="12.75" customHeight="1">
      <c r="A76" s="5"/>
      <c r="B76" s="5"/>
      <c r="C76" s="5"/>
      <c r="D76" s="5"/>
      <c r="E76" s="5"/>
      <c r="F76" s="5"/>
      <c r="G76" s="5"/>
      <c r="H76" s="5"/>
      <c r="I76" s="5"/>
      <c r="J76" s="5"/>
      <c r="K76" s="5"/>
      <c r="L76" s="5"/>
      <c r="M76" s="5"/>
      <c r="N76" s="5"/>
      <c r="O76" s="5"/>
      <c r="P76" s="5"/>
      <c r="Q76" s="357"/>
      <c r="R76" s="357"/>
      <c r="S76" s="357"/>
      <c r="T76" s="357"/>
      <c r="U76" s="357"/>
      <c r="V76" s="357"/>
      <c r="W76" s="357"/>
      <c r="X76" s="357"/>
      <c r="Y76" s="357"/>
      <c r="Z76" s="357"/>
    </row>
    <row r="77" ht="12.75" customHeight="1">
      <c r="A77" s="5"/>
      <c r="B77" s="5"/>
      <c r="C77" s="5"/>
      <c r="D77" s="5"/>
      <c r="E77" s="5"/>
      <c r="F77" s="5"/>
      <c r="G77" s="5"/>
      <c r="H77" s="5"/>
      <c r="I77" s="5"/>
      <c r="J77" s="5"/>
      <c r="K77" s="5"/>
      <c r="L77" s="5"/>
      <c r="M77" s="5"/>
      <c r="N77" s="5"/>
      <c r="O77" s="5"/>
      <c r="P77" s="5"/>
      <c r="Q77" s="357"/>
      <c r="R77" s="357"/>
      <c r="S77" s="357"/>
      <c r="T77" s="357"/>
      <c r="U77" s="357"/>
      <c r="V77" s="357"/>
      <c r="W77" s="357"/>
      <c r="X77" s="357"/>
      <c r="Y77" s="357"/>
      <c r="Z77" s="357"/>
    </row>
    <row r="78" ht="12.75" customHeight="1">
      <c r="A78" s="5"/>
      <c r="B78" s="5"/>
      <c r="C78" s="5"/>
      <c r="D78" s="5"/>
      <c r="E78" s="5"/>
      <c r="F78" s="5"/>
      <c r="G78" s="5"/>
      <c r="H78" s="5"/>
      <c r="I78" s="5"/>
      <c r="J78" s="5"/>
      <c r="K78" s="5"/>
      <c r="L78" s="5"/>
      <c r="M78" s="5"/>
      <c r="N78" s="5"/>
      <c r="O78" s="5"/>
      <c r="P78" s="5"/>
      <c r="Q78" s="357"/>
      <c r="R78" s="357"/>
      <c r="S78" s="357"/>
      <c r="T78" s="357"/>
      <c r="U78" s="357"/>
      <c r="V78" s="357"/>
      <c r="W78" s="357"/>
      <c r="X78" s="357"/>
      <c r="Y78" s="357"/>
      <c r="Z78" s="357"/>
    </row>
    <row r="79" ht="12.75" customHeight="1">
      <c r="A79" s="5"/>
      <c r="B79" s="5"/>
      <c r="C79" s="5"/>
      <c r="D79" s="5"/>
      <c r="E79" s="5"/>
      <c r="F79" s="5"/>
      <c r="G79" s="5"/>
      <c r="H79" s="5"/>
      <c r="I79" s="5"/>
      <c r="J79" s="5"/>
      <c r="K79" s="5"/>
      <c r="L79" s="5"/>
      <c r="M79" s="5"/>
      <c r="N79" s="5"/>
      <c r="O79" s="5"/>
      <c r="P79" s="5"/>
      <c r="Q79" s="357"/>
      <c r="R79" s="357"/>
      <c r="S79" s="357"/>
      <c r="T79" s="357"/>
      <c r="U79" s="357"/>
      <c r="V79" s="357"/>
      <c r="W79" s="357"/>
      <c r="X79" s="357"/>
      <c r="Y79" s="357"/>
      <c r="Z79" s="357"/>
    </row>
    <row r="80" ht="12.75" customHeight="1">
      <c r="A80" s="5"/>
      <c r="B80" s="5"/>
      <c r="C80" s="5"/>
      <c r="D80" s="5"/>
      <c r="E80" s="5"/>
      <c r="F80" s="5"/>
      <c r="G80" s="5"/>
      <c r="H80" s="5"/>
      <c r="I80" s="5"/>
      <c r="J80" s="5"/>
      <c r="K80" s="5"/>
      <c r="L80" s="5"/>
      <c r="M80" s="5"/>
      <c r="N80" s="5"/>
      <c r="O80" s="5"/>
      <c r="P80" s="5"/>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1.29"/>
    <col customWidth="1" min="2" max="2" width="3.29"/>
    <col customWidth="1" min="3" max="3" width="19.0"/>
    <col customWidth="1" min="4" max="4" width="21.43"/>
    <col customWidth="1" min="5" max="5" width="25.43"/>
    <col customWidth="1" min="6" max="6" width="23.29"/>
    <col customWidth="1" min="7" max="7" width="14.43"/>
    <col customWidth="1" min="8" max="26" width="8.86"/>
  </cols>
  <sheetData>
    <row r="1" ht="15.75" customHeight="1">
      <c r="A1" s="2" t="s">
        <v>133</v>
      </c>
      <c r="B1" s="2"/>
      <c r="C1" s="2"/>
      <c r="D1" s="2"/>
      <c r="F1" s="69" t="s">
        <v>3</v>
      </c>
    </row>
    <row r="2" ht="15.75" customHeight="1">
      <c r="A2" s="3" t="str">
        <f>SchoolName</f>
        <v>Explore Knowledge Academy</v>
      </c>
      <c r="B2" s="26"/>
      <c r="C2" s="26"/>
      <c r="D2" s="26"/>
    </row>
    <row r="3" ht="15.75" customHeight="1">
      <c r="A3" s="70" t="s">
        <v>134</v>
      </c>
    </row>
    <row r="4" ht="15.75" customHeight="1">
      <c r="A4" s="71" t="s">
        <v>135</v>
      </c>
    </row>
    <row r="5" ht="15.75" customHeight="1">
      <c r="A5" s="72" t="str">
        <f>CELL("filename")</f>
        <v>#N/A</v>
      </c>
    </row>
    <row r="6" ht="15.75" customHeight="1">
      <c r="A6" s="28"/>
    </row>
    <row r="7" ht="15.75" customHeight="1">
      <c r="A7" s="28"/>
    </row>
    <row r="8" ht="15.75" customHeight="1">
      <c r="A8" s="28"/>
      <c r="C8" s="36" t="s">
        <v>136</v>
      </c>
      <c r="D8" s="36"/>
      <c r="E8" s="36"/>
      <c r="F8" s="34"/>
      <c r="G8" s="34"/>
    </row>
    <row r="9" ht="15.75" customHeight="1">
      <c r="A9" s="28"/>
      <c r="B9" s="73">
        <f t="shared" ref="B9:B27" si="1">ROW()</f>
        <v>9</v>
      </c>
      <c r="C9" s="74" t="s">
        <v>137</v>
      </c>
      <c r="D9" s="75"/>
      <c r="E9" s="75"/>
      <c r="F9" s="75"/>
      <c r="G9" s="76"/>
    </row>
    <row r="10" ht="15.75" customHeight="1">
      <c r="A10" s="28"/>
      <c r="B10" s="73">
        <f t="shared" si="1"/>
        <v>10</v>
      </c>
    </row>
    <row r="11" ht="15.75" customHeight="1">
      <c r="A11" s="28"/>
      <c r="B11" s="73">
        <f t="shared" si="1"/>
        <v>11</v>
      </c>
      <c r="C11" s="77" t="s">
        <v>138</v>
      </c>
      <c r="E11" s="78">
        <v>2025.0</v>
      </c>
      <c r="F11" s="79" t="str">
        <f>"Fiscal Year beginning July 1, 20"&amp;RIGHT(E11,2)</f>
        <v>Fiscal Year beginning July 1, 2025</v>
      </c>
    </row>
    <row r="12" ht="15.75" customHeight="1">
      <c r="A12" s="28"/>
      <c r="B12" s="73">
        <f t="shared" si="1"/>
        <v>12</v>
      </c>
      <c r="C12" s="77" t="s">
        <v>139</v>
      </c>
      <c r="E12" s="80">
        <f>+E11+1</f>
        <v>2026</v>
      </c>
      <c r="F12" s="79" t="str">
        <f>"aka Fiscal Year Ending (FYE) Jun 30, 20"&amp;RIGHT(E12,2)</f>
        <v>aka Fiscal Year Ending (FYE) Jun 30, 2026</v>
      </c>
    </row>
    <row r="13" ht="15.75" customHeight="1">
      <c r="A13" s="28"/>
      <c r="B13" s="73">
        <f t="shared" si="1"/>
        <v>13</v>
      </c>
    </row>
    <row r="14" ht="15.75" hidden="1" customHeight="1">
      <c r="A14" s="28"/>
      <c r="B14" s="73">
        <f t="shared" si="1"/>
        <v>14</v>
      </c>
      <c r="C14" s="36" t="s">
        <v>140</v>
      </c>
      <c r="D14" s="36"/>
      <c r="E14" s="81" t="s">
        <v>141</v>
      </c>
      <c r="F14" s="36" t="s">
        <v>142</v>
      </c>
      <c r="G14" s="82"/>
    </row>
    <row r="15" ht="15.75" hidden="1" customHeight="1">
      <c r="A15" s="28"/>
      <c r="B15" s="73">
        <f t="shared" si="1"/>
        <v>15</v>
      </c>
      <c r="C15" s="83" t="s">
        <v>143</v>
      </c>
      <c r="D15" s="76"/>
      <c r="E15" s="84"/>
      <c r="F15" s="85"/>
      <c r="G15" s="76"/>
    </row>
    <row r="16" ht="15.75" hidden="1" customHeight="1">
      <c r="A16" s="28"/>
      <c r="B16" s="73">
        <f t="shared" si="1"/>
        <v>16</v>
      </c>
      <c r="C16" s="86"/>
      <c r="D16" s="87"/>
      <c r="E16" s="84"/>
      <c r="F16" s="88"/>
      <c r="G16" s="87"/>
    </row>
    <row r="17" ht="30.75" hidden="1" customHeight="1">
      <c r="A17" s="28"/>
      <c r="B17" s="73">
        <f t="shared" si="1"/>
        <v>17</v>
      </c>
      <c r="C17" s="89" t="s">
        <v>144</v>
      </c>
      <c r="D17" s="82"/>
      <c r="E17" s="82"/>
      <c r="F17" s="82"/>
      <c r="G17" s="82"/>
    </row>
    <row r="18" ht="18.0" hidden="1" customHeight="1">
      <c r="A18" s="28"/>
      <c r="B18" s="73">
        <f t="shared" si="1"/>
        <v>18</v>
      </c>
      <c r="C18" s="90" t="s">
        <v>143</v>
      </c>
      <c r="D18" s="75"/>
      <c r="E18" s="75"/>
      <c r="F18" s="75"/>
      <c r="G18" s="76"/>
    </row>
    <row r="19" ht="18.0" hidden="1" customHeight="1">
      <c r="A19" s="28"/>
      <c r="B19" s="73">
        <f t="shared" si="1"/>
        <v>19</v>
      </c>
      <c r="C19" s="91" t="s">
        <v>145</v>
      </c>
      <c r="D19" s="58"/>
      <c r="E19" s="58"/>
      <c r="F19" s="58"/>
      <c r="G19" s="87"/>
    </row>
    <row r="20" ht="15.75" hidden="1" customHeight="1">
      <c r="A20" s="28"/>
      <c r="B20" s="73">
        <f t="shared" si="1"/>
        <v>20</v>
      </c>
      <c r="C20" s="67" t="s">
        <v>146</v>
      </c>
    </row>
    <row r="21" ht="15.75" hidden="1" customHeight="1">
      <c r="A21" s="28"/>
      <c r="B21" s="73">
        <f t="shared" si="1"/>
        <v>21</v>
      </c>
      <c r="C21" s="67"/>
    </row>
    <row r="22" ht="15.75" hidden="1" customHeight="1">
      <c r="A22" s="28"/>
      <c r="B22" s="73">
        <f t="shared" si="1"/>
        <v>22</v>
      </c>
      <c r="C22" s="63" t="s">
        <v>128</v>
      </c>
    </row>
    <row r="23" ht="15.75" hidden="1" customHeight="1">
      <c r="A23" s="28"/>
      <c r="B23" s="73">
        <f t="shared" si="1"/>
        <v>23</v>
      </c>
      <c r="C23" s="64"/>
      <c r="D23" s="65" t="s">
        <v>147</v>
      </c>
    </row>
    <row r="24" ht="15.75" hidden="1" customHeight="1">
      <c r="A24" s="28"/>
      <c r="B24" s="73">
        <f t="shared" si="1"/>
        <v>24</v>
      </c>
      <c r="C24" s="66"/>
      <c r="D24" s="67" t="s">
        <v>148</v>
      </c>
    </row>
    <row r="25" ht="15.75" hidden="1" customHeight="1">
      <c r="A25" s="28"/>
      <c r="B25" s="73">
        <f t="shared" si="1"/>
        <v>25</v>
      </c>
      <c r="C25" s="64"/>
      <c r="D25" s="30" t="s">
        <v>131</v>
      </c>
    </row>
    <row r="26" ht="15.75" hidden="1" customHeight="1">
      <c r="A26" s="28"/>
      <c r="B26" s="73">
        <f t="shared" si="1"/>
        <v>26</v>
      </c>
      <c r="C26" s="66"/>
    </row>
    <row r="27" ht="15.75" hidden="1" customHeight="1">
      <c r="A27" s="28"/>
      <c r="B27" s="73">
        <f t="shared" si="1"/>
        <v>27</v>
      </c>
      <c r="C27" s="64"/>
      <c r="D27" s="30" t="s">
        <v>132</v>
      </c>
    </row>
    <row r="28" ht="15.75" customHeight="1">
      <c r="A28" s="28"/>
    </row>
    <row r="29" ht="15.75" customHeight="1">
      <c r="A29" s="28"/>
    </row>
    <row r="30" ht="15.75" customHeight="1">
      <c r="A30" s="28"/>
    </row>
    <row r="31" ht="15.75" customHeight="1">
      <c r="A31" s="28"/>
    </row>
    <row r="32" ht="15.75" customHeight="1">
      <c r="A32" s="28"/>
    </row>
    <row r="33" ht="15.75" customHeight="1">
      <c r="A33" s="28"/>
    </row>
    <row r="34" ht="15.75" customHeight="1">
      <c r="A34" s="28"/>
    </row>
    <row r="35" ht="15.75" customHeight="1">
      <c r="A35" s="28"/>
    </row>
    <row r="36" ht="15.75" customHeight="1">
      <c r="A36" s="28"/>
    </row>
    <row r="37" ht="15.75" customHeight="1">
      <c r="A37" s="28"/>
    </row>
    <row r="38" ht="15.75" customHeight="1">
      <c r="A38" s="28"/>
    </row>
    <row r="39" ht="15.75" customHeight="1">
      <c r="A39" s="28"/>
    </row>
    <row r="40" ht="15.75" customHeight="1">
      <c r="A40" s="28"/>
    </row>
    <row r="41" ht="15.75" customHeight="1">
      <c r="A41" s="28"/>
    </row>
    <row r="42" ht="15.75" customHeight="1">
      <c r="A42" s="28"/>
    </row>
    <row r="43" ht="15.75" customHeight="1">
      <c r="A43" s="28"/>
    </row>
    <row r="44" ht="15.75" customHeight="1">
      <c r="A44" s="28"/>
    </row>
    <row r="45" ht="15.75" customHeight="1">
      <c r="A45" s="28"/>
    </row>
    <row r="46" ht="15.75" customHeight="1">
      <c r="A46" s="28"/>
    </row>
    <row r="47" ht="15.75" customHeight="1">
      <c r="A47" s="28"/>
    </row>
    <row r="48" ht="15.75" customHeight="1">
      <c r="A48" s="28"/>
    </row>
    <row r="49" ht="15.75" customHeight="1">
      <c r="A49" s="28"/>
    </row>
    <row r="50" ht="15.75" customHeight="1">
      <c r="A50" s="28"/>
    </row>
    <row r="51" ht="15.75" customHeight="1">
      <c r="A51" s="28"/>
    </row>
    <row r="52" ht="15.75" customHeight="1">
      <c r="A52" s="28"/>
    </row>
    <row r="53" ht="15.75" customHeight="1">
      <c r="A53" s="28"/>
    </row>
    <row r="54" ht="15.75" customHeight="1">
      <c r="A54" s="28"/>
    </row>
    <row r="55" ht="15.75" customHeight="1">
      <c r="A55" s="28"/>
    </row>
    <row r="56" ht="15.75" customHeight="1">
      <c r="A56" s="28"/>
    </row>
    <row r="57" ht="15.75" customHeight="1">
      <c r="A57" s="28"/>
    </row>
    <row r="58" ht="15.75" customHeight="1">
      <c r="A58" s="28"/>
    </row>
    <row r="59" ht="15.75" customHeight="1">
      <c r="A59" s="28"/>
    </row>
    <row r="60" ht="15.75" customHeight="1">
      <c r="A60" s="28"/>
    </row>
    <row r="61" ht="15.75" customHeight="1">
      <c r="A61" s="28"/>
    </row>
    <row r="62" ht="15.75" customHeight="1">
      <c r="A62" s="28"/>
    </row>
    <row r="63" ht="15.75" customHeight="1">
      <c r="A63" s="28"/>
    </row>
    <row r="64" ht="15.75" customHeight="1">
      <c r="A64" s="28"/>
    </row>
    <row r="65" ht="15.75" customHeight="1">
      <c r="A65" s="28"/>
    </row>
    <row r="66" ht="15.75" customHeight="1">
      <c r="A66" s="28"/>
    </row>
    <row r="67" ht="15.75" customHeight="1">
      <c r="A67" s="28"/>
    </row>
    <row r="68" ht="15.75" customHeight="1">
      <c r="A68" s="28"/>
    </row>
    <row r="69" ht="15.75" customHeight="1">
      <c r="A69" s="28"/>
    </row>
    <row r="70" ht="15.75" customHeight="1">
      <c r="A70" s="28"/>
    </row>
    <row r="71" ht="15.75" customHeight="1">
      <c r="A71" s="28"/>
    </row>
    <row r="72" ht="15.75" customHeight="1">
      <c r="A72" s="28"/>
    </row>
    <row r="73" ht="15.75" customHeight="1">
      <c r="A73" s="28"/>
    </row>
    <row r="74" ht="15.75" customHeight="1">
      <c r="A74" s="28"/>
    </row>
    <row r="75" ht="15.75" customHeight="1">
      <c r="A75" s="28"/>
    </row>
    <row r="76" ht="15.75" customHeight="1">
      <c r="A76" s="28"/>
    </row>
    <row r="77" ht="15.75" customHeight="1">
      <c r="A77" s="28"/>
    </row>
    <row r="78" ht="15.75" customHeight="1">
      <c r="A78" s="28"/>
    </row>
    <row r="79" ht="15.75" customHeight="1">
      <c r="A79" s="28"/>
    </row>
    <row r="80" ht="15.75" customHeight="1">
      <c r="A80" s="28"/>
    </row>
    <row r="81" ht="15.75" customHeight="1">
      <c r="A81" s="28"/>
    </row>
    <row r="82" ht="15.75" customHeight="1">
      <c r="A82" s="28"/>
    </row>
    <row r="83" ht="15.75" customHeight="1">
      <c r="A83" s="28"/>
    </row>
    <row r="84" ht="15.75" customHeight="1">
      <c r="A84" s="28"/>
    </row>
    <row r="85" ht="15.75" customHeight="1">
      <c r="A85" s="28"/>
    </row>
    <row r="86" ht="15.75" customHeight="1">
      <c r="A86" s="28"/>
    </row>
    <row r="87" ht="15.75" customHeight="1">
      <c r="A87" s="28"/>
    </row>
    <row r="88" ht="15.75" customHeight="1">
      <c r="A88" s="28"/>
    </row>
    <row r="89" ht="15.75" customHeight="1">
      <c r="A89" s="28"/>
    </row>
    <row r="90" ht="15.75" customHeight="1">
      <c r="A90" s="28"/>
    </row>
    <row r="91" ht="15.75" customHeight="1">
      <c r="A91" s="28"/>
    </row>
    <row r="92" ht="15.75" customHeight="1">
      <c r="A92" s="28"/>
    </row>
    <row r="93" ht="15.75" customHeight="1">
      <c r="A93" s="28"/>
    </row>
    <row r="94" ht="15.75" customHeight="1">
      <c r="A94" s="28"/>
    </row>
    <row r="95" ht="15.75" customHeight="1">
      <c r="A95" s="28"/>
    </row>
    <row r="96" ht="15.75" customHeight="1">
      <c r="A96" s="28"/>
    </row>
    <row r="97" ht="15.75" customHeight="1">
      <c r="A97" s="28"/>
    </row>
    <row r="98" ht="15.75" customHeight="1">
      <c r="A98" s="28"/>
    </row>
    <row r="99" ht="15.75" customHeight="1">
      <c r="A99" s="28"/>
    </row>
    <row r="100" ht="15.75" customHeight="1">
      <c r="A100" s="28"/>
    </row>
    <row r="101" ht="15.75" customHeight="1">
      <c r="A101" s="28"/>
    </row>
    <row r="102" ht="15.75" customHeight="1">
      <c r="A102" s="28"/>
    </row>
    <row r="103" ht="15.75" customHeight="1">
      <c r="A103" s="28"/>
    </row>
    <row r="104" ht="15.75" customHeight="1">
      <c r="A104" s="28"/>
    </row>
    <row r="105" ht="15.75" customHeight="1">
      <c r="A105" s="28"/>
    </row>
    <row r="106" ht="15.75" customHeight="1">
      <c r="A106" s="28"/>
    </row>
    <row r="107" ht="15.75" customHeight="1">
      <c r="A107" s="28"/>
    </row>
    <row r="108" ht="15.75" customHeight="1">
      <c r="A108" s="28"/>
    </row>
    <row r="109" ht="15.75" customHeight="1">
      <c r="A109" s="28"/>
    </row>
    <row r="110" ht="15.75" customHeight="1">
      <c r="A110" s="28"/>
    </row>
    <row r="111" ht="15.75" customHeight="1">
      <c r="A111" s="28"/>
    </row>
    <row r="112" ht="15.75" customHeight="1">
      <c r="A112" s="28"/>
    </row>
    <row r="113" ht="15.75" customHeight="1">
      <c r="A113" s="28"/>
    </row>
    <row r="114" ht="15.75" customHeight="1">
      <c r="A114" s="28"/>
    </row>
    <row r="115" ht="15.75" customHeight="1">
      <c r="A115" s="28"/>
    </row>
    <row r="116" ht="15.75" customHeight="1">
      <c r="A116" s="28"/>
    </row>
    <row r="117" ht="15.75" customHeight="1">
      <c r="A117" s="28"/>
    </row>
    <row r="118" ht="15.75" customHeight="1">
      <c r="A118" s="28"/>
    </row>
    <row r="119" ht="15.75" customHeight="1">
      <c r="A119" s="28"/>
    </row>
    <row r="120" ht="15.75" customHeight="1">
      <c r="A120" s="28"/>
    </row>
    <row r="121" ht="15.75" customHeight="1">
      <c r="A121" s="28"/>
    </row>
    <row r="122" ht="15.75" customHeight="1">
      <c r="A122" s="28"/>
    </row>
    <row r="123" ht="15.75" customHeight="1">
      <c r="A123" s="28"/>
    </row>
    <row r="124" ht="15.75" customHeight="1">
      <c r="A124" s="28"/>
    </row>
    <row r="125" ht="15.75" customHeight="1">
      <c r="A125" s="28"/>
    </row>
    <row r="126" ht="15.75" customHeight="1">
      <c r="A126" s="28"/>
    </row>
    <row r="127" ht="15.75" customHeight="1">
      <c r="A127" s="28"/>
    </row>
    <row r="128" ht="15.75" customHeight="1">
      <c r="A128" s="28"/>
    </row>
    <row r="129" ht="15.75" customHeight="1">
      <c r="A129" s="28"/>
    </row>
    <row r="130" ht="15.75" customHeight="1">
      <c r="A130" s="28"/>
    </row>
    <row r="131" ht="15.75" customHeight="1">
      <c r="A131" s="28"/>
    </row>
    <row r="132" ht="15.75" customHeight="1">
      <c r="A132" s="28"/>
    </row>
    <row r="133" ht="15.75" customHeight="1">
      <c r="A133" s="28"/>
    </row>
    <row r="134" ht="15.75" customHeight="1">
      <c r="A134" s="28"/>
    </row>
    <row r="135" ht="15.75" customHeight="1">
      <c r="A135" s="28"/>
    </row>
    <row r="136" ht="15.75" customHeight="1">
      <c r="A136" s="28"/>
    </row>
    <row r="137" ht="15.75" customHeight="1">
      <c r="A137" s="28"/>
    </row>
    <row r="138" ht="15.75" customHeight="1">
      <c r="A138" s="28"/>
    </row>
    <row r="139" ht="15.75" customHeight="1">
      <c r="A139" s="28"/>
    </row>
    <row r="140" ht="15.75" customHeight="1">
      <c r="A140" s="28"/>
    </row>
    <row r="141" ht="15.75" customHeight="1">
      <c r="A141" s="28"/>
    </row>
    <row r="142" ht="15.75" customHeight="1">
      <c r="A142" s="28"/>
    </row>
    <row r="143" ht="15.75" customHeight="1">
      <c r="A143" s="28"/>
    </row>
    <row r="144" ht="15.75" customHeight="1">
      <c r="A144" s="28"/>
    </row>
    <row r="145" ht="15.75" customHeight="1">
      <c r="A145" s="28"/>
    </row>
    <row r="146" ht="15.75" customHeight="1">
      <c r="A146" s="28"/>
    </row>
    <row r="147" ht="15.75" customHeight="1">
      <c r="A147" s="28"/>
    </row>
    <row r="148" ht="15.75" customHeight="1">
      <c r="A148" s="28"/>
    </row>
    <row r="149" ht="15.75" customHeight="1">
      <c r="A149" s="28"/>
    </row>
    <row r="150" ht="15.75" customHeight="1">
      <c r="A150" s="28"/>
    </row>
    <row r="151" ht="15.75" customHeight="1">
      <c r="A151" s="28"/>
    </row>
    <row r="152" ht="15.75" customHeight="1">
      <c r="A152" s="28"/>
    </row>
    <row r="153" ht="15.75" customHeight="1">
      <c r="A153" s="28"/>
    </row>
    <row r="154" ht="15.75" customHeight="1">
      <c r="A154" s="28"/>
    </row>
    <row r="155" ht="15.75" customHeight="1">
      <c r="A155" s="28"/>
    </row>
    <row r="156" ht="15.75" customHeight="1">
      <c r="A156" s="28"/>
    </row>
    <row r="157" ht="15.75" customHeight="1">
      <c r="A157" s="28"/>
    </row>
    <row r="158" ht="15.75" customHeight="1">
      <c r="A158" s="28"/>
    </row>
    <row r="159" ht="15.75" customHeight="1">
      <c r="A159" s="28"/>
    </row>
    <row r="160" ht="15.75" customHeight="1">
      <c r="A160" s="28"/>
    </row>
    <row r="161" ht="15.75" customHeight="1">
      <c r="A161" s="28"/>
    </row>
    <row r="162" ht="15.75" customHeight="1">
      <c r="A162" s="28"/>
    </row>
    <row r="163" ht="15.75" customHeight="1">
      <c r="A163" s="28"/>
    </row>
    <row r="164" ht="15.75" customHeight="1">
      <c r="A164" s="28"/>
    </row>
    <row r="165" ht="15.75" customHeight="1">
      <c r="A165" s="28"/>
    </row>
    <row r="166" ht="15.75" customHeight="1">
      <c r="A166" s="28"/>
    </row>
    <row r="167" ht="15.75" customHeight="1">
      <c r="A167" s="28"/>
    </row>
    <row r="168" ht="15.75" customHeight="1">
      <c r="A168" s="28"/>
    </row>
    <row r="169" ht="15.75" customHeight="1">
      <c r="A169" s="28"/>
    </row>
    <row r="170" ht="15.75" customHeight="1">
      <c r="A170" s="28"/>
    </row>
    <row r="171" ht="15.75" customHeight="1">
      <c r="A171" s="28"/>
    </row>
    <row r="172" ht="15.75" customHeight="1">
      <c r="A172" s="28"/>
    </row>
    <row r="173" ht="15.75" customHeight="1">
      <c r="A173" s="28"/>
    </row>
    <row r="174" ht="15.75" customHeight="1">
      <c r="A174" s="28"/>
    </row>
    <row r="175" ht="15.75" customHeight="1">
      <c r="A175" s="28"/>
    </row>
    <row r="176" ht="15.75" customHeight="1">
      <c r="A176" s="28"/>
    </row>
    <row r="177" ht="15.75" customHeight="1">
      <c r="A177" s="28"/>
    </row>
    <row r="178" ht="15.75" customHeight="1">
      <c r="A178" s="28"/>
    </row>
    <row r="179" ht="15.75" customHeight="1">
      <c r="A179" s="28"/>
    </row>
    <row r="180" ht="15.75" customHeight="1">
      <c r="A180" s="28"/>
    </row>
    <row r="181" ht="15.75" customHeight="1">
      <c r="A181" s="28"/>
    </row>
    <row r="182" ht="15.75" customHeight="1">
      <c r="A182" s="28"/>
    </row>
    <row r="183" ht="15.75" customHeight="1">
      <c r="A183" s="28"/>
    </row>
    <row r="184" ht="15.75" customHeight="1">
      <c r="A184" s="28"/>
    </row>
    <row r="185" ht="15.75" customHeight="1">
      <c r="A185" s="28"/>
    </row>
    <row r="186" ht="15.75" customHeight="1">
      <c r="A186" s="28"/>
    </row>
    <row r="187" ht="15.75" customHeight="1">
      <c r="A187" s="28"/>
    </row>
    <row r="188" ht="15.75" customHeight="1">
      <c r="A188" s="28"/>
    </row>
    <row r="189" ht="15.75" customHeight="1">
      <c r="A189" s="28"/>
    </row>
    <row r="190" ht="15.75" customHeight="1">
      <c r="A190" s="28"/>
    </row>
    <row r="191" ht="15.75" customHeight="1">
      <c r="A191" s="28"/>
    </row>
    <row r="192" ht="15.75" customHeight="1">
      <c r="A192" s="28"/>
    </row>
    <row r="193" ht="15.75" customHeight="1">
      <c r="A193" s="28"/>
    </row>
    <row r="194" ht="15.75" customHeight="1">
      <c r="A194" s="28"/>
    </row>
    <row r="195" ht="15.75" customHeight="1">
      <c r="A195" s="28"/>
    </row>
    <row r="196" ht="15.75" customHeight="1">
      <c r="A196" s="28"/>
    </row>
    <row r="197" ht="15.75" customHeight="1">
      <c r="A197" s="28"/>
    </row>
    <row r="198" ht="15.75" customHeight="1">
      <c r="A198" s="28"/>
    </row>
    <row r="199" ht="15.75" customHeight="1">
      <c r="A199" s="28"/>
    </row>
    <row r="200" ht="15.75" customHeight="1">
      <c r="A200" s="28"/>
    </row>
    <row r="201" ht="15.75" customHeight="1">
      <c r="A201" s="28"/>
    </row>
    <row r="202" ht="15.75" customHeight="1">
      <c r="A202" s="28"/>
    </row>
    <row r="203" ht="15.75" customHeight="1">
      <c r="A203" s="28"/>
    </row>
    <row r="204" ht="15.75" customHeight="1">
      <c r="A204" s="28"/>
    </row>
    <row r="205" ht="15.75" customHeight="1">
      <c r="A205" s="28"/>
    </row>
    <row r="206" ht="15.75" customHeight="1">
      <c r="A206" s="28"/>
    </row>
    <row r="207" ht="15.75" customHeight="1">
      <c r="A207" s="28"/>
    </row>
    <row r="208" ht="15.75" customHeight="1">
      <c r="A208" s="28"/>
    </row>
    <row r="209" ht="15.75" customHeight="1">
      <c r="A209" s="28"/>
    </row>
    <row r="210" ht="15.75" customHeight="1">
      <c r="A210" s="28"/>
    </row>
    <row r="211" ht="15.75" customHeight="1">
      <c r="A211" s="28"/>
    </row>
    <row r="212" ht="15.75" customHeight="1">
      <c r="A212" s="28"/>
    </row>
    <row r="213" ht="15.75" customHeight="1">
      <c r="A213" s="28"/>
    </row>
    <row r="214" ht="15.75" customHeight="1">
      <c r="A214" s="28"/>
    </row>
    <row r="215" ht="15.75" customHeight="1">
      <c r="A215" s="28"/>
    </row>
    <row r="216" ht="15.75" customHeight="1">
      <c r="A216" s="28"/>
    </row>
    <row r="217" ht="15.75" customHeight="1">
      <c r="A217" s="28"/>
    </row>
    <row r="218" ht="15.75" customHeight="1">
      <c r="A218" s="28"/>
    </row>
    <row r="219" ht="15.75" customHeight="1">
      <c r="A219" s="28"/>
    </row>
    <row r="220" ht="15.75" customHeight="1">
      <c r="A220" s="28"/>
    </row>
    <row r="221" ht="15.75" customHeight="1">
      <c r="A221" s="28"/>
    </row>
    <row r="222" ht="15.75" customHeight="1">
      <c r="A222" s="28"/>
    </row>
    <row r="223" ht="15.75" customHeight="1">
      <c r="A223" s="28"/>
    </row>
    <row r="224" ht="15.75" customHeight="1">
      <c r="A224" s="28"/>
    </row>
    <row r="225" ht="15.75" customHeight="1">
      <c r="A225" s="28"/>
    </row>
    <row r="226" ht="15.75" customHeight="1">
      <c r="A226" s="28"/>
    </row>
    <row r="227" ht="15.75" customHeight="1">
      <c r="A227" s="28"/>
    </row>
    <row r="228" ht="15.75" customHeight="1">
      <c r="A228" s="28"/>
    </row>
    <row r="229" ht="15.75" customHeight="1">
      <c r="A229" s="28"/>
    </row>
    <row r="230" ht="15.75" customHeight="1">
      <c r="A230" s="28"/>
    </row>
    <row r="231" ht="15.75" customHeight="1">
      <c r="A231" s="28"/>
    </row>
    <row r="232" ht="15.75" customHeight="1">
      <c r="A232" s="28"/>
    </row>
    <row r="233" ht="15.75" customHeight="1">
      <c r="A233" s="28"/>
    </row>
    <row r="234" ht="15.75" customHeight="1">
      <c r="A234" s="28"/>
    </row>
    <row r="235" ht="15.75" customHeight="1">
      <c r="A235" s="28"/>
    </row>
    <row r="236" ht="15.75" customHeight="1">
      <c r="A236" s="28"/>
    </row>
    <row r="237" ht="15.75" customHeight="1">
      <c r="A237" s="28"/>
    </row>
    <row r="238" ht="15.75" customHeight="1">
      <c r="A238" s="28"/>
    </row>
    <row r="239" ht="15.75" customHeight="1">
      <c r="A239" s="28"/>
    </row>
    <row r="240" ht="15.75" customHeight="1">
      <c r="A240" s="28"/>
    </row>
    <row r="241" ht="15.75" customHeight="1">
      <c r="A241" s="28"/>
    </row>
    <row r="242" ht="15.75" customHeight="1">
      <c r="A242" s="28"/>
    </row>
    <row r="243" ht="15.75" customHeight="1">
      <c r="A243" s="28"/>
    </row>
    <row r="244" ht="15.75" customHeight="1">
      <c r="A244" s="28"/>
    </row>
    <row r="245" ht="15.75" customHeight="1">
      <c r="A245" s="28"/>
    </row>
    <row r="246" ht="15.75" customHeight="1">
      <c r="A246" s="28"/>
    </row>
    <row r="247" ht="15.75" customHeight="1">
      <c r="A247" s="28"/>
    </row>
    <row r="248" ht="15.75" customHeight="1">
      <c r="A248" s="28"/>
    </row>
    <row r="249" ht="15.75" customHeight="1">
      <c r="A249" s="28"/>
    </row>
    <row r="250" ht="15.75" customHeight="1">
      <c r="A250" s="28"/>
    </row>
    <row r="251" ht="15.75" customHeight="1">
      <c r="A251" s="28"/>
    </row>
    <row r="252" ht="15.75" customHeight="1">
      <c r="A252" s="28"/>
    </row>
    <row r="253" ht="15.75" customHeight="1">
      <c r="A253" s="28"/>
    </row>
    <row r="254" ht="15.75" customHeight="1">
      <c r="A254" s="28"/>
    </row>
    <row r="255" ht="15.75" customHeight="1">
      <c r="A255" s="28"/>
    </row>
    <row r="256" ht="15.75" customHeight="1">
      <c r="A256" s="28"/>
    </row>
    <row r="257" ht="15.75" customHeight="1">
      <c r="A257" s="28"/>
    </row>
    <row r="258" ht="15.75" customHeight="1">
      <c r="A258" s="28"/>
    </row>
    <row r="259" ht="15.75" customHeight="1">
      <c r="A259" s="28"/>
    </row>
    <row r="260" ht="15.75" customHeight="1">
      <c r="A260" s="28"/>
    </row>
    <row r="261" ht="15.75" customHeight="1">
      <c r="A261" s="28"/>
    </row>
    <row r="262" ht="15.75" customHeight="1">
      <c r="A262" s="28"/>
    </row>
    <row r="263" ht="15.75" customHeight="1">
      <c r="A263" s="28"/>
    </row>
    <row r="264" ht="15.75" customHeight="1">
      <c r="A264" s="28"/>
    </row>
    <row r="265" ht="15.75" customHeight="1">
      <c r="A265" s="28"/>
    </row>
    <row r="266" ht="15.75" customHeight="1">
      <c r="A266" s="28"/>
    </row>
    <row r="267" ht="15.75" customHeight="1">
      <c r="A267" s="28"/>
    </row>
    <row r="268" ht="15.75" customHeight="1">
      <c r="A268" s="28"/>
    </row>
    <row r="269" ht="15.75" customHeight="1">
      <c r="A269" s="28"/>
    </row>
    <row r="270" ht="15.75" customHeight="1">
      <c r="A270" s="28"/>
    </row>
    <row r="271" ht="15.75" customHeight="1">
      <c r="A271" s="28"/>
    </row>
    <row r="272" ht="15.75" customHeight="1">
      <c r="A272" s="28"/>
    </row>
    <row r="273" ht="15.75" customHeight="1">
      <c r="A273" s="28"/>
    </row>
    <row r="274" ht="15.75" customHeight="1">
      <c r="A274" s="28"/>
    </row>
    <row r="275" ht="15.75" customHeight="1">
      <c r="A275" s="28"/>
    </row>
    <row r="276" ht="15.75" customHeight="1">
      <c r="A276" s="28"/>
    </row>
    <row r="277" ht="15.75" customHeight="1">
      <c r="A277" s="28"/>
    </row>
    <row r="278" ht="15.75" customHeight="1">
      <c r="A278" s="28"/>
    </row>
    <row r="279" ht="15.75" customHeight="1">
      <c r="A279" s="28"/>
    </row>
    <row r="280" ht="15.75" customHeight="1">
      <c r="A280" s="28"/>
    </row>
    <row r="281" ht="15.75" customHeight="1">
      <c r="A281" s="28"/>
    </row>
    <row r="282" ht="15.75" customHeight="1">
      <c r="A282" s="28"/>
    </row>
    <row r="283" ht="15.75" customHeight="1">
      <c r="A283" s="28"/>
    </row>
    <row r="284" ht="15.75" customHeight="1">
      <c r="A284" s="28"/>
    </row>
    <row r="285" ht="15.75" customHeight="1">
      <c r="A285" s="28"/>
    </row>
    <row r="286" ht="15.75" customHeight="1">
      <c r="A286" s="28"/>
    </row>
    <row r="287" ht="15.75" customHeight="1">
      <c r="A287" s="28"/>
    </row>
    <row r="288" ht="15.75" customHeight="1">
      <c r="A288" s="28"/>
    </row>
    <row r="289" ht="15.75" customHeight="1">
      <c r="A289" s="28"/>
    </row>
    <row r="290" ht="15.75" customHeight="1">
      <c r="A290" s="28"/>
    </row>
    <row r="291" ht="15.75" customHeight="1">
      <c r="A291" s="28"/>
    </row>
    <row r="292" ht="15.75" customHeight="1">
      <c r="A292" s="28"/>
    </row>
    <row r="293" ht="15.75" customHeight="1">
      <c r="A293" s="28"/>
    </row>
    <row r="294" ht="15.75" customHeight="1">
      <c r="A294" s="28"/>
    </row>
    <row r="295" ht="15.75" customHeight="1">
      <c r="A295" s="28"/>
    </row>
    <row r="296" ht="15.75" customHeight="1">
      <c r="A296" s="28"/>
    </row>
    <row r="297" ht="15.75" customHeight="1">
      <c r="A297" s="28"/>
    </row>
    <row r="298" ht="15.75" customHeight="1">
      <c r="A298" s="28"/>
    </row>
    <row r="299" ht="15.75" customHeight="1">
      <c r="A299" s="28"/>
    </row>
    <row r="300" ht="15.75" customHeight="1">
      <c r="A300" s="28"/>
    </row>
    <row r="301" ht="15.75" customHeight="1">
      <c r="A301" s="28"/>
    </row>
    <row r="302" ht="15.75" customHeight="1">
      <c r="A302" s="28"/>
    </row>
    <row r="303" ht="15.75" customHeight="1">
      <c r="A303" s="28"/>
    </row>
    <row r="304" ht="15.75" customHeight="1">
      <c r="A304" s="28"/>
    </row>
    <row r="305" ht="15.75" customHeight="1">
      <c r="A305" s="28"/>
    </row>
    <row r="306" ht="15.75" customHeight="1">
      <c r="A306" s="28"/>
    </row>
    <row r="307" ht="15.75" customHeight="1">
      <c r="A307" s="28"/>
    </row>
    <row r="308" ht="15.75" customHeight="1">
      <c r="A308" s="28"/>
    </row>
    <row r="309" ht="15.75" customHeight="1">
      <c r="A309" s="28"/>
    </row>
    <row r="310" ht="15.75" customHeight="1">
      <c r="A310" s="28"/>
    </row>
    <row r="311" ht="15.75" customHeight="1">
      <c r="A311" s="28"/>
    </row>
    <row r="312" ht="15.75" customHeight="1">
      <c r="A312" s="28"/>
    </row>
    <row r="313" ht="15.75" customHeight="1">
      <c r="A313" s="28"/>
    </row>
    <row r="314" ht="15.75" customHeight="1">
      <c r="A314" s="28"/>
    </row>
    <row r="315" ht="15.75" customHeight="1">
      <c r="A315" s="28"/>
    </row>
    <row r="316" ht="15.75" customHeight="1">
      <c r="A316" s="28"/>
    </row>
    <row r="317" ht="15.75" customHeight="1">
      <c r="A317" s="28"/>
    </row>
    <row r="318" ht="15.75" customHeight="1">
      <c r="A318" s="28"/>
    </row>
    <row r="319" ht="15.75" customHeight="1">
      <c r="A319" s="28"/>
    </row>
    <row r="320" ht="15.75" customHeight="1">
      <c r="A320" s="28"/>
    </row>
    <row r="321" ht="15.75" customHeight="1">
      <c r="A321" s="28"/>
    </row>
    <row r="322" ht="15.75" customHeight="1">
      <c r="A322" s="28"/>
    </row>
    <row r="323" ht="15.75" customHeight="1">
      <c r="A323" s="28"/>
    </row>
    <row r="324" ht="15.75" customHeight="1">
      <c r="A324" s="28"/>
    </row>
    <row r="325" ht="15.75" customHeight="1">
      <c r="A325" s="28"/>
    </row>
    <row r="326" ht="15.75" customHeight="1">
      <c r="A326" s="28"/>
    </row>
    <row r="327" ht="15.75" customHeight="1">
      <c r="A327" s="28"/>
    </row>
    <row r="328" ht="15.75" customHeight="1">
      <c r="A328" s="28"/>
    </row>
    <row r="329" ht="15.75" customHeight="1">
      <c r="A329" s="28"/>
    </row>
    <row r="330" ht="15.75" customHeight="1">
      <c r="A330" s="28"/>
    </row>
    <row r="331" ht="15.75" customHeight="1">
      <c r="A331" s="28"/>
    </row>
    <row r="332" ht="15.75" customHeight="1">
      <c r="A332" s="28"/>
    </row>
    <row r="333" ht="15.75" customHeight="1">
      <c r="A333" s="28"/>
    </row>
    <row r="334" ht="15.75" customHeight="1">
      <c r="A334" s="28"/>
    </row>
    <row r="335" ht="15.75" customHeight="1">
      <c r="A335" s="28"/>
    </row>
    <row r="336" ht="15.75" customHeight="1">
      <c r="A336" s="28"/>
    </row>
    <row r="337" ht="15.75" customHeight="1">
      <c r="A337" s="28"/>
    </row>
    <row r="338" ht="15.75" customHeight="1">
      <c r="A338" s="28"/>
    </row>
    <row r="339" ht="15.75" customHeight="1">
      <c r="A339" s="28"/>
    </row>
    <row r="340" ht="15.75" customHeight="1">
      <c r="A340" s="28"/>
    </row>
    <row r="341" ht="15.75" customHeight="1">
      <c r="A341" s="28"/>
    </row>
    <row r="342" ht="15.75" customHeight="1">
      <c r="A342" s="28"/>
    </row>
    <row r="343" ht="15.75" customHeight="1">
      <c r="A343" s="28"/>
    </row>
    <row r="344" ht="15.75" customHeight="1">
      <c r="A344" s="28"/>
    </row>
    <row r="345" ht="15.75" customHeight="1">
      <c r="A345" s="28"/>
    </row>
    <row r="346" ht="15.75" customHeight="1">
      <c r="A346" s="28"/>
    </row>
    <row r="347" ht="15.75" customHeight="1">
      <c r="A347" s="28"/>
    </row>
    <row r="348" ht="15.75" customHeight="1">
      <c r="A348" s="28"/>
    </row>
    <row r="349" ht="15.75" customHeight="1">
      <c r="A349" s="28"/>
    </row>
    <row r="350" ht="15.75" customHeight="1">
      <c r="A350" s="28"/>
    </row>
    <row r="351" ht="15.75" customHeight="1">
      <c r="A351" s="28"/>
    </row>
    <row r="352" ht="15.75" customHeight="1">
      <c r="A352" s="28"/>
    </row>
    <row r="353" ht="15.75" customHeight="1">
      <c r="A353" s="28"/>
    </row>
    <row r="354" ht="15.75" customHeight="1">
      <c r="A354" s="28"/>
    </row>
    <row r="355" ht="15.75" customHeight="1">
      <c r="A355" s="28"/>
    </row>
    <row r="356" ht="15.75" customHeight="1">
      <c r="A356" s="28"/>
    </row>
    <row r="357" ht="15.75" customHeight="1">
      <c r="A357" s="28"/>
    </row>
    <row r="358" ht="15.75" customHeight="1">
      <c r="A358" s="28"/>
    </row>
    <row r="359" ht="15.75" customHeight="1">
      <c r="A359" s="28"/>
    </row>
    <row r="360" ht="15.75" customHeight="1">
      <c r="A360" s="28"/>
    </row>
    <row r="361" ht="15.75" customHeight="1">
      <c r="A361" s="28"/>
    </row>
    <row r="362" ht="15.75" customHeight="1">
      <c r="A362" s="28"/>
    </row>
    <row r="363" ht="15.75" customHeight="1">
      <c r="A363" s="28"/>
    </row>
    <row r="364" ht="15.75" customHeight="1">
      <c r="A364" s="28"/>
    </row>
    <row r="365" ht="15.75" customHeight="1">
      <c r="A365" s="28"/>
    </row>
    <row r="366" ht="15.75" customHeight="1">
      <c r="A366" s="28"/>
    </row>
    <row r="367" ht="15.75" customHeight="1">
      <c r="A367" s="28"/>
    </row>
    <row r="368" ht="15.75" customHeight="1">
      <c r="A368" s="28"/>
    </row>
    <row r="369" ht="15.75" customHeight="1">
      <c r="A369" s="28"/>
    </row>
    <row r="370" ht="15.75" customHeight="1">
      <c r="A370" s="28"/>
    </row>
    <row r="371" ht="15.75" customHeight="1">
      <c r="A371" s="28"/>
    </row>
    <row r="372" ht="15.75" customHeight="1">
      <c r="A372" s="28"/>
    </row>
    <row r="373" ht="15.75" customHeight="1">
      <c r="A373" s="28"/>
    </row>
    <row r="374" ht="15.75" customHeight="1">
      <c r="A374" s="28"/>
    </row>
    <row r="375" ht="15.75" customHeight="1">
      <c r="A375" s="28"/>
    </row>
    <row r="376" ht="15.75" customHeight="1">
      <c r="A376" s="28"/>
    </row>
    <row r="377" ht="15.75" customHeight="1">
      <c r="A377" s="28"/>
    </row>
    <row r="378" ht="15.75" customHeight="1">
      <c r="A378" s="28"/>
    </row>
    <row r="379" ht="15.75" customHeight="1">
      <c r="A379" s="28"/>
    </row>
    <row r="380" ht="15.75" customHeight="1">
      <c r="A380" s="28"/>
    </row>
    <row r="381" ht="15.75" customHeight="1">
      <c r="A381" s="28"/>
    </row>
    <row r="382" ht="15.75" customHeight="1">
      <c r="A382" s="28"/>
    </row>
    <row r="383" ht="15.75" customHeight="1">
      <c r="A383" s="28"/>
    </row>
    <row r="384" ht="15.75" customHeight="1">
      <c r="A384" s="28"/>
    </row>
    <row r="385" ht="15.75" customHeight="1">
      <c r="A385" s="28"/>
    </row>
    <row r="386" ht="15.75" customHeight="1">
      <c r="A386" s="28"/>
    </row>
    <row r="387" ht="15.75" customHeight="1">
      <c r="A387" s="28"/>
    </row>
    <row r="388" ht="15.75" customHeight="1">
      <c r="A388" s="28"/>
    </row>
    <row r="389" ht="15.75" customHeight="1">
      <c r="A389" s="28"/>
    </row>
    <row r="390" ht="15.75" customHeight="1">
      <c r="A390" s="28"/>
    </row>
    <row r="391" ht="15.75" customHeight="1">
      <c r="A391" s="28"/>
    </row>
    <row r="392" ht="15.75" customHeight="1">
      <c r="A392" s="28"/>
    </row>
    <row r="393" ht="15.75" customHeight="1">
      <c r="A393" s="28"/>
    </row>
    <row r="394" ht="15.75" customHeight="1">
      <c r="A394" s="28"/>
    </row>
    <row r="395" ht="15.75" customHeight="1">
      <c r="A395" s="28"/>
    </row>
    <row r="396" ht="15.75" customHeight="1">
      <c r="A396" s="28"/>
    </row>
    <row r="397" ht="15.75" customHeight="1">
      <c r="A397" s="28"/>
    </row>
    <row r="398" ht="15.75" customHeight="1">
      <c r="A398" s="28"/>
    </row>
    <row r="399" ht="15.75" customHeight="1">
      <c r="A399" s="28"/>
    </row>
    <row r="400" ht="15.75" customHeight="1">
      <c r="A400" s="28"/>
    </row>
    <row r="401" ht="15.75" customHeight="1">
      <c r="A401" s="28"/>
    </row>
    <row r="402" ht="15.75" customHeight="1">
      <c r="A402" s="28"/>
    </row>
    <row r="403" ht="15.75" customHeight="1">
      <c r="A403" s="28"/>
    </row>
    <row r="404" ht="15.75" customHeight="1">
      <c r="A404" s="28"/>
    </row>
    <row r="405" ht="15.75" customHeight="1">
      <c r="A405" s="28"/>
    </row>
    <row r="406" ht="15.75" customHeight="1">
      <c r="A406" s="28"/>
    </row>
    <row r="407" ht="15.75" customHeight="1">
      <c r="A407" s="28"/>
    </row>
    <row r="408" ht="15.75" customHeight="1">
      <c r="A408" s="28"/>
    </row>
    <row r="409" ht="15.75" customHeight="1">
      <c r="A409" s="28"/>
    </row>
    <row r="410" ht="15.75" customHeight="1">
      <c r="A410" s="28"/>
    </row>
    <row r="411" ht="15.75" customHeight="1">
      <c r="A411" s="28"/>
    </row>
    <row r="412" ht="15.75" customHeight="1">
      <c r="A412" s="28"/>
    </row>
    <row r="413" ht="15.75" customHeight="1">
      <c r="A413" s="28"/>
    </row>
    <row r="414" ht="15.75" customHeight="1">
      <c r="A414" s="28"/>
    </row>
    <row r="415" ht="15.75" customHeight="1">
      <c r="A415" s="28"/>
    </row>
    <row r="416" ht="15.75" customHeight="1">
      <c r="A416" s="28"/>
    </row>
    <row r="417" ht="15.75" customHeight="1">
      <c r="A417" s="28"/>
    </row>
    <row r="418" ht="15.75" customHeight="1">
      <c r="A418" s="28"/>
    </row>
    <row r="419" ht="15.75" customHeight="1">
      <c r="A419" s="28"/>
    </row>
    <row r="420" ht="15.75" customHeight="1">
      <c r="A420" s="28"/>
    </row>
    <row r="421" ht="15.75" customHeight="1">
      <c r="A421" s="28"/>
    </row>
    <row r="422" ht="15.75" customHeight="1">
      <c r="A422" s="28"/>
    </row>
    <row r="423" ht="15.75" customHeight="1">
      <c r="A423" s="28"/>
    </row>
    <row r="424" ht="15.75" customHeight="1">
      <c r="A424" s="28"/>
    </row>
    <row r="425" ht="15.75" customHeight="1">
      <c r="A425" s="28"/>
    </row>
    <row r="426" ht="15.75" customHeight="1">
      <c r="A426" s="28"/>
    </row>
    <row r="427" ht="15.75" customHeight="1">
      <c r="A427" s="28"/>
    </row>
    <row r="428" ht="15.75" customHeight="1">
      <c r="A428" s="28"/>
    </row>
    <row r="429" ht="15.75" customHeight="1">
      <c r="A429" s="28"/>
    </row>
    <row r="430" ht="15.75" customHeight="1">
      <c r="A430" s="28"/>
    </row>
    <row r="431" ht="15.75" customHeight="1">
      <c r="A431" s="28"/>
    </row>
    <row r="432" ht="15.75" customHeight="1">
      <c r="A432" s="28"/>
    </row>
    <row r="433" ht="15.75" customHeight="1">
      <c r="A433" s="28"/>
    </row>
    <row r="434" ht="15.75" customHeight="1">
      <c r="A434" s="28"/>
    </row>
    <row r="435" ht="15.75" customHeight="1">
      <c r="A435" s="28"/>
    </row>
    <row r="436" ht="15.75" customHeight="1">
      <c r="A436" s="28"/>
    </row>
    <row r="437" ht="15.75" customHeight="1">
      <c r="A437" s="28"/>
    </row>
    <row r="438" ht="15.75" customHeight="1">
      <c r="A438" s="28"/>
    </row>
    <row r="439" ht="15.75" customHeight="1">
      <c r="A439" s="28"/>
    </row>
    <row r="440" ht="15.75" customHeight="1">
      <c r="A440" s="28"/>
    </row>
    <row r="441" ht="15.75" customHeight="1">
      <c r="A441" s="28"/>
    </row>
    <row r="442" ht="15.75" customHeight="1">
      <c r="A442" s="28"/>
    </row>
    <row r="443" ht="15.75" customHeight="1">
      <c r="A443" s="28"/>
    </row>
    <row r="444" ht="15.75" customHeight="1">
      <c r="A444" s="28"/>
    </row>
    <row r="445" ht="15.75" customHeight="1">
      <c r="A445" s="28"/>
    </row>
    <row r="446" ht="15.75" customHeight="1">
      <c r="A446" s="28"/>
    </row>
    <row r="447" ht="15.75" customHeight="1">
      <c r="A447" s="28"/>
    </row>
    <row r="448" ht="15.75" customHeight="1">
      <c r="A448" s="28"/>
    </row>
    <row r="449" ht="15.75" customHeight="1">
      <c r="A449" s="28"/>
    </row>
    <row r="450" ht="15.75" customHeight="1">
      <c r="A450" s="28"/>
    </row>
    <row r="451" ht="15.75" customHeight="1">
      <c r="A451" s="28"/>
    </row>
    <row r="452" ht="15.75" customHeight="1">
      <c r="A452" s="28"/>
    </row>
    <row r="453" ht="15.75" customHeight="1">
      <c r="A453" s="28"/>
    </row>
    <row r="454" ht="15.75" customHeight="1">
      <c r="A454" s="28"/>
    </row>
    <row r="455" ht="15.75" customHeight="1">
      <c r="A455" s="28"/>
    </row>
    <row r="456" ht="15.75" customHeight="1">
      <c r="A456" s="28"/>
    </row>
    <row r="457" ht="15.75" customHeight="1">
      <c r="A457" s="28"/>
    </row>
    <row r="458" ht="15.75" customHeight="1">
      <c r="A458" s="28"/>
    </row>
    <row r="459" ht="15.75" customHeight="1">
      <c r="A459" s="28"/>
    </row>
    <row r="460" ht="15.75" customHeight="1">
      <c r="A460" s="28"/>
    </row>
    <row r="461" ht="15.75" customHeight="1">
      <c r="A461" s="28"/>
    </row>
    <row r="462" ht="15.75" customHeight="1">
      <c r="A462" s="28"/>
    </row>
    <row r="463" ht="15.75" customHeight="1">
      <c r="A463" s="28"/>
    </row>
    <row r="464" ht="15.75" customHeight="1">
      <c r="A464" s="28"/>
    </row>
    <row r="465" ht="15.75" customHeight="1">
      <c r="A465" s="28"/>
    </row>
    <row r="466" ht="15.75" customHeight="1">
      <c r="A466" s="28"/>
    </row>
    <row r="467" ht="15.75" customHeight="1">
      <c r="A467" s="28"/>
    </row>
    <row r="468" ht="15.75" customHeight="1">
      <c r="A468" s="28"/>
    </row>
    <row r="469" ht="15.75" customHeight="1">
      <c r="A469" s="28"/>
    </row>
    <row r="470" ht="15.75" customHeight="1">
      <c r="A470" s="28"/>
    </row>
    <row r="471" ht="15.75" customHeight="1">
      <c r="A471" s="28"/>
    </row>
    <row r="472" ht="15.75" customHeight="1">
      <c r="A472" s="28"/>
    </row>
    <row r="473" ht="15.75" customHeight="1">
      <c r="A473" s="28"/>
    </row>
    <row r="474" ht="15.75" customHeight="1">
      <c r="A474" s="28"/>
    </row>
    <row r="475" ht="15.75" customHeight="1">
      <c r="A475" s="28"/>
    </row>
    <row r="476" ht="15.75" customHeight="1">
      <c r="A476" s="28"/>
    </row>
    <row r="477" ht="15.75" customHeight="1">
      <c r="A477" s="28"/>
    </row>
    <row r="478" ht="15.75" customHeight="1">
      <c r="A478" s="28"/>
    </row>
    <row r="479" ht="15.75" customHeight="1">
      <c r="A479" s="28"/>
    </row>
    <row r="480" ht="15.75" customHeight="1">
      <c r="A480" s="28"/>
    </row>
    <row r="481" ht="15.75" customHeight="1">
      <c r="A481" s="28"/>
    </row>
    <row r="482" ht="15.75" customHeight="1">
      <c r="A482" s="28"/>
    </row>
    <row r="483" ht="15.75" customHeight="1">
      <c r="A483" s="28"/>
    </row>
    <row r="484" ht="15.75" customHeight="1">
      <c r="A484" s="28"/>
    </row>
    <row r="485" ht="15.75" customHeight="1">
      <c r="A485" s="28"/>
    </row>
    <row r="486" ht="15.75" customHeight="1">
      <c r="A486" s="28"/>
    </row>
    <row r="487" ht="15.75" customHeight="1">
      <c r="A487" s="28"/>
    </row>
    <row r="488" ht="15.75" customHeight="1">
      <c r="A488" s="28"/>
    </row>
    <row r="489" ht="15.75" customHeight="1">
      <c r="A489" s="28"/>
    </row>
    <row r="490" ht="15.75" customHeight="1">
      <c r="A490" s="28"/>
    </row>
    <row r="491" ht="15.75" customHeight="1">
      <c r="A491" s="28"/>
    </row>
    <row r="492" ht="15.75" customHeight="1">
      <c r="A492" s="28"/>
    </row>
    <row r="493" ht="15.75" customHeight="1">
      <c r="A493" s="28"/>
    </row>
    <row r="494" ht="15.75" customHeight="1">
      <c r="A494" s="28"/>
    </row>
    <row r="495" ht="15.75" customHeight="1">
      <c r="A495" s="28"/>
    </row>
    <row r="496" ht="15.75" customHeight="1">
      <c r="A496" s="28"/>
    </row>
    <row r="497" ht="15.75" customHeight="1">
      <c r="A497" s="28"/>
    </row>
    <row r="498" ht="15.75" customHeight="1">
      <c r="A498" s="28"/>
    </row>
    <row r="499" ht="15.75" customHeight="1">
      <c r="A499" s="28"/>
    </row>
    <row r="500" ht="15.75" customHeight="1">
      <c r="A500" s="28"/>
    </row>
    <row r="501" ht="15.75" customHeight="1">
      <c r="A501" s="28"/>
    </row>
    <row r="502" ht="15.75" customHeight="1">
      <c r="A502" s="28"/>
    </row>
    <row r="503" ht="15.75" customHeight="1">
      <c r="A503" s="28"/>
    </row>
    <row r="504" ht="15.75" customHeight="1">
      <c r="A504" s="28"/>
    </row>
    <row r="505" ht="15.75" customHeight="1">
      <c r="A505" s="28"/>
    </row>
    <row r="506" ht="15.75" customHeight="1">
      <c r="A506" s="28"/>
    </row>
    <row r="507" ht="15.75" customHeight="1">
      <c r="A507" s="28"/>
    </row>
    <row r="508" ht="15.75" customHeight="1">
      <c r="A508" s="28"/>
    </row>
    <row r="509" ht="15.75" customHeight="1">
      <c r="A509" s="28"/>
    </row>
    <row r="510" ht="15.75" customHeight="1">
      <c r="A510" s="28"/>
    </row>
    <row r="511" ht="15.75" customHeight="1">
      <c r="A511" s="28"/>
    </row>
    <row r="512" ht="15.75" customHeight="1">
      <c r="A512" s="28"/>
    </row>
    <row r="513" ht="15.75" customHeight="1">
      <c r="A513" s="28"/>
    </row>
    <row r="514" ht="15.75" customHeight="1">
      <c r="A514" s="28"/>
    </row>
    <row r="515" ht="15.75" customHeight="1">
      <c r="A515" s="28"/>
    </row>
    <row r="516" ht="15.75" customHeight="1">
      <c r="A516" s="28"/>
    </row>
    <row r="517" ht="15.75" customHeight="1">
      <c r="A517" s="28"/>
    </row>
    <row r="518" ht="15.75" customHeight="1">
      <c r="A518" s="28"/>
    </row>
    <row r="519" ht="15.75" customHeight="1">
      <c r="A519" s="28"/>
    </row>
    <row r="520" ht="15.75" customHeight="1">
      <c r="A520" s="28"/>
    </row>
    <row r="521" ht="15.75" customHeight="1">
      <c r="A521" s="28"/>
    </row>
    <row r="522" ht="15.75" customHeight="1">
      <c r="A522" s="28"/>
    </row>
    <row r="523" ht="15.75" customHeight="1">
      <c r="A523" s="28"/>
    </row>
    <row r="524" ht="15.75" customHeight="1">
      <c r="A524" s="28"/>
    </row>
    <row r="525" ht="15.75" customHeight="1">
      <c r="A525" s="28"/>
    </row>
    <row r="526" ht="15.75" customHeight="1">
      <c r="A526" s="28"/>
    </row>
    <row r="527" ht="15.75" customHeight="1">
      <c r="A527" s="28"/>
    </row>
    <row r="528" ht="15.75" customHeight="1">
      <c r="A528" s="28"/>
    </row>
    <row r="529" ht="15.75" customHeight="1">
      <c r="A529" s="28"/>
    </row>
    <row r="530" ht="15.75" customHeight="1">
      <c r="A530" s="28"/>
    </row>
    <row r="531" ht="15.75" customHeight="1">
      <c r="A531" s="28"/>
    </row>
    <row r="532" ht="15.75" customHeight="1">
      <c r="A532" s="28"/>
    </row>
    <row r="533" ht="15.75" customHeight="1">
      <c r="A533" s="28"/>
    </row>
    <row r="534" ht="15.75" customHeight="1">
      <c r="A534" s="28"/>
    </row>
    <row r="535" ht="15.75" customHeight="1">
      <c r="A535" s="28"/>
    </row>
    <row r="536" ht="15.75" customHeight="1">
      <c r="A536" s="28"/>
    </row>
    <row r="537" ht="15.75" customHeight="1">
      <c r="A537" s="28"/>
    </row>
    <row r="538" ht="15.75" customHeight="1">
      <c r="A538" s="28"/>
    </row>
    <row r="539" ht="15.75" customHeight="1">
      <c r="A539" s="28"/>
    </row>
    <row r="540" ht="15.75" customHeight="1">
      <c r="A540" s="28"/>
    </row>
    <row r="541" ht="15.75" customHeight="1">
      <c r="A541" s="28"/>
    </row>
    <row r="542" ht="15.75" customHeight="1">
      <c r="A542" s="28"/>
    </row>
    <row r="543" ht="15.75" customHeight="1">
      <c r="A543" s="28"/>
    </row>
    <row r="544" ht="15.75" customHeight="1">
      <c r="A544" s="28"/>
    </row>
    <row r="545" ht="15.75" customHeight="1">
      <c r="A545" s="28"/>
    </row>
    <row r="546" ht="15.75" customHeight="1">
      <c r="A546" s="28"/>
    </row>
    <row r="547" ht="15.75" customHeight="1">
      <c r="A547" s="28"/>
    </row>
    <row r="548" ht="15.75" customHeight="1">
      <c r="A548" s="28"/>
    </row>
    <row r="549" ht="15.75" customHeight="1">
      <c r="A549" s="28"/>
    </row>
    <row r="550" ht="15.75" customHeight="1">
      <c r="A550" s="28"/>
    </row>
    <row r="551" ht="15.75" customHeight="1">
      <c r="A551" s="28"/>
    </row>
    <row r="552" ht="15.75" customHeight="1">
      <c r="A552" s="28"/>
    </row>
    <row r="553" ht="15.75" customHeight="1">
      <c r="A553" s="28"/>
    </row>
    <row r="554" ht="15.75" customHeight="1">
      <c r="A554" s="28"/>
    </row>
    <row r="555" ht="15.75" customHeight="1">
      <c r="A555" s="28"/>
    </row>
    <row r="556" ht="15.75" customHeight="1">
      <c r="A556" s="28"/>
    </row>
    <row r="557" ht="15.75" customHeight="1">
      <c r="A557" s="28"/>
    </row>
    <row r="558" ht="15.75" customHeight="1">
      <c r="A558" s="28"/>
    </row>
    <row r="559" ht="15.75" customHeight="1">
      <c r="A559" s="28"/>
    </row>
    <row r="560" ht="15.75" customHeight="1">
      <c r="A560" s="28"/>
    </row>
    <row r="561" ht="15.75" customHeight="1">
      <c r="A561" s="28"/>
    </row>
    <row r="562" ht="15.75" customHeight="1">
      <c r="A562" s="28"/>
    </row>
    <row r="563" ht="15.75" customHeight="1">
      <c r="A563" s="28"/>
    </row>
    <row r="564" ht="15.75" customHeight="1">
      <c r="A564" s="28"/>
    </row>
    <row r="565" ht="15.75" customHeight="1">
      <c r="A565" s="28"/>
    </row>
    <row r="566" ht="15.75" customHeight="1">
      <c r="A566" s="28"/>
    </row>
    <row r="567" ht="15.75" customHeight="1">
      <c r="A567" s="28"/>
    </row>
    <row r="568" ht="15.75" customHeight="1">
      <c r="A568" s="28"/>
    </row>
    <row r="569" ht="15.75" customHeight="1">
      <c r="A569" s="28"/>
    </row>
    <row r="570" ht="15.75" customHeight="1">
      <c r="A570" s="28"/>
    </row>
    <row r="571" ht="15.75" customHeight="1">
      <c r="A571" s="28"/>
    </row>
    <row r="572" ht="15.75" customHeight="1">
      <c r="A572" s="28"/>
    </row>
    <row r="573" ht="15.75" customHeight="1">
      <c r="A573" s="28"/>
    </row>
    <row r="574" ht="15.75" customHeight="1">
      <c r="A574" s="28"/>
    </row>
    <row r="575" ht="15.75" customHeight="1">
      <c r="A575" s="28"/>
    </row>
    <row r="576" ht="15.75" customHeight="1">
      <c r="A576" s="28"/>
    </row>
    <row r="577" ht="15.75" customHeight="1">
      <c r="A577" s="28"/>
    </row>
    <row r="578" ht="15.75" customHeight="1">
      <c r="A578" s="28"/>
    </row>
    <row r="579" ht="15.75" customHeight="1">
      <c r="A579" s="28"/>
    </row>
    <row r="580" ht="15.75" customHeight="1">
      <c r="A580" s="28"/>
    </row>
    <row r="581" ht="15.75" customHeight="1">
      <c r="A581" s="28"/>
    </row>
    <row r="582" ht="15.75" customHeight="1">
      <c r="A582" s="28"/>
    </row>
    <row r="583" ht="15.75" customHeight="1">
      <c r="A583" s="28"/>
    </row>
    <row r="584" ht="15.75" customHeight="1">
      <c r="A584" s="28"/>
    </row>
    <row r="585" ht="15.75" customHeight="1">
      <c r="A585" s="28"/>
    </row>
    <row r="586" ht="15.75" customHeight="1">
      <c r="A586" s="28"/>
    </row>
    <row r="587" ht="15.75" customHeight="1">
      <c r="A587" s="28"/>
    </row>
    <row r="588" ht="15.75" customHeight="1">
      <c r="A588" s="28"/>
    </row>
    <row r="589" ht="15.75" customHeight="1">
      <c r="A589" s="28"/>
    </row>
    <row r="590" ht="15.75" customHeight="1">
      <c r="A590" s="28"/>
    </row>
    <row r="591" ht="15.75" customHeight="1">
      <c r="A591" s="28"/>
    </row>
    <row r="592" ht="15.75" customHeight="1">
      <c r="A592" s="28"/>
    </row>
    <row r="593" ht="15.75" customHeight="1">
      <c r="A593" s="28"/>
    </row>
    <row r="594" ht="15.75" customHeight="1">
      <c r="A594" s="28"/>
    </row>
    <row r="595" ht="15.75" customHeight="1">
      <c r="A595" s="28"/>
    </row>
    <row r="596" ht="15.75" customHeight="1">
      <c r="A596" s="28"/>
    </row>
    <row r="597" ht="15.75" customHeight="1">
      <c r="A597" s="28"/>
    </row>
    <row r="598" ht="15.75" customHeight="1">
      <c r="A598" s="28"/>
    </row>
    <row r="599" ht="15.75" customHeight="1">
      <c r="A599" s="28"/>
    </row>
    <row r="600" ht="15.75" customHeight="1">
      <c r="A600" s="28"/>
    </row>
    <row r="601" ht="15.75" customHeight="1">
      <c r="A601" s="28"/>
    </row>
    <row r="602" ht="15.75" customHeight="1">
      <c r="A602" s="28"/>
    </row>
    <row r="603" ht="15.75" customHeight="1">
      <c r="A603" s="28"/>
    </row>
    <row r="604" ht="15.75" customHeight="1">
      <c r="A604" s="28"/>
    </row>
    <row r="605" ht="15.75" customHeight="1">
      <c r="A605" s="28"/>
    </row>
    <row r="606" ht="15.75" customHeight="1">
      <c r="A606" s="28"/>
    </row>
    <row r="607" ht="15.75" customHeight="1">
      <c r="A607" s="28"/>
    </row>
    <row r="608" ht="15.75" customHeight="1">
      <c r="A608" s="28"/>
    </row>
    <row r="609" ht="15.75" customHeight="1">
      <c r="A609" s="28"/>
    </row>
    <row r="610" ht="15.75" customHeight="1">
      <c r="A610" s="28"/>
    </row>
    <row r="611" ht="15.75" customHeight="1">
      <c r="A611" s="28"/>
    </row>
    <row r="612" ht="15.75" customHeight="1">
      <c r="A612" s="28"/>
    </row>
    <row r="613" ht="15.75" customHeight="1">
      <c r="A613" s="28"/>
    </row>
    <row r="614" ht="15.75" customHeight="1">
      <c r="A614" s="28"/>
    </row>
    <row r="615" ht="15.75" customHeight="1">
      <c r="A615" s="28"/>
    </row>
    <row r="616" ht="15.75" customHeight="1">
      <c r="A616" s="28"/>
    </row>
    <row r="617" ht="15.75" customHeight="1">
      <c r="A617" s="28"/>
    </row>
    <row r="618" ht="15.75" customHeight="1">
      <c r="A618" s="28"/>
    </row>
    <row r="619" ht="15.75" customHeight="1">
      <c r="A619" s="28"/>
    </row>
    <row r="620" ht="15.75" customHeight="1">
      <c r="A620" s="28"/>
    </row>
    <row r="621" ht="15.75" customHeight="1">
      <c r="A621" s="28"/>
    </row>
    <row r="622" ht="15.75" customHeight="1">
      <c r="A622" s="28"/>
    </row>
    <row r="623" ht="15.75" customHeight="1">
      <c r="A623" s="28"/>
    </row>
    <row r="624" ht="15.75" customHeight="1">
      <c r="A624" s="28"/>
    </row>
    <row r="625" ht="15.75" customHeight="1">
      <c r="A625" s="28"/>
    </row>
    <row r="626" ht="15.75" customHeight="1">
      <c r="A626" s="28"/>
    </row>
    <row r="627" ht="15.75" customHeight="1">
      <c r="A627" s="28"/>
    </row>
    <row r="628" ht="15.75" customHeight="1">
      <c r="A628" s="28"/>
    </row>
    <row r="629" ht="15.75" customHeight="1">
      <c r="A629" s="28"/>
    </row>
    <row r="630" ht="15.75" customHeight="1">
      <c r="A630" s="28"/>
    </row>
    <row r="631" ht="15.75" customHeight="1">
      <c r="A631" s="28"/>
    </row>
    <row r="632" ht="15.75" customHeight="1">
      <c r="A632" s="28"/>
    </row>
    <row r="633" ht="15.75" customHeight="1">
      <c r="A633" s="28"/>
    </row>
    <row r="634" ht="15.75" customHeight="1">
      <c r="A634" s="28"/>
    </row>
    <row r="635" ht="15.75" customHeight="1">
      <c r="A635" s="28"/>
    </row>
    <row r="636" ht="15.75" customHeight="1">
      <c r="A636" s="28"/>
    </row>
    <row r="637" ht="15.75" customHeight="1">
      <c r="A637" s="28"/>
    </row>
    <row r="638" ht="15.75" customHeight="1">
      <c r="A638" s="28"/>
    </row>
    <row r="639" ht="15.75" customHeight="1">
      <c r="A639" s="28"/>
    </row>
    <row r="640" ht="15.75" customHeight="1">
      <c r="A640" s="28"/>
    </row>
    <row r="641" ht="15.75" customHeight="1">
      <c r="A641" s="28"/>
    </row>
    <row r="642" ht="15.75" customHeight="1">
      <c r="A642" s="28"/>
    </row>
    <row r="643" ht="15.75" customHeight="1">
      <c r="A643" s="28"/>
    </row>
    <row r="644" ht="15.75" customHeight="1">
      <c r="A644" s="28"/>
    </row>
    <row r="645" ht="15.75" customHeight="1">
      <c r="A645" s="28"/>
    </row>
    <row r="646" ht="15.75" customHeight="1">
      <c r="A646" s="28"/>
    </row>
    <row r="647" ht="15.75" customHeight="1">
      <c r="A647" s="28"/>
    </row>
    <row r="648" ht="15.75" customHeight="1">
      <c r="A648" s="28"/>
    </row>
    <row r="649" ht="15.75" customHeight="1">
      <c r="A649" s="28"/>
    </row>
    <row r="650" ht="15.75" customHeight="1">
      <c r="A650" s="28"/>
    </row>
    <row r="651" ht="15.75" customHeight="1">
      <c r="A651" s="28"/>
    </row>
    <row r="652" ht="15.75" customHeight="1">
      <c r="A652" s="28"/>
    </row>
    <row r="653" ht="15.75" customHeight="1">
      <c r="A653" s="28"/>
    </row>
    <row r="654" ht="15.75" customHeight="1">
      <c r="A654" s="28"/>
    </row>
    <row r="655" ht="15.75" customHeight="1">
      <c r="A655" s="28"/>
    </row>
    <row r="656" ht="15.75" customHeight="1">
      <c r="A656" s="28"/>
    </row>
    <row r="657" ht="15.75" customHeight="1">
      <c r="A657" s="28"/>
    </row>
    <row r="658" ht="15.75" customHeight="1">
      <c r="A658" s="28"/>
    </row>
    <row r="659" ht="15.75" customHeight="1">
      <c r="A659" s="28"/>
    </row>
    <row r="660" ht="15.75" customHeight="1">
      <c r="A660" s="28"/>
    </row>
    <row r="661" ht="15.75" customHeight="1">
      <c r="A661" s="28"/>
    </row>
    <row r="662" ht="15.75" customHeight="1">
      <c r="A662" s="28"/>
    </row>
    <row r="663" ht="15.75" customHeight="1">
      <c r="A663" s="28"/>
    </row>
    <row r="664" ht="15.75" customHeight="1">
      <c r="A664" s="28"/>
    </row>
    <row r="665" ht="15.75" customHeight="1">
      <c r="A665" s="28"/>
    </row>
    <row r="666" ht="15.75" customHeight="1">
      <c r="A666" s="28"/>
    </row>
    <row r="667" ht="15.75" customHeight="1">
      <c r="A667" s="28"/>
    </row>
    <row r="668" ht="15.75" customHeight="1">
      <c r="A668" s="28"/>
    </row>
    <row r="669" ht="15.75" customHeight="1">
      <c r="A669" s="28"/>
    </row>
    <row r="670" ht="15.75" customHeight="1">
      <c r="A670" s="28"/>
    </row>
    <row r="671" ht="15.75" customHeight="1">
      <c r="A671" s="28"/>
    </row>
    <row r="672" ht="15.75" customHeight="1">
      <c r="A672" s="28"/>
    </row>
    <row r="673" ht="15.75" customHeight="1">
      <c r="A673" s="28"/>
    </row>
    <row r="674" ht="15.75" customHeight="1">
      <c r="A674" s="28"/>
    </row>
    <row r="675" ht="15.75" customHeight="1">
      <c r="A675" s="28"/>
    </row>
    <row r="676" ht="15.75" customHeight="1">
      <c r="A676" s="28"/>
    </row>
    <row r="677" ht="15.75" customHeight="1">
      <c r="A677" s="28"/>
    </row>
    <row r="678" ht="15.75" customHeight="1">
      <c r="A678" s="28"/>
    </row>
    <row r="679" ht="15.75" customHeight="1">
      <c r="A679" s="28"/>
    </row>
    <row r="680" ht="15.75" customHeight="1">
      <c r="A680" s="28"/>
    </row>
    <row r="681" ht="15.75" customHeight="1">
      <c r="A681" s="28"/>
    </row>
    <row r="682" ht="15.75" customHeight="1">
      <c r="A682" s="28"/>
    </row>
    <row r="683" ht="15.75" customHeight="1">
      <c r="A683" s="28"/>
    </row>
    <row r="684" ht="15.75" customHeight="1">
      <c r="A684" s="28"/>
    </row>
    <row r="685" ht="15.75" customHeight="1">
      <c r="A685" s="28"/>
    </row>
    <row r="686" ht="15.75" customHeight="1">
      <c r="A686" s="28"/>
    </row>
    <row r="687" ht="15.75" customHeight="1">
      <c r="A687" s="28"/>
    </row>
    <row r="688" ht="15.75" customHeight="1">
      <c r="A688" s="28"/>
    </row>
    <row r="689" ht="15.75" customHeight="1">
      <c r="A689" s="28"/>
    </row>
    <row r="690" ht="15.75" customHeight="1">
      <c r="A690" s="28"/>
    </row>
    <row r="691" ht="15.75" customHeight="1">
      <c r="A691" s="28"/>
    </row>
    <row r="692" ht="15.75" customHeight="1">
      <c r="A692" s="28"/>
    </row>
    <row r="693" ht="15.75" customHeight="1">
      <c r="A693" s="28"/>
    </row>
    <row r="694" ht="15.75" customHeight="1">
      <c r="A694" s="28"/>
    </row>
    <row r="695" ht="15.75" customHeight="1">
      <c r="A695" s="28"/>
    </row>
    <row r="696" ht="15.75" customHeight="1">
      <c r="A696" s="28"/>
    </row>
    <row r="697" ht="15.75" customHeight="1">
      <c r="A697" s="28"/>
    </row>
    <row r="698" ht="15.75" customHeight="1">
      <c r="A698" s="28"/>
    </row>
    <row r="699" ht="15.75" customHeight="1">
      <c r="A699" s="28"/>
    </row>
    <row r="700" ht="15.75" customHeight="1">
      <c r="A700" s="28"/>
    </row>
    <row r="701" ht="15.75" customHeight="1">
      <c r="A701" s="28"/>
    </row>
    <row r="702" ht="15.75" customHeight="1">
      <c r="A702" s="28"/>
    </row>
    <row r="703" ht="15.75" customHeight="1">
      <c r="A703" s="28"/>
    </row>
    <row r="704" ht="15.75" customHeight="1">
      <c r="A704" s="28"/>
    </row>
    <row r="705" ht="15.75" customHeight="1">
      <c r="A705" s="28"/>
    </row>
    <row r="706" ht="15.75" customHeight="1">
      <c r="A706" s="28"/>
    </row>
    <row r="707" ht="15.75" customHeight="1">
      <c r="A707" s="28"/>
    </row>
    <row r="708" ht="15.75" customHeight="1">
      <c r="A708" s="28"/>
    </row>
    <row r="709" ht="15.75" customHeight="1">
      <c r="A709" s="28"/>
    </row>
    <row r="710" ht="15.75" customHeight="1">
      <c r="A710" s="28"/>
    </row>
    <row r="711" ht="15.75" customHeight="1">
      <c r="A711" s="28"/>
    </row>
    <row r="712" ht="15.75" customHeight="1">
      <c r="A712" s="28"/>
    </row>
    <row r="713" ht="15.75" customHeight="1">
      <c r="A713" s="28"/>
    </row>
    <row r="714" ht="15.75" customHeight="1">
      <c r="A714" s="28"/>
    </row>
    <row r="715" ht="15.75" customHeight="1">
      <c r="A715" s="28"/>
    </row>
    <row r="716" ht="15.75" customHeight="1">
      <c r="A716" s="28"/>
    </row>
    <row r="717" ht="15.75" customHeight="1">
      <c r="A717" s="28"/>
    </row>
    <row r="718" ht="15.75" customHeight="1">
      <c r="A718" s="28"/>
    </row>
    <row r="719" ht="15.75" customHeight="1">
      <c r="A719" s="28"/>
    </row>
    <row r="720" ht="15.75" customHeight="1">
      <c r="A720" s="28"/>
    </row>
    <row r="721" ht="15.75" customHeight="1">
      <c r="A721" s="28"/>
    </row>
    <row r="722" ht="15.75" customHeight="1">
      <c r="A722" s="28"/>
    </row>
    <row r="723" ht="15.75" customHeight="1">
      <c r="A723" s="28"/>
    </row>
    <row r="724" ht="15.75" customHeight="1">
      <c r="A724" s="28"/>
    </row>
    <row r="725" ht="15.75" customHeight="1">
      <c r="A725" s="28"/>
    </row>
    <row r="726" ht="15.75" customHeight="1">
      <c r="A726" s="28"/>
    </row>
    <row r="727" ht="15.75" customHeight="1">
      <c r="A727" s="28"/>
    </row>
    <row r="728" ht="15.75" customHeight="1">
      <c r="A728" s="28"/>
    </row>
    <row r="729" ht="15.75" customHeight="1">
      <c r="A729" s="28"/>
    </row>
    <row r="730" ht="15.75" customHeight="1">
      <c r="A730" s="28"/>
    </row>
    <row r="731" ht="15.75" customHeight="1">
      <c r="A731" s="28"/>
    </row>
    <row r="732" ht="15.75" customHeight="1">
      <c r="A732" s="28"/>
    </row>
    <row r="733" ht="15.75" customHeight="1">
      <c r="A733" s="28"/>
    </row>
    <row r="734" ht="15.75" customHeight="1">
      <c r="A734" s="28"/>
    </row>
    <row r="735" ht="15.75" customHeight="1">
      <c r="A735" s="28"/>
    </row>
    <row r="736" ht="15.75" customHeight="1">
      <c r="A736" s="28"/>
    </row>
    <row r="737" ht="15.75" customHeight="1">
      <c r="A737" s="28"/>
    </row>
    <row r="738" ht="15.75" customHeight="1">
      <c r="A738" s="28"/>
    </row>
    <row r="739" ht="15.75" customHeight="1">
      <c r="A739" s="28"/>
    </row>
    <row r="740" ht="15.75" customHeight="1">
      <c r="A740" s="28"/>
    </row>
    <row r="741" ht="15.75" customHeight="1">
      <c r="A741" s="28"/>
    </row>
    <row r="742" ht="15.75" customHeight="1">
      <c r="A742" s="28"/>
    </row>
    <row r="743" ht="15.75" customHeight="1">
      <c r="A743" s="28"/>
    </row>
    <row r="744" ht="15.75" customHeight="1">
      <c r="A744" s="28"/>
    </row>
    <row r="745" ht="15.75" customHeight="1">
      <c r="A745" s="28"/>
    </row>
    <row r="746" ht="15.75" customHeight="1">
      <c r="A746" s="28"/>
    </row>
    <row r="747" ht="15.75" customHeight="1">
      <c r="A747" s="28"/>
    </row>
    <row r="748" ht="15.75" customHeight="1">
      <c r="A748" s="28"/>
    </row>
    <row r="749" ht="15.75" customHeight="1">
      <c r="A749" s="28"/>
    </row>
    <row r="750" ht="15.75" customHeight="1">
      <c r="A750" s="28"/>
    </row>
    <row r="751" ht="15.75" customHeight="1">
      <c r="A751" s="28"/>
    </row>
    <row r="752" ht="15.75" customHeight="1">
      <c r="A752" s="28"/>
    </row>
    <row r="753" ht="15.75" customHeight="1">
      <c r="A753" s="28"/>
    </row>
    <row r="754" ht="15.75" customHeight="1">
      <c r="A754" s="28"/>
    </row>
    <row r="755" ht="15.75" customHeight="1">
      <c r="A755" s="28"/>
    </row>
    <row r="756" ht="15.75" customHeight="1">
      <c r="A756" s="28"/>
    </row>
    <row r="757" ht="15.75" customHeight="1">
      <c r="A757" s="28"/>
    </row>
    <row r="758" ht="15.75" customHeight="1">
      <c r="A758" s="28"/>
    </row>
    <row r="759" ht="15.75" customHeight="1">
      <c r="A759" s="28"/>
    </row>
    <row r="760" ht="15.75" customHeight="1">
      <c r="A760" s="28"/>
    </row>
    <row r="761" ht="15.75" customHeight="1">
      <c r="A761" s="28"/>
    </row>
    <row r="762" ht="15.75" customHeight="1">
      <c r="A762" s="28"/>
    </row>
    <row r="763" ht="15.75" customHeight="1">
      <c r="A763" s="28"/>
    </row>
    <row r="764" ht="15.75" customHeight="1">
      <c r="A764" s="28"/>
    </row>
    <row r="765" ht="15.75" customHeight="1">
      <c r="A765" s="28"/>
    </row>
    <row r="766" ht="15.75" customHeight="1">
      <c r="A766" s="28"/>
    </row>
    <row r="767" ht="15.75" customHeight="1">
      <c r="A767" s="28"/>
    </row>
    <row r="768" ht="15.75" customHeight="1">
      <c r="A768" s="28"/>
    </row>
    <row r="769" ht="15.75" customHeight="1">
      <c r="A769" s="28"/>
    </row>
    <row r="770" ht="15.75" customHeight="1">
      <c r="A770" s="28"/>
    </row>
    <row r="771" ht="15.75" customHeight="1">
      <c r="A771" s="28"/>
    </row>
    <row r="772" ht="15.75" customHeight="1">
      <c r="A772" s="28"/>
    </row>
    <row r="773" ht="15.75" customHeight="1">
      <c r="A773" s="28"/>
    </row>
    <row r="774" ht="15.75" customHeight="1">
      <c r="A774" s="28"/>
    </row>
    <row r="775" ht="15.75" customHeight="1">
      <c r="A775" s="28"/>
    </row>
    <row r="776" ht="15.75" customHeight="1">
      <c r="A776" s="28"/>
    </row>
    <row r="777" ht="15.75" customHeight="1">
      <c r="A777" s="28"/>
    </row>
    <row r="778" ht="15.75" customHeight="1">
      <c r="A778" s="28"/>
    </row>
    <row r="779" ht="15.75" customHeight="1">
      <c r="A779" s="28"/>
    </row>
    <row r="780" ht="15.75" customHeight="1">
      <c r="A780" s="28"/>
    </row>
    <row r="781" ht="15.75" customHeight="1">
      <c r="A781" s="28"/>
    </row>
    <row r="782" ht="15.75" customHeight="1">
      <c r="A782" s="28"/>
    </row>
    <row r="783" ht="15.75" customHeight="1">
      <c r="A783" s="28"/>
    </row>
    <row r="784" ht="15.75" customHeight="1">
      <c r="A784" s="28"/>
    </row>
    <row r="785" ht="15.75" customHeight="1">
      <c r="A785" s="28"/>
    </row>
    <row r="786" ht="15.75" customHeight="1">
      <c r="A786" s="28"/>
    </row>
    <row r="787" ht="15.75" customHeight="1">
      <c r="A787" s="28"/>
    </row>
    <row r="788" ht="15.75" customHeight="1">
      <c r="A788" s="28"/>
    </row>
    <row r="789" ht="15.75" customHeight="1">
      <c r="A789" s="28"/>
    </row>
    <row r="790" ht="15.75" customHeight="1">
      <c r="A790" s="28"/>
    </row>
    <row r="791" ht="15.75" customHeight="1">
      <c r="A791" s="28"/>
    </row>
    <row r="792" ht="15.75" customHeight="1">
      <c r="A792" s="28"/>
    </row>
    <row r="793" ht="15.75" customHeight="1">
      <c r="A793" s="28"/>
    </row>
    <row r="794" ht="15.75" customHeight="1">
      <c r="A794" s="28"/>
    </row>
    <row r="795" ht="15.75" customHeight="1">
      <c r="A795" s="28"/>
    </row>
    <row r="796" ht="15.75" customHeight="1">
      <c r="A796" s="28"/>
    </row>
    <row r="797" ht="15.75" customHeight="1">
      <c r="A797" s="28"/>
    </row>
    <row r="798" ht="15.75" customHeight="1">
      <c r="A798" s="28"/>
    </row>
    <row r="799" ht="15.75" customHeight="1">
      <c r="A799" s="28"/>
    </row>
    <row r="800" ht="15.75" customHeight="1">
      <c r="A800" s="28"/>
    </row>
    <row r="801" ht="15.75" customHeight="1">
      <c r="A801" s="28"/>
    </row>
    <row r="802" ht="15.75" customHeight="1">
      <c r="A802" s="28"/>
    </row>
    <row r="803" ht="15.75" customHeight="1">
      <c r="A803" s="28"/>
    </row>
    <row r="804" ht="15.75" customHeight="1">
      <c r="A804" s="28"/>
    </row>
    <row r="805" ht="15.75" customHeight="1">
      <c r="A805" s="28"/>
    </row>
    <row r="806" ht="15.75" customHeight="1">
      <c r="A806" s="28"/>
    </row>
    <row r="807" ht="15.75" customHeight="1">
      <c r="A807" s="28"/>
    </row>
    <row r="808" ht="15.75" customHeight="1">
      <c r="A808" s="28"/>
    </row>
    <row r="809" ht="15.75" customHeight="1">
      <c r="A809" s="28"/>
    </row>
    <row r="810" ht="15.75" customHeight="1">
      <c r="A810" s="28"/>
    </row>
    <row r="811" ht="15.75" customHeight="1">
      <c r="A811" s="28"/>
    </row>
    <row r="812" ht="15.75" customHeight="1">
      <c r="A812" s="28"/>
    </row>
    <row r="813" ht="15.75" customHeight="1">
      <c r="A813" s="28"/>
    </row>
    <row r="814" ht="15.75" customHeight="1">
      <c r="A814" s="28"/>
    </row>
    <row r="815" ht="15.75" customHeight="1">
      <c r="A815" s="28"/>
    </row>
    <row r="816" ht="15.75" customHeight="1">
      <c r="A816" s="28"/>
    </row>
    <row r="817" ht="15.75" customHeight="1">
      <c r="A817" s="28"/>
    </row>
    <row r="818" ht="15.75" customHeight="1">
      <c r="A818" s="28"/>
    </row>
    <row r="819" ht="15.75" customHeight="1">
      <c r="A819" s="28"/>
    </row>
    <row r="820" ht="15.75" customHeight="1">
      <c r="A820" s="28"/>
    </row>
    <row r="821" ht="15.75" customHeight="1">
      <c r="A821" s="28"/>
    </row>
    <row r="822" ht="15.75" customHeight="1">
      <c r="A822" s="28"/>
    </row>
    <row r="823" ht="15.75" customHeight="1">
      <c r="A823" s="28"/>
    </row>
    <row r="824" ht="15.75" customHeight="1">
      <c r="A824" s="28"/>
    </row>
    <row r="825" ht="15.75" customHeight="1">
      <c r="A825" s="28"/>
    </row>
    <row r="826" ht="15.75" customHeight="1">
      <c r="A826" s="28"/>
    </row>
    <row r="827" ht="15.75" customHeight="1">
      <c r="A827" s="28"/>
    </row>
    <row r="828" ht="15.75" customHeight="1">
      <c r="A828" s="28"/>
    </row>
    <row r="829" ht="15.75" customHeight="1">
      <c r="A829" s="28"/>
    </row>
    <row r="830" ht="15.75" customHeight="1">
      <c r="A830" s="28"/>
    </row>
    <row r="831" ht="15.75" customHeight="1">
      <c r="A831" s="28"/>
    </row>
    <row r="832" ht="15.75" customHeight="1">
      <c r="A832" s="28"/>
    </row>
    <row r="833" ht="15.75" customHeight="1">
      <c r="A833" s="28"/>
    </row>
    <row r="834" ht="15.75" customHeight="1">
      <c r="A834" s="28"/>
    </row>
    <row r="835" ht="15.75" customHeight="1">
      <c r="A835" s="28"/>
    </row>
    <row r="836" ht="15.75" customHeight="1">
      <c r="A836" s="28"/>
    </row>
    <row r="837" ht="15.75" customHeight="1">
      <c r="A837" s="28"/>
    </row>
    <row r="838" ht="15.75" customHeight="1">
      <c r="A838" s="28"/>
    </row>
    <row r="839" ht="15.75" customHeight="1">
      <c r="A839" s="28"/>
    </row>
    <row r="840" ht="15.75" customHeight="1">
      <c r="A840" s="28"/>
    </row>
    <row r="841" ht="15.75" customHeight="1">
      <c r="A841" s="28"/>
    </row>
    <row r="842" ht="15.75" customHeight="1">
      <c r="A842" s="28"/>
    </row>
    <row r="843" ht="15.75" customHeight="1">
      <c r="A843" s="28"/>
    </row>
    <row r="844" ht="15.75" customHeight="1">
      <c r="A844" s="28"/>
    </row>
    <row r="845" ht="15.75" customHeight="1">
      <c r="A845" s="28"/>
    </row>
    <row r="846" ht="15.75" customHeight="1">
      <c r="A846" s="28"/>
    </row>
    <row r="847" ht="15.75" customHeight="1">
      <c r="A847" s="28"/>
    </row>
    <row r="848" ht="15.75" customHeight="1">
      <c r="A848" s="28"/>
    </row>
    <row r="849" ht="15.75" customHeight="1">
      <c r="A849" s="28"/>
    </row>
    <row r="850" ht="15.75" customHeight="1">
      <c r="A850" s="28"/>
    </row>
    <row r="851" ht="15.75" customHeight="1">
      <c r="A851" s="28"/>
    </row>
    <row r="852" ht="15.75" customHeight="1">
      <c r="A852" s="28"/>
    </row>
    <row r="853" ht="15.75" customHeight="1">
      <c r="A853" s="28"/>
    </row>
    <row r="854" ht="15.75" customHeight="1">
      <c r="A854" s="28"/>
    </row>
    <row r="855" ht="15.75" customHeight="1">
      <c r="A855" s="28"/>
    </row>
    <row r="856" ht="15.75" customHeight="1">
      <c r="A856" s="28"/>
    </row>
    <row r="857" ht="15.75" customHeight="1">
      <c r="A857" s="28"/>
    </row>
    <row r="858" ht="15.75" customHeight="1">
      <c r="A858" s="28"/>
    </row>
    <row r="859" ht="15.75" customHeight="1">
      <c r="A859" s="28"/>
    </row>
    <row r="860" ht="15.75" customHeight="1">
      <c r="A860" s="28"/>
    </row>
    <row r="861" ht="15.75" customHeight="1">
      <c r="A861" s="28"/>
    </row>
    <row r="862" ht="15.75" customHeight="1">
      <c r="A862" s="28"/>
    </row>
    <row r="863" ht="15.75" customHeight="1">
      <c r="A863" s="28"/>
    </row>
    <row r="864" ht="15.75" customHeight="1">
      <c r="A864" s="28"/>
    </row>
    <row r="865" ht="15.75" customHeight="1">
      <c r="A865" s="28"/>
    </row>
    <row r="866" ht="15.75" customHeight="1">
      <c r="A866" s="28"/>
    </row>
    <row r="867" ht="15.75" customHeight="1">
      <c r="A867" s="28"/>
    </row>
    <row r="868" ht="15.75" customHeight="1">
      <c r="A868" s="28"/>
    </row>
    <row r="869" ht="15.75" customHeight="1">
      <c r="A869" s="28"/>
    </row>
    <row r="870" ht="15.75" customHeight="1">
      <c r="A870" s="28"/>
    </row>
    <row r="871" ht="15.75" customHeight="1">
      <c r="A871" s="28"/>
    </row>
    <row r="872" ht="15.75" customHeight="1">
      <c r="A872" s="28"/>
    </row>
    <row r="873" ht="15.75" customHeight="1">
      <c r="A873" s="28"/>
    </row>
    <row r="874" ht="15.75" customHeight="1">
      <c r="A874" s="28"/>
    </row>
    <row r="875" ht="15.75" customHeight="1">
      <c r="A875" s="28"/>
    </row>
    <row r="876" ht="15.75" customHeight="1">
      <c r="A876" s="28"/>
    </row>
    <row r="877" ht="15.75" customHeight="1">
      <c r="A877" s="28"/>
    </row>
    <row r="878" ht="15.75" customHeight="1">
      <c r="A878" s="28"/>
    </row>
    <row r="879" ht="15.75" customHeight="1">
      <c r="A879" s="28"/>
    </row>
    <row r="880" ht="15.75" customHeight="1">
      <c r="A880" s="28"/>
    </row>
    <row r="881" ht="15.75" customHeight="1">
      <c r="A881" s="28"/>
    </row>
    <row r="882" ht="15.75" customHeight="1">
      <c r="A882" s="28"/>
    </row>
    <row r="883" ht="15.75" customHeight="1">
      <c r="A883" s="28"/>
    </row>
    <row r="884" ht="15.75" customHeight="1">
      <c r="A884" s="28"/>
    </row>
    <row r="885" ht="15.75" customHeight="1">
      <c r="A885" s="28"/>
    </row>
    <row r="886" ht="15.75" customHeight="1">
      <c r="A886" s="28"/>
    </row>
    <row r="887" ht="15.75" customHeight="1">
      <c r="A887" s="28"/>
    </row>
    <row r="888" ht="15.75" customHeight="1">
      <c r="A888" s="28"/>
    </row>
    <row r="889" ht="15.75" customHeight="1">
      <c r="A889" s="28"/>
    </row>
    <row r="890" ht="15.75" customHeight="1">
      <c r="A890" s="28"/>
    </row>
    <row r="891" ht="15.75" customHeight="1">
      <c r="A891" s="28"/>
    </row>
    <row r="892" ht="15.75" customHeight="1">
      <c r="A892" s="28"/>
    </row>
    <row r="893" ht="15.75" customHeight="1">
      <c r="A893" s="28"/>
    </row>
    <row r="894" ht="15.75" customHeight="1">
      <c r="A894" s="28"/>
    </row>
    <row r="895" ht="15.75" customHeight="1">
      <c r="A895" s="28"/>
    </row>
    <row r="896" ht="15.75" customHeight="1">
      <c r="A896" s="28"/>
    </row>
    <row r="897" ht="15.75" customHeight="1">
      <c r="A897" s="28"/>
    </row>
    <row r="898" ht="15.75" customHeight="1">
      <c r="A898" s="28"/>
    </row>
    <row r="899" ht="15.75" customHeight="1">
      <c r="A899" s="28"/>
    </row>
    <row r="900" ht="15.75" customHeight="1">
      <c r="A900" s="28"/>
    </row>
    <row r="901" ht="15.75" customHeight="1">
      <c r="A901" s="28"/>
    </row>
    <row r="902" ht="15.75" customHeight="1">
      <c r="A902" s="28"/>
    </row>
    <row r="903" ht="15.75" customHeight="1">
      <c r="A903" s="28"/>
    </row>
    <row r="904" ht="15.75" customHeight="1">
      <c r="A904" s="28"/>
    </row>
    <row r="905" ht="15.75" customHeight="1">
      <c r="A905" s="28"/>
    </row>
    <row r="906" ht="15.75" customHeight="1">
      <c r="A906" s="28"/>
    </row>
    <row r="907" ht="15.75" customHeight="1">
      <c r="A907" s="28"/>
    </row>
    <row r="908" ht="15.75" customHeight="1">
      <c r="A908" s="28"/>
    </row>
    <row r="909" ht="15.75" customHeight="1">
      <c r="A909" s="28"/>
    </row>
    <row r="910" ht="15.75" customHeight="1">
      <c r="A910" s="28"/>
    </row>
    <row r="911" ht="15.75" customHeight="1">
      <c r="A911" s="28"/>
    </row>
    <row r="912" ht="15.75" customHeight="1">
      <c r="A912" s="28"/>
    </row>
    <row r="913" ht="15.75" customHeight="1">
      <c r="A913" s="28"/>
    </row>
    <row r="914" ht="15.75" customHeight="1">
      <c r="A914" s="28"/>
    </row>
    <row r="915" ht="15.75" customHeight="1">
      <c r="A915" s="28"/>
    </row>
    <row r="916" ht="15.75" customHeight="1">
      <c r="A916" s="28"/>
    </row>
    <row r="917" ht="15.75" customHeight="1">
      <c r="A917" s="28"/>
    </row>
    <row r="918" ht="15.75" customHeight="1">
      <c r="A918" s="28"/>
    </row>
    <row r="919" ht="15.75" customHeight="1">
      <c r="A919" s="28"/>
    </row>
    <row r="920" ht="15.75" customHeight="1">
      <c r="A920" s="28"/>
    </row>
    <row r="921" ht="15.75" customHeight="1">
      <c r="A921" s="28"/>
    </row>
    <row r="922" ht="15.75" customHeight="1">
      <c r="A922" s="28"/>
    </row>
    <row r="923" ht="15.75" customHeight="1">
      <c r="A923" s="28"/>
    </row>
    <row r="924" ht="15.75" customHeight="1">
      <c r="A924" s="28"/>
    </row>
    <row r="925" ht="15.75" customHeight="1">
      <c r="A925" s="28"/>
    </row>
    <row r="926" ht="15.75" customHeight="1">
      <c r="A926" s="28"/>
    </row>
    <row r="927" ht="15.75" customHeight="1">
      <c r="A927" s="28"/>
    </row>
    <row r="928" ht="15.75" customHeight="1">
      <c r="A928" s="28"/>
    </row>
    <row r="929" ht="15.75" customHeight="1">
      <c r="A929" s="28"/>
    </row>
    <row r="930" ht="15.75" customHeight="1">
      <c r="A930" s="28"/>
    </row>
    <row r="931" ht="15.75" customHeight="1">
      <c r="A931" s="28"/>
    </row>
    <row r="932" ht="15.75" customHeight="1">
      <c r="A932" s="28"/>
    </row>
    <row r="933" ht="15.75" customHeight="1">
      <c r="A933" s="28"/>
    </row>
    <row r="934" ht="15.75" customHeight="1">
      <c r="A934" s="28"/>
    </row>
    <row r="935" ht="15.75" customHeight="1">
      <c r="A935" s="28"/>
    </row>
    <row r="936" ht="15.75" customHeight="1">
      <c r="A936" s="28"/>
    </row>
    <row r="937" ht="15.75" customHeight="1">
      <c r="A937" s="28"/>
    </row>
    <row r="938" ht="15.75" customHeight="1">
      <c r="A938" s="28"/>
    </row>
    <row r="939" ht="15.75" customHeight="1">
      <c r="A939" s="28"/>
    </row>
    <row r="940" ht="15.75" customHeight="1">
      <c r="A940" s="28"/>
    </row>
    <row r="941" ht="15.75" customHeight="1">
      <c r="A941" s="28"/>
    </row>
    <row r="942" ht="15.75" customHeight="1">
      <c r="A942" s="28"/>
    </row>
    <row r="943" ht="15.75" customHeight="1">
      <c r="A943" s="28"/>
    </row>
    <row r="944" ht="15.75" customHeight="1">
      <c r="A944" s="28"/>
    </row>
    <row r="945" ht="15.75" customHeight="1">
      <c r="A945" s="28"/>
    </row>
    <row r="946" ht="15.75" customHeight="1">
      <c r="A946" s="28"/>
    </row>
    <row r="947" ht="15.75" customHeight="1">
      <c r="A947" s="28"/>
    </row>
    <row r="948" ht="15.75" customHeight="1">
      <c r="A948" s="28"/>
    </row>
    <row r="949" ht="15.75" customHeight="1">
      <c r="A949" s="28"/>
    </row>
    <row r="950" ht="15.75" customHeight="1">
      <c r="A950" s="28"/>
    </row>
    <row r="951" ht="15.75" customHeight="1">
      <c r="A951" s="28"/>
    </row>
    <row r="952" ht="15.75" customHeight="1">
      <c r="A952" s="28"/>
    </row>
    <row r="953" ht="15.75" customHeight="1">
      <c r="A953" s="28"/>
    </row>
    <row r="954" ht="15.75" customHeight="1">
      <c r="A954" s="28"/>
    </row>
    <row r="955" ht="15.75" customHeight="1">
      <c r="A955" s="28"/>
    </row>
    <row r="956" ht="15.75" customHeight="1">
      <c r="A956" s="28"/>
    </row>
    <row r="957" ht="15.75" customHeight="1">
      <c r="A957" s="28"/>
    </row>
    <row r="958" ht="15.75" customHeight="1">
      <c r="A958" s="28"/>
    </row>
    <row r="959" ht="15.75" customHeight="1">
      <c r="A959" s="28"/>
    </row>
    <row r="960" ht="15.75" customHeight="1">
      <c r="A960" s="28"/>
    </row>
    <row r="961" ht="15.75" customHeight="1">
      <c r="A961" s="28"/>
    </row>
    <row r="962" ht="15.75" customHeight="1">
      <c r="A962" s="28"/>
    </row>
    <row r="963" ht="15.75" customHeight="1">
      <c r="A963" s="28"/>
    </row>
    <row r="964" ht="15.75" customHeight="1">
      <c r="A964" s="28"/>
    </row>
    <row r="965" ht="15.75" customHeight="1">
      <c r="A965" s="28"/>
    </row>
    <row r="966" ht="15.75" customHeight="1">
      <c r="A966" s="28"/>
    </row>
    <row r="967" ht="15.75" customHeight="1">
      <c r="A967" s="28"/>
    </row>
    <row r="968" ht="15.75" customHeight="1">
      <c r="A968" s="28"/>
    </row>
    <row r="969" ht="15.75" customHeight="1">
      <c r="A969" s="28"/>
    </row>
    <row r="970" ht="15.75" customHeight="1">
      <c r="A970" s="28"/>
    </row>
    <row r="971" ht="15.75" customHeight="1">
      <c r="A971" s="28"/>
    </row>
    <row r="972" ht="15.75" customHeight="1">
      <c r="A972" s="28"/>
    </row>
    <row r="973" ht="15.75" customHeight="1">
      <c r="A973" s="28"/>
    </row>
    <row r="974" ht="15.75" customHeight="1">
      <c r="A974" s="28"/>
    </row>
    <row r="975" ht="15.75" customHeight="1">
      <c r="A975" s="28"/>
    </row>
    <row r="976" ht="15.75" customHeight="1">
      <c r="A976" s="28"/>
    </row>
    <row r="977" ht="15.75" customHeight="1">
      <c r="A977" s="28"/>
    </row>
    <row r="978" ht="15.75" customHeight="1">
      <c r="A978" s="28"/>
    </row>
    <row r="979" ht="15.75" customHeight="1">
      <c r="A979" s="28"/>
    </row>
    <row r="980" ht="15.75" customHeight="1">
      <c r="A980" s="28"/>
    </row>
    <row r="981" ht="15.75" customHeight="1">
      <c r="A981" s="28"/>
    </row>
    <row r="982" ht="15.75" customHeight="1">
      <c r="A982" s="28"/>
    </row>
    <row r="983" ht="15.75" customHeight="1">
      <c r="A983" s="28"/>
    </row>
    <row r="984" ht="15.75" customHeight="1">
      <c r="A984" s="28"/>
    </row>
    <row r="985" ht="15.75" customHeight="1">
      <c r="A985" s="28"/>
    </row>
    <row r="986" ht="15.75" customHeight="1">
      <c r="A986" s="28"/>
    </row>
    <row r="987" ht="15.75" customHeight="1">
      <c r="A987" s="28"/>
    </row>
    <row r="988" ht="15.75" customHeight="1">
      <c r="A988" s="28"/>
    </row>
    <row r="989" ht="15.75" customHeight="1">
      <c r="A989" s="28"/>
    </row>
    <row r="990" ht="15.75" customHeight="1">
      <c r="A990" s="28"/>
    </row>
    <row r="991" ht="15.75" customHeight="1">
      <c r="A991" s="28"/>
    </row>
    <row r="992" ht="15.75" customHeight="1">
      <c r="A992" s="28"/>
    </row>
    <row r="993" ht="15.75" customHeight="1">
      <c r="A993" s="28"/>
    </row>
    <row r="994" ht="15.75" customHeight="1">
      <c r="A994" s="28"/>
    </row>
    <row r="995" ht="15.75" customHeight="1">
      <c r="A995" s="28"/>
    </row>
    <row r="996" ht="15.75" customHeight="1">
      <c r="A996" s="28"/>
    </row>
    <row r="997" ht="15.75" customHeight="1">
      <c r="A997" s="28"/>
    </row>
    <row r="998" ht="15.75" customHeight="1">
      <c r="A998" s="28"/>
    </row>
    <row r="999" ht="15.75" customHeight="1">
      <c r="A999" s="28"/>
    </row>
    <row r="1000" ht="15.75" customHeight="1">
      <c r="A1000" s="28"/>
    </row>
  </sheetData>
  <mergeCells count="9">
    <mergeCell ref="C18:G18"/>
    <mergeCell ref="C19:G19"/>
    <mergeCell ref="C9:G9"/>
    <mergeCell ref="F14:G14"/>
    <mergeCell ref="C15:D15"/>
    <mergeCell ref="F15:G15"/>
    <mergeCell ref="C16:D16"/>
    <mergeCell ref="F16:G16"/>
    <mergeCell ref="C17:G17"/>
  </mergeCells>
  <conditionalFormatting sqref="C11:C12">
    <cfRule type="cellIs" dxfId="0" priority="1" stopIfTrue="1" operator="equal">
      <formula>0</formula>
    </cfRule>
  </conditionalFormatting>
  <conditionalFormatting sqref="D23">
    <cfRule type="cellIs" dxfId="0" priority="2" stopIfTrue="1" operator="equal">
      <formula>0</formula>
    </cfRule>
  </conditionalFormatting>
  <conditionalFormatting sqref="F1">
    <cfRule type="expression" dxfId="2" priority="3" stopIfTrue="1">
      <formula>MOD(ROW(),2)=0</formula>
    </cfRule>
  </conditionalFormatting>
  <printOptions horizontalCentered="1"/>
  <pageMargins bottom="0.45" footer="0.0" header="0.0" left="0.25" right="0.25" top="0.5"/>
  <pageSetup scale="98" orientation="landscape"/>
  <headerFooter>
    <oddHeader>&amp;L &amp;C &amp;R </oddHeader>
    <oddFooter>&amp;L&amp;D  at &amp;T Mike 702.486.8879&amp;C&amp;F  &amp;A&amp;RPage &amp;P of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sheetPr>
  <sheetViews>
    <sheetView workbookViewId="0"/>
  </sheetViews>
  <sheetFormatPr customHeight="1" defaultColWidth="14.43" defaultRowHeight="15.0" outlineLevelCol="1" outlineLevelRow="1"/>
  <cols>
    <col customWidth="1" min="1" max="1" width="4.71"/>
    <col customWidth="1" min="2" max="2" width="32.71"/>
    <col customWidth="1" min="3" max="3" width="16.71"/>
    <col customWidth="1" min="4" max="4" width="14.43"/>
    <col customWidth="1" min="5" max="5" width="10.43"/>
    <col customWidth="1" min="6" max="6" width="13.71"/>
    <col customWidth="1" min="7" max="8" width="13.43"/>
    <col customWidth="1" min="9" max="12" width="14.43"/>
    <col customWidth="1" min="13" max="13" width="2.43"/>
    <col customWidth="1" hidden="1" min="14" max="14" width="5.43" outlineLevel="1"/>
    <col customWidth="1" hidden="1" min="15" max="15" width="55.43" outlineLevel="1"/>
    <col customWidth="1" min="16" max="16" width="4.43"/>
    <col customWidth="1" min="17" max="17" width="55.43" outlineLevel="1"/>
    <col customWidth="1" min="18" max="18" width="9.29"/>
    <col customWidth="1" min="19" max="19" width="10.43"/>
    <col customWidth="1" min="20" max="20" width="11.71"/>
    <col customWidth="1" min="21" max="26" width="7.71"/>
  </cols>
  <sheetData>
    <row r="1" ht="13.5" customHeight="1">
      <c r="A1" s="92" t="s">
        <v>149</v>
      </c>
      <c r="B1" s="93"/>
      <c r="C1" s="94"/>
      <c r="D1" s="94"/>
      <c r="E1" s="69" t="s">
        <v>3</v>
      </c>
      <c r="F1" s="30"/>
      <c r="G1" s="30"/>
      <c r="H1" s="30"/>
      <c r="I1" s="30"/>
      <c r="J1" s="30"/>
      <c r="K1" s="95"/>
      <c r="L1" s="69"/>
      <c r="M1" s="30"/>
      <c r="N1" s="30"/>
      <c r="O1" s="30"/>
      <c r="P1" s="30" t="s">
        <v>150</v>
      </c>
      <c r="Q1" s="30"/>
      <c r="R1" s="30"/>
      <c r="S1" s="30"/>
      <c r="T1" s="30"/>
      <c r="U1" s="30"/>
      <c r="V1" s="30"/>
      <c r="W1" s="30"/>
      <c r="X1" s="30"/>
      <c r="Y1" s="30"/>
      <c r="Z1" s="30"/>
    </row>
    <row r="2" ht="13.5" customHeight="1">
      <c r="A2" s="96" t="str">
        <f>SchoolName</f>
        <v>Explore Knowledge Academy</v>
      </c>
      <c r="B2" s="97"/>
      <c r="C2" s="63"/>
      <c r="D2" s="63"/>
      <c r="E2" s="30"/>
      <c r="F2" s="30"/>
      <c r="G2" s="63"/>
      <c r="H2" s="30"/>
      <c r="I2" s="30"/>
      <c r="J2" s="30"/>
      <c r="K2" s="30"/>
      <c r="L2" s="30"/>
      <c r="M2" s="30"/>
      <c r="N2" s="30"/>
      <c r="O2" s="30"/>
      <c r="P2" s="30" t="s">
        <v>150</v>
      </c>
      <c r="Q2" s="30"/>
      <c r="R2" s="30"/>
      <c r="S2" s="30"/>
      <c r="T2" s="30"/>
      <c r="U2" s="30"/>
      <c r="V2" s="30"/>
      <c r="W2" s="30"/>
      <c r="X2" s="30"/>
      <c r="Y2" s="30"/>
      <c r="Z2" s="30"/>
    </row>
    <row r="3" ht="13.5" customHeight="1">
      <c r="A3" s="95" t="s">
        <v>2</v>
      </c>
      <c r="B3" s="30"/>
      <c r="C3" s="30"/>
      <c r="D3" s="30"/>
      <c r="E3" s="30"/>
      <c r="F3" s="30"/>
      <c r="G3" s="30"/>
      <c r="H3" s="30"/>
      <c r="I3" s="30"/>
      <c r="J3" s="30"/>
      <c r="K3" s="30"/>
      <c r="L3" s="30"/>
      <c r="M3" s="30"/>
      <c r="N3" s="30"/>
      <c r="O3" s="30"/>
      <c r="P3" s="30" t="s">
        <v>150</v>
      </c>
      <c r="Q3" s="30"/>
      <c r="R3" s="30"/>
      <c r="S3" s="30"/>
      <c r="T3" s="30"/>
      <c r="U3" s="30"/>
      <c r="V3" s="30"/>
      <c r="W3" s="30"/>
      <c r="X3" s="30"/>
      <c r="Y3" s="30"/>
      <c r="Z3" s="30"/>
    </row>
    <row r="4" ht="13.5" customHeight="1">
      <c r="A4" s="98" t="str">
        <f>CELL("filename")</f>
        <v>#N/A</v>
      </c>
      <c r="B4" s="30"/>
      <c r="C4" s="30"/>
      <c r="D4" s="30"/>
      <c r="E4" s="30"/>
      <c r="F4" s="30"/>
      <c r="G4" s="30"/>
      <c r="H4" s="30"/>
      <c r="I4" s="30"/>
      <c r="J4" s="30"/>
      <c r="K4" s="30"/>
      <c r="L4" s="30"/>
      <c r="M4" s="30"/>
      <c r="N4" s="30"/>
      <c r="O4" s="30"/>
      <c r="P4" s="30" t="s">
        <v>150</v>
      </c>
      <c r="Q4" s="30"/>
      <c r="R4" s="30"/>
      <c r="S4" s="30"/>
      <c r="T4" s="30"/>
      <c r="U4" s="30"/>
      <c r="V4" s="30"/>
      <c r="W4" s="30"/>
      <c r="X4" s="30"/>
      <c r="Y4" s="30"/>
      <c r="Z4" s="30"/>
    </row>
    <row r="5" ht="9.75" customHeight="1">
      <c r="A5" s="30"/>
      <c r="B5" s="30"/>
      <c r="C5" s="30"/>
      <c r="D5" s="30"/>
      <c r="E5" s="30"/>
      <c r="F5" s="30"/>
      <c r="G5" s="30"/>
      <c r="H5" s="30"/>
      <c r="I5" s="30"/>
      <c r="J5" s="30"/>
      <c r="K5" s="30"/>
      <c r="L5" s="30"/>
      <c r="M5" s="30"/>
      <c r="N5" s="30"/>
      <c r="O5" s="30"/>
      <c r="P5" s="30" t="s">
        <v>150</v>
      </c>
      <c r="Q5" s="30"/>
      <c r="R5" s="30"/>
      <c r="S5" s="30"/>
      <c r="T5" s="30"/>
      <c r="U5" s="30"/>
      <c r="V5" s="30"/>
      <c r="W5" s="30"/>
      <c r="X5" s="30"/>
      <c r="Y5" s="30"/>
      <c r="Z5" s="30"/>
    </row>
    <row r="6" ht="13.5" customHeight="1">
      <c r="A6" s="30"/>
      <c r="B6" s="63"/>
      <c r="C6" s="99"/>
      <c r="D6" s="99"/>
      <c r="E6" s="99"/>
      <c r="F6" s="100">
        <f>' Enrol &amp; Rev'!F9</f>
        <v>0</v>
      </c>
      <c r="G6" s="101">
        <f>' Enrol &amp; Rev'!G9</f>
        <v>1</v>
      </c>
      <c r="H6" s="101">
        <f>' Enrol &amp; Rev'!H9</f>
        <v>2</v>
      </c>
      <c r="I6" s="101">
        <f>' Enrol &amp; Rev'!I9</f>
        <v>3</v>
      </c>
      <c r="J6" s="101">
        <f>' Enrol &amp; Rev'!J9</f>
        <v>4</v>
      </c>
      <c r="K6" s="101">
        <f>' Enrol &amp; Rev'!K9</f>
        <v>5</v>
      </c>
      <c r="L6" s="102">
        <f>' Enrol &amp; Rev'!L9</f>
        <v>6</v>
      </c>
      <c r="M6" s="30"/>
      <c r="N6" s="30"/>
      <c r="O6" s="30"/>
      <c r="P6" s="30" t="s">
        <v>150</v>
      </c>
      <c r="Q6" s="30"/>
      <c r="R6" s="30"/>
      <c r="S6" s="30"/>
      <c r="T6" s="30"/>
      <c r="U6" s="30"/>
      <c r="V6" s="30"/>
      <c r="W6" s="30"/>
      <c r="X6" s="30"/>
      <c r="Y6" s="30"/>
      <c r="Z6" s="30"/>
    </row>
    <row r="7" ht="13.5" customHeight="1">
      <c r="A7" s="30"/>
      <c r="B7" s="63"/>
      <c r="C7" s="99" t="s">
        <v>151</v>
      </c>
      <c r="D7" s="99"/>
      <c r="E7" s="99"/>
      <c r="F7" s="103">
        <f>' Enrol &amp; Rev'!F10</f>
        <v>2024</v>
      </c>
      <c r="G7" s="104">
        <f>' Enrol &amp; Rev'!G10</f>
        <v>2025</v>
      </c>
      <c r="H7" s="105">
        <f>' Enrol &amp; Rev'!H10</f>
        <v>2026</v>
      </c>
      <c r="I7" s="105">
        <f>' Enrol &amp; Rev'!I10</f>
        <v>2027</v>
      </c>
      <c r="J7" s="105">
        <f>' Enrol &amp; Rev'!J10</f>
        <v>2028</v>
      </c>
      <c r="K7" s="105">
        <f>' Enrol &amp; Rev'!K10</f>
        <v>2029</v>
      </c>
      <c r="L7" s="106">
        <f>' Enrol &amp; Rev'!L10</f>
        <v>2030</v>
      </c>
      <c r="M7" s="30"/>
      <c r="N7" s="30"/>
      <c r="O7" s="30"/>
      <c r="P7" s="30" t="s">
        <v>150</v>
      </c>
      <c r="Q7" s="107"/>
      <c r="R7" s="30"/>
      <c r="S7" s="30"/>
      <c r="T7" s="30"/>
      <c r="U7" s="30"/>
      <c r="V7" s="30"/>
      <c r="W7" s="30"/>
      <c r="X7" s="30"/>
      <c r="Y7" s="30"/>
      <c r="Z7" s="30"/>
    </row>
    <row r="8" ht="13.5" customHeight="1">
      <c r="A8" s="30"/>
      <c r="B8" s="36" t="s">
        <v>152</v>
      </c>
      <c r="C8" s="81"/>
      <c r="D8" s="81"/>
      <c r="E8" s="81"/>
      <c r="F8" s="108">
        <f>' Enrol &amp; Rev'!F11</f>
        <v>2025</v>
      </c>
      <c r="G8" s="108">
        <f>' Enrol &amp; Rev'!G11</f>
        <v>2026</v>
      </c>
      <c r="H8" s="108">
        <f>' Enrol &amp; Rev'!H11</f>
        <v>2027</v>
      </c>
      <c r="I8" s="108">
        <f>' Enrol &amp; Rev'!I11</f>
        <v>2028</v>
      </c>
      <c r="J8" s="108">
        <f>' Enrol &amp; Rev'!J11</f>
        <v>2029</v>
      </c>
      <c r="K8" s="108">
        <f>' Enrol &amp; Rev'!K11</f>
        <v>2030</v>
      </c>
      <c r="L8" s="109">
        <f>' Enrol &amp; Rev'!L11</f>
        <v>2031</v>
      </c>
      <c r="M8" s="30"/>
      <c r="N8" s="30"/>
      <c r="O8" s="36" t="s">
        <v>85</v>
      </c>
      <c r="P8" s="30" t="s">
        <v>150</v>
      </c>
      <c r="Q8" s="110" t="s">
        <v>153</v>
      </c>
      <c r="R8" s="30"/>
      <c r="S8" s="30"/>
      <c r="T8" s="30"/>
      <c r="U8" s="30"/>
      <c r="V8" s="30"/>
      <c r="W8" s="30"/>
      <c r="X8" s="30"/>
      <c r="Y8" s="30"/>
      <c r="Z8" s="30"/>
    </row>
    <row r="9" ht="13.5" customHeight="1">
      <c r="A9" s="111">
        <f t="shared" ref="A9:A106" si="1">ROW()</f>
        <v>9</v>
      </c>
      <c r="B9" s="112" t="s">
        <v>154</v>
      </c>
      <c r="C9" s="113">
        <f t="shared" ref="C9:C10" si="2">MAX(F9:L9)</f>
        <v>685</v>
      </c>
      <c r="D9" s="114"/>
      <c r="E9" s="99"/>
      <c r="F9" s="115">
        <f>+Statistics!F20</f>
        <v>607</v>
      </c>
      <c r="G9" s="115">
        <f>+Statistics!G20</f>
        <v>632</v>
      </c>
      <c r="H9" s="115">
        <f>+Statistics!H20</f>
        <v>645</v>
      </c>
      <c r="I9" s="115">
        <f>+Statistics!I20</f>
        <v>667</v>
      </c>
      <c r="J9" s="115">
        <f>+Statistics!J20</f>
        <v>673</v>
      </c>
      <c r="K9" s="115">
        <f>+Statistics!K20</f>
        <v>676</v>
      </c>
      <c r="L9" s="115">
        <f>+Statistics!L20</f>
        <v>685</v>
      </c>
      <c r="M9" s="99"/>
      <c r="N9" s="30"/>
      <c r="O9" s="116"/>
      <c r="P9" s="30" t="s">
        <v>150</v>
      </c>
      <c r="Q9" s="116"/>
      <c r="R9" s="30"/>
      <c r="S9" s="30"/>
      <c r="T9" s="30"/>
      <c r="U9" s="30"/>
      <c r="V9" s="30"/>
      <c r="W9" s="30"/>
      <c r="X9" s="30"/>
      <c r="Y9" s="30"/>
      <c r="Z9" s="30"/>
    </row>
    <row r="10" ht="13.5" customHeight="1">
      <c r="A10" s="111">
        <f t="shared" si="1"/>
        <v>10</v>
      </c>
      <c r="B10" s="117" t="s">
        <v>155</v>
      </c>
      <c r="C10" s="113">
        <f t="shared" si="2"/>
        <v>50</v>
      </c>
      <c r="D10" s="114"/>
      <c r="E10" s="99"/>
      <c r="F10" s="118">
        <f>+Statistics!F21</f>
        <v>49.5</v>
      </c>
      <c r="G10" s="118">
        <f>+Statistics!G21</f>
        <v>50</v>
      </c>
      <c r="H10" s="118">
        <f>+Statistics!H21</f>
        <v>50</v>
      </c>
      <c r="I10" s="118">
        <f>+Statistics!I21</f>
        <v>49</v>
      </c>
      <c r="J10" s="118">
        <f>+Statistics!J21</f>
        <v>49</v>
      </c>
      <c r="K10" s="118">
        <f>+Statistics!K21</f>
        <v>49</v>
      </c>
      <c r="L10" s="118">
        <f>+Statistics!L21</f>
        <v>49</v>
      </c>
      <c r="M10" s="99"/>
      <c r="N10" s="30"/>
      <c r="O10" s="119"/>
      <c r="P10" s="30" t="s">
        <v>150</v>
      </c>
      <c r="Q10" s="119"/>
      <c r="R10" s="30"/>
      <c r="S10" s="30"/>
      <c r="T10" s="30"/>
      <c r="U10" s="30"/>
      <c r="V10" s="30"/>
      <c r="W10" s="30"/>
      <c r="X10" s="30"/>
      <c r="Y10" s="30"/>
      <c r="Z10" s="30"/>
    </row>
    <row r="11" ht="13.5" customHeight="1">
      <c r="A11" s="111">
        <f t="shared" si="1"/>
        <v>11</v>
      </c>
      <c r="B11" s="117" t="s">
        <v>156</v>
      </c>
      <c r="C11" s="113"/>
      <c r="D11" s="114"/>
      <c r="E11" s="99"/>
      <c r="F11" s="115">
        <f>+Facilities!F11</f>
        <v>58401</v>
      </c>
      <c r="G11" s="115">
        <f>+Facilities!G11</f>
        <v>58401</v>
      </c>
      <c r="H11" s="115">
        <f>+Facilities!H11</f>
        <v>58401</v>
      </c>
      <c r="I11" s="115">
        <f>+Facilities!I11</f>
        <v>58401</v>
      </c>
      <c r="J11" s="115">
        <f>+Facilities!J11</f>
        <v>58401</v>
      </c>
      <c r="K11" s="115">
        <f>+Facilities!K11</f>
        <v>58401</v>
      </c>
      <c r="L11" s="115">
        <f>+Facilities!L11</f>
        <v>58401</v>
      </c>
      <c r="M11" s="99"/>
      <c r="N11" s="30"/>
      <c r="O11" s="120" t="s">
        <v>157</v>
      </c>
      <c r="P11" s="30"/>
      <c r="Q11" s="119"/>
      <c r="R11" s="30"/>
      <c r="S11" s="30"/>
      <c r="T11" s="30"/>
      <c r="U11" s="30"/>
      <c r="V11" s="30"/>
      <c r="W11" s="30"/>
      <c r="X11" s="30"/>
      <c r="Y11" s="30"/>
      <c r="Z11" s="30"/>
    </row>
    <row r="12" ht="13.5" customHeight="1">
      <c r="A12" s="111">
        <f t="shared" si="1"/>
        <v>12</v>
      </c>
      <c r="B12" s="117" t="s">
        <v>158</v>
      </c>
      <c r="C12" s="113"/>
      <c r="D12" s="114"/>
      <c r="E12" s="99"/>
      <c r="F12" s="115">
        <f t="shared" ref="F12:L12" si="3">IFERROR(F11/F9,0)</f>
        <v>96.21252059</v>
      </c>
      <c r="G12" s="121">
        <f t="shared" si="3"/>
        <v>92.40664557</v>
      </c>
      <c r="H12" s="121">
        <f t="shared" si="3"/>
        <v>90.54418605</v>
      </c>
      <c r="I12" s="121">
        <f t="shared" si="3"/>
        <v>87.55772114</v>
      </c>
      <c r="J12" s="121">
        <f t="shared" si="3"/>
        <v>86.77711738</v>
      </c>
      <c r="K12" s="121">
        <f t="shared" si="3"/>
        <v>86.39201183</v>
      </c>
      <c r="L12" s="121">
        <f t="shared" si="3"/>
        <v>85.25693431</v>
      </c>
      <c r="M12" s="99"/>
      <c r="N12" s="30"/>
      <c r="O12" s="119"/>
      <c r="P12" s="30" t="s">
        <v>150</v>
      </c>
      <c r="Q12" s="119"/>
      <c r="R12" s="30"/>
      <c r="S12" s="30"/>
      <c r="T12" s="30"/>
      <c r="U12" s="30"/>
      <c r="V12" s="30"/>
      <c r="W12" s="30"/>
      <c r="X12" s="30"/>
      <c r="Y12" s="30"/>
      <c r="Z12" s="30"/>
    </row>
    <row r="13" ht="13.5" customHeight="1">
      <c r="A13" s="111">
        <f t="shared" si="1"/>
        <v>13</v>
      </c>
      <c r="B13" s="117"/>
      <c r="C13" s="113"/>
      <c r="D13" s="114"/>
      <c r="E13" s="99"/>
      <c r="F13" s="115"/>
      <c r="G13" s="115"/>
      <c r="H13" s="115"/>
      <c r="I13" s="115"/>
      <c r="J13" s="115"/>
      <c r="K13" s="115"/>
      <c r="L13" s="115"/>
      <c r="M13" s="99"/>
      <c r="N13" s="30"/>
      <c r="O13" s="119"/>
      <c r="P13" s="30"/>
      <c r="Q13" s="119"/>
      <c r="R13" s="30"/>
      <c r="S13" s="30"/>
      <c r="T13" s="30"/>
      <c r="U13" s="30"/>
      <c r="V13" s="30"/>
      <c r="W13" s="30"/>
      <c r="X13" s="30"/>
      <c r="Y13" s="30"/>
      <c r="Z13" s="30"/>
    </row>
    <row r="14" ht="13.5" customHeight="1">
      <c r="A14" s="111">
        <f t="shared" si="1"/>
        <v>14</v>
      </c>
      <c r="B14" s="122" t="s">
        <v>159</v>
      </c>
      <c r="C14" s="123" t="s">
        <v>160</v>
      </c>
      <c r="D14" s="123" t="s">
        <v>161</v>
      </c>
      <c r="E14" s="124" t="s">
        <v>162</v>
      </c>
      <c r="F14" s="125">
        <f t="shared" ref="F14:L14" si="4">+F6</f>
        <v>0</v>
      </c>
      <c r="G14" s="125">
        <f t="shared" si="4"/>
        <v>1</v>
      </c>
      <c r="H14" s="125">
        <f t="shared" si="4"/>
        <v>2</v>
      </c>
      <c r="I14" s="125">
        <f t="shared" si="4"/>
        <v>3</v>
      </c>
      <c r="J14" s="125">
        <f t="shared" si="4"/>
        <v>4</v>
      </c>
      <c r="K14" s="125">
        <f t="shared" si="4"/>
        <v>5</v>
      </c>
      <c r="L14" s="125">
        <f t="shared" si="4"/>
        <v>6</v>
      </c>
      <c r="M14" s="126"/>
      <c r="N14" s="30"/>
      <c r="O14" s="119"/>
      <c r="P14" s="30" t="s">
        <v>150</v>
      </c>
      <c r="Q14" s="119"/>
      <c r="R14" s="30"/>
      <c r="S14" s="30"/>
      <c r="T14" s="30"/>
      <c r="U14" s="30"/>
      <c r="V14" s="30"/>
      <c r="W14" s="30"/>
      <c r="X14" s="30"/>
      <c r="Y14" s="30"/>
      <c r="Z14" s="30"/>
    </row>
    <row r="15" ht="13.5" customHeight="1">
      <c r="A15" s="111">
        <f t="shared" si="1"/>
        <v>15</v>
      </c>
      <c r="B15" s="30" t="s">
        <v>163</v>
      </c>
      <c r="C15" s="127">
        <f t="shared" ref="C15:C34" si="5">SUM(F15:L15)</f>
        <v>46098006.6</v>
      </c>
      <c r="D15" s="127">
        <f t="shared" ref="D15:D19" si="6">AVERAGE(G15:L15)</f>
        <v>6678574.32</v>
      </c>
      <c r="E15" s="128">
        <f t="shared" ref="E15:E35" si="7">IFERROR(+D15/$D$35,0)</f>
        <v>0.9405386089</v>
      </c>
      <c r="F15" s="129">
        <f>+' Enrol &amp; Rev'!F119-' Enrol &amp; Rev'!G116</f>
        <v>6026560.68</v>
      </c>
      <c r="G15" s="129">
        <f>+' Enrol &amp; Rev'!G119-' Enrol &amp; Rev'!G116</f>
        <v>6380903.64</v>
      </c>
      <c r="H15" s="129">
        <f>+' Enrol &amp; Rev'!H119-' Enrol &amp; Rev'!H116</f>
        <v>6505733.28</v>
      </c>
      <c r="I15" s="129">
        <f>+' Enrol &amp; Rev'!I119-' Enrol &amp; Rev'!I116</f>
        <v>6716983.44</v>
      </c>
      <c r="J15" s="129">
        <f>+' Enrol &amp; Rev'!J119-' Enrol &amp; Rev'!J116</f>
        <v>6774597.12</v>
      </c>
      <c r="K15" s="129">
        <f>+' Enrol &amp; Rev'!K119-' Enrol &amp; Rev'!K116</f>
        <v>6803403.96</v>
      </c>
      <c r="L15" s="129">
        <f>+' Enrol &amp; Rev'!L119-' Enrol &amp; Rev'!L116</f>
        <v>6889824.48</v>
      </c>
      <c r="M15" s="130"/>
      <c r="N15" s="30"/>
      <c r="O15" s="119"/>
      <c r="P15" s="30" t="s">
        <v>150</v>
      </c>
      <c r="Q15" s="119"/>
      <c r="R15" s="30"/>
      <c r="S15" s="30"/>
      <c r="T15" s="30"/>
      <c r="U15" s="30"/>
      <c r="V15" s="30"/>
      <c r="W15" s="30"/>
      <c r="X15" s="30"/>
      <c r="Y15" s="30"/>
      <c r="Z15" s="30"/>
    </row>
    <row r="16" ht="13.5" customHeight="1">
      <c r="A16" s="111">
        <f t="shared" si="1"/>
        <v>16</v>
      </c>
      <c r="B16" s="30" t="s">
        <v>164</v>
      </c>
      <c r="C16" s="131">
        <f t="shared" si="5"/>
        <v>-539539.875</v>
      </c>
      <c r="D16" s="131">
        <f t="shared" si="6"/>
        <v>-78018.525</v>
      </c>
      <c r="E16" s="132">
        <f t="shared" si="7"/>
        <v>-0.01098729032</v>
      </c>
      <c r="F16" s="133">
        <f>+' Enrol &amp; Rev'!F120</f>
        <v>-71428.725</v>
      </c>
      <c r="G16" s="133">
        <f>+' Enrol &amp; Rev'!G120</f>
        <v>-74370.6</v>
      </c>
      <c r="H16" s="133">
        <f>+' Enrol &amp; Rev'!H120</f>
        <v>-75900.375</v>
      </c>
      <c r="I16" s="133">
        <f>+' Enrol &amp; Rev'!I120</f>
        <v>-78489.225</v>
      </c>
      <c r="J16" s="133">
        <f>+' Enrol &amp; Rev'!J120</f>
        <v>-79195.275</v>
      </c>
      <c r="K16" s="133">
        <f>+' Enrol &amp; Rev'!K120</f>
        <v>-79548.3</v>
      </c>
      <c r="L16" s="133">
        <f>+' Enrol &amp; Rev'!L120</f>
        <v>-80607.375</v>
      </c>
      <c r="M16" s="131"/>
      <c r="N16" s="30"/>
      <c r="O16" s="119"/>
      <c r="P16" s="30" t="s">
        <v>150</v>
      </c>
      <c r="Q16" s="119"/>
      <c r="R16" s="30"/>
      <c r="S16" s="30"/>
      <c r="T16" s="30"/>
      <c r="U16" s="30"/>
      <c r="V16" s="30"/>
      <c r="W16" s="30"/>
      <c r="X16" s="30"/>
      <c r="Y16" s="30"/>
      <c r="Z16" s="30"/>
    </row>
    <row r="17" ht="13.5" customHeight="1">
      <c r="A17" s="111">
        <f t="shared" si="1"/>
        <v>17</v>
      </c>
      <c r="B17" s="30" t="s">
        <v>165</v>
      </c>
      <c r="C17" s="131">
        <f t="shared" si="5"/>
        <v>0</v>
      </c>
      <c r="D17" s="131">
        <f t="shared" si="6"/>
        <v>0</v>
      </c>
      <c r="E17" s="128">
        <f t="shared" si="7"/>
        <v>0</v>
      </c>
      <c r="F17" s="133">
        <f>' Enrol &amp; Rev'!F125</f>
        <v>0</v>
      </c>
      <c r="G17" s="133">
        <f>' Enrol &amp; Rev'!G125</f>
        <v>0</v>
      </c>
      <c r="H17" s="133">
        <f>' Enrol &amp; Rev'!H125</f>
        <v>0</v>
      </c>
      <c r="I17" s="133">
        <f>' Enrol &amp; Rev'!I125</f>
        <v>0</v>
      </c>
      <c r="J17" s="133">
        <f>' Enrol &amp; Rev'!J125</f>
        <v>0</v>
      </c>
      <c r="K17" s="133">
        <f>' Enrol &amp; Rev'!K125</f>
        <v>0</v>
      </c>
      <c r="L17" s="133">
        <f>' Enrol &amp; Rev'!L125</f>
        <v>0</v>
      </c>
      <c r="M17" s="131"/>
      <c r="N17" s="30"/>
      <c r="O17" s="119"/>
      <c r="P17" s="30" t="s">
        <v>150</v>
      </c>
      <c r="Q17" s="119"/>
      <c r="R17" s="30"/>
      <c r="S17" s="30"/>
      <c r="T17" s="30"/>
      <c r="U17" s="30"/>
      <c r="V17" s="30"/>
      <c r="W17" s="30"/>
      <c r="X17" s="30"/>
      <c r="Y17" s="30"/>
      <c r="Z17" s="30"/>
    </row>
    <row r="18" ht="13.5" customHeight="1">
      <c r="A18" s="111">
        <f t="shared" si="1"/>
        <v>18</v>
      </c>
      <c r="B18" s="30" t="s">
        <v>166</v>
      </c>
      <c r="C18" s="131">
        <f t="shared" si="5"/>
        <v>0</v>
      </c>
      <c r="D18" s="131">
        <f t="shared" si="6"/>
        <v>0</v>
      </c>
      <c r="E18" s="128">
        <f t="shared" si="7"/>
        <v>0</v>
      </c>
      <c r="F18" s="133">
        <f>' Enrol &amp; Rev'!F126+' Enrol &amp; Rev'!F127</f>
        <v>0</v>
      </c>
      <c r="G18" s="133">
        <f>' Enrol &amp; Rev'!G126+' Enrol &amp; Rev'!G127</f>
        <v>0</v>
      </c>
      <c r="H18" s="133">
        <f>' Enrol &amp; Rev'!H126+' Enrol &amp; Rev'!H127</f>
        <v>0</v>
      </c>
      <c r="I18" s="133">
        <f>' Enrol &amp; Rev'!I126+' Enrol &amp; Rev'!I127</f>
        <v>0</v>
      </c>
      <c r="J18" s="133">
        <f>' Enrol &amp; Rev'!J126+' Enrol &amp; Rev'!J127</f>
        <v>0</v>
      </c>
      <c r="K18" s="133">
        <f>' Enrol &amp; Rev'!K126+' Enrol &amp; Rev'!K127</f>
        <v>0</v>
      </c>
      <c r="L18" s="133">
        <f>' Enrol &amp; Rev'!L126+' Enrol &amp; Rev'!L127</f>
        <v>0</v>
      </c>
      <c r="M18" s="131"/>
      <c r="N18" s="30"/>
      <c r="O18" s="119"/>
      <c r="P18" s="30" t="s">
        <v>150</v>
      </c>
      <c r="Q18" s="119"/>
      <c r="R18" s="30"/>
      <c r="S18" s="30"/>
      <c r="T18" s="30"/>
      <c r="U18" s="30"/>
      <c r="V18" s="30"/>
      <c r="W18" s="30"/>
      <c r="X18" s="30"/>
      <c r="Y18" s="30"/>
      <c r="Z18" s="30"/>
    </row>
    <row r="19" ht="13.5" customHeight="1">
      <c r="A19" s="111">
        <f t="shared" si="1"/>
        <v>19</v>
      </c>
      <c r="B19" s="30" t="s">
        <v>167</v>
      </c>
      <c r="C19" s="131">
        <f t="shared" si="5"/>
        <v>0</v>
      </c>
      <c r="D19" s="131">
        <f t="shared" si="6"/>
        <v>0</v>
      </c>
      <c r="E19" s="128">
        <f t="shared" si="7"/>
        <v>0</v>
      </c>
      <c r="F19" s="133">
        <f>' Enrol &amp; Rev'!F128</f>
        <v>0</v>
      </c>
      <c r="G19" s="133">
        <f>' Enrol &amp; Rev'!G128</f>
        <v>0</v>
      </c>
      <c r="H19" s="133">
        <f>' Enrol &amp; Rev'!H128</f>
        <v>0</v>
      </c>
      <c r="I19" s="133">
        <f>' Enrol &amp; Rev'!I128</f>
        <v>0</v>
      </c>
      <c r="J19" s="133">
        <f>' Enrol &amp; Rev'!J128</f>
        <v>0</v>
      </c>
      <c r="K19" s="133">
        <f>' Enrol &amp; Rev'!K128</f>
        <v>0</v>
      </c>
      <c r="L19" s="133">
        <f>' Enrol &amp; Rev'!L128</f>
        <v>0</v>
      </c>
      <c r="M19" s="131"/>
      <c r="N19" s="30"/>
      <c r="O19" s="119"/>
      <c r="P19" s="30" t="s">
        <v>150</v>
      </c>
      <c r="Q19" s="119"/>
      <c r="R19" s="30"/>
      <c r="S19" s="30"/>
      <c r="T19" s="30"/>
      <c r="U19" s="30"/>
      <c r="V19" s="30"/>
      <c r="W19" s="30"/>
      <c r="X19" s="30"/>
      <c r="Y19" s="30"/>
      <c r="Z19" s="30"/>
    </row>
    <row r="20" ht="13.5" customHeight="1">
      <c r="A20" s="111">
        <f t="shared" si="1"/>
        <v>20</v>
      </c>
      <c r="B20" s="30" t="s">
        <v>168</v>
      </c>
      <c r="C20" s="131">
        <f t="shared" si="5"/>
        <v>0</v>
      </c>
      <c r="D20" s="134">
        <v>0.0</v>
      </c>
      <c r="E20" s="128">
        <f t="shared" si="7"/>
        <v>0</v>
      </c>
      <c r="F20" s="133">
        <f>' Enrol &amp; Rev'!F129</f>
        <v>0</v>
      </c>
      <c r="G20" s="133" t="str">
        <f>' Enrol &amp; Rev'!G129</f>
        <v/>
      </c>
      <c r="H20" s="133" t="str">
        <f>' Enrol &amp; Rev'!H129</f>
        <v/>
      </c>
      <c r="I20" s="133" t="str">
        <f>' Enrol &amp; Rev'!I129</f>
        <v/>
      </c>
      <c r="J20" s="133" t="str">
        <f>' Enrol &amp; Rev'!J129</f>
        <v/>
      </c>
      <c r="K20" s="133" t="str">
        <f>' Enrol &amp; Rev'!K129</f>
        <v/>
      </c>
      <c r="L20" s="133" t="str">
        <f>' Enrol &amp; Rev'!L129</f>
        <v/>
      </c>
      <c r="M20" s="131"/>
      <c r="N20" s="30"/>
      <c r="O20" s="119"/>
      <c r="P20" s="30" t="s">
        <v>150</v>
      </c>
      <c r="Q20" s="119"/>
      <c r="R20" s="30"/>
      <c r="S20" s="30"/>
      <c r="T20" s="30"/>
      <c r="U20" s="30"/>
      <c r="V20" s="30"/>
      <c r="W20" s="30"/>
      <c r="X20" s="30"/>
      <c r="Y20" s="30"/>
      <c r="Z20" s="30"/>
    </row>
    <row r="21" ht="13.5" customHeight="1">
      <c r="A21" s="111">
        <f t="shared" si="1"/>
        <v>21</v>
      </c>
      <c r="B21" s="30" t="s">
        <v>169</v>
      </c>
      <c r="C21" s="131">
        <f t="shared" si="5"/>
        <v>0</v>
      </c>
      <c r="D21" s="131">
        <f t="shared" ref="D21:D35" si="8">AVERAGE(G21:L21)</f>
        <v>0</v>
      </c>
      <c r="E21" s="128">
        <f t="shared" si="7"/>
        <v>0</v>
      </c>
      <c r="F21" s="133">
        <f>' Enrol &amp; Rev'!F130</f>
        <v>0</v>
      </c>
      <c r="G21" s="133">
        <f>' Enrol &amp; Rev'!G130</f>
        <v>0</v>
      </c>
      <c r="H21" s="133">
        <f>' Enrol &amp; Rev'!H130</f>
        <v>0</v>
      </c>
      <c r="I21" s="133">
        <f>' Enrol &amp; Rev'!I130</f>
        <v>0</v>
      </c>
      <c r="J21" s="133">
        <f>' Enrol &amp; Rev'!J130</f>
        <v>0</v>
      </c>
      <c r="K21" s="133">
        <f>' Enrol &amp; Rev'!K130</f>
        <v>0</v>
      </c>
      <c r="L21" s="133">
        <f>' Enrol &amp; Rev'!L130</f>
        <v>0</v>
      </c>
      <c r="M21" s="131"/>
      <c r="N21" s="30"/>
      <c r="O21" s="119"/>
      <c r="P21" s="30" t="s">
        <v>150</v>
      </c>
      <c r="Q21" s="119"/>
      <c r="R21" s="30"/>
      <c r="S21" s="30"/>
      <c r="T21" s="30"/>
      <c r="U21" s="30"/>
      <c r="V21" s="30"/>
      <c r="W21" s="30"/>
      <c r="X21" s="30"/>
      <c r="Y21" s="30"/>
      <c r="Z21" s="30"/>
    </row>
    <row r="22" ht="13.5" customHeight="1">
      <c r="A22" s="111">
        <f t="shared" si="1"/>
        <v>22</v>
      </c>
      <c r="B22" s="30" t="s">
        <v>170</v>
      </c>
      <c r="C22" s="131">
        <f t="shared" si="5"/>
        <v>0</v>
      </c>
      <c r="D22" s="131">
        <f t="shared" si="8"/>
        <v>0</v>
      </c>
      <c r="E22" s="128">
        <f t="shared" si="7"/>
        <v>0</v>
      </c>
      <c r="F22" s="133">
        <f>' Enrol &amp; Rev'!F131</f>
        <v>0</v>
      </c>
      <c r="G22" s="133">
        <f>' Enrol &amp; Rev'!G131</f>
        <v>0</v>
      </c>
      <c r="H22" s="133">
        <f>' Enrol &amp; Rev'!H131</f>
        <v>0</v>
      </c>
      <c r="I22" s="133">
        <f>' Enrol &amp; Rev'!I131</f>
        <v>0</v>
      </c>
      <c r="J22" s="133">
        <f>' Enrol &amp; Rev'!J131</f>
        <v>0</v>
      </c>
      <c r="K22" s="133">
        <f>' Enrol &amp; Rev'!K131</f>
        <v>0</v>
      </c>
      <c r="L22" s="133">
        <f>' Enrol &amp; Rev'!L131</f>
        <v>0</v>
      </c>
      <c r="M22" s="131"/>
      <c r="N22" s="30"/>
      <c r="O22" s="119"/>
      <c r="P22" s="30" t="s">
        <v>150</v>
      </c>
      <c r="Q22" s="119"/>
      <c r="R22" s="30"/>
      <c r="S22" s="30"/>
      <c r="T22" s="30"/>
      <c r="U22" s="30"/>
      <c r="V22" s="30"/>
      <c r="W22" s="30"/>
      <c r="X22" s="30"/>
      <c r="Y22" s="30"/>
      <c r="Z22" s="30"/>
    </row>
    <row r="23" ht="13.5" customHeight="1">
      <c r="A23" s="111">
        <f t="shared" si="1"/>
        <v>23</v>
      </c>
      <c r="B23" s="30" t="s">
        <v>171</v>
      </c>
      <c r="C23" s="131">
        <f t="shared" si="5"/>
        <v>683617.077</v>
      </c>
      <c r="D23" s="131">
        <f t="shared" si="8"/>
        <v>99596.8545</v>
      </c>
      <c r="E23" s="128">
        <f t="shared" si="7"/>
        <v>0.01402615027</v>
      </c>
      <c r="F23" s="133">
        <f>' Enrol &amp; Rev'!F132</f>
        <v>86035.95</v>
      </c>
      <c r="G23" s="133">
        <f>' Enrol &amp; Rev'!G132</f>
        <v>94939.988</v>
      </c>
      <c r="H23" s="133">
        <f>' Enrol &amp; Rev'!H132</f>
        <v>96892.8675</v>
      </c>
      <c r="I23" s="133">
        <f>' Enrol &amp; Rev'!I132</f>
        <v>100197.7405</v>
      </c>
      <c r="J23" s="133">
        <f>' Enrol &amp; Rev'!J132</f>
        <v>101099.0695</v>
      </c>
      <c r="K23" s="133">
        <f>' Enrol &amp; Rev'!K132</f>
        <v>101549.734</v>
      </c>
      <c r="L23" s="133">
        <f>' Enrol &amp; Rev'!L132</f>
        <v>102901.7275</v>
      </c>
      <c r="M23" s="131"/>
      <c r="N23" s="30"/>
      <c r="O23" s="119"/>
      <c r="P23" s="30" t="s">
        <v>150</v>
      </c>
      <c r="Q23" s="119"/>
      <c r="R23" s="30"/>
      <c r="S23" s="30"/>
      <c r="T23" s="30"/>
      <c r="U23" s="30"/>
      <c r="V23" s="30"/>
      <c r="W23" s="30"/>
      <c r="X23" s="30"/>
      <c r="Y23" s="30"/>
      <c r="Z23" s="30"/>
    </row>
    <row r="24" ht="13.5" customHeight="1">
      <c r="A24" s="111">
        <f t="shared" si="1"/>
        <v>24</v>
      </c>
      <c r="B24" s="30" t="s">
        <v>172</v>
      </c>
      <c r="C24" s="131">
        <f t="shared" si="5"/>
        <v>1253027.825</v>
      </c>
      <c r="D24" s="131">
        <f t="shared" si="8"/>
        <v>179003.975</v>
      </c>
      <c r="E24" s="128">
        <f t="shared" si="7"/>
        <v>0.02520899545</v>
      </c>
      <c r="F24" s="133">
        <f>' Enrol &amp; Rev'!F116</f>
        <v>179003.975</v>
      </c>
      <c r="G24" s="133">
        <f>' Enrol &amp; Rev'!G116</f>
        <v>179003.975</v>
      </c>
      <c r="H24" s="133">
        <f>' Enrol &amp; Rev'!H116</f>
        <v>179003.975</v>
      </c>
      <c r="I24" s="133">
        <f>' Enrol &amp; Rev'!I116</f>
        <v>179003.975</v>
      </c>
      <c r="J24" s="133">
        <f>' Enrol &amp; Rev'!J116</f>
        <v>179003.975</v>
      </c>
      <c r="K24" s="133">
        <f>' Enrol &amp; Rev'!K116</f>
        <v>179003.975</v>
      </c>
      <c r="L24" s="133">
        <f>' Enrol &amp; Rev'!L116</f>
        <v>179003.975</v>
      </c>
      <c r="M24" s="131"/>
      <c r="N24" s="30"/>
      <c r="O24" s="119"/>
      <c r="P24" s="30" t="s">
        <v>150</v>
      </c>
      <c r="Q24" s="119"/>
      <c r="R24" s="30"/>
      <c r="S24" s="30"/>
      <c r="T24" s="30"/>
      <c r="U24" s="30"/>
      <c r="V24" s="30"/>
      <c r="W24" s="30"/>
      <c r="X24" s="30"/>
      <c r="Y24" s="30"/>
      <c r="Z24" s="30"/>
    </row>
    <row r="25" ht="13.5" customHeight="1">
      <c r="A25" s="111">
        <f t="shared" si="1"/>
        <v>25</v>
      </c>
      <c r="B25" s="30" t="s">
        <v>173</v>
      </c>
      <c r="C25" s="131">
        <f t="shared" si="5"/>
        <v>0</v>
      </c>
      <c r="D25" s="131">
        <f t="shared" si="8"/>
        <v>0</v>
      </c>
      <c r="E25" s="128">
        <f t="shared" si="7"/>
        <v>0</v>
      </c>
      <c r="F25" s="133">
        <f>' Enrol &amp; Rev'!F133</f>
        <v>0</v>
      </c>
      <c r="G25" s="133">
        <f>' Enrol &amp; Rev'!G133</f>
        <v>0</v>
      </c>
      <c r="H25" s="133">
        <f>' Enrol &amp; Rev'!H133</f>
        <v>0</v>
      </c>
      <c r="I25" s="133">
        <f>' Enrol &amp; Rev'!I133</f>
        <v>0</v>
      </c>
      <c r="J25" s="133">
        <f>' Enrol &amp; Rev'!J133</f>
        <v>0</v>
      </c>
      <c r="K25" s="133">
        <f>' Enrol &amp; Rev'!K133</f>
        <v>0</v>
      </c>
      <c r="L25" s="133">
        <f>' Enrol &amp; Rev'!L133</f>
        <v>0</v>
      </c>
      <c r="M25" s="131"/>
      <c r="N25" s="30"/>
      <c r="O25" s="119" t="s">
        <v>174</v>
      </c>
      <c r="P25" s="30" t="s">
        <v>150</v>
      </c>
      <c r="Q25" s="119"/>
      <c r="R25" s="30"/>
      <c r="S25" s="30"/>
      <c r="T25" s="30"/>
      <c r="U25" s="30"/>
      <c r="V25" s="30"/>
      <c r="W25" s="30"/>
      <c r="X25" s="30"/>
      <c r="Y25" s="30"/>
      <c r="Z25" s="30"/>
    </row>
    <row r="26" ht="13.5" customHeight="1">
      <c r="A26" s="111">
        <f t="shared" si="1"/>
        <v>26</v>
      </c>
      <c r="B26" s="30" t="str">
        <f>+' Enrol &amp; Rev'!B134</f>
        <v>Charter School Program (CSP) Grant (w/letter)</v>
      </c>
      <c r="C26" s="131">
        <f t="shared" si="5"/>
        <v>0</v>
      </c>
      <c r="D26" s="131">
        <f t="shared" si="8"/>
        <v>0</v>
      </c>
      <c r="E26" s="128">
        <f t="shared" si="7"/>
        <v>0</v>
      </c>
      <c r="F26" s="133">
        <f>' Enrol &amp; Rev'!F134</f>
        <v>0</v>
      </c>
      <c r="G26" s="133">
        <f>' Enrol &amp; Rev'!G134</f>
        <v>0</v>
      </c>
      <c r="H26" s="133">
        <f>' Enrol &amp; Rev'!H134</f>
        <v>0</v>
      </c>
      <c r="I26" s="133">
        <f>' Enrol &amp; Rev'!I134</f>
        <v>0</v>
      </c>
      <c r="J26" s="133">
        <f>' Enrol &amp; Rev'!J134</f>
        <v>0</v>
      </c>
      <c r="K26" s="133">
        <f>' Enrol &amp; Rev'!K134</f>
        <v>0</v>
      </c>
      <c r="L26" s="133">
        <f>' Enrol &amp; Rev'!L134</f>
        <v>0</v>
      </c>
      <c r="M26" s="131"/>
      <c r="N26" s="30"/>
      <c r="O26" s="119" t="s">
        <v>174</v>
      </c>
      <c r="P26" s="30"/>
      <c r="Q26" s="119"/>
      <c r="R26" s="30"/>
      <c r="S26" s="30"/>
      <c r="T26" s="30"/>
      <c r="U26" s="30"/>
      <c r="V26" s="30"/>
      <c r="W26" s="30"/>
      <c r="X26" s="30"/>
      <c r="Y26" s="30"/>
      <c r="Z26" s="30"/>
    </row>
    <row r="27" ht="13.5" customHeight="1">
      <c r="A27" s="111">
        <f t="shared" si="1"/>
        <v>27</v>
      </c>
      <c r="B27" s="30" t="s">
        <v>175</v>
      </c>
      <c r="C27" s="131">
        <f t="shared" si="5"/>
        <v>0</v>
      </c>
      <c r="D27" s="131">
        <f t="shared" si="8"/>
        <v>0</v>
      </c>
      <c r="E27" s="128">
        <f t="shared" si="7"/>
        <v>0</v>
      </c>
      <c r="F27" s="133">
        <f>' Enrol &amp; Rev'!F135</f>
        <v>0</v>
      </c>
      <c r="G27" s="133">
        <f>' Enrol &amp; Rev'!G135</f>
        <v>0</v>
      </c>
      <c r="H27" s="133">
        <f>' Enrol &amp; Rev'!H135</f>
        <v>0</v>
      </c>
      <c r="I27" s="133">
        <f>' Enrol &amp; Rev'!I135</f>
        <v>0</v>
      </c>
      <c r="J27" s="133">
        <f>' Enrol &amp; Rev'!J135</f>
        <v>0</v>
      </c>
      <c r="K27" s="133">
        <f>' Enrol &amp; Rev'!K135</f>
        <v>0</v>
      </c>
      <c r="L27" s="133">
        <f>' Enrol &amp; Rev'!L135</f>
        <v>0</v>
      </c>
      <c r="M27" s="131"/>
      <c r="N27" s="30"/>
      <c r="O27" s="119" t="s">
        <v>174</v>
      </c>
      <c r="P27" s="30" t="s">
        <v>150</v>
      </c>
      <c r="Q27" s="119"/>
      <c r="R27" s="30"/>
      <c r="S27" s="30"/>
      <c r="T27" s="30"/>
      <c r="U27" s="30"/>
      <c r="V27" s="30"/>
      <c r="W27" s="30"/>
      <c r="X27" s="30"/>
      <c r="Y27" s="30"/>
      <c r="Z27" s="30"/>
    </row>
    <row r="28" ht="13.5" customHeight="1">
      <c r="A28" s="111">
        <f t="shared" si="1"/>
        <v>28</v>
      </c>
      <c r="B28" s="30" t="s">
        <v>176</v>
      </c>
      <c r="C28" s="131">
        <f t="shared" si="5"/>
        <v>431487</v>
      </c>
      <c r="D28" s="131">
        <f t="shared" si="8"/>
        <v>61641</v>
      </c>
      <c r="E28" s="128">
        <f t="shared" si="7"/>
        <v>0.008680855766</v>
      </c>
      <c r="F28" s="133">
        <f>' Enrol &amp; Rev'!F137</f>
        <v>61641</v>
      </c>
      <c r="G28" s="133">
        <f>' Enrol &amp; Rev'!G137</f>
        <v>61641</v>
      </c>
      <c r="H28" s="133">
        <f>' Enrol &amp; Rev'!H137</f>
        <v>61641</v>
      </c>
      <c r="I28" s="133">
        <f>' Enrol &amp; Rev'!I137</f>
        <v>61641</v>
      </c>
      <c r="J28" s="133">
        <f>' Enrol &amp; Rev'!J137</f>
        <v>61641</v>
      </c>
      <c r="K28" s="133">
        <f>' Enrol &amp; Rev'!K137</f>
        <v>61641</v>
      </c>
      <c r="L28" s="133">
        <f>' Enrol &amp; Rev'!L137</f>
        <v>61641</v>
      </c>
      <c r="M28" s="131"/>
      <c r="N28" s="30"/>
      <c r="O28" s="119"/>
      <c r="P28" s="30" t="s">
        <v>150</v>
      </c>
      <c r="Q28" s="119"/>
      <c r="R28" s="30"/>
      <c r="S28" s="30"/>
      <c r="T28" s="30"/>
      <c r="U28" s="30"/>
      <c r="V28" s="30"/>
      <c r="W28" s="30"/>
      <c r="X28" s="30"/>
      <c r="Y28" s="30"/>
      <c r="Z28" s="30"/>
    </row>
    <row r="29" ht="13.5" customHeight="1">
      <c r="A29" s="111">
        <f t="shared" si="1"/>
        <v>29</v>
      </c>
      <c r="B29" s="30" t="s">
        <v>177</v>
      </c>
      <c r="C29" s="131">
        <f t="shared" si="5"/>
        <v>0</v>
      </c>
      <c r="D29" s="131">
        <f t="shared" si="8"/>
        <v>0</v>
      </c>
      <c r="E29" s="128">
        <f t="shared" si="7"/>
        <v>0</v>
      </c>
      <c r="F29" s="133">
        <f>' Enrol &amp; Rev'!F138</f>
        <v>0</v>
      </c>
      <c r="G29" s="133">
        <f>' Enrol &amp; Rev'!G138</f>
        <v>0</v>
      </c>
      <c r="H29" s="133">
        <f>' Enrol &amp; Rev'!H138</f>
        <v>0</v>
      </c>
      <c r="I29" s="133">
        <f>' Enrol &amp; Rev'!I138</f>
        <v>0</v>
      </c>
      <c r="J29" s="133">
        <f>' Enrol &amp; Rev'!J138</f>
        <v>0</v>
      </c>
      <c r="K29" s="133">
        <f>' Enrol &amp; Rev'!K138</f>
        <v>0</v>
      </c>
      <c r="L29" s="133">
        <f>' Enrol &amp; Rev'!L138</f>
        <v>0</v>
      </c>
      <c r="M29" s="131"/>
      <c r="N29" s="30"/>
      <c r="O29" s="119"/>
      <c r="P29" s="30" t="s">
        <v>150</v>
      </c>
      <c r="Q29" s="119"/>
      <c r="R29" s="30"/>
      <c r="S29" s="30"/>
      <c r="T29" s="30"/>
      <c r="U29" s="30"/>
      <c r="V29" s="30"/>
      <c r="W29" s="30"/>
      <c r="X29" s="30"/>
      <c r="Y29" s="30"/>
      <c r="Z29" s="30"/>
    </row>
    <row r="30" ht="13.5" customHeight="1">
      <c r="A30" s="111">
        <f t="shared" si="1"/>
        <v>30</v>
      </c>
      <c r="B30" s="30" t="s">
        <v>178</v>
      </c>
      <c r="C30" s="131">
        <f t="shared" si="5"/>
        <v>0</v>
      </c>
      <c r="D30" s="131">
        <f t="shared" si="8"/>
        <v>0</v>
      </c>
      <c r="E30" s="128">
        <f t="shared" si="7"/>
        <v>0</v>
      </c>
      <c r="F30" s="133">
        <f>' Enrol &amp; Rev'!F139</f>
        <v>0</v>
      </c>
      <c r="G30" s="133">
        <f>' Enrol &amp; Rev'!G139</f>
        <v>0</v>
      </c>
      <c r="H30" s="133">
        <f>' Enrol &amp; Rev'!H139</f>
        <v>0</v>
      </c>
      <c r="I30" s="133">
        <f>' Enrol &amp; Rev'!I139</f>
        <v>0</v>
      </c>
      <c r="J30" s="133">
        <f>' Enrol &amp; Rev'!J139</f>
        <v>0</v>
      </c>
      <c r="K30" s="133">
        <f>' Enrol &amp; Rev'!K139</f>
        <v>0</v>
      </c>
      <c r="L30" s="133">
        <f>' Enrol &amp; Rev'!L139</f>
        <v>0</v>
      </c>
      <c r="M30" s="131"/>
      <c r="N30" s="30"/>
      <c r="O30" s="119"/>
      <c r="P30" s="30"/>
      <c r="Q30" s="119"/>
      <c r="R30" s="30"/>
      <c r="S30" s="30"/>
      <c r="T30" s="30"/>
      <c r="U30" s="30"/>
      <c r="V30" s="30"/>
      <c r="W30" s="30"/>
      <c r="X30" s="30"/>
      <c r="Y30" s="30"/>
      <c r="Z30" s="30"/>
    </row>
    <row r="31" ht="13.5" customHeight="1">
      <c r="A31" s="111">
        <f t="shared" si="1"/>
        <v>31</v>
      </c>
      <c r="B31" s="30" t="s">
        <v>179</v>
      </c>
      <c r="C31" s="131">
        <f t="shared" si="5"/>
        <v>1110000</v>
      </c>
      <c r="D31" s="131">
        <f t="shared" si="8"/>
        <v>160000</v>
      </c>
      <c r="E31" s="128">
        <f t="shared" si="7"/>
        <v>0.02253267991</v>
      </c>
      <c r="F31" s="133">
        <f>' Enrol &amp; Rev'!F140</f>
        <v>150000</v>
      </c>
      <c r="G31" s="133">
        <f>' Enrol &amp; Rev'!G140</f>
        <v>150000</v>
      </c>
      <c r="H31" s="133">
        <f>' Enrol &amp; Rev'!H140</f>
        <v>150000</v>
      </c>
      <c r="I31" s="133">
        <f>' Enrol &amp; Rev'!I140</f>
        <v>160000</v>
      </c>
      <c r="J31" s="133">
        <f>' Enrol &amp; Rev'!J140</f>
        <v>160000</v>
      </c>
      <c r="K31" s="133">
        <f>' Enrol &amp; Rev'!K140</f>
        <v>170000</v>
      </c>
      <c r="L31" s="133">
        <f>' Enrol &amp; Rev'!L140</f>
        <v>170000</v>
      </c>
      <c r="M31" s="131"/>
      <c r="N31" s="30"/>
      <c r="O31" s="119"/>
      <c r="P31" s="30" t="s">
        <v>150</v>
      </c>
      <c r="Q31" s="119"/>
      <c r="R31" s="30"/>
      <c r="S31" s="30"/>
      <c r="T31" s="30"/>
      <c r="U31" s="30"/>
      <c r="V31" s="30"/>
      <c r="W31" s="30"/>
      <c r="X31" s="30"/>
      <c r="Y31" s="30"/>
      <c r="Z31" s="30"/>
    </row>
    <row r="32" ht="13.5" customHeight="1">
      <c r="A32" s="111">
        <f t="shared" si="1"/>
        <v>32</v>
      </c>
      <c r="B32" s="30" t="s">
        <v>180</v>
      </c>
      <c r="C32" s="131">
        <f t="shared" si="5"/>
        <v>0</v>
      </c>
      <c r="D32" s="131">
        <f t="shared" si="8"/>
        <v>0</v>
      </c>
      <c r="E32" s="128">
        <f t="shared" si="7"/>
        <v>0</v>
      </c>
      <c r="F32" s="133">
        <f>' Enrol &amp; Rev'!F136</f>
        <v>0</v>
      </c>
      <c r="G32" s="133">
        <f>' Enrol &amp; Rev'!G136</f>
        <v>0</v>
      </c>
      <c r="H32" s="133">
        <f>' Enrol &amp; Rev'!H136</f>
        <v>0</v>
      </c>
      <c r="I32" s="133">
        <f>' Enrol &amp; Rev'!I136</f>
        <v>0</v>
      </c>
      <c r="J32" s="133">
        <f>' Enrol &amp; Rev'!J136</f>
        <v>0</v>
      </c>
      <c r="K32" s="133">
        <f>' Enrol &amp; Rev'!K136</f>
        <v>0</v>
      </c>
      <c r="L32" s="133">
        <f>' Enrol &amp; Rev'!L136</f>
        <v>0</v>
      </c>
      <c r="M32" s="131"/>
      <c r="N32" s="30"/>
      <c r="O32" s="119"/>
      <c r="P32" s="30" t="s">
        <v>150</v>
      </c>
      <c r="Q32" s="119"/>
      <c r="R32" s="30"/>
      <c r="S32" s="30"/>
      <c r="T32" s="30"/>
      <c r="U32" s="30"/>
      <c r="V32" s="30"/>
      <c r="W32" s="30"/>
      <c r="X32" s="30"/>
      <c r="Y32" s="30"/>
      <c r="Z32" s="30"/>
    </row>
    <row r="33" ht="13.5" customHeight="1">
      <c r="A33" s="111">
        <f t="shared" si="1"/>
        <v>33</v>
      </c>
      <c r="B33" s="30" t="s">
        <v>181</v>
      </c>
      <c r="C33" s="131">
        <f t="shared" si="5"/>
        <v>0</v>
      </c>
      <c r="D33" s="131">
        <f t="shared" si="8"/>
        <v>0</v>
      </c>
      <c r="E33" s="128">
        <f t="shared" si="7"/>
        <v>0</v>
      </c>
      <c r="F33" s="133">
        <f>' Enrol &amp; Rev'!F141</f>
        <v>0</v>
      </c>
      <c r="G33" s="133">
        <f>' Enrol &amp; Rev'!G141</f>
        <v>0</v>
      </c>
      <c r="H33" s="133">
        <f>' Enrol &amp; Rev'!H141</f>
        <v>0</v>
      </c>
      <c r="I33" s="133">
        <f>' Enrol &amp; Rev'!I141</f>
        <v>0</v>
      </c>
      <c r="J33" s="133">
        <f>' Enrol &amp; Rev'!J141</f>
        <v>0</v>
      </c>
      <c r="K33" s="133">
        <f>' Enrol &amp; Rev'!K141</f>
        <v>0</v>
      </c>
      <c r="L33" s="133">
        <f>' Enrol &amp; Rev'!L141</f>
        <v>0</v>
      </c>
      <c r="M33" s="131"/>
      <c r="N33" s="30"/>
      <c r="O33" s="119" t="s">
        <v>182</v>
      </c>
      <c r="P33" s="30" t="s">
        <v>150</v>
      </c>
      <c r="Q33" s="119"/>
      <c r="R33" s="30"/>
      <c r="S33" s="30"/>
      <c r="T33" s="30"/>
      <c r="U33" s="30"/>
      <c r="V33" s="30"/>
      <c r="W33" s="30"/>
      <c r="X33" s="30"/>
      <c r="Y33" s="30"/>
      <c r="Z33" s="30"/>
    </row>
    <row r="34" ht="13.5" customHeight="1">
      <c r="A34" s="111">
        <f t="shared" si="1"/>
        <v>34</v>
      </c>
      <c r="B34" s="30" t="s">
        <v>183</v>
      </c>
      <c r="C34" s="131">
        <f t="shared" si="5"/>
        <v>0</v>
      </c>
      <c r="D34" s="131">
        <f t="shared" si="8"/>
        <v>0</v>
      </c>
      <c r="E34" s="128">
        <f t="shared" si="7"/>
        <v>0</v>
      </c>
      <c r="F34" s="133">
        <f>' Enrol &amp; Rev'!F142</f>
        <v>0</v>
      </c>
      <c r="G34" s="133">
        <f>' Enrol &amp; Rev'!G142</f>
        <v>0</v>
      </c>
      <c r="H34" s="133">
        <f>' Enrol &amp; Rev'!H142</f>
        <v>0</v>
      </c>
      <c r="I34" s="133">
        <f>' Enrol &amp; Rev'!I142</f>
        <v>0</v>
      </c>
      <c r="J34" s="133">
        <f>' Enrol &amp; Rev'!J142</f>
        <v>0</v>
      </c>
      <c r="K34" s="133">
        <f>' Enrol &amp; Rev'!K142</f>
        <v>0</v>
      </c>
      <c r="L34" s="133">
        <f>' Enrol &amp; Rev'!L142</f>
        <v>0</v>
      </c>
      <c r="M34" s="131"/>
      <c r="N34" s="30"/>
      <c r="O34" s="119" t="s">
        <v>182</v>
      </c>
      <c r="P34" s="30"/>
      <c r="Q34" s="119"/>
      <c r="R34" s="30"/>
      <c r="S34" s="30"/>
      <c r="T34" s="30"/>
      <c r="U34" s="30"/>
      <c r="V34" s="30"/>
      <c r="W34" s="30"/>
      <c r="X34" s="30"/>
      <c r="Y34" s="30"/>
      <c r="Z34" s="30"/>
    </row>
    <row r="35" ht="13.5" customHeight="1">
      <c r="A35" s="111">
        <f t="shared" si="1"/>
        <v>35</v>
      </c>
      <c r="B35" s="135" t="s">
        <v>184</v>
      </c>
      <c r="C35" s="136">
        <f>SUM(C15:C34)</f>
        <v>49036598.63</v>
      </c>
      <c r="D35" s="136">
        <f t="shared" si="8"/>
        <v>7100797.625</v>
      </c>
      <c r="E35" s="137">
        <f t="shared" si="7"/>
        <v>1</v>
      </c>
      <c r="F35" s="138">
        <f t="shared" ref="F35:L35" si="9">SUM(F15:F34)</f>
        <v>6431812.88</v>
      </c>
      <c r="G35" s="138">
        <f t="shared" si="9"/>
        <v>6792118.003</v>
      </c>
      <c r="H35" s="138">
        <f t="shared" si="9"/>
        <v>6917370.748</v>
      </c>
      <c r="I35" s="138">
        <f t="shared" si="9"/>
        <v>7139336.931</v>
      </c>
      <c r="J35" s="138">
        <f t="shared" si="9"/>
        <v>7197145.89</v>
      </c>
      <c r="K35" s="138">
        <f t="shared" si="9"/>
        <v>7236050.369</v>
      </c>
      <c r="L35" s="138">
        <f t="shared" si="9"/>
        <v>7322763.808</v>
      </c>
      <c r="M35" s="139"/>
      <c r="N35" s="30"/>
      <c r="O35" s="119"/>
      <c r="P35" s="30" t="s">
        <v>150</v>
      </c>
      <c r="Q35" s="119"/>
      <c r="R35" s="30"/>
      <c r="S35" s="30"/>
      <c r="T35" s="30"/>
      <c r="U35" s="30"/>
      <c r="V35" s="30"/>
      <c r="W35" s="30"/>
      <c r="X35" s="30"/>
      <c r="Y35" s="30"/>
      <c r="Z35" s="30"/>
    </row>
    <row r="36" ht="13.5" customHeight="1" outlineLevel="1">
      <c r="A36" s="111">
        <f t="shared" si="1"/>
        <v>36</v>
      </c>
      <c r="B36" s="67" t="s">
        <v>185</v>
      </c>
      <c r="C36" s="30"/>
      <c r="D36" s="30"/>
      <c r="E36" s="30"/>
      <c r="F36" s="140">
        <f>' Enrol &amp; Rev'!F145</f>
        <v>6431812.88</v>
      </c>
      <c r="G36" s="140">
        <f>' Enrol &amp; Rev'!G145</f>
        <v>6792118.003</v>
      </c>
      <c r="H36" s="140">
        <f>' Enrol &amp; Rev'!H145</f>
        <v>6917370.748</v>
      </c>
      <c r="I36" s="140">
        <f>' Enrol &amp; Rev'!I145</f>
        <v>7139336.931</v>
      </c>
      <c r="J36" s="140">
        <f>' Enrol &amp; Rev'!J145</f>
        <v>7197145.89</v>
      </c>
      <c r="K36" s="140">
        <f>' Enrol &amp; Rev'!K145</f>
        <v>7236050.369</v>
      </c>
      <c r="L36" s="140">
        <f>' Enrol &amp; Rev'!L145</f>
        <v>7322763.808</v>
      </c>
      <c r="M36" s="141"/>
      <c r="N36" s="30"/>
      <c r="O36" s="119"/>
      <c r="P36" s="30" t="s">
        <v>150</v>
      </c>
      <c r="Q36" s="119"/>
      <c r="R36" s="30"/>
      <c r="S36" s="30"/>
      <c r="T36" s="30"/>
      <c r="U36" s="30"/>
      <c r="V36" s="30"/>
      <c r="W36" s="30"/>
      <c r="X36" s="30"/>
      <c r="Y36" s="30"/>
      <c r="Z36" s="30"/>
    </row>
    <row r="37" ht="13.5" customHeight="1" outlineLevel="1">
      <c r="A37" s="111">
        <f t="shared" si="1"/>
        <v>37</v>
      </c>
      <c r="B37" s="67" t="s">
        <v>186</v>
      </c>
      <c r="C37" s="141"/>
      <c r="D37" s="141"/>
      <c r="E37" s="141"/>
      <c r="F37" s="142">
        <f t="shared" ref="F37:L37" si="10">+F35-F36</f>
        <v>0</v>
      </c>
      <c r="G37" s="142">
        <f t="shared" si="10"/>
        <v>0</v>
      </c>
      <c r="H37" s="142">
        <f t="shared" si="10"/>
        <v>0</v>
      </c>
      <c r="I37" s="142">
        <f t="shared" si="10"/>
        <v>0</v>
      </c>
      <c r="J37" s="142">
        <f t="shared" si="10"/>
        <v>0</v>
      </c>
      <c r="K37" s="142">
        <f t="shared" si="10"/>
        <v>0</v>
      </c>
      <c r="L37" s="142">
        <f t="shared" si="10"/>
        <v>0</v>
      </c>
      <c r="M37" s="141"/>
      <c r="N37" s="30"/>
      <c r="O37" s="119"/>
      <c r="P37" s="30"/>
      <c r="Q37" s="119"/>
      <c r="R37" s="30"/>
      <c r="S37" s="30"/>
      <c r="T37" s="30"/>
      <c r="U37" s="30"/>
      <c r="V37" s="30"/>
      <c r="W37" s="30"/>
      <c r="X37" s="30"/>
      <c r="Y37" s="30"/>
      <c r="Z37" s="30"/>
    </row>
    <row r="38" ht="13.5" customHeight="1">
      <c r="A38" s="111">
        <f t="shared" si="1"/>
        <v>38</v>
      </c>
      <c r="B38" s="67" t="s">
        <v>187</v>
      </c>
      <c r="C38" s="141"/>
      <c r="D38" s="141"/>
      <c r="E38" s="141"/>
      <c r="F38" s="143"/>
      <c r="G38" s="144">
        <f t="shared" ref="G38:L38" si="11">+G35/G9</f>
        <v>10747.02216</v>
      </c>
      <c r="H38" s="144">
        <f t="shared" si="11"/>
        <v>10724.60581</v>
      </c>
      <c r="I38" s="144">
        <f t="shared" si="11"/>
        <v>10703.65357</v>
      </c>
      <c r="J38" s="144">
        <f t="shared" si="11"/>
        <v>10694.12465</v>
      </c>
      <c r="K38" s="144">
        <f t="shared" si="11"/>
        <v>10704.21652</v>
      </c>
      <c r="L38" s="144">
        <f t="shared" si="11"/>
        <v>10690.16614</v>
      </c>
      <c r="M38" s="141"/>
      <c r="N38" s="30"/>
      <c r="O38" s="119"/>
      <c r="P38" s="30"/>
      <c r="Q38" s="119"/>
      <c r="R38" s="30"/>
      <c r="S38" s="30"/>
      <c r="T38" s="30"/>
      <c r="U38" s="30"/>
      <c r="V38" s="30"/>
      <c r="W38" s="30"/>
      <c r="X38" s="30"/>
      <c r="Y38" s="30"/>
      <c r="Z38" s="30"/>
    </row>
    <row r="39" ht="13.5" hidden="1" customHeight="1" outlineLevel="1">
      <c r="A39" s="111">
        <f t="shared" si="1"/>
        <v>39</v>
      </c>
      <c r="B39" s="67" t="s">
        <v>188</v>
      </c>
      <c r="C39" s="145"/>
      <c r="D39" s="145"/>
      <c r="E39" s="146"/>
      <c r="F39" s="147"/>
      <c r="G39" s="147">
        <f>+' Enrol &amp; Rev'!G146</f>
        <v>10747.02216</v>
      </c>
      <c r="H39" s="147">
        <f>+' Enrol &amp; Rev'!H146</f>
        <v>10724.60581</v>
      </c>
      <c r="I39" s="147">
        <f>+' Enrol &amp; Rev'!I146</f>
        <v>10703.65357</v>
      </c>
      <c r="J39" s="147">
        <f>+' Enrol &amp; Rev'!J146</f>
        <v>10694.12465</v>
      </c>
      <c r="K39" s="147">
        <f>+' Enrol &amp; Rev'!K146</f>
        <v>10704.21652</v>
      </c>
      <c r="L39" s="147">
        <f>+' Enrol &amp; Rev'!L146</f>
        <v>10690.16614</v>
      </c>
      <c r="M39" s="141"/>
      <c r="N39" s="30"/>
      <c r="O39" s="119"/>
      <c r="P39" s="30"/>
      <c r="Q39" s="119"/>
      <c r="R39" s="30"/>
      <c r="S39" s="30"/>
      <c r="T39" s="30"/>
      <c r="U39" s="30"/>
      <c r="V39" s="30"/>
      <c r="W39" s="30"/>
      <c r="X39" s="30"/>
      <c r="Y39" s="30"/>
      <c r="Z39" s="30"/>
    </row>
    <row r="40" ht="13.5" hidden="1" customHeight="1" outlineLevel="1">
      <c r="A40" s="111">
        <f t="shared" si="1"/>
        <v>40</v>
      </c>
      <c r="B40" s="67" t="s">
        <v>189</v>
      </c>
      <c r="C40" s="141"/>
      <c r="D40" s="141"/>
      <c r="E40" s="141"/>
      <c r="F40" s="143"/>
      <c r="G40" s="144">
        <f t="shared" ref="G40:L40" si="12">+G39-G38</f>
        <v>0</v>
      </c>
      <c r="H40" s="144">
        <f t="shared" si="12"/>
        <v>0</v>
      </c>
      <c r="I40" s="144">
        <f t="shared" si="12"/>
        <v>0</v>
      </c>
      <c r="J40" s="144">
        <f t="shared" si="12"/>
        <v>0</v>
      </c>
      <c r="K40" s="144">
        <f t="shared" si="12"/>
        <v>0</v>
      </c>
      <c r="L40" s="144">
        <f t="shared" si="12"/>
        <v>0</v>
      </c>
      <c r="M40" s="141"/>
      <c r="N40" s="30"/>
      <c r="O40" s="119"/>
      <c r="P40" s="30"/>
      <c r="Q40" s="119"/>
      <c r="R40" s="30"/>
      <c r="S40" s="30"/>
      <c r="T40" s="30"/>
      <c r="U40" s="30"/>
      <c r="V40" s="30"/>
      <c r="W40" s="30"/>
      <c r="X40" s="30"/>
      <c r="Y40" s="30"/>
      <c r="Z40" s="30"/>
    </row>
    <row r="41" ht="13.5" customHeight="1" outlineLevel="1">
      <c r="A41" s="111">
        <f t="shared" si="1"/>
        <v>41</v>
      </c>
      <c r="B41" s="67" t="s">
        <v>190</v>
      </c>
      <c r="C41" s="148">
        <f t="shared" ref="C41:L41" si="13">SUM(C17:C23)/C35</f>
        <v>0.01394095627</v>
      </c>
      <c r="D41" s="148">
        <f t="shared" si="13"/>
        <v>0.01402615027</v>
      </c>
      <c r="E41" s="148">
        <f t="shared" si="13"/>
        <v>0.01402615027</v>
      </c>
      <c r="F41" s="148">
        <f t="shared" si="13"/>
        <v>0.01337662516</v>
      </c>
      <c r="G41" s="148">
        <f t="shared" si="13"/>
        <v>0.01397796504</v>
      </c>
      <c r="H41" s="148">
        <f t="shared" si="13"/>
        <v>0.01400718149</v>
      </c>
      <c r="I41" s="148">
        <f t="shared" si="13"/>
        <v>0.01403460034</v>
      </c>
      <c r="J41" s="148">
        <f t="shared" si="13"/>
        <v>0.01404710576</v>
      </c>
      <c r="K41" s="148">
        <f t="shared" si="13"/>
        <v>0.01403386223</v>
      </c>
      <c r="L41" s="148">
        <f t="shared" si="13"/>
        <v>0.01405230733</v>
      </c>
      <c r="M41" s="141"/>
      <c r="N41" s="30"/>
      <c r="O41" s="119"/>
      <c r="P41" s="30"/>
      <c r="Q41" s="119"/>
      <c r="R41" s="30"/>
      <c r="S41" s="30"/>
      <c r="T41" s="30"/>
      <c r="U41" s="30"/>
      <c r="V41" s="30"/>
      <c r="W41" s="30"/>
      <c r="X41" s="30"/>
      <c r="Y41" s="30"/>
      <c r="Z41" s="30"/>
    </row>
    <row r="42" ht="13.5" customHeight="1">
      <c r="A42" s="111">
        <f t="shared" si="1"/>
        <v>42</v>
      </c>
      <c r="B42" s="141"/>
      <c r="C42" s="141"/>
      <c r="D42" s="141"/>
      <c r="E42" s="141"/>
      <c r="F42" s="143"/>
      <c r="G42" s="144"/>
      <c r="H42" s="144"/>
      <c r="I42" s="144"/>
      <c r="J42" s="144"/>
      <c r="K42" s="144"/>
      <c r="L42" s="144"/>
      <c r="M42" s="141"/>
      <c r="N42" s="30"/>
      <c r="O42" s="119"/>
      <c r="P42" s="30"/>
      <c r="Q42" s="119"/>
      <c r="R42" s="30"/>
      <c r="S42" s="30"/>
      <c r="T42" s="30"/>
      <c r="U42" s="30"/>
      <c r="V42" s="30"/>
      <c r="W42" s="30"/>
      <c r="X42" s="30"/>
      <c r="Y42" s="30"/>
      <c r="Z42" s="30"/>
    </row>
    <row r="43" ht="13.5" customHeight="1">
      <c r="A43" s="111">
        <f t="shared" si="1"/>
        <v>43</v>
      </c>
      <c r="B43" s="149" t="s">
        <v>191</v>
      </c>
      <c r="C43" s="150" t="s">
        <v>160</v>
      </c>
      <c r="D43" s="150" t="s">
        <v>161</v>
      </c>
      <c r="E43" s="151" t="s">
        <v>162</v>
      </c>
      <c r="F43" s="152">
        <f t="shared" ref="F43:L43" si="14">F6</f>
        <v>0</v>
      </c>
      <c r="G43" s="152">
        <f t="shared" si="14"/>
        <v>1</v>
      </c>
      <c r="H43" s="152">
        <f t="shared" si="14"/>
        <v>2</v>
      </c>
      <c r="I43" s="152">
        <f t="shared" si="14"/>
        <v>3</v>
      </c>
      <c r="J43" s="152">
        <f t="shared" si="14"/>
        <v>4</v>
      </c>
      <c r="K43" s="152">
        <f t="shared" si="14"/>
        <v>5</v>
      </c>
      <c r="L43" s="152">
        <f t="shared" si="14"/>
        <v>6</v>
      </c>
      <c r="M43" s="141"/>
      <c r="N43" s="30"/>
      <c r="O43" s="119"/>
      <c r="P43" s="30" t="s">
        <v>150</v>
      </c>
      <c r="Q43" s="119"/>
      <c r="R43" s="30"/>
      <c r="S43" s="30"/>
      <c r="T43" s="30"/>
      <c r="U43" s="30"/>
      <c r="V43" s="30"/>
      <c r="W43" s="30"/>
      <c r="X43" s="30"/>
      <c r="Y43" s="30"/>
      <c r="Z43" s="30"/>
    </row>
    <row r="44" ht="13.5" customHeight="1">
      <c r="A44" s="111">
        <f t="shared" si="1"/>
        <v>44</v>
      </c>
      <c r="B44" s="30" t="s">
        <v>192</v>
      </c>
      <c r="C44" s="127">
        <f t="shared" ref="C44:C51" si="15">SUM(F44:L44)</f>
        <v>32224618.18</v>
      </c>
      <c r="D44" s="127">
        <f t="shared" ref="D44:D52" si="16">AVERAGE(G44:L44)</f>
        <v>4641147.303</v>
      </c>
      <c r="E44" s="128">
        <f t="shared" ref="E44:E52" si="17">IFERROR(+D44/$D$35,0)</f>
        <v>0.6536092914</v>
      </c>
      <c r="F44" s="129">
        <f>+Staff!G461</f>
        <v>4377734.355</v>
      </c>
      <c r="G44" s="129">
        <f>+Staff!H461</f>
        <v>4492476.771</v>
      </c>
      <c r="H44" s="129">
        <f>+Staff!I461</f>
        <v>4577289.306</v>
      </c>
      <c r="I44" s="129">
        <f>+Staff!J461</f>
        <v>4563205.603</v>
      </c>
      <c r="J44" s="129">
        <f>+Staff!K461</f>
        <v>4649432.715</v>
      </c>
      <c r="K44" s="129">
        <f>+Staff!L461</f>
        <v>4737384.369</v>
      </c>
      <c r="L44" s="129">
        <f>+Staff!M461</f>
        <v>4827095.057</v>
      </c>
      <c r="M44" s="153"/>
      <c r="N44" s="30"/>
      <c r="O44" s="119"/>
      <c r="P44" s="30" t="s">
        <v>150</v>
      </c>
      <c r="Q44" s="119"/>
      <c r="R44" s="30"/>
      <c r="S44" s="30"/>
      <c r="T44" s="30"/>
      <c r="U44" s="30"/>
      <c r="V44" s="30"/>
      <c r="W44" s="30"/>
      <c r="X44" s="30"/>
      <c r="Y44" s="30"/>
      <c r="Z44" s="30"/>
    </row>
    <row r="45" ht="13.5" customHeight="1">
      <c r="A45" s="111">
        <f t="shared" si="1"/>
        <v>45</v>
      </c>
      <c r="B45" s="30" t="s">
        <v>193</v>
      </c>
      <c r="C45" s="131">
        <f t="shared" si="15"/>
        <v>5689883.9</v>
      </c>
      <c r="D45" s="131">
        <f t="shared" si="16"/>
        <v>812840.65</v>
      </c>
      <c r="E45" s="128">
        <f t="shared" si="17"/>
        <v>0.1144717387</v>
      </c>
      <c r="F45" s="133">
        <f>Facilities!F76</f>
        <v>812840</v>
      </c>
      <c r="G45" s="133">
        <f>Facilities!G76</f>
        <v>812840.65</v>
      </c>
      <c r="H45" s="133">
        <f>Facilities!H76</f>
        <v>812840.65</v>
      </c>
      <c r="I45" s="133">
        <f>Facilities!I76</f>
        <v>812840.65</v>
      </c>
      <c r="J45" s="133">
        <f>Facilities!J76</f>
        <v>812840.65</v>
      </c>
      <c r="K45" s="133">
        <f>Facilities!K76</f>
        <v>812840.65</v>
      </c>
      <c r="L45" s="133">
        <f>Facilities!L76</f>
        <v>812840.65</v>
      </c>
      <c r="M45" s="153"/>
      <c r="N45" s="30"/>
      <c r="O45" s="119"/>
      <c r="P45" s="30" t="s">
        <v>150</v>
      </c>
      <c r="Q45" s="119"/>
      <c r="R45" s="30"/>
      <c r="S45" s="30"/>
      <c r="T45" s="30"/>
      <c r="U45" s="30"/>
      <c r="V45" s="30"/>
      <c r="W45" s="30"/>
      <c r="X45" s="30"/>
      <c r="Y45" s="30"/>
      <c r="Z45" s="30"/>
    </row>
    <row r="46" ht="13.5" customHeight="1">
      <c r="A46" s="111">
        <f t="shared" si="1"/>
        <v>46</v>
      </c>
      <c r="B46" s="30" t="s">
        <v>194</v>
      </c>
      <c r="C46" s="131">
        <f t="shared" si="15"/>
        <v>7345658.296</v>
      </c>
      <c r="D46" s="131">
        <f t="shared" si="16"/>
        <v>1064644.705</v>
      </c>
      <c r="E46" s="128">
        <f t="shared" si="17"/>
        <v>0.1499331148</v>
      </c>
      <c r="F46" s="133">
        <f>+'Gen Optg'!F199</f>
        <v>957790.0638</v>
      </c>
      <c r="G46" s="133">
        <f>+'Gen Optg'!G199</f>
        <v>987017.4218</v>
      </c>
      <c r="H46" s="133">
        <f>+'Gen Optg'!H199</f>
        <v>1016875.16</v>
      </c>
      <c r="I46" s="133">
        <f>+'Gen Optg'!I199</f>
        <v>1047727.77</v>
      </c>
      <c r="J46" s="133">
        <f>+'Gen Optg'!J199</f>
        <v>1079275.111</v>
      </c>
      <c r="K46" s="133">
        <f>+'Gen Optg'!K199</f>
        <v>1111715.169</v>
      </c>
      <c r="L46" s="133">
        <f>+'Gen Optg'!L199</f>
        <v>1145257.601</v>
      </c>
      <c r="M46" s="153"/>
      <c r="N46" s="30"/>
      <c r="O46" s="119"/>
      <c r="P46" s="30" t="s">
        <v>150</v>
      </c>
      <c r="Q46" s="119"/>
      <c r="R46" s="30"/>
      <c r="S46" s="30"/>
      <c r="T46" s="30"/>
      <c r="U46" s="30"/>
      <c r="V46" s="30"/>
      <c r="W46" s="30"/>
      <c r="X46" s="30"/>
      <c r="Y46" s="30"/>
      <c r="Z46" s="30"/>
    </row>
    <row r="47" ht="13.5" customHeight="1">
      <c r="A47" s="111">
        <f t="shared" si="1"/>
        <v>47</v>
      </c>
      <c r="B47" s="30" t="s">
        <v>195</v>
      </c>
      <c r="C47" s="131">
        <f t="shared" si="15"/>
        <v>0</v>
      </c>
      <c r="D47" s="131">
        <f t="shared" si="16"/>
        <v>0</v>
      </c>
      <c r="E47" s="128">
        <f t="shared" si="17"/>
        <v>0</v>
      </c>
      <c r="F47" s="133">
        <f>'EMO-CMO-BOSP'!E39</f>
        <v>0</v>
      </c>
      <c r="G47" s="133">
        <f>'EMO-CMO-BOSP'!F39</f>
        <v>0</v>
      </c>
      <c r="H47" s="133">
        <f>'EMO-CMO-BOSP'!G39</f>
        <v>0</v>
      </c>
      <c r="I47" s="133">
        <f>'EMO-CMO-BOSP'!H39</f>
        <v>0</v>
      </c>
      <c r="J47" s="133">
        <f>'EMO-CMO-BOSP'!I39</f>
        <v>0</v>
      </c>
      <c r="K47" s="133">
        <f>'EMO-CMO-BOSP'!J39</f>
        <v>0</v>
      </c>
      <c r="L47" s="133">
        <f>'EMO-CMO-BOSP'!K39</f>
        <v>0</v>
      </c>
      <c r="M47" s="131"/>
      <c r="N47" s="30"/>
      <c r="O47" s="119"/>
      <c r="P47" s="30" t="s">
        <v>150</v>
      </c>
      <c r="Q47" s="119"/>
      <c r="R47" s="30"/>
      <c r="S47" s="30"/>
      <c r="T47" s="30"/>
      <c r="U47" s="30"/>
      <c r="V47" s="30"/>
      <c r="W47" s="30"/>
      <c r="X47" s="30"/>
      <c r="Y47" s="30"/>
      <c r="Z47" s="30"/>
    </row>
    <row r="48" ht="13.5" customHeight="1">
      <c r="A48" s="111">
        <f t="shared" si="1"/>
        <v>48</v>
      </c>
      <c r="B48" s="30" t="s">
        <v>196</v>
      </c>
      <c r="C48" s="131">
        <f t="shared" si="15"/>
        <v>70000</v>
      </c>
      <c r="D48" s="131">
        <f t="shared" si="16"/>
        <v>9666.666667</v>
      </c>
      <c r="E48" s="128">
        <f t="shared" si="17"/>
        <v>0.001361349411</v>
      </c>
      <c r="F48" s="133">
        <f>Marketing!H44</f>
        <v>12000</v>
      </c>
      <c r="G48" s="133">
        <f>Marketing!I44</f>
        <v>8000</v>
      </c>
      <c r="H48" s="133">
        <f>Marketing!J44</f>
        <v>10000</v>
      </c>
      <c r="I48" s="133">
        <f>Marketing!K44</f>
        <v>10000</v>
      </c>
      <c r="J48" s="133">
        <f>Marketing!L44</f>
        <v>10000</v>
      </c>
      <c r="K48" s="133">
        <f>Marketing!M44</f>
        <v>10000</v>
      </c>
      <c r="L48" s="133">
        <f>Marketing!N44</f>
        <v>10000</v>
      </c>
      <c r="M48" s="131"/>
      <c r="N48" s="30"/>
      <c r="O48" s="119"/>
      <c r="P48" s="30" t="s">
        <v>150</v>
      </c>
      <c r="Q48" s="119"/>
      <c r="R48" s="30"/>
      <c r="S48" s="30"/>
      <c r="T48" s="30"/>
      <c r="U48" s="30"/>
      <c r="V48" s="30"/>
      <c r="W48" s="30"/>
      <c r="X48" s="30"/>
      <c r="Y48" s="30"/>
      <c r="Z48" s="30"/>
    </row>
    <row r="49" ht="13.5" customHeight="1">
      <c r="A49" s="111">
        <f t="shared" si="1"/>
        <v>49</v>
      </c>
      <c r="B49" s="30" t="s">
        <v>197</v>
      </c>
      <c r="C49" s="131">
        <f t="shared" si="15"/>
        <v>1397980.3</v>
      </c>
      <c r="D49" s="131">
        <f t="shared" si="16"/>
        <v>201960.9667</v>
      </c>
      <c r="E49" s="128">
        <f t="shared" si="17"/>
        <v>0.02844201136</v>
      </c>
      <c r="F49" s="133">
        <f>'FFE&amp;T'!F43</f>
        <v>186214.5</v>
      </c>
      <c r="G49" s="133">
        <f>'FFE&amp;T'!G43</f>
        <v>192519.2</v>
      </c>
      <c r="H49" s="133">
        <f>'FFE&amp;T'!H43</f>
        <v>195796.5</v>
      </c>
      <c r="I49" s="133">
        <f>'FFE&amp;T'!I43</f>
        <v>211282.7</v>
      </c>
      <c r="J49" s="133">
        <f>'FFE&amp;T'!J43</f>
        <v>202795.3</v>
      </c>
      <c r="K49" s="133">
        <f>'FFE&amp;T'!K43</f>
        <v>203551.6</v>
      </c>
      <c r="L49" s="133">
        <f>'FFE&amp;T'!L43</f>
        <v>205820.5</v>
      </c>
      <c r="M49" s="131"/>
      <c r="N49" s="30"/>
      <c r="O49" s="119"/>
      <c r="P49" s="30" t="s">
        <v>150</v>
      </c>
      <c r="Q49" s="119"/>
      <c r="R49" s="30"/>
      <c r="S49" s="30"/>
      <c r="T49" s="30"/>
      <c r="U49" s="30"/>
      <c r="V49" s="30"/>
      <c r="W49" s="30"/>
      <c r="X49" s="30"/>
      <c r="Y49" s="30"/>
      <c r="Z49" s="30"/>
    </row>
    <row r="50" ht="13.5" customHeight="1">
      <c r="A50" s="111">
        <f t="shared" si="1"/>
        <v>50</v>
      </c>
      <c r="B50" s="30" t="s">
        <v>178</v>
      </c>
      <c r="C50" s="131">
        <f t="shared" si="15"/>
        <v>0</v>
      </c>
      <c r="D50" s="131">
        <f t="shared" si="16"/>
        <v>0</v>
      </c>
      <c r="E50" s="128">
        <f t="shared" si="17"/>
        <v>0</v>
      </c>
      <c r="F50" s="133">
        <f>+'Gen Optg'!F180</f>
        <v>0</v>
      </c>
      <c r="G50" s="133">
        <f>+'Gen Optg'!G180</f>
        <v>0</v>
      </c>
      <c r="H50" s="133">
        <f>+'Gen Optg'!H180</f>
        <v>0</v>
      </c>
      <c r="I50" s="133">
        <f>+'Gen Optg'!I180</f>
        <v>0</v>
      </c>
      <c r="J50" s="133">
        <f>+'Gen Optg'!J180</f>
        <v>0</v>
      </c>
      <c r="K50" s="133">
        <f>+'Gen Optg'!K180</f>
        <v>0</v>
      </c>
      <c r="L50" s="133">
        <f>+'Gen Optg'!L180</f>
        <v>0</v>
      </c>
      <c r="M50" s="131"/>
      <c r="N50" s="30"/>
      <c r="O50" s="119"/>
      <c r="P50" s="30" t="s">
        <v>150</v>
      </c>
      <c r="Q50" s="119"/>
      <c r="R50" s="30"/>
      <c r="S50" s="30"/>
      <c r="T50" s="30"/>
      <c r="U50" s="30"/>
      <c r="V50" s="30"/>
      <c r="W50" s="30"/>
      <c r="X50" s="30"/>
      <c r="Y50" s="30"/>
      <c r="Z50" s="30"/>
    </row>
    <row r="51" ht="13.5" customHeight="1">
      <c r="A51" s="111">
        <f t="shared" si="1"/>
        <v>51</v>
      </c>
      <c r="B51" s="30" t="s">
        <v>198</v>
      </c>
      <c r="C51" s="131">
        <f t="shared" si="15"/>
        <v>439023.7992</v>
      </c>
      <c r="D51" s="131">
        <f t="shared" si="16"/>
        <v>63328.30819</v>
      </c>
      <c r="E51" s="128">
        <f t="shared" si="17"/>
        <v>0.008918478112</v>
      </c>
      <c r="F51" s="133">
        <f>Ins!F51</f>
        <v>59053.95</v>
      </c>
      <c r="G51" s="133">
        <f>Ins!G51</f>
        <v>60235.029</v>
      </c>
      <c r="H51" s="133">
        <f>Ins!H51</f>
        <v>61439.72958</v>
      </c>
      <c r="I51" s="133">
        <f>Ins!I51</f>
        <v>62668.52417</v>
      </c>
      <c r="J51" s="133">
        <f>Ins!J51</f>
        <v>63921.89466</v>
      </c>
      <c r="K51" s="133">
        <f>Ins!K51</f>
        <v>65200.33255</v>
      </c>
      <c r="L51" s="133">
        <f>Ins!L51</f>
        <v>66504.3392</v>
      </c>
      <c r="M51" s="131"/>
      <c r="N51" s="30"/>
      <c r="O51" s="119"/>
      <c r="P51" s="30" t="s">
        <v>150</v>
      </c>
      <c r="Q51" s="119"/>
      <c r="R51" s="30"/>
      <c r="S51" s="30"/>
      <c r="T51" s="30"/>
      <c r="U51" s="30"/>
      <c r="V51" s="30"/>
      <c r="W51" s="30"/>
      <c r="X51" s="30"/>
      <c r="Y51" s="30"/>
      <c r="Z51" s="30"/>
    </row>
    <row r="52" ht="13.5" customHeight="1">
      <c r="A52" s="111">
        <f t="shared" si="1"/>
        <v>52</v>
      </c>
      <c r="B52" s="135" t="s">
        <v>199</v>
      </c>
      <c r="C52" s="136">
        <f>SUM(C44:C51)</f>
        <v>47167164.47</v>
      </c>
      <c r="D52" s="136">
        <f t="shared" si="16"/>
        <v>6793588.6</v>
      </c>
      <c r="E52" s="137">
        <f t="shared" si="17"/>
        <v>0.9567359837</v>
      </c>
      <c r="F52" s="138">
        <f t="shared" ref="F52:L52" si="18">SUM(F44:F51)</f>
        <v>6405632.869</v>
      </c>
      <c r="G52" s="138">
        <f t="shared" si="18"/>
        <v>6553089.072</v>
      </c>
      <c r="H52" s="138">
        <f t="shared" si="18"/>
        <v>6674241.346</v>
      </c>
      <c r="I52" s="138">
        <f t="shared" si="18"/>
        <v>6707725.247</v>
      </c>
      <c r="J52" s="138">
        <f t="shared" si="18"/>
        <v>6818265.67</v>
      </c>
      <c r="K52" s="138">
        <f t="shared" si="18"/>
        <v>6940692.121</v>
      </c>
      <c r="L52" s="138">
        <f t="shared" si="18"/>
        <v>7067518.146</v>
      </c>
      <c r="M52" s="131"/>
      <c r="N52" s="30"/>
      <c r="O52" s="119"/>
      <c r="P52" s="30" t="s">
        <v>150</v>
      </c>
      <c r="Q52" s="119"/>
      <c r="R52" s="30"/>
      <c r="S52" s="30"/>
      <c r="T52" s="30"/>
      <c r="U52" s="30"/>
      <c r="V52" s="30"/>
      <c r="W52" s="30"/>
      <c r="X52" s="30"/>
      <c r="Y52" s="30"/>
      <c r="Z52" s="30"/>
    </row>
    <row r="53" ht="13.5" customHeight="1">
      <c r="A53" s="111">
        <f t="shared" si="1"/>
        <v>53</v>
      </c>
      <c r="B53" s="67" t="s">
        <v>200</v>
      </c>
      <c r="C53" s="154"/>
      <c r="D53" s="154"/>
      <c r="E53" s="155"/>
      <c r="F53" s="147">
        <f t="shared" ref="F53:L53" si="19">IFERROR(F52/F9,0)</f>
        <v>10552.93718</v>
      </c>
      <c r="G53" s="147">
        <f t="shared" si="19"/>
        <v>10368.81182</v>
      </c>
      <c r="H53" s="147">
        <f t="shared" si="19"/>
        <v>10347.661</v>
      </c>
      <c r="I53" s="147">
        <f t="shared" si="19"/>
        <v>10056.55959</v>
      </c>
      <c r="J53" s="147">
        <f t="shared" si="19"/>
        <v>10131.15256</v>
      </c>
      <c r="K53" s="147">
        <f t="shared" si="19"/>
        <v>10267.29604</v>
      </c>
      <c r="L53" s="147">
        <f t="shared" si="19"/>
        <v>10317.54474</v>
      </c>
      <c r="M53" s="131"/>
      <c r="N53" s="30"/>
      <c r="O53" s="119"/>
      <c r="P53" s="30" t="s">
        <v>150</v>
      </c>
      <c r="Q53" s="119"/>
      <c r="R53" s="30"/>
      <c r="S53" s="30"/>
      <c r="T53" s="30"/>
      <c r="U53" s="30"/>
      <c r="V53" s="30"/>
      <c r="W53" s="30"/>
      <c r="X53" s="30"/>
      <c r="Y53" s="30"/>
      <c r="Z53" s="30"/>
    </row>
    <row r="54" ht="13.5" customHeight="1">
      <c r="A54" s="111">
        <f t="shared" si="1"/>
        <v>54</v>
      </c>
      <c r="B54" s="63"/>
      <c r="C54" s="154"/>
      <c r="D54" s="154"/>
      <c r="E54" s="155"/>
      <c r="F54" s="156"/>
      <c r="G54" s="156"/>
      <c r="H54" s="156"/>
      <c r="I54" s="156"/>
      <c r="J54" s="156"/>
      <c r="K54" s="156"/>
      <c r="L54" s="156"/>
      <c r="M54" s="131"/>
      <c r="N54" s="30"/>
      <c r="O54" s="119"/>
      <c r="P54" s="30"/>
      <c r="Q54" s="119"/>
      <c r="R54" s="30"/>
      <c r="S54" s="30"/>
      <c r="T54" s="30"/>
      <c r="U54" s="30"/>
      <c r="V54" s="30"/>
      <c r="W54" s="30"/>
      <c r="X54" s="30"/>
      <c r="Y54" s="30"/>
      <c r="Z54" s="30"/>
    </row>
    <row r="55" ht="13.5" customHeight="1">
      <c r="A55" s="111">
        <f t="shared" si="1"/>
        <v>55</v>
      </c>
      <c r="B55" s="157" t="s">
        <v>201</v>
      </c>
      <c r="C55" s="158">
        <f>C35-C52</f>
        <v>1869434.156</v>
      </c>
      <c r="D55" s="158">
        <f>AVERAGE(G55:L55)</f>
        <v>307209.0242</v>
      </c>
      <c r="E55" s="159">
        <f>IFERROR(+D55/$D$35,0)</f>
        <v>0.0432640163</v>
      </c>
      <c r="F55" s="160">
        <f t="shared" ref="F55:L55" si="20">F35-F52</f>
        <v>26180.0113</v>
      </c>
      <c r="G55" s="160">
        <f t="shared" si="20"/>
        <v>239028.9313</v>
      </c>
      <c r="H55" s="160">
        <f t="shared" si="20"/>
        <v>243129.4016</v>
      </c>
      <c r="I55" s="160">
        <f t="shared" si="20"/>
        <v>431611.6831</v>
      </c>
      <c r="J55" s="160">
        <f t="shared" si="20"/>
        <v>378880.2193</v>
      </c>
      <c r="K55" s="160">
        <f t="shared" si="20"/>
        <v>295358.2485</v>
      </c>
      <c r="L55" s="160">
        <f t="shared" si="20"/>
        <v>255245.6612</v>
      </c>
      <c r="M55" s="131"/>
      <c r="N55" s="161"/>
      <c r="O55" s="119" t="s">
        <v>202</v>
      </c>
      <c r="P55" s="162" t="s">
        <v>150</v>
      </c>
      <c r="Q55" s="119"/>
      <c r="R55" s="162"/>
      <c r="S55" s="30"/>
      <c r="T55" s="163"/>
      <c r="U55" s="30"/>
      <c r="V55" s="30"/>
      <c r="W55" s="30"/>
      <c r="X55" s="30"/>
      <c r="Y55" s="30"/>
      <c r="Z55" s="30"/>
    </row>
    <row r="56" ht="13.5" customHeight="1">
      <c r="A56" s="111">
        <f t="shared" si="1"/>
        <v>56</v>
      </c>
      <c r="B56" s="164" t="s">
        <v>203</v>
      </c>
      <c r="C56" s="165"/>
      <c r="D56" s="165"/>
      <c r="E56" s="165"/>
      <c r="F56" s="166"/>
      <c r="G56" s="144">
        <f>IFERROR(G55/Statistics!G20,0)</f>
        <v>378.2103344</v>
      </c>
      <c r="H56" s="144">
        <f>IFERROR(H55/Statistics!H20,0)</f>
        <v>376.9448086</v>
      </c>
      <c r="I56" s="144">
        <f>IFERROR(I55/Statistics!I20,0)</f>
        <v>647.0939777</v>
      </c>
      <c r="J56" s="144">
        <f>IFERROR(J55/Statistics!J20,0)</f>
        <v>562.972094</v>
      </c>
      <c r="K56" s="144">
        <f>IFERROR(K55/Statistics!K20,0)</f>
        <v>436.9204859</v>
      </c>
      <c r="L56" s="144">
        <f>IFERROR(L55/Statistics!L20,0)</f>
        <v>372.6214032</v>
      </c>
      <c r="M56" s="131"/>
      <c r="N56" s="30"/>
      <c r="O56" s="119"/>
      <c r="P56" s="30" t="s">
        <v>150</v>
      </c>
      <c r="Q56" s="119"/>
      <c r="R56" s="30"/>
      <c r="S56" s="30"/>
      <c r="T56" s="30"/>
      <c r="U56" s="30"/>
      <c r="V56" s="30"/>
      <c r="W56" s="30"/>
      <c r="X56" s="30"/>
      <c r="Y56" s="30"/>
      <c r="Z56" s="30"/>
    </row>
    <row r="57" ht="13.5" customHeight="1">
      <c r="A57" s="111">
        <f t="shared" si="1"/>
        <v>57</v>
      </c>
      <c r="B57" s="167" t="s">
        <v>204</v>
      </c>
      <c r="C57" s="168"/>
      <c r="D57" s="168"/>
      <c r="E57" s="169"/>
      <c r="F57" s="170">
        <f t="shared" ref="F57:L57" si="21">+F55+E57</f>
        <v>26180.0113</v>
      </c>
      <c r="G57" s="170">
        <f t="shared" si="21"/>
        <v>265208.9426</v>
      </c>
      <c r="H57" s="170">
        <f t="shared" si="21"/>
        <v>508338.3442</v>
      </c>
      <c r="I57" s="170">
        <f t="shared" si="21"/>
        <v>939950.0273</v>
      </c>
      <c r="J57" s="170">
        <f t="shared" si="21"/>
        <v>1318830.247</v>
      </c>
      <c r="K57" s="170">
        <f t="shared" si="21"/>
        <v>1614188.495</v>
      </c>
      <c r="L57" s="170">
        <f t="shared" si="21"/>
        <v>1869434.156</v>
      </c>
      <c r="M57" s="171"/>
      <c r="N57" s="30"/>
      <c r="O57" s="30" t="s">
        <v>205</v>
      </c>
      <c r="P57" s="30" t="s">
        <v>150</v>
      </c>
      <c r="Q57" s="172"/>
      <c r="R57" s="30"/>
      <c r="S57" s="140"/>
      <c r="T57" s="30"/>
      <c r="U57" s="30"/>
      <c r="V57" s="30"/>
      <c r="W57" s="30"/>
      <c r="X57" s="30"/>
      <c r="Y57" s="30"/>
      <c r="Z57" s="30"/>
    </row>
    <row r="58" ht="13.5" customHeight="1">
      <c r="A58" s="111">
        <f t="shared" si="1"/>
        <v>58</v>
      </c>
      <c r="B58" s="173" t="s">
        <v>206</v>
      </c>
      <c r="C58" s="174">
        <f>SUM(F58:L58)</f>
        <v>0</v>
      </c>
      <c r="D58" s="175"/>
      <c r="E58" s="176"/>
      <c r="F58" s="177">
        <v>0.0</v>
      </c>
      <c r="G58" s="177">
        <v>0.0</v>
      </c>
      <c r="H58" s="177">
        <v>0.0</v>
      </c>
      <c r="I58" s="177">
        <v>0.0</v>
      </c>
      <c r="J58" s="177">
        <v>0.0</v>
      </c>
      <c r="K58" s="177">
        <v>0.0</v>
      </c>
      <c r="L58" s="177">
        <v>0.0</v>
      </c>
      <c r="M58" s="171"/>
      <c r="N58" s="30"/>
      <c r="O58" s="119"/>
      <c r="P58" s="30"/>
      <c r="Q58" s="119"/>
      <c r="R58" s="30"/>
      <c r="S58" s="140"/>
      <c r="T58" s="30"/>
      <c r="U58" s="30"/>
      <c r="V58" s="30"/>
      <c r="W58" s="30"/>
      <c r="X58" s="30"/>
      <c r="Y58" s="30"/>
      <c r="Z58" s="30"/>
    </row>
    <row r="59" ht="13.5" customHeight="1">
      <c r="A59" s="111">
        <f t="shared" si="1"/>
        <v>59</v>
      </c>
      <c r="B59" s="173"/>
      <c r="C59" s="174"/>
      <c r="D59" s="175"/>
      <c r="E59" s="176"/>
      <c r="F59" s="176"/>
      <c r="G59" s="176"/>
      <c r="H59" s="176"/>
      <c r="I59" s="176"/>
      <c r="J59" s="176"/>
      <c r="K59" s="176"/>
      <c r="L59" s="176"/>
      <c r="M59" s="171"/>
      <c r="N59" s="30"/>
      <c r="O59" s="119"/>
      <c r="P59" s="30"/>
      <c r="Q59" s="119"/>
      <c r="R59" s="30"/>
      <c r="S59" s="140"/>
      <c r="T59" s="30"/>
      <c r="U59" s="30"/>
      <c r="V59" s="30"/>
      <c r="W59" s="30"/>
      <c r="X59" s="30"/>
      <c r="Y59" s="30"/>
      <c r="Z59" s="30"/>
    </row>
    <row r="60" ht="13.5" customHeight="1">
      <c r="A60" s="111">
        <f t="shared" si="1"/>
        <v>60</v>
      </c>
      <c r="B60" s="173" t="s">
        <v>207</v>
      </c>
      <c r="C60" s="174"/>
      <c r="D60" s="175"/>
      <c r="E60" s="176"/>
      <c r="F60" s="178"/>
      <c r="G60" s="178"/>
      <c r="H60" s="178"/>
      <c r="I60" s="178"/>
      <c r="J60" s="178"/>
      <c r="K60" s="178"/>
      <c r="L60" s="178"/>
      <c r="M60" s="171"/>
      <c r="N60" s="30"/>
      <c r="O60" s="119"/>
      <c r="P60" s="30"/>
      <c r="Q60" s="119"/>
      <c r="R60" s="30"/>
      <c r="S60" s="140"/>
      <c r="T60" s="30"/>
      <c r="U60" s="30"/>
      <c r="V60" s="30"/>
      <c r="W60" s="30"/>
      <c r="X60" s="30"/>
      <c r="Y60" s="30"/>
      <c r="Z60" s="30"/>
    </row>
    <row r="61" ht="13.5" customHeight="1">
      <c r="A61" s="111">
        <f t="shared" si="1"/>
        <v>61</v>
      </c>
      <c r="B61" s="173" t="s">
        <v>208</v>
      </c>
      <c r="C61" s="174"/>
      <c r="D61" s="175"/>
      <c r="E61" s="176"/>
      <c r="F61" s="179"/>
      <c r="G61" s="179"/>
      <c r="H61" s="179"/>
      <c r="I61" s="179"/>
      <c r="J61" s="179"/>
      <c r="K61" s="179"/>
      <c r="L61" s="179"/>
      <c r="M61" s="171"/>
      <c r="N61" s="30"/>
      <c r="O61" s="119"/>
      <c r="P61" s="30"/>
      <c r="Q61" s="119"/>
      <c r="R61" s="30"/>
      <c r="S61" s="140"/>
      <c r="T61" s="30"/>
      <c r="U61" s="30"/>
      <c r="V61" s="30"/>
      <c r="W61" s="30"/>
      <c r="X61" s="30"/>
      <c r="Y61" s="30"/>
      <c r="Z61" s="30"/>
    </row>
    <row r="62" ht="13.5" customHeight="1">
      <c r="A62" s="111">
        <f t="shared" si="1"/>
        <v>62</v>
      </c>
      <c r="B62" s="173" t="s">
        <v>209</v>
      </c>
      <c r="C62" s="174"/>
      <c r="D62" s="175"/>
      <c r="E62" s="176"/>
      <c r="F62" s="179"/>
      <c r="G62" s="179"/>
      <c r="H62" s="179"/>
      <c r="I62" s="179"/>
      <c r="J62" s="179"/>
      <c r="K62" s="179"/>
      <c r="L62" s="179"/>
      <c r="M62" s="171"/>
      <c r="N62" s="30"/>
      <c r="O62" s="119"/>
      <c r="P62" s="30"/>
      <c r="Q62" s="119"/>
      <c r="R62" s="30"/>
      <c r="S62" s="140"/>
      <c r="T62" s="30"/>
      <c r="U62" s="30"/>
      <c r="V62" s="30"/>
      <c r="W62" s="30"/>
      <c r="X62" s="30"/>
      <c r="Y62" s="30"/>
      <c r="Z62" s="30"/>
    </row>
    <row r="63" ht="13.5" hidden="1" customHeight="1" outlineLevel="1">
      <c r="A63" s="111">
        <f t="shared" si="1"/>
        <v>63</v>
      </c>
      <c r="B63" s="180" t="s">
        <v>210</v>
      </c>
      <c r="C63" s="181"/>
      <c r="D63" s="182"/>
      <c r="E63" s="176"/>
      <c r="F63" s="183">
        <v>0.0</v>
      </c>
      <c r="G63" s="184">
        <f t="shared" ref="G63:L63" si="22">+F71</f>
        <v>0</v>
      </c>
      <c r="H63" s="184">
        <f t="shared" si="22"/>
        <v>0</v>
      </c>
      <c r="I63" s="184">
        <f t="shared" si="22"/>
        <v>0</v>
      </c>
      <c r="J63" s="184">
        <f t="shared" si="22"/>
        <v>0</v>
      </c>
      <c r="K63" s="184">
        <f t="shared" si="22"/>
        <v>0</v>
      </c>
      <c r="L63" s="184">
        <f t="shared" si="22"/>
        <v>0</v>
      </c>
      <c r="M63" s="171"/>
      <c r="N63" s="30"/>
      <c r="O63" s="119"/>
      <c r="P63" s="30"/>
      <c r="Q63" s="119"/>
      <c r="R63" s="30"/>
      <c r="S63" s="140"/>
      <c r="T63" s="30"/>
      <c r="U63" s="30"/>
      <c r="V63" s="30"/>
      <c r="W63" s="30"/>
      <c r="X63" s="30"/>
      <c r="Y63" s="30"/>
      <c r="Z63" s="30"/>
    </row>
    <row r="64" ht="13.5" hidden="1" customHeight="1" outlineLevel="1">
      <c r="A64" s="111">
        <f t="shared" si="1"/>
        <v>64</v>
      </c>
      <c r="B64" s="180" t="s">
        <v>211</v>
      </c>
      <c r="C64" s="181"/>
      <c r="D64" s="182"/>
      <c r="E64" s="176"/>
      <c r="F64" s="179">
        <f t="shared" ref="F64:L64" si="23">IF(F55&lt;0,-F55,0)</f>
        <v>0</v>
      </c>
      <c r="G64" s="179">
        <f t="shared" si="23"/>
        <v>0</v>
      </c>
      <c r="H64" s="179">
        <f t="shared" si="23"/>
        <v>0</v>
      </c>
      <c r="I64" s="179">
        <f t="shared" si="23"/>
        <v>0</v>
      </c>
      <c r="J64" s="179">
        <f t="shared" si="23"/>
        <v>0</v>
      </c>
      <c r="K64" s="179">
        <f t="shared" si="23"/>
        <v>0</v>
      </c>
      <c r="L64" s="179">
        <f t="shared" si="23"/>
        <v>0</v>
      </c>
      <c r="M64" s="171"/>
      <c r="N64" s="30"/>
      <c r="O64" s="119"/>
      <c r="P64" s="30"/>
      <c r="Q64" s="119"/>
      <c r="R64" s="30"/>
      <c r="S64" s="140"/>
      <c r="T64" s="30"/>
      <c r="U64" s="30"/>
      <c r="V64" s="30"/>
      <c r="W64" s="30"/>
      <c r="X64" s="30"/>
      <c r="Y64" s="30"/>
      <c r="Z64" s="30"/>
    </row>
    <row r="65" ht="13.5" hidden="1" customHeight="1" outlineLevel="1">
      <c r="A65" s="111">
        <f t="shared" si="1"/>
        <v>65</v>
      </c>
      <c r="B65" s="180" t="s">
        <v>212</v>
      </c>
      <c r="C65" s="181"/>
      <c r="D65" s="185">
        <v>0.06</v>
      </c>
      <c r="E65" s="176"/>
      <c r="F65" s="179"/>
      <c r="G65" s="179">
        <f t="shared" ref="G65:L65" si="24">G63*$D$65</f>
        <v>0</v>
      </c>
      <c r="H65" s="179">
        <f t="shared" si="24"/>
        <v>0</v>
      </c>
      <c r="I65" s="179">
        <f t="shared" si="24"/>
        <v>0</v>
      </c>
      <c r="J65" s="179">
        <f t="shared" si="24"/>
        <v>0</v>
      </c>
      <c r="K65" s="179">
        <f t="shared" si="24"/>
        <v>0</v>
      </c>
      <c r="L65" s="179">
        <f t="shared" si="24"/>
        <v>0</v>
      </c>
      <c r="M65" s="171"/>
      <c r="N65" s="30"/>
      <c r="O65" s="119"/>
      <c r="P65" s="30"/>
      <c r="Q65" s="119"/>
      <c r="R65" s="30"/>
      <c r="S65" s="140"/>
      <c r="T65" s="30"/>
      <c r="U65" s="30"/>
      <c r="V65" s="30"/>
      <c r="W65" s="30"/>
      <c r="X65" s="30"/>
      <c r="Y65" s="30"/>
      <c r="Z65" s="30"/>
    </row>
    <row r="66" ht="13.5" hidden="1" customHeight="1" outlineLevel="1">
      <c r="A66" s="111">
        <f t="shared" si="1"/>
        <v>66</v>
      </c>
      <c r="B66" s="180"/>
      <c r="C66" s="181"/>
      <c r="D66" s="181"/>
      <c r="E66" s="176"/>
      <c r="F66" s="184">
        <f t="shared" ref="F66:L66" si="25">SUM(F63:F65)</f>
        <v>0</v>
      </c>
      <c r="G66" s="184">
        <f t="shared" si="25"/>
        <v>0</v>
      </c>
      <c r="H66" s="184">
        <f t="shared" si="25"/>
        <v>0</v>
      </c>
      <c r="I66" s="184">
        <f t="shared" si="25"/>
        <v>0</v>
      </c>
      <c r="J66" s="184">
        <f t="shared" si="25"/>
        <v>0</v>
      </c>
      <c r="K66" s="184">
        <f t="shared" si="25"/>
        <v>0</v>
      </c>
      <c r="L66" s="184">
        <f t="shared" si="25"/>
        <v>0</v>
      </c>
      <c r="M66" s="171"/>
      <c r="N66" s="30"/>
      <c r="O66" s="119"/>
      <c r="P66" s="30"/>
      <c r="Q66" s="119"/>
      <c r="R66" s="30"/>
      <c r="S66" s="140"/>
      <c r="T66" s="30"/>
      <c r="U66" s="30"/>
      <c r="V66" s="30"/>
      <c r="W66" s="30"/>
      <c r="X66" s="30"/>
      <c r="Y66" s="30"/>
      <c r="Z66" s="30"/>
    </row>
    <row r="67" ht="13.5" hidden="1" customHeight="1" outlineLevel="1">
      <c r="A67" s="111">
        <f t="shared" si="1"/>
        <v>67</v>
      </c>
      <c r="B67" s="186" t="s">
        <v>213</v>
      </c>
      <c r="C67" s="187"/>
      <c r="D67" s="187"/>
      <c r="E67" s="176"/>
      <c r="F67" s="179"/>
      <c r="G67" s="179"/>
      <c r="H67" s="179"/>
      <c r="I67" s="179"/>
      <c r="J67" s="179"/>
      <c r="K67" s="179"/>
      <c r="L67" s="179"/>
      <c r="M67" s="171"/>
      <c r="N67" s="30"/>
      <c r="O67" s="119"/>
      <c r="P67" s="30"/>
      <c r="Q67" s="119"/>
      <c r="R67" s="30"/>
      <c r="S67" s="140"/>
      <c r="T67" s="30"/>
      <c r="U67" s="30"/>
      <c r="V67" s="30"/>
      <c r="W67" s="30"/>
      <c r="X67" s="30"/>
      <c r="Y67" s="30"/>
      <c r="Z67" s="30"/>
    </row>
    <row r="68" ht="13.5" hidden="1" customHeight="1" outlineLevel="1">
      <c r="A68" s="111">
        <f t="shared" si="1"/>
        <v>68</v>
      </c>
      <c r="B68" s="180" t="s">
        <v>214</v>
      </c>
      <c r="C68" s="181"/>
      <c r="D68" s="182"/>
      <c r="E68" s="176"/>
      <c r="F68" s="179">
        <f t="shared" ref="F68:L68" si="26">IF(F55&gt;0,F55,F55+F63+F64+F65)</f>
        <v>26180.0113</v>
      </c>
      <c r="G68" s="179">
        <f t="shared" si="26"/>
        <v>239028.9313</v>
      </c>
      <c r="H68" s="179">
        <f t="shared" si="26"/>
        <v>243129.4016</v>
      </c>
      <c r="I68" s="179">
        <f t="shared" si="26"/>
        <v>431611.6831</v>
      </c>
      <c r="J68" s="179">
        <f t="shared" si="26"/>
        <v>378880.2193</v>
      </c>
      <c r="K68" s="179">
        <f t="shared" si="26"/>
        <v>295358.2485</v>
      </c>
      <c r="L68" s="179">
        <f t="shared" si="26"/>
        <v>255245.6612</v>
      </c>
      <c r="M68" s="171"/>
      <c r="N68" s="30"/>
      <c r="O68" s="119"/>
      <c r="P68" s="30"/>
      <c r="Q68" s="119"/>
      <c r="R68" s="30"/>
      <c r="S68" s="140"/>
      <c r="T68" s="30"/>
      <c r="U68" s="30"/>
      <c r="V68" s="30"/>
      <c r="W68" s="30"/>
      <c r="X68" s="30"/>
      <c r="Y68" s="30"/>
      <c r="Z68" s="30"/>
    </row>
    <row r="69" ht="13.5" hidden="1" customHeight="1" outlineLevel="1">
      <c r="A69" s="111">
        <f t="shared" si="1"/>
        <v>69</v>
      </c>
      <c r="B69" s="180" t="s">
        <v>215</v>
      </c>
      <c r="C69" s="181"/>
      <c r="D69" s="182"/>
      <c r="E69" s="176"/>
      <c r="F69" s="179">
        <f t="shared" ref="F69:L69" si="27">+E69+F68</f>
        <v>26180.0113</v>
      </c>
      <c r="G69" s="179">
        <f t="shared" si="27"/>
        <v>265208.9426</v>
      </c>
      <c r="H69" s="179">
        <f t="shared" si="27"/>
        <v>508338.3442</v>
      </c>
      <c r="I69" s="179">
        <f t="shared" si="27"/>
        <v>939950.0273</v>
      </c>
      <c r="J69" s="179">
        <f t="shared" si="27"/>
        <v>1318830.247</v>
      </c>
      <c r="K69" s="179">
        <f t="shared" si="27"/>
        <v>1614188.495</v>
      </c>
      <c r="L69" s="179">
        <f t="shared" si="27"/>
        <v>1869434.156</v>
      </c>
      <c r="M69" s="171"/>
      <c r="N69" s="30"/>
      <c r="O69" s="119"/>
      <c r="P69" s="30"/>
      <c r="Q69" s="119"/>
      <c r="R69" s="30"/>
      <c r="S69" s="140"/>
      <c r="T69" s="30"/>
      <c r="U69" s="30"/>
      <c r="V69" s="30"/>
      <c r="W69" s="30"/>
      <c r="X69" s="30"/>
      <c r="Y69" s="30"/>
      <c r="Z69" s="30"/>
    </row>
    <row r="70" ht="13.5" hidden="1" customHeight="1" outlineLevel="1">
      <c r="A70" s="111">
        <f t="shared" si="1"/>
        <v>70</v>
      </c>
      <c r="B70" s="180" t="s">
        <v>216</v>
      </c>
      <c r="C70" s="181"/>
      <c r="D70" s="182"/>
      <c r="E70" s="176"/>
      <c r="F70" s="188">
        <f t="shared" ref="F70:L70" si="28">IF(F55&gt;0,MIN(F68,F55,(F63+F65+F64)),0)</f>
        <v>0</v>
      </c>
      <c r="G70" s="188">
        <f t="shared" si="28"/>
        <v>0</v>
      </c>
      <c r="H70" s="188">
        <f t="shared" si="28"/>
        <v>0</v>
      </c>
      <c r="I70" s="188">
        <f t="shared" si="28"/>
        <v>0</v>
      </c>
      <c r="J70" s="188">
        <f t="shared" si="28"/>
        <v>0</v>
      </c>
      <c r="K70" s="188">
        <f t="shared" si="28"/>
        <v>0</v>
      </c>
      <c r="L70" s="188">
        <f t="shared" si="28"/>
        <v>0</v>
      </c>
      <c r="M70" s="171"/>
      <c r="N70" s="30"/>
      <c r="O70" s="119"/>
      <c r="P70" s="30"/>
      <c r="Q70" s="119"/>
      <c r="R70" s="30"/>
      <c r="S70" s="140"/>
      <c r="T70" s="30"/>
      <c r="U70" s="30"/>
      <c r="V70" s="30"/>
      <c r="W70" s="30"/>
      <c r="X70" s="30"/>
      <c r="Y70" s="30"/>
      <c r="Z70" s="30"/>
    </row>
    <row r="71" ht="13.5" hidden="1" customHeight="1" outlineLevel="1">
      <c r="A71" s="111">
        <f t="shared" si="1"/>
        <v>71</v>
      </c>
      <c r="B71" s="180" t="s">
        <v>217</v>
      </c>
      <c r="C71" s="181"/>
      <c r="D71" s="182"/>
      <c r="E71" s="176"/>
      <c r="F71" s="184">
        <f t="shared" ref="F71:L71" si="29">F63+F64+F65-F70</f>
        <v>0</v>
      </c>
      <c r="G71" s="184">
        <f t="shared" si="29"/>
        <v>0</v>
      </c>
      <c r="H71" s="184">
        <f t="shared" si="29"/>
        <v>0</v>
      </c>
      <c r="I71" s="184">
        <f t="shared" si="29"/>
        <v>0</v>
      </c>
      <c r="J71" s="184">
        <f t="shared" si="29"/>
        <v>0</v>
      </c>
      <c r="K71" s="184">
        <f t="shared" si="29"/>
        <v>0</v>
      </c>
      <c r="L71" s="184">
        <f t="shared" si="29"/>
        <v>0</v>
      </c>
      <c r="M71" s="171"/>
      <c r="N71" s="30"/>
      <c r="O71" s="119"/>
      <c r="P71" s="30"/>
      <c r="Q71" s="119"/>
      <c r="R71" s="30"/>
      <c r="S71" s="140"/>
      <c r="T71" s="30"/>
      <c r="U71" s="30"/>
      <c r="V71" s="30"/>
      <c r="W71" s="30"/>
      <c r="X71" s="30"/>
      <c r="Y71" s="30"/>
      <c r="Z71" s="30"/>
    </row>
    <row r="72" ht="13.5" hidden="1" customHeight="1" outlineLevel="1">
      <c r="A72" s="111">
        <f t="shared" si="1"/>
        <v>72</v>
      </c>
      <c r="B72" s="180"/>
      <c r="C72" s="181"/>
      <c r="D72" s="182"/>
      <c r="E72" s="176"/>
      <c r="F72" s="179"/>
      <c r="G72" s="179"/>
      <c r="H72" s="179"/>
      <c r="I72" s="179"/>
      <c r="J72" s="179"/>
      <c r="K72" s="179"/>
      <c r="L72" s="179"/>
      <c r="M72" s="171"/>
      <c r="N72" s="30"/>
      <c r="O72" s="119"/>
      <c r="P72" s="30"/>
      <c r="Q72" s="119"/>
      <c r="R72" s="30"/>
      <c r="S72" s="140"/>
      <c r="T72" s="30"/>
      <c r="U72" s="30"/>
      <c r="V72" s="30"/>
      <c r="W72" s="30"/>
      <c r="X72" s="30"/>
      <c r="Y72" s="30"/>
      <c r="Z72" s="30"/>
    </row>
    <row r="73" ht="13.5" hidden="1" customHeight="1" outlineLevel="1">
      <c r="A73" s="111">
        <f t="shared" si="1"/>
        <v>73</v>
      </c>
      <c r="B73" s="180" t="s">
        <v>218</v>
      </c>
      <c r="C73" s="181"/>
      <c r="D73" s="182"/>
      <c r="E73" s="176"/>
      <c r="F73" s="179">
        <f t="shared" ref="F73:L73" si="30">IF(F55&gt;0,F55-F70,0)</f>
        <v>26180.0113</v>
      </c>
      <c r="G73" s="179">
        <f t="shared" si="30"/>
        <v>239028.9313</v>
      </c>
      <c r="H73" s="179">
        <f t="shared" si="30"/>
        <v>243129.4016</v>
      </c>
      <c r="I73" s="179">
        <f t="shared" si="30"/>
        <v>431611.6831</v>
      </c>
      <c r="J73" s="179">
        <f t="shared" si="30"/>
        <v>378880.2193</v>
      </c>
      <c r="K73" s="179">
        <f t="shared" si="30"/>
        <v>295358.2485</v>
      </c>
      <c r="L73" s="179">
        <f t="shared" si="30"/>
        <v>255245.6612</v>
      </c>
      <c r="M73" s="171"/>
      <c r="N73" s="30"/>
      <c r="O73" s="119"/>
      <c r="P73" s="30"/>
      <c r="Q73" s="119"/>
      <c r="R73" s="30"/>
      <c r="S73" s="140"/>
      <c r="T73" s="30"/>
      <c r="U73" s="30"/>
      <c r="V73" s="30"/>
      <c r="W73" s="30"/>
      <c r="X73" s="30"/>
      <c r="Y73" s="30"/>
      <c r="Z73" s="30"/>
    </row>
    <row r="74" ht="13.5" hidden="1" customHeight="1" outlineLevel="1">
      <c r="A74" s="111">
        <f t="shared" si="1"/>
        <v>74</v>
      </c>
      <c r="B74" s="180" t="s">
        <v>219</v>
      </c>
      <c r="C74" s="181"/>
      <c r="D74" s="182"/>
      <c r="E74" s="176"/>
      <c r="F74" s="179">
        <f t="shared" ref="F74:L74" si="31">+F73+E74</f>
        <v>26180.0113</v>
      </c>
      <c r="G74" s="179">
        <f t="shared" si="31"/>
        <v>265208.9426</v>
      </c>
      <c r="H74" s="179">
        <f t="shared" si="31"/>
        <v>508338.3442</v>
      </c>
      <c r="I74" s="179">
        <f t="shared" si="31"/>
        <v>939950.0273</v>
      </c>
      <c r="J74" s="179">
        <f t="shared" si="31"/>
        <v>1318830.247</v>
      </c>
      <c r="K74" s="179">
        <f t="shared" si="31"/>
        <v>1614188.495</v>
      </c>
      <c r="L74" s="179">
        <f t="shared" si="31"/>
        <v>1869434.156</v>
      </c>
      <c r="M74" s="171"/>
      <c r="N74" s="30"/>
      <c r="O74" s="119"/>
      <c r="P74" s="30"/>
      <c r="Q74" s="119"/>
      <c r="R74" s="30"/>
      <c r="S74" s="140"/>
      <c r="T74" s="30"/>
      <c r="U74" s="30"/>
      <c r="V74" s="30"/>
      <c r="W74" s="30"/>
      <c r="X74" s="30"/>
      <c r="Y74" s="30"/>
      <c r="Z74" s="30"/>
    </row>
    <row r="75" ht="13.5" customHeight="1" collapsed="1">
      <c r="A75" s="111">
        <f t="shared" si="1"/>
        <v>75</v>
      </c>
      <c r="B75" s="176"/>
      <c r="C75" s="176"/>
      <c r="D75" s="176"/>
      <c r="E75" s="176"/>
      <c r="F75" s="174"/>
      <c r="G75" s="174"/>
      <c r="H75" s="174"/>
      <c r="I75" s="174"/>
      <c r="J75" s="174"/>
      <c r="K75" s="174"/>
      <c r="L75" s="174"/>
      <c r="M75" s="171"/>
      <c r="N75" s="30"/>
      <c r="O75" s="119"/>
      <c r="P75" s="30"/>
      <c r="Q75" s="119"/>
      <c r="R75" s="30"/>
      <c r="S75" s="140"/>
      <c r="T75" s="30"/>
      <c r="U75" s="30"/>
      <c r="V75" s="30"/>
      <c r="W75" s="30"/>
      <c r="X75" s="30"/>
      <c r="Y75" s="30"/>
      <c r="Z75" s="30"/>
    </row>
    <row r="76" ht="13.5" customHeight="1">
      <c r="A76" s="111">
        <f t="shared" si="1"/>
        <v>76</v>
      </c>
      <c r="B76" s="189" t="s">
        <v>220</v>
      </c>
      <c r="C76" s="190"/>
      <c r="D76" s="191"/>
      <c r="E76" s="192"/>
      <c r="F76" s="177">
        <v>0.0</v>
      </c>
      <c r="G76" s="177">
        <v>0.0</v>
      </c>
      <c r="H76" s="177">
        <v>0.0</v>
      </c>
      <c r="I76" s="177">
        <v>0.0</v>
      </c>
      <c r="J76" s="177">
        <v>0.0</v>
      </c>
      <c r="K76" s="177">
        <v>0.0</v>
      </c>
      <c r="L76" s="177">
        <v>0.0</v>
      </c>
      <c r="M76" s="171"/>
      <c r="N76" s="30"/>
      <c r="O76" s="119"/>
      <c r="P76" s="30"/>
      <c r="Q76" s="119"/>
      <c r="R76" s="30"/>
      <c r="S76" s="140"/>
      <c r="T76" s="30"/>
      <c r="U76" s="30"/>
      <c r="V76" s="30"/>
      <c r="W76" s="30"/>
      <c r="X76" s="30"/>
      <c r="Y76" s="30"/>
      <c r="Z76" s="30"/>
    </row>
    <row r="77" ht="13.5" customHeight="1">
      <c r="A77" s="111">
        <f t="shared" si="1"/>
        <v>77</v>
      </c>
      <c r="B77" s="189" t="s">
        <v>221</v>
      </c>
      <c r="C77" s="190"/>
      <c r="D77" s="191"/>
      <c r="E77" s="192"/>
      <c r="F77" s="193">
        <v>0.0</v>
      </c>
      <c r="G77" s="193">
        <v>0.0</v>
      </c>
      <c r="H77" s="193">
        <v>0.0</v>
      </c>
      <c r="I77" s="193">
        <v>0.0</v>
      </c>
      <c r="J77" s="193">
        <v>0.0</v>
      </c>
      <c r="K77" s="193">
        <v>0.0</v>
      </c>
      <c r="L77" s="193">
        <v>0.0</v>
      </c>
      <c r="M77" s="171"/>
      <c r="N77" s="30"/>
      <c r="O77" s="119"/>
      <c r="P77" s="30"/>
      <c r="Q77" s="119"/>
      <c r="R77" s="30"/>
      <c r="S77" s="140"/>
      <c r="T77" s="30"/>
      <c r="U77" s="30"/>
      <c r="V77" s="30"/>
      <c r="W77" s="30"/>
      <c r="X77" s="30"/>
      <c r="Y77" s="30"/>
      <c r="Z77" s="30"/>
    </row>
    <row r="78" ht="13.5" customHeight="1">
      <c r="A78" s="111">
        <f t="shared" si="1"/>
        <v>78</v>
      </c>
      <c r="B78" s="194" t="s">
        <v>222</v>
      </c>
      <c r="C78" s="195"/>
      <c r="D78" s="195"/>
      <c r="E78" s="196"/>
      <c r="F78" s="197">
        <f t="shared" ref="F78:L78" si="32">SUM(F76:F77)</f>
        <v>0</v>
      </c>
      <c r="G78" s="197">
        <f t="shared" si="32"/>
        <v>0</v>
      </c>
      <c r="H78" s="197">
        <f t="shared" si="32"/>
        <v>0</v>
      </c>
      <c r="I78" s="197">
        <f t="shared" si="32"/>
        <v>0</v>
      </c>
      <c r="J78" s="197">
        <f t="shared" si="32"/>
        <v>0</v>
      </c>
      <c r="K78" s="197">
        <f t="shared" si="32"/>
        <v>0</v>
      </c>
      <c r="L78" s="197">
        <f t="shared" si="32"/>
        <v>0</v>
      </c>
      <c r="M78" s="171"/>
      <c r="N78" s="30"/>
      <c r="O78" s="119"/>
      <c r="P78" s="30"/>
      <c r="Q78" s="119"/>
      <c r="R78" s="30"/>
      <c r="S78" s="140"/>
      <c r="T78" s="30"/>
      <c r="U78" s="30"/>
      <c r="V78" s="30"/>
      <c r="W78" s="30"/>
      <c r="X78" s="30"/>
      <c r="Y78" s="30"/>
      <c r="Z78" s="30"/>
    </row>
    <row r="79" ht="13.5" customHeight="1">
      <c r="A79" s="111">
        <f t="shared" si="1"/>
        <v>79</v>
      </c>
      <c r="B79" s="167" t="s">
        <v>223</v>
      </c>
      <c r="C79" s="168"/>
      <c r="D79" s="168"/>
      <c r="E79" s="169"/>
      <c r="F79" s="170">
        <f t="shared" ref="F79:L79" si="33">+F55-F58-F78</f>
        <v>26180.0113</v>
      </c>
      <c r="G79" s="170">
        <f t="shared" si="33"/>
        <v>239028.9313</v>
      </c>
      <c r="H79" s="170">
        <f t="shared" si="33"/>
        <v>243129.4016</v>
      </c>
      <c r="I79" s="170">
        <f t="shared" si="33"/>
        <v>431611.6831</v>
      </c>
      <c r="J79" s="170">
        <f t="shared" si="33"/>
        <v>378880.2193</v>
      </c>
      <c r="K79" s="170">
        <f t="shared" si="33"/>
        <v>295358.2485</v>
      </c>
      <c r="L79" s="170">
        <f t="shared" si="33"/>
        <v>255245.6612</v>
      </c>
      <c r="M79" s="171"/>
      <c r="N79" s="30"/>
      <c r="O79" s="119"/>
      <c r="P79" s="30"/>
      <c r="Q79" s="119"/>
      <c r="R79" s="30"/>
      <c r="S79" s="140"/>
      <c r="T79" s="30"/>
      <c r="U79" s="30"/>
      <c r="V79" s="30"/>
      <c r="W79" s="30"/>
      <c r="X79" s="30"/>
      <c r="Y79" s="30"/>
      <c r="Z79" s="30"/>
    </row>
    <row r="80" ht="13.5" customHeight="1">
      <c r="A80" s="111">
        <f t="shared" si="1"/>
        <v>80</v>
      </c>
      <c r="B80" s="164"/>
      <c r="C80" s="165"/>
      <c r="D80" s="165"/>
      <c r="E80" s="165"/>
      <c r="F80" s="198"/>
      <c r="G80" s="198"/>
      <c r="H80" s="198"/>
      <c r="I80" s="198"/>
      <c r="J80" s="198"/>
      <c r="K80" s="198"/>
      <c r="L80" s="198"/>
      <c r="M80" s="171"/>
      <c r="N80" s="30"/>
      <c r="O80" s="119"/>
      <c r="P80" s="30" t="s">
        <v>150</v>
      </c>
      <c r="Q80" s="119"/>
      <c r="R80" s="30"/>
      <c r="S80" s="30"/>
      <c r="T80" s="30"/>
      <c r="U80" s="30"/>
      <c r="V80" s="30"/>
      <c r="W80" s="30"/>
      <c r="X80" s="30"/>
      <c r="Y80" s="30"/>
      <c r="Z80" s="30"/>
    </row>
    <row r="81" ht="13.5" customHeight="1">
      <c r="A81" s="111">
        <f t="shared" si="1"/>
        <v>81</v>
      </c>
      <c r="B81" s="164" t="s">
        <v>224</v>
      </c>
      <c r="C81" s="165"/>
      <c r="D81" s="165"/>
      <c r="E81" s="165"/>
      <c r="F81" s="166">
        <f t="shared" ref="F81:L81" si="34">+F55-(SUM(F33:F34))-F28</f>
        <v>-35460.9887</v>
      </c>
      <c r="G81" s="166">
        <f t="shared" si="34"/>
        <v>177387.9313</v>
      </c>
      <c r="H81" s="166">
        <f t="shared" si="34"/>
        <v>181488.4016</v>
      </c>
      <c r="I81" s="166">
        <f t="shared" si="34"/>
        <v>369970.6831</v>
      </c>
      <c r="J81" s="166">
        <f t="shared" si="34"/>
        <v>317239.2193</v>
      </c>
      <c r="K81" s="166">
        <f t="shared" si="34"/>
        <v>233717.2485</v>
      </c>
      <c r="L81" s="166">
        <f t="shared" si="34"/>
        <v>193604.6612</v>
      </c>
      <c r="M81" s="171"/>
      <c r="N81" s="30"/>
      <c r="O81" s="119"/>
      <c r="P81" s="30" t="s">
        <v>150</v>
      </c>
      <c r="Q81" s="119"/>
      <c r="R81" s="30"/>
      <c r="S81" s="30"/>
      <c r="T81" s="30"/>
      <c r="U81" s="30"/>
      <c r="V81" s="30"/>
      <c r="W81" s="30"/>
      <c r="X81" s="30"/>
      <c r="Y81" s="30"/>
      <c r="Z81" s="30"/>
    </row>
    <row r="82" ht="13.5" customHeight="1">
      <c r="A82" s="111">
        <f t="shared" si="1"/>
        <v>82</v>
      </c>
      <c r="B82" s="164" t="s">
        <v>225</v>
      </c>
      <c r="C82" s="165"/>
      <c r="D82" s="165"/>
      <c r="E82" s="165"/>
      <c r="F82" s="198"/>
      <c r="G82" s="166">
        <f t="shared" ref="G82:L82" si="35">+G81+F82</f>
        <v>177387.9313</v>
      </c>
      <c r="H82" s="166">
        <f t="shared" si="35"/>
        <v>358876.3329</v>
      </c>
      <c r="I82" s="166">
        <f t="shared" si="35"/>
        <v>728847.016</v>
      </c>
      <c r="J82" s="166">
        <f t="shared" si="35"/>
        <v>1046086.235</v>
      </c>
      <c r="K82" s="166">
        <f t="shared" si="35"/>
        <v>1279803.484</v>
      </c>
      <c r="L82" s="166">
        <f t="shared" si="35"/>
        <v>1473408.145</v>
      </c>
      <c r="M82" s="171"/>
      <c r="N82" s="30"/>
      <c r="O82" s="119"/>
      <c r="P82" s="30" t="s">
        <v>150</v>
      </c>
      <c r="Q82" s="119"/>
      <c r="R82" s="30"/>
      <c r="S82" s="30"/>
      <c r="T82" s="30"/>
      <c r="U82" s="30"/>
      <c r="V82" s="30"/>
      <c r="W82" s="30"/>
      <c r="X82" s="30"/>
      <c r="Y82" s="30"/>
      <c r="Z82" s="30"/>
    </row>
    <row r="83" ht="13.5" customHeight="1">
      <c r="A83" s="111">
        <f t="shared" si="1"/>
        <v>83</v>
      </c>
      <c r="B83" s="164"/>
      <c r="C83" s="165"/>
      <c r="D83" s="165"/>
      <c r="E83" s="165"/>
      <c r="F83" s="198"/>
      <c r="G83" s="198"/>
      <c r="H83" s="198"/>
      <c r="I83" s="198"/>
      <c r="J83" s="198"/>
      <c r="K83" s="198"/>
      <c r="L83" s="198"/>
      <c r="M83" s="171"/>
      <c r="N83" s="30"/>
      <c r="O83" s="119"/>
      <c r="P83" s="30" t="s">
        <v>150</v>
      </c>
      <c r="Q83" s="119"/>
      <c r="R83" s="30"/>
      <c r="S83" s="30"/>
      <c r="T83" s="30"/>
      <c r="U83" s="30"/>
      <c r="V83" s="30"/>
      <c r="W83" s="30"/>
      <c r="X83" s="30"/>
      <c r="Y83" s="30"/>
      <c r="Z83" s="30"/>
    </row>
    <row r="84" ht="13.5" customHeight="1">
      <c r="A84" s="111">
        <f t="shared" si="1"/>
        <v>84</v>
      </c>
      <c r="B84" s="199" t="s">
        <v>226</v>
      </c>
      <c r="C84" s="30"/>
      <c r="D84" s="30"/>
      <c r="E84" s="30"/>
      <c r="F84" s="30"/>
      <c r="G84" s="30"/>
      <c r="H84" s="30"/>
      <c r="I84" s="30"/>
      <c r="J84" s="30"/>
      <c r="K84" s="30"/>
      <c r="L84" s="30"/>
      <c r="M84" s="171"/>
      <c r="N84" s="30"/>
      <c r="O84" s="119"/>
      <c r="P84" s="30" t="s">
        <v>150</v>
      </c>
      <c r="Q84" s="119"/>
      <c r="R84" s="30"/>
      <c r="S84" s="30"/>
      <c r="T84" s="30"/>
      <c r="U84" s="30"/>
      <c r="V84" s="30"/>
      <c r="W84" s="30"/>
      <c r="X84" s="30"/>
      <c r="Y84" s="30"/>
      <c r="Z84" s="30"/>
    </row>
    <row r="85" ht="13.5" customHeight="1">
      <c r="A85" s="111">
        <f t="shared" si="1"/>
        <v>85</v>
      </c>
      <c r="B85" s="63" t="s">
        <v>227</v>
      </c>
      <c r="C85" s="30"/>
      <c r="D85" s="30"/>
      <c r="E85" s="30"/>
      <c r="F85" s="30"/>
      <c r="G85" s="30"/>
      <c r="H85" s="30"/>
      <c r="I85" s="30"/>
      <c r="J85" s="30"/>
      <c r="K85" s="30"/>
      <c r="L85" s="30"/>
      <c r="M85" s="200"/>
      <c r="N85" s="30"/>
      <c r="O85" s="119"/>
      <c r="P85" s="30" t="s">
        <v>150</v>
      </c>
      <c r="Q85" s="119"/>
      <c r="R85" s="30"/>
      <c r="S85" s="30"/>
      <c r="T85" s="30"/>
      <c r="U85" s="30"/>
      <c r="V85" s="30"/>
      <c r="W85" s="30"/>
      <c r="X85" s="30"/>
      <c r="Y85" s="30"/>
      <c r="Z85" s="30"/>
    </row>
    <row r="86" ht="13.5" customHeight="1">
      <c r="A86" s="111">
        <f t="shared" si="1"/>
        <v>86</v>
      </c>
      <c r="B86" s="65" t="s">
        <v>228</v>
      </c>
      <c r="C86" s="30"/>
      <c r="D86" s="30"/>
      <c r="E86" s="30"/>
      <c r="F86" s="201">
        <v>2441432.0</v>
      </c>
      <c r="G86" s="201">
        <v>2442432.0</v>
      </c>
      <c r="H86" s="201">
        <v>2443432.0</v>
      </c>
      <c r="I86" s="201">
        <v>2444432.0</v>
      </c>
      <c r="J86" s="201">
        <v>2445432.0</v>
      </c>
      <c r="K86" s="201">
        <v>2446432.0</v>
      </c>
      <c r="L86" s="201">
        <v>2447432.0</v>
      </c>
      <c r="M86" s="202"/>
      <c r="N86" s="30"/>
      <c r="O86" s="119"/>
      <c r="P86" s="30" t="s">
        <v>150</v>
      </c>
      <c r="Q86" s="119"/>
      <c r="R86" s="30"/>
      <c r="S86" s="30"/>
      <c r="T86" s="30"/>
      <c r="U86" s="30"/>
      <c r="V86" s="30"/>
      <c r="W86" s="30"/>
      <c r="X86" s="30"/>
      <c r="Y86" s="30"/>
      <c r="Z86" s="30"/>
    </row>
    <row r="87" ht="13.5" customHeight="1">
      <c r="A87" s="111">
        <f t="shared" si="1"/>
        <v>87</v>
      </c>
      <c r="B87" s="65" t="s">
        <v>229</v>
      </c>
      <c r="C87" s="30"/>
      <c r="D87" s="30"/>
      <c r="E87" s="30"/>
      <c r="F87" s="203">
        <v>37546.0</v>
      </c>
      <c r="G87" s="203">
        <v>37546.0</v>
      </c>
      <c r="H87" s="203">
        <v>37546.0</v>
      </c>
      <c r="I87" s="203">
        <v>37546.0</v>
      </c>
      <c r="J87" s="203">
        <v>37546.0</v>
      </c>
      <c r="K87" s="203">
        <v>37546.0</v>
      </c>
      <c r="L87" s="203">
        <v>37546.0</v>
      </c>
      <c r="M87" s="202"/>
      <c r="N87" s="30"/>
      <c r="O87" s="119"/>
      <c r="P87" s="30"/>
      <c r="Q87" s="119"/>
      <c r="R87" s="30"/>
      <c r="S87" s="30"/>
      <c r="T87" s="30"/>
      <c r="U87" s="30"/>
      <c r="V87" s="30"/>
      <c r="W87" s="30"/>
      <c r="X87" s="30"/>
      <c r="Y87" s="30"/>
      <c r="Z87" s="30"/>
    </row>
    <row r="88" ht="13.5" customHeight="1">
      <c r="A88" s="111">
        <f t="shared" si="1"/>
        <v>88</v>
      </c>
      <c r="B88" s="65" t="s">
        <v>230</v>
      </c>
      <c r="C88" s="30"/>
      <c r="D88" s="30"/>
      <c r="E88" s="30"/>
      <c r="F88" s="140">
        <f t="shared" ref="F88:L88" si="36">+F58</f>
        <v>0</v>
      </c>
      <c r="G88" s="140">
        <f t="shared" si="36"/>
        <v>0</v>
      </c>
      <c r="H88" s="140">
        <f t="shared" si="36"/>
        <v>0</v>
      </c>
      <c r="I88" s="140">
        <f t="shared" si="36"/>
        <v>0</v>
      </c>
      <c r="J88" s="140">
        <f t="shared" si="36"/>
        <v>0</v>
      </c>
      <c r="K88" s="140">
        <f t="shared" si="36"/>
        <v>0</v>
      </c>
      <c r="L88" s="140">
        <f t="shared" si="36"/>
        <v>0</v>
      </c>
      <c r="M88" s="204"/>
      <c r="N88" s="30"/>
      <c r="O88" s="119"/>
      <c r="P88" s="30" t="s">
        <v>150</v>
      </c>
      <c r="Q88" s="119"/>
      <c r="R88" s="30"/>
      <c r="S88" s="205"/>
      <c r="T88" s="30"/>
      <c r="U88" s="30"/>
      <c r="V88" s="30"/>
      <c r="W88" s="30"/>
      <c r="X88" s="30"/>
      <c r="Y88" s="30"/>
      <c r="Z88" s="30"/>
    </row>
    <row r="89" ht="13.5" customHeight="1">
      <c r="A89" s="111">
        <f t="shared" si="1"/>
        <v>89</v>
      </c>
      <c r="B89" s="65" t="s">
        <v>231</v>
      </c>
      <c r="C89" s="30"/>
      <c r="D89" s="30"/>
      <c r="E89" s="30"/>
      <c r="F89" s="206"/>
      <c r="G89" s="207"/>
      <c r="H89" s="207"/>
      <c r="I89" s="207"/>
      <c r="J89" s="207"/>
      <c r="K89" s="207"/>
      <c r="L89" s="207"/>
      <c r="M89" s="204"/>
      <c r="N89" s="30"/>
      <c r="O89" s="119"/>
      <c r="P89" s="30" t="s">
        <v>150</v>
      </c>
      <c r="Q89" s="119"/>
      <c r="R89" s="30"/>
      <c r="S89" s="30"/>
      <c r="T89" s="30"/>
      <c r="U89" s="30"/>
      <c r="V89" s="30"/>
      <c r="W89" s="30"/>
      <c r="X89" s="30"/>
      <c r="Y89" s="30"/>
      <c r="Z89" s="30"/>
    </row>
    <row r="90" ht="13.5" customHeight="1">
      <c r="A90" s="111">
        <f t="shared" si="1"/>
        <v>90</v>
      </c>
      <c r="B90" s="65" t="s">
        <v>232</v>
      </c>
      <c r="C90" s="30"/>
      <c r="D90" s="30"/>
      <c r="E90" s="30"/>
      <c r="F90" s="203"/>
      <c r="G90" s="203"/>
      <c r="H90" s="203"/>
      <c r="I90" s="203"/>
      <c r="J90" s="203"/>
      <c r="K90" s="203"/>
      <c r="L90" s="203"/>
      <c r="M90" s="30"/>
      <c r="N90" s="30"/>
      <c r="O90" s="119"/>
      <c r="P90" s="30" t="s">
        <v>150</v>
      </c>
      <c r="Q90" s="119"/>
      <c r="R90" s="30"/>
      <c r="S90" s="30"/>
      <c r="T90" s="30"/>
      <c r="U90" s="30"/>
      <c r="V90" s="30"/>
      <c r="W90" s="30"/>
      <c r="X90" s="30"/>
      <c r="Y90" s="30"/>
      <c r="Z90" s="30"/>
    </row>
    <row r="91" ht="13.5" customHeight="1">
      <c r="A91" s="111">
        <f t="shared" si="1"/>
        <v>91</v>
      </c>
      <c r="B91" s="208" t="s">
        <v>233</v>
      </c>
      <c r="C91" s="30"/>
      <c r="D91" s="30"/>
      <c r="E91" s="30"/>
      <c r="F91" s="209">
        <f t="shared" ref="F91:L91" si="37">SUM(F86:F90)</f>
        <v>2478978</v>
      </c>
      <c r="G91" s="209">
        <f t="shared" si="37"/>
        <v>2479978</v>
      </c>
      <c r="H91" s="209">
        <f t="shared" si="37"/>
        <v>2480978</v>
      </c>
      <c r="I91" s="209">
        <f t="shared" si="37"/>
        <v>2481978</v>
      </c>
      <c r="J91" s="209">
        <f t="shared" si="37"/>
        <v>2482978</v>
      </c>
      <c r="K91" s="209">
        <f t="shared" si="37"/>
        <v>2483978</v>
      </c>
      <c r="L91" s="209">
        <f t="shared" si="37"/>
        <v>2484978</v>
      </c>
      <c r="M91" s="30"/>
      <c r="N91" s="30"/>
      <c r="O91" s="119"/>
      <c r="P91" s="30" t="s">
        <v>150</v>
      </c>
      <c r="Q91" s="119"/>
      <c r="R91" s="30"/>
      <c r="S91" s="30"/>
      <c r="T91" s="30"/>
      <c r="U91" s="30"/>
      <c r="V91" s="30"/>
      <c r="W91" s="30"/>
      <c r="X91" s="30"/>
      <c r="Y91" s="30"/>
      <c r="Z91" s="30"/>
    </row>
    <row r="92" ht="13.5" customHeight="1">
      <c r="A92" s="111">
        <f t="shared" si="1"/>
        <v>92</v>
      </c>
      <c r="B92" s="30"/>
      <c r="C92" s="30"/>
      <c r="D92" s="30"/>
      <c r="E92" s="30"/>
      <c r="F92" s="30"/>
      <c r="G92" s="30"/>
      <c r="H92" s="30"/>
      <c r="I92" s="30"/>
      <c r="J92" s="30"/>
      <c r="K92" s="30"/>
      <c r="L92" s="30"/>
      <c r="M92" s="30"/>
      <c r="N92" s="30"/>
      <c r="O92" s="119"/>
      <c r="P92" s="30" t="s">
        <v>150</v>
      </c>
      <c r="Q92" s="119"/>
      <c r="R92" s="30"/>
      <c r="S92" s="30"/>
      <c r="T92" s="30"/>
      <c r="U92" s="30"/>
      <c r="V92" s="30"/>
      <c r="W92" s="30"/>
      <c r="X92" s="30"/>
      <c r="Y92" s="30"/>
      <c r="Z92" s="30"/>
    </row>
    <row r="93" ht="13.5" customHeight="1">
      <c r="A93" s="111">
        <f t="shared" si="1"/>
        <v>93</v>
      </c>
      <c r="B93" s="63" t="s">
        <v>234</v>
      </c>
      <c r="C93" s="30"/>
      <c r="D93" s="30"/>
      <c r="E93" s="30"/>
      <c r="F93" s="30"/>
      <c r="G93" s="30"/>
      <c r="H93" s="30"/>
      <c r="I93" s="30"/>
      <c r="J93" s="30"/>
      <c r="K93" s="30"/>
      <c r="L93" s="30"/>
      <c r="M93" s="30"/>
      <c r="N93" s="30"/>
      <c r="O93" s="119"/>
      <c r="P93" s="30" t="s">
        <v>150</v>
      </c>
      <c r="Q93" s="119"/>
      <c r="R93" s="30"/>
      <c r="S93" s="30"/>
      <c r="T93" s="30"/>
      <c r="U93" s="30"/>
      <c r="V93" s="30"/>
      <c r="W93" s="30"/>
      <c r="X93" s="30"/>
      <c r="Y93" s="30"/>
      <c r="Z93" s="30"/>
    </row>
    <row r="94" ht="13.5" customHeight="1">
      <c r="A94" s="111">
        <f t="shared" si="1"/>
        <v>94</v>
      </c>
      <c r="B94" s="30" t="s">
        <v>235</v>
      </c>
      <c r="C94" s="30"/>
      <c r="D94" s="30"/>
      <c r="E94" s="30"/>
      <c r="F94" s="210">
        <v>413688.0</v>
      </c>
      <c r="G94" s="210">
        <v>413688.0</v>
      </c>
      <c r="H94" s="210">
        <v>413688.0</v>
      </c>
      <c r="I94" s="210">
        <v>413688.0</v>
      </c>
      <c r="J94" s="210">
        <v>413688.0</v>
      </c>
      <c r="K94" s="210">
        <v>413688.0</v>
      </c>
      <c r="L94" s="201">
        <v>413688.0</v>
      </c>
      <c r="M94" s="30"/>
      <c r="N94" s="30"/>
      <c r="O94" s="119"/>
      <c r="P94" s="30" t="s">
        <v>150</v>
      </c>
      <c r="Q94" s="119"/>
      <c r="R94" s="30"/>
      <c r="S94" s="30"/>
      <c r="T94" s="30"/>
      <c r="U94" s="30"/>
      <c r="V94" s="30"/>
      <c r="W94" s="30"/>
      <c r="X94" s="30"/>
      <c r="Y94" s="30"/>
      <c r="Z94" s="30"/>
    </row>
    <row r="95" ht="13.5" customHeight="1">
      <c r="A95" s="111">
        <f t="shared" si="1"/>
        <v>95</v>
      </c>
      <c r="B95" s="30" t="s">
        <v>236</v>
      </c>
      <c r="C95" s="30"/>
      <c r="D95" s="30"/>
      <c r="E95" s="30"/>
      <c r="F95" s="211" t="s">
        <v>237</v>
      </c>
      <c r="G95" s="211" t="s">
        <v>237</v>
      </c>
      <c r="H95" s="211" t="s">
        <v>237</v>
      </c>
      <c r="I95" s="211" t="s">
        <v>237</v>
      </c>
      <c r="J95" s="211" t="s">
        <v>237</v>
      </c>
      <c r="K95" s="211" t="s">
        <v>237</v>
      </c>
      <c r="L95" s="211" t="s">
        <v>237</v>
      </c>
      <c r="M95" s="30"/>
      <c r="N95" s="30"/>
      <c r="O95" s="119"/>
      <c r="P95" s="30" t="s">
        <v>150</v>
      </c>
      <c r="Q95" s="119"/>
      <c r="R95" s="30"/>
      <c r="S95" s="30"/>
      <c r="T95" s="30"/>
      <c r="U95" s="30"/>
      <c r="V95" s="30"/>
      <c r="W95" s="30"/>
      <c r="X95" s="30"/>
      <c r="Y95" s="30"/>
      <c r="Z95" s="30"/>
    </row>
    <row r="96" ht="13.5" customHeight="1">
      <c r="A96" s="111">
        <f t="shared" si="1"/>
        <v>96</v>
      </c>
      <c r="B96" s="30" t="s">
        <v>238</v>
      </c>
      <c r="C96" s="30"/>
      <c r="D96" s="30"/>
      <c r="E96" s="30"/>
      <c r="F96" s="203"/>
      <c r="G96" s="212"/>
      <c r="H96" s="212"/>
      <c r="I96" s="212"/>
      <c r="J96" s="212"/>
      <c r="K96" s="212"/>
      <c r="L96" s="212"/>
      <c r="M96" s="30"/>
      <c r="N96" s="30"/>
      <c r="O96" s="119"/>
      <c r="P96" s="30" t="s">
        <v>150</v>
      </c>
      <c r="Q96" s="119"/>
      <c r="R96" s="30"/>
      <c r="S96" s="30"/>
      <c r="T96" s="30"/>
      <c r="U96" s="30"/>
      <c r="V96" s="30"/>
      <c r="W96" s="30"/>
      <c r="X96" s="30"/>
      <c r="Y96" s="30"/>
      <c r="Z96" s="30"/>
    </row>
    <row r="97" ht="13.5" customHeight="1">
      <c r="A97" s="111">
        <f t="shared" si="1"/>
        <v>97</v>
      </c>
      <c r="B97" s="63" t="s">
        <v>239</v>
      </c>
      <c r="C97" s="30"/>
      <c r="D97" s="30"/>
      <c r="E97" s="30"/>
      <c r="F97" s="212">
        <v>413688.0</v>
      </c>
      <c r="G97" s="212">
        <v>413688.0</v>
      </c>
      <c r="H97" s="212">
        <v>413688.0</v>
      </c>
      <c r="I97" s="212">
        <v>413688.0</v>
      </c>
      <c r="J97" s="212">
        <v>413688.0</v>
      </c>
      <c r="K97" s="212">
        <v>413688.0</v>
      </c>
      <c r="L97" s="212">
        <v>413688.0</v>
      </c>
      <c r="M97" s="30"/>
      <c r="N97" s="30"/>
      <c r="O97" s="119"/>
      <c r="P97" s="30" t="s">
        <v>150</v>
      </c>
      <c r="Q97" s="119"/>
      <c r="R97" s="30"/>
      <c r="S97" s="30"/>
      <c r="T97" s="30"/>
      <c r="U97" s="30"/>
      <c r="V97" s="30"/>
      <c r="W97" s="30"/>
      <c r="X97" s="30"/>
      <c r="Y97" s="30"/>
      <c r="Z97" s="30"/>
    </row>
    <row r="98" ht="13.5" customHeight="1">
      <c r="A98" s="111">
        <f t="shared" si="1"/>
        <v>98</v>
      </c>
      <c r="B98" s="63"/>
      <c r="C98" s="30"/>
      <c r="D98" s="30"/>
      <c r="E98" s="30"/>
      <c r="F98" s="30"/>
      <c r="G98" s="30"/>
      <c r="H98" s="30"/>
      <c r="I98" s="30"/>
      <c r="J98" s="30"/>
      <c r="K98" s="30"/>
      <c r="L98" s="30"/>
      <c r="M98" s="30"/>
      <c r="N98" s="30"/>
      <c r="O98" s="119"/>
      <c r="P98" s="30"/>
      <c r="Q98" s="119"/>
      <c r="R98" s="30"/>
      <c r="S98" s="30"/>
      <c r="T98" s="30"/>
      <c r="U98" s="30"/>
      <c r="V98" s="30"/>
      <c r="W98" s="30"/>
      <c r="X98" s="30"/>
      <c r="Y98" s="30"/>
      <c r="Z98" s="30"/>
    </row>
    <row r="99" ht="13.5" customHeight="1">
      <c r="A99" s="111">
        <f t="shared" si="1"/>
        <v>99</v>
      </c>
      <c r="B99" s="63" t="s">
        <v>240</v>
      </c>
      <c r="C99" s="30"/>
      <c r="D99" s="30"/>
      <c r="E99" s="30"/>
      <c r="F99" s="207">
        <f t="shared" ref="F99:L99" si="38">+F91-F97</f>
        <v>2065290</v>
      </c>
      <c r="G99" s="207">
        <f t="shared" si="38"/>
        <v>2066290</v>
      </c>
      <c r="H99" s="207">
        <f t="shared" si="38"/>
        <v>2067290</v>
      </c>
      <c r="I99" s="207">
        <f t="shared" si="38"/>
        <v>2068290</v>
      </c>
      <c r="J99" s="207">
        <f t="shared" si="38"/>
        <v>2069290</v>
      </c>
      <c r="K99" s="207">
        <f t="shared" si="38"/>
        <v>2070290</v>
      </c>
      <c r="L99" s="207">
        <f t="shared" si="38"/>
        <v>2071290</v>
      </c>
      <c r="M99" s="30"/>
      <c r="N99" s="30"/>
      <c r="O99" s="119"/>
      <c r="P99" s="30" t="s">
        <v>150</v>
      </c>
      <c r="Q99" s="119"/>
      <c r="R99" s="30"/>
      <c r="S99" s="30"/>
      <c r="T99" s="30"/>
      <c r="U99" s="30"/>
      <c r="V99" s="30"/>
      <c r="W99" s="30"/>
      <c r="X99" s="30"/>
      <c r="Y99" s="30"/>
      <c r="Z99" s="30"/>
    </row>
    <row r="100" ht="13.5" customHeight="1">
      <c r="A100" s="111">
        <f t="shared" si="1"/>
        <v>100</v>
      </c>
      <c r="B100" s="63" t="s">
        <v>241</v>
      </c>
      <c r="C100" s="30"/>
      <c r="D100" s="30"/>
      <c r="E100" s="30"/>
      <c r="F100" s="213">
        <f t="shared" ref="F100:L100" si="39">+F99+F97</f>
        <v>2478978</v>
      </c>
      <c r="G100" s="213">
        <f t="shared" si="39"/>
        <v>2479978</v>
      </c>
      <c r="H100" s="213">
        <f t="shared" si="39"/>
        <v>2480978</v>
      </c>
      <c r="I100" s="213">
        <f t="shared" si="39"/>
        <v>2481978</v>
      </c>
      <c r="J100" s="213">
        <f t="shared" si="39"/>
        <v>2482978</v>
      </c>
      <c r="K100" s="213">
        <f t="shared" si="39"/>
        <v>2483978</v>
      </c>
      <c r="L100" s="213">
        <f t="shared" si="39"/>
        <v>2484978</v>
      </c>
      <c r="M100" s="30"/>
      <c r="N100" s="30"/>
      <c r="O100" s="119"/>
      <c r="P100" s="30"/>
      <c r="Q100" s="119"/>
      <c r="R100" s="30"/>
      <c r="S100" s="30"/>
      <c r="T100" s="30"/>
      <c r="U100" s="30"/>
      <c r="V100" s="30"/>
      <c r="W100" s="30"/>
      <c r="X100" s="30"/>
      <c r="Y100" s="30"/>
      <c r="Z100" s="30"/>
    </row>
    <row r="101" ht="13.5" customHeight="1">
      <c r="A101" s="111">
        <f t="shared" si="1"/>
        <v>101</v>
      </c>
      <c r="B101" s="30" t="s">
        <v>242</v>
      </c>
      <c r="C101" s="30"/>
      <c r="D101" s="30"/>
      <c r="E101" s="30"/>
      <c r="F101" s="140">
        <f t="shared" ref="F101:L101" si="40">+F91-F100</f>
        <v>0</v>
      </c>
      <c r="G101" s="140">
        <f t="shared" si="40"/>
        <v>0</v>
      </c>
      <c r="H101" s="140">
        <f t="shared" si="40"/>
        <v>0</v>
      </c>
      <c r="I101" s="140">
        <f t="shared" si="40"/>
        <v>0</v>
      </c>
      <c r="J101" s="140">
        <f t="shared" si="40"/>
        <v>0</v>
      </c>
      <c r="K101" s="140">
        <f t="shared" si="40"/>
        <v>0</v>
      </c>
      <c r="L101" s="140">
        <f t="shared" si="40"/>
        <v>0</v>
      </c>
      <c r="M101" s="30"/>
      <c r="N101" s="30"/>
      <c r="O101" s="119"/>
      <c r="P101" s="30" t="s">
        <v>150</v>
      </c>
      <c r="Q101" s="119"/>
      <c r="R101" s="30"/>
      <c r="S101" s="30"/>
      <c r="T101" s="30"/>
      <c r="U101" s="30"/>
      <c r="V101" s="30"/>
      <c r="W101" s="30"/>
      <c r="X101" s="30"/>
      <c r="Y101" s="30"/>
      <c r="Z101" s="30"/>
    </row>
    <row r="102" ht="13.5" customHeight="1">
      <c r="A102" s="111">
        <f t="shared" si="1"/>
        <v>102</v>
      </c>
      <c r="B102" s="30"/>
      <c r="C102" s="30"/>
      <c r="D102" s="30"/>
      <c r="E102" s="30"/>
      <c r="F102" s="30"/>
      <c r="G102" s="30"/>
      <c r="H102" s="30"/>
      <c r="I102" s="30"/>
      <c r="J102" s="30"/>
      <c r="K102" s="30"/>
      <c r="L102" s="30"/>
      <c r="M102" s="30"/>
      <c r="N102" s="30"/>
      <c r="O102" s="119"/>
      <c r="P102" s="30" t="s">
        <v>150</v>
      </c>
      <c r="Q102" s="119"/>
      <c r="R102" s="30"/>
      <c r="S102" s="30"/>
      <c r="T102" s="30"/>
      <c r="U102" s="30"/>
      <c r="V102" s="30"/>
      <c r="W102" s="30"/>
      <c r="X102" s="30"/>
      <c r="Y102" s="30"/>
      <c r="Z102" s="30"/>
    </row>
    <row r="103" ht="13.5" customHeight="1">
      <c r="A103" s="111">
        <f t="shared" si="1"/>
        <v>103</v>
      </c>
      <c r="B103" s="63" t="s">
        <v>243</v>
      </c>
      <c r="C103" s="63"/>
      <c r="D103" s="63"/>
      <c r="E103" s="63"/>
      <c r="F103" s="214">
        <f t="array" ref="F103">IFERROR(SUM(F86:F87/F94),0)</f>
        <v>5.992385566</v>
      </c>
      <c r="G103" s="214">
        <f t="array" ref="G103">IFERROR(SUM(G86:G87/G94),0)</f>
        <v>5.994802847</v>
      </c>
      <c r="H103" s="214">
        <f t="array" ref="H103">IFERROR(SUM(H86:H87/H94),0)</f>
        <v>5.997220127</v>
      </c>
      <c r="I103" s="214">
        <f t="array" ref="I103">IFERROR(SUM(I86:I87/I94),0)</f>
        <v>5.999637408</v>
      </c>
      <c r="J103" s="214">
        <f t="array" ref="J103">IFERROR(SUM(J86:J87/J94),0)</f>
        <v>6.002054689</v>
      </c>
      <c r="K103" s="214">
        <f t="array" ref="K103">IFERROR(SUM(K86:K87/K94),0)</f>
        <v>6.004471969</v>
      </c>
      <c r="L103" s="214">
        <f t="array" ref="L103">IFERROR(SUM(L86:L87/L94),0)</f>
        <v>6.00688925</v>
      </c>
      <c r="M103" s="30"/>
      <c r="N103" s="30"/>
      <c r="O103" s="119"/>
      <c r="P103" s="30" t="s">
        <v>150</v>
      </c>
      <c r="Q103" s="119"/>
      <c r="R103" s="30"/>
      <c r="S103" s="30"/>
      <c r="T103" s="30"/>
      <c r="U103" s="30"/>
      <c r="V103" s="30"/>
      <c r="W103" s="30"/>
      <c r="X103" s="30"/>
      <c r="Y103" s="30"/>
      <c r="Z103" s="30"/>
    </row>
    <row r="104" ht="13.5" customHeight="1">
      <c r="A104" s="111">
        <f t="shared" si="1"/>
        <v>104</v>
      </c>
      <c r="B104" s="63" t="s">
        <v>244</v>
      </c>
      <c r="C104" s="63"/>
      <c r="D104" s="63"/>
      <c r="E104" s="63"/>
      <c r="F104" s="214">
        <f t="shared" ref="F104:L104" si="41">F96/F91</f>
        <v>0</v>
      </c>
      <c r="G104" s="214">
        <f t="shared" si="41"/>
        <v>0</v>
      </c>
      <c r="H104" s="214">
        <f t="shared" si="41"/>
        <v>0</v>
      </c>
      <c r="I104" s="214">
        <f t="shared" si="41"/>
        <v>0</v>
      </c>
      <c r="J104" s="214">
        <f t="shared" si="41"/>
        <v>0</v>
      </c>
      <c r="K104" s="214">
        <f t="shared" si="41"/>
        <v>0</v>
      </c>
      <c r="L104" s="214">
        <f t="shared" si="41"/>
        <v>0</v>
      </c>
      <c r="M104" s="30"/>
      <c r="N104" s="30"/>
      <c r="O104" s="119"/>
      <c r="P104" s="30" t="s">
        <v>150</v>
      </c>
      <c r="Q104" s="119"/>
      <c r="R104" s="30"/>
      <c r="S104" s="30"/>
      <c r="T104" s="30"/>
      <c r="U104" s="30"/>
      <c r="V104" s="30"/>
      <c r="W104" s="30"/>
      <c r="X104" s="30"/>
      <c r="Y104" s="30"/>
      <c r="Z104" s="30"/>
    </row>
    <row r="105" ht="13.5" customHeight="1">
      <c r="A105" s="111">
        <f t="shared" si="1"/>
        <v>105</v>
      </c>
      <c r="B105" s="30"/>
      <c r="C105" s="30"/>
      <c r="D105" s="30"/>
      <c r="E105" s="30"/>
      <c r="F105" s="30"/>
      <c r="G105" s="30"/>
      <c r="H105" s="30"/>
      <c r="I105" s="30"/>
      <c r="J105" s="30"/>
      <c r="K105" s="30"/>
      <c r="L105" s="30"/>
      <c r="M105" s="30"/>
      <c r="N105" s="30"/>
      <c r="O105" s="119"/>
      <c r="P105" s="30" t="s">
        <v>150</v>
      </c>
      <c r="Q105" s="119"/>
      <c r="R105" s="30"/>
      <c r="S105" s="30"/>
      <c r="T105" s="30"/>
      <c r="U105" s="30"/>
      <c r="V105" s="30"/>
      <c r="W105" s="30"/>
      <c r="X105" s="30"/>
      <c r="Y105" s="30"/>
      <c r="Z105" s="30"/>
    </row>
    <row r="106" ht="13.5" customHeight="1">
      <c r="A106" s="111">
        <f t="shared" si="1"/>
        <v>106</v>
      </c>
      <c r="B106" s="30"/>
      <c r="C106" s="30"/>
      <c r="D106" s="30"/>
      <c r="E106" s="30"/>
      <c r="F106" s="30"/>
      <c r="G106" s="30"/>
      <c r="H106" s="30"/>
      <c r="I106" s="30"/>
      <c r="J106" s="30"/>
      <c r="K106" s="30"/>
      <c r="L106" s="30"/>
      <c r="M106" s="30"/>
      <c r="N106" s="30"/>
      <c r="O106" s="119"/>
      <c r="P106" s="30" t="s">
        <v>150</v>
      </c>
      <c r="Q106" s="119"/>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119"/>
      <c r="P107" s="30" t="s">
        <v>150</v>
      </c>
      <c r="Q107" s="119"/>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119"/>
      <c r="P108" s="30" t="s">
        <v>150</v>
      </c>
      <c r="Q108" s="119"/>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119"/>
      <c r="P109" s="30" t="s">
        <v>150</v>
      </c>
      <c r="Q109" s="119"/>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119"/>
      <c r="P110" s="30" t="s">
        <v>150</v>
      </c>
      <c r="Q110" s="119"/>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119"/>
      <c r="P111" s="30" t="s">
        <v>150</v>
      </c>
      <c r="Q111" s="119"/>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119"/>
      <c r="P112" s="30" t="s">
        <v>150</v>
      </c>
      <c r="Q112" s="119"/>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119"/>
      <c r="P113" s="30" t="s">
        <v>150</v>
      </c>
      <c r="Q113" s="119"/>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119"/>
      <c r="P114" s="30" t="s">
        <v>150</v>
      </c>
      <c r="Q114" s="119"/>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119"/>
      <c r="P115" s="30" t="s">
        <v>150</v>
      </c>
      <c r="Q115" s="119"/>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119"/>
      <c r="P116" s="30" t="s">
        <v>150</v>
      </c>
      <c r="Q116" s="119"/>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119"/>
      <c r="P117" s="30" t="s">
        <v>150</v>
      </c>
      <c r="Q117" s="119"/>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119"/>
      <c r="P118" s="30" t="s">
        <v>150</v>
      </c>
      <c r="Q118" s="119"/>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119"/>
      <c r="P119" s="30" t="s">
        <v>150</v>
      </c>
      <c r="Q119" s="119"/>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119"/>
      <c r="P120" s="30" t="s">
        <v>150</v>
      </c>
      <c r="Q120" s="119"/>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119"/>
      <c r="P121" s="30"/>
      <c r="Q121" s="119"/>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119"/>
      <c r="P122" s="30" t="s">
        <v>150</v>
      </c>
      <c r="Q122" s="119"/>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119"/>
      <c r="P123" s="30" t="s">
        <v>150</v>
      </c>
      <c r="Q123" s="119"/>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119"/>
      <c r="P124" s="30" t="s">
        <v>150</v>
      </c>
      <c r="Q124" s="119"/>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119"/>
      <c r="P125" s="30" t="s">
        <v>150</v>
      </c>
      <c r="Q125" s="119"/>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119"/>
      <c r="P126" s="30" t="s">
        <v>150</v>
      </c>
      <c r="Q126" s="119"/>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128"/>
      <c r="N127" s="30"/>
      <c r="O127" s="119"/>
      <c r="P127" s="30" t="s">
        <v>150</v>
      </c>
      <c r="Q127" s="119"/>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128"/>
      <c r="N128" s="30"/>
      <c r="O128" s="119"/>
      <c r="P128" s="30" t="s">
        <v>150</v>
      </c>
      <c r="Q128" s="119"/>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128"/>
      <c r="N129" s="30"/>
      <c r="O129" s="119"/>
      <c r="P129" s="30" t="s">
        <v>150</v>
      </c>
      <c r="Q129" s="119"/>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128"/>
      <c r="N130" s="30"/>
      <c r="O130" s="119"/>
      <c r="P130" s="30" t="s">
        <v>150</v>
      </c>
      <c r="Q130" s="119"/>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128"/>
      <c r="N131" s="30"/>
      <c r="O131" s="119"/>
      <c r="P131" s="30" t="s">
        <v>150</v>
      </c>
      <c r="Q131" s="119"/>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128"/>
      <c r="N132" s="30"/>
      <c r="O132" s="119"/>
      <c r="P132" s="30" t="s">
        <v>150</v>
      </c>
      <c r="Q132" s="119"/>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128"/>
      <c r="N133" s="30"/>
      <c r="O133" s="119"/>
      <c r="P133" s="30" t="s">
        <v>150</v>
      </c>
      <c r="Q133" s="119"/>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128"/>
      <c r="N134" s="30"/>
      <c r="O134" s="119"/>
      <c r="P134" s="30" t="s">
        <v>150</v>
      </c>
      <c r="Q134" s="119"/>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128"/>
      <c r="N135" s="30"/>
      <c r="O135" s="119"/>
      <c r="P135" s="30" t="s">
        <v>150</v>
      </c>
      <c r="Q135" s="119"/>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128"/>
      <c r="N136" s="30"/>
      <c r="O136" s="119"/>
      <c r="P136" s="30" t="s">
        <v>150</v>
      </c>
      <c r="Q136" s="119"/>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128"/>
      <c r="N137" s="30"/>
      <c r="O137" s="119"/>
      <c r="P137" s="30" t="s">
        <v>150</v>
      </c>
      <c r="Q137" s="119"/>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128"/>
      <c r="N138" s="30"/>
      <c r="O138" s="119"/>
      <c r="P138" s="30" t="s">
        <v>150</v>
      </c>
      <c r="Q138" s="119"/>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128"/>
      <c r="N139" s="30"/>
      <c r="O139" s="119"/>
      <c r="P139" s="30" t="s">
        <v>150</v>
      </c>
      <c r="Q139" s="119"/>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128"/>
      <c r="N140" s="30"/>
      <c r="O140" s="119"/>
      <c r="P140" s="30" t="s">
        <v>150</v>
      </c>
      <c r="Q140" s="119"/>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128"/>
      <c r="N141" s="30"/>
      <c r="O141" s="119"/>
      <c r="P141" s="30" t="s">
        <v>150</v>
      </c>
      <c r="Q141" s="119"/>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128"/>
      <c r="N142" s="30"/>
      <c r="O142" s="119"/>
      <c r="P142" s="30" t="s">
        <v>150</v>
      </c>
      <c r="Q142" s="119"/>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128"/>
      <c r="N143" s="30"/>
      <c r="O143" s="119"/>
      <c r="P143" s="30" t="s">
        <v>150</v>
      </c>
      <c r="Q143" s="119"/>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128"/>
      <c r="N144" s="30"/>
      <c r="O144" s="119"/>
      <c r="P144" s="30" t="s">
        <v>150</v>
      </c>
      <c r="Q144" s="119"/>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128"/>
      <c r="N145" s="30"/>
      <c r="O145" s="119"/>
      <c r="P145" s="30" t="s">
        <v>150</v>
      </c>
      <c r="Q145" s="119"/>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128"/>
      <c r="N146" s="30"/>
      <c r="O146" s="119"/>
      <c r="P146" s="30" t="s">
        <v>150</v>
      </c>
      <c r="Q146" s="119"/>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128"/>
      <c r="N147" s="30"/>
      <c r="O147" s="119"/>
      <c r="P147" s="30" t="s">
        <v>150</v>
      </c>
      <c r="Q147" s="119"/>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128"/>
      <c r="N148" s="30"/>
      <c r="O148" s="119"/>
      <c r="P148" s="30" t="s">
        <v>150</v>
      </c>
      <c r="Q148" s="119"/>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128"/>
      <c r="N149" s="30"/>
      <c r="O149" s="119"/>
      <c r="P149" s="30" t="s">
        <v>150</v>
      </c>
      <c r="Q149" s="119"/>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128"/>
      <c r="N150" s="30"/>
      <c r="O150" s="119"/>
      <c r="P150" s="30" t="s">
        <v>150</v>
      </c>
      <c r="Q150" s="119"/>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128"/>
      <c r="N151" s="30"/>
      <c r="O151" s="119"/>
      <c r="P151" s="30" t="s">
        <v>150</v>
      </c>
      <c r="Q151" s="119"/>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128"/>
      <c r="N152" s="30"/>
      <c r="O152" s="119"/>
      <c r="P152" s="30" t="s">
        <v>150</v>
      </c>
      <c r="Q152" s="119"/>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128"/>
      <c r="N153" s="30"/>
      <c r="O153" s="119"/>
      <c r="P153" s="30" t="s">
        <v>150</v>
      </c>
      <c r="Q153" s="119"/>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128"/>
      <c r="N154" s="30"/>
      <c r="O154" s="119"/>
      <c r="P154" s="30" t="s">
        <v>150</v>
      </c>
      <c r="Q154" s="119"/>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128"/>
      <c r="N155" s="30"/>
      <c r="O155" s="119"/>
      <c r="P155" s="30" t="s">
        <v>150</v>
      </c>
      <c r="Q155" s="119"/>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128"/>
      <c r="N156" s="30"/>
      <c r="O156" s="119"/>
      <c r="P156" s="30" t="s">
        <v>150</v>
      </c>
      <c r="Q156" s="119"/>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128"/>
      <c r="N157" s="30"/>
      <c r="O157" s="119"/>
      <c r="P157" s="30" t="s">
        <v>150</v>
      </c>
      <c r="Q157" s="119"/>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128"/>
      <c r="N158" s="30"/>
      <c r="O158" s="119"/>
      <c r="P158" s="30" t="s">
        <v>150</v>
      </c>
      <c r="Q158" s="119"/>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128"/>
      <c r="N159" s="30"/>
      <c r="O159" s="119"/>
      <c r="P159" s="30" t="s">
        <v>150</v>
      </c>
      <c r="Q159" s="119"/>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128"/>
      <c r="N160" s="30"/>
      <c r="O160" s="119"/>
      <c r="P160" s="30" t="s">
        <v>150</v>
      </c>
      <c r="Q160" s="119"/>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128"/>
      <c r="N161" s="30"/>
      <c r="O161" s="119"/>
      <c r="P161" s="30" t="s">
        <v>150</v>
      </c>
      <c r="Q161" s="119"/>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128"/>
      <c r="N162" s="30"/>
      <c r="O162" s="119"/>
      <c r="P162" s="30" t="s">
        <v>150</v>
      </c>
      <c r="Q162" s="119"/>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128"/>
      <c r="N163" s="30"/>
      <c r="O163" s="119"/>
      <c r="P163" s="30" t="s">
        <v>150</v>
      </c>
      <c r="Q163" s="119"/>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128"/>
      <c r="N164" s="30"/>
      <c r="O164" s="119"/>
      <c r="P164" s="30" t="s">
        <v>150</v>
      </c>
      <c r="Q164" s="119"/>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131"/>
      <c r="N165" s="30"/>
      <c r="O165" s="119"/>
      <c r="P165" s="30" t="s">
        <v>150</v>
      </c>
      <c r="Q165" s="119"/>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131"/>
      <c r="N166" s="30"/>
      <c r="O166" s="119"/>
      <c r="P166" s="30" t="s">
        <v>150</v>
      </c>
      <c r="Q166" s="119"/>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131"/>
      <c r="N167" s="30"/>
      <c r="O167" s="119"/>
      <c r="P167" s="30" t="s">
        <v>150</v>
      </c>
      <c r="Q167" s="119"/>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131"/>
      <c r="N168" s="30"/>
      <c r="O168" s="119"/>
      <c r="P168" s="30" t="s">
        <v>150</v>
      </c>
      <c r="Q168" s="119"/>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131"/>
      <c r="N169" s="30"/>
      <c r="O169" s="119"/>
      <c r="P169" s="30" t="s">
        <v>150</v>
      </c>
      <c r="Q169" s="119"/>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131"/>
      <c r="N170" s="30"/>
      <c r="O170" s="119"/>
      <c r="P170" s="30" t="s">
        <v>150</v>
      </c>
      <c r="Q170" s="119"/>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131"/>
      <c r="N171" s="30"/>
      <c r="O171" s="119"/>
      <c r="P171" s="30" t="s">
        <v>150</v>
      </c>
      <c r="Q171" s="119"/>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131"/>
      <c r="N172" s="30"/>
      <c r="O172" s="119"/>
      <c r="P172" s="30" t="s">
        <v>150</v>
      </c>
      <c r="Q172" s="119"/>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131"/>
      <c r="N173" s="30"/>
      <c r="O173" s="119"/>
      <c r="P173" s="30" t="s">
        <v>150</v>
      </c>
      <c r="Q173" s="119"/>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131"/>
      <c r="N174" s="30"/>
      <c r="O174" s="119"/>
      <c r="P174" s="30" t="s">
        <v>150</v>
      </c>
      <c r="Q174" s="119"/>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131"/>
      <c r="N175" s="30"/>
      <c r="O175" s="119"/>
      <c r="P175" s="30" t="s">
        <v>150</v>
      </c>
      <c r="Q175" s="119"/>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131"/>
      <c r="N176" s="30"/>
      <c r="O176" s="119"/>
      <c r="P176" s="30" t="s">
        <v>150</v>
      </c>
      <c r="Q176" s="119"/>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131"/>
      <c r="N177" s="30"/>
      <c r="O177" s="119"/>
      <c r="P177" s="30" t="s">
        <v>150</v>
      </c>
      <c r="Q177" s="119"/>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131"/>
      <c r="N178" s="30"/>
      <c r="O178" s="119"/>
      <c r="P178" s="30" t="s">
        <v>150</v>
      </c>
      <c r="Q178" s="119"/>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131"/>
      <c r="N179" s="30"/>
      <c r="O179" s="119"/>
      <c r="P179" s="30" t="s">
        <v>150</v>
      </c>
      <c r="Q179" s="119"/>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131"/>
      <c r="N180" s="30"/>
      <c r="O180" s="119"/>
      <c r="P180" s="30" t="s">
        <v>150</v>
      </c>
      <c r="Q180" s="119"/>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131"/>
      <c r="N181" s="30"/>
      <c r="O181" s="119"/>
      <c r="P181" s="30" t="s">
        <v>150</v>
      </c>
      <c r="Q181" s="119"/>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131"/>
      <c r="N182" s="30"/>
      <c r="O182" s="119"/>
      <c r="P182" s="30" t="s">
        <v>150</v>
      </c>
      <c r="Q182" s="119"/>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131"/>
      <c r="N183" s="30"/>
      <c r="O183" s="119"/>
      <c r="P183" s="30" t="s">
        <v>150</v>
      </c>
      <c r="Q183" s="119"/>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131"/>
      <c r="N184" s="30"/>
      <c r="O184" s="119"/>
      <c r="P184" s="30" t="s">
        <v>150</v>
      </c>
      <c r="Q184" s="119"/>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131"/>
      <c r="N185" s="30"/>
      <c r="O185" s="119"/>
      <c r="P185" s="30" t="s">
        <v>150</v>
      </c>
      <c r="Q185" s="119"/>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131"/>
      <c r="N186" s="30"/>
      <c r="O186" s="119"/>
      <c r="P186" s="30" t="s">
        <v>150</v>
      </c>
      <c r="Q186" s="119"/>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131"/>
      <c r="N187" s="30"/>
      <c r="O187" s="119"/>
      <c r="P187" s="30" t="s">
        <v>150</v>
      </c>
      <c r="Q187" s="119"/>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131"/>
      <c r="N188" s="30"/>
      <c r="O188" s="119"/>
      <c r="P188" s="30" t="s">
        <v>150</v>
      </c>
      <c r="Q188" s="119"/>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131"/>
      <c r="N189" s="30"/>
      <c r="O189" s="119"/>
      <c r="P189" s="30" t="s">
        <v>150</v>
      </c>
      <c r="Q189" s="119"/>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t="s">
        <v>150</v>
      </c>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131"/>
      <c r="N191" s="30"/>
      <c r="O191" s="119"/>
      <c r="P191" s="30" t="s">
        <v>150</v>
      </c>
      <c r="Q191" s="119"/>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131"/>
      <c r="N192" s="30"/>
      <c r="O192" s="119"/>
      <c r="P192" s="30" t="s">
        <v>150</v>
      </c>
      <c r="Q192" s="119"/>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131"/>
      <c r="N193" s="30"/>
      <c r="O193" s="119"/>
      <c r="P193" s="30" t="s">
        <v>150</v>
      </c>
      <c r="Q193" s="119"/>
      <c r="R193" s="30"/>
      <c r="S193" s="30"/>
      <c r="T193" s="30"/>
      <c r="U193" s="30"/>
      <c r="V193" s="30"/>
      <c r="W193" s="30"/>
      <c r="X193" s="30"/>
      <c r="Y193" s="30"/>
      <c r="Z193" s="30"/>
    </row>
    <row r="194" ht="13.5" hidden="1" customHeight="1">
      <c r="A194" s="30"/>
      <c r="B194" s="30"/>
      <c r="C194" s="30"/>
      <c r="D194" s="30"/>
      <c r="E194" s="30"/>
      <c r="F194" s="30"/>
      <c r="G194" s="30"/>
      <c r="H194" s="30"/>
      <c r="I194" s="30"/>
      <c r="J194" s="30"/>
      <c r="K194" s="30"/>
      <c r="L194" s="30"/>
      <c r="M194" s="131"/>
      <c r="N194" s="30"/>
      <c r="O194" s="119"/>
      <c r="P194" s="30" t="s">
        <v>150</v>
      </c>
      <c r="Q194" s="119"/>
      <c r="R194" s="30"/>
      <c r="S194" s="30"/>
      <c r="T194" s="30"/>
      <c r="U194" s="30"/>
      <c r="V194" s="30"/>
      <c r="W194" s="30"/>
      <c r="X194" s="30"/>
      <c r="Y194" s="30"/>
      <c r="Z194" s="30"/>
    </row>
    <row r="195" ht="13.5" hidden="1" customHeight="1">
      <c r="A195" s="30"/>
      <c r="B195" s="30"/>
      <c r="C195" s="30"/>
      <c r="D195" s="30"/>
      <c r="E195" s="30"/>
      <c r="F195" s="30"/>
      <c r="G195" s="30"/>
      <c r="H195" s="30"/>
      <c r="I195" s="30"/>
      <c r="J195" s="30"/>
      <c r="K195" s="30"/>
      <c r="L195" s="30"/>
      <c r="M195" s="131"/>
      <c r="N195" s="30"/>
      <c r="O195" s="119"/>
      <c r="P195" s="30" t="s">
        <v>150</v>
      </c>
      <c r="Q195" s="119"/>
      <c r="R195" s="30"/>
      <c r="S195" s="30"/>
      <c r="T195" s="30"/>
      <c r="U195" s="30"/>
      <c r="V195" s="30"/>
      <c r="W195" s="30"/>
      <c r="X195" s="30"/>
      <c r="Y195" s="30"/>
      <c r="Z195" s="30"/>
    </row>
    <row r="196" ht="13.5" hidden="1" customHeight="1">
      <c r="A196" s="30"/>
      <c r="B196" s="30"/>
      <c r="C196" s="30"/>
      <c r="D196" s="30"/>
      <c r="E196" s="30"/>
      <c r="F196" s="30"/>
      <c r="G196" s="30"/>
      <c r="H196" s="30"/>
      <c r="I196" s="30"/>
      <c r="J196" s="30"/>
      <c r="K196" s="30"/>
      <c r="L196" s="30"/>
      <c r="M196" s="131"/>
      <c r="N196" s="30"/>
      <c r="O196" s="119"/>
      <c r="P196" s="30" t="s">
        <v>150</v>
      </c>
      <c r="Q196" s="119"/>
      <c r="R196" s="30"/>
      <c r="S196" s="30"/>
      <c r="T196" s="30"/>
      <c r="U196" s="30"/>
      <c r="V196" s="30"/>
      <c r="W196" s="30"/>
      <c r="X196" s="30"/>
      <c r="Y196" s="30"/>
      <c r="Z196" s="30"/>
    </row>
    <row r="197" ht="13.5" hidden="1" customHeight="1">
      <c r="A197" s="30"/>
      <c r="B197" s="30"/>
      <c r="C197" s="30"/>
      <c r="D197" s="30"/>
      <c r="E197" s="30"/>
      <c r="F197" s="30"/>
      <c r="G197" s="30"/>
      <c r="H197" s="30"/>
      <c r="I197" s="30"/>
      <c r="J197" s="30"/>
      <c r="K197" s="30"/>
      <c r="L197" s="30"/>
      <c r="M197" s="131"/>
      <c r="N197" s="30"/>
      <c r="O197" s="119"/>
      <c r="P197" s="30" t="s">
        <v>150</v>
      </c>
      <c r="Q197" s="119"/>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131"/>
      <c r="N198" s="30"/>
      <c r="O198" s="119"/>
      <c r="P198" s="30" t="s">
        <v>150</v>
      </c>
      <c r="Q198" s="119"/>
      <c r="R198" s="30"/>
      <c r="S198" s="30"/>
      <c r="T198" s="30"/>
      <c r="U198" s="30"/>
      <c r="V198" s="30"/>
      <c r="W198" s="30"/>
      <c r="X198" s="30"/>
      <c r="Y198" s="30"/>
      <c r="Z198" s="30"/>
    </row>
    <row r="199" ht="13.5" customHeight="1">
      <c r="A199" s="30"/>
      <c r="B199" s="67"/>
      <c r="C199" s="215"/>
      <c r="D199" s="215"/>
      <c r="E199" s="215"/>
      <c r="F199" s="143"/>
      <c r="G199" s="216"/>
      <c r="H199" s="216"/>
      <c r="I199" s="216"/>
      <c r="J199" s="216"/>
      <c r="K199" s="216"/>
      <c r="L199" s="216"/>
      <c r="M199" s="131"/>
      <c r="N199" s="30"/>
      <c r="O199" s="119"/>
      <c r="P199" s="30" t="s">
        <v>150</v>
      </c>
      <c r="Q199" s="119"/>
      <c r="R199" s="30"/>
      <c r="S199" s="30"/>
      <c r="T199" s="30"/>
      <c r="U199" s="30"/>
      <c r="V199" s="30"/>
      <c r="W199" s="30"/>
      <c r="X199" s="30"/>
      <c r="Y199" s="30"/>
      <c r="Z199" s="30"/>
    </row>
    <row r="200" ht="13.5" customHeight="1">
      <c r="A200" s="30"/>
      <c r="B200" s="30"/>
      <c r="C200" s="30"/>
      <c r="D200" s="30"/>
      <c r="E200" s="30"/>
      <c r="F200" s="143"/>
      <c r="G200" s="211"/>
      <c r="H200" s="211"/>
      <c r="I200" s="211"/>
      <c r="J200" s="211"/>
      <c r="K200" s="211"/>
      <c r="L200" s="211"/>
      <c r="M200" s="131"/>
      <c r="N200" s="30"/>
      <c r="O200" s="30"/>
      <c r="P200" s="30" t="s">
        <v>150</v>
      </c>
      <c r="Q200" s="30"/>
      <c r="R200" s="30"/>
      <c r="S200" s="30"/>
      <c r="T200" s="30"/>
      <c r="U200" s="30"/>
      <c r="V200" s="30"/>
      <c r="W200" s="30"/>
      <c r="X200" s="30"/>
      <c r="Y200" s="30"/>
      <c r="Z200" s="30"/>
    </row>
    <row r="201" ht="13.5" customHeight="1">
      <c r="A201" s="30" t="s">
        <v>150</v>
      </c>
      <c r="B201" s="30" t="s">
        <v>150</v>
      </c>
      <c r="C201" s="30" t="s">
        <v>150</v>
      </c>
      <c r="D201" s="30"/>
      <c r="E201" s="30" t="s">
        <v>150</v>
      </c>
      <c r="F201" s="141" t="s">
        <v>150</v>
      </c>
      <c r="G201" s="30" t="s">
        <v>150</v>
      </c>
      <c r="H201" s="30" t="s">
        <v>150</v>
      </c>
      <c r="I201" s="30" t="s">
        <v>150</v>
      </c>
      <c r="J201" s="30" t="s">
        <v>150</v>
      </c>
      <c r="K201" s="30" t="s">
        <v>150</v>
      </c>
      <c r="L201" s="30" t="s">
        <v>150</v>
      </c>
      <c r="M201" s="131" t="s">
        <v>150</v>
      </c>
      <c r="N201" s="30" t="s">
        <v>150</v>
      </c>
      <c r="O201" s="30" t="s">
        <v>150</v>
      </c>
      <c r="P201" s="30" t="s">
        <v>150</v>
      </c>
      <c r="Q201" s="30" t="s">
        <v>150</v>
      </c>
      <c r="R201" s="30"/>
      <c r="S201" s="30"/>
      <c r="T201" s="30"/>
      <c r="U201" s="30"/>
      <c r="V201" s="30"/>
      <c r="W201" s="30"/>
      <c r="X201" s="30"/>
      <c r="Y201" s="30"/>
      <c r="Z201" s="30"/>
    </row>
    <row r="202" ht="13.5" customHeight="1">
      <c r="A202" s="30" t="s">
        <v>150</v>
      </c>
      <c r="B202" s="30" t="s">
        <v>150</v>
      </c>
      <c r="C202" s="30" t="s">
        <v>150</v>
      </c>
      <c r="D202" s="30"/>
      <c r="E202" s="30" t="s">
        <v>150</v>
      </c>
      <c r="F202" s="141" t="s">
        <v>150</v>
      </c>
      <c r="G202" s="30" t="s">
        <v>150</v>
      </c>
      <c r="H202" s="30" t="s">
        <v>150</v>
      </c>
      <c r="I202" s="30" t="s">
        <v>150</v>
      </c>
      <c r="J202" s="30" t="s">
        <v>150</v>
      </c>
      <c r="K202" s="30" t="s">
        <v>150</v>
      </c>
      <c r="L202" s="30" t="s">
        <v>150</v>
      </c>
      <c r="M202" s="131" t="s">
        <v>150</v>
      </c>
      <c r="N202" s="30" t="s">
        <v>150</v>
      </c>
      <c r="O202" s="30" t="s">
        <v>150</v>
      </c>
      <c r="P202" s="30" t="s">
        <v>150</v>
      </c>
      <c r="Q202" s="30" t="s">
        <v>150</v>
      </c>
      <c r="R202" s="30"/>
      <c r="S202" s="30"/>
      <c r="T202" s="30"/>
      <c r="U202" s="30"/>
      <c r="V202" s="30"/>
      <c r="W202" s="30"/>
      <c r="X202" s="30"/>
      <c r="Y202" s="30"/>
      <c r="Z202" s="30"/>
    </row>
    <row r="203" ht="13.5" customHeight="1">
      <c r="A203" s="30"/>
      <c r="B203" s="30"/>
      <c r="C203" s="30"/>
      <c r="D203" s="30"/>
      <c r="E203" s="30"/>
      <c r="F203" s="141"/>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141"/>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141"/>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141"/>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conditionalFormatting sqref="E1">
    <cfRule type="expression" dxfId="2" priority="1" stopIfTrue="1">
      <formula>MOD(ROW(),2)=0</formula>
    </cfRule>
  </conditionalFormatting>
  <conditionalFormatting sqref="L1">
    <cfRule type="expression" dxfId="2" priority="2" stopIfTrue="1">
      <formula>MOD(ROW(),2)=0</formula>
    </cfRule>
  </conditionalFormatting>
  <conditionalFormatting sqref="N55">
    <cfRule type="cellIs" dxfId="1" priority="3" stopIfTrue="1" operator="equal">
      <formula>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rowBreaks count="1" manualBreakCount="1">
    <brk id="58" man="1"/>
  </rowBreak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4.71"/>
    <col customWidth="1" min="2" max="2" width="28.71"/>
    <col customWidth="1" min="3" max="3" width="12.29"/>
    <col customWidth="1" min="4" max="4" width="11.43"/>
    <col customWidth="1" min="5" max="6" width="13.71"/>
    <col customWidth="1" min="7" max="7" width="14.29"/>
    <col customWidth="1" min="8" max="8" width="14.0"/>
    <col customWidth="1" min="9" max="15" width="12.71"/>
    <col customWidth="1" min="16" max="17" width="13.29"/>
    <col customWidth="1" min="18" max="18" width="14.43"/>
    <col customWidth="1" min="19" max="19" width="2.43"/>
    <col customWidth="1" min="20" max="20" width="3.71"/>
    <col customWidth="1" min="21" max="21" width="58.71"/>
    <col customWidth="1" min="22" max="22" width="9.29"/>
    <col customWidth="1" min="23" max="41" width="4.0"/>
  </cols>
  <sheetData>
    <row r="1" ht="13.5" customHeight="1">
      <c r="A1" s="217" t="s">
        <v>245</v>
      </c>
      <c r="B1" s="217"/>
      <c r="C1" s="218"/>
      <c r="D1" s="219" t="s">
        <v>3</v>
      </c>
      <c r="E1" s="30"/>
      <c r="F1" s="67"/>
      <c r="G1" s="67"/>
      <c r="H1" s="67"/>
      <c r="I1" s="67"/>
      <c r="J1" s="67"/>
      <c r="K1" s="67"/>
      <c r="L1" s="67"/>
      <c r="M1" s="30"/>
      <c r="N1" s="30"/>
      <c r="O1" s="30"/>
      <c r="P1" s="95"/>
      <c r="Q1" s="95"/>
      <c r="R1" s="30"/>
      <c r="S1" s="30"/>
      <c r="T1" s="30"/>
      <c r="U1" s="30"/>
      <c r="V1" s="30"/>
      <c r="W1" s="220"/>
      <c r="X1" s="220"/>
      <c r="Y1" s="220"/>
      <c r="Z1" s="220"/>
      <c r="AA1" s="220"/>
      <c r="AB1" s="220"/>
      <c r="AC1" s="220"/>
      <c r="AD1" s="220"/>
      <c r="AE1" s="220"/>
      <c r="AF1" s="220"/>
      <c r="AG1" s="220"/>
      <c r="AH1" s="220"/>
      <c r="AI1" s="220"/>
      <c r="AJ1" s="220"/>
      <c r="AK1" s="220"/>
      <c r="AL1" s="220"/>
      <c r="AM1" s="220"/>
      <c r="AN1" s="220"/>
      <c r="AO1" s="220"/>
    </row>
    <row r="2" ht="13.5" customHeight="1">
      <c r="A2" s="96" t="str">
        <f>SchoolName</f>
        <v>Explore Knowledge Academy</v>
      </c>
      <c r="B2" s="96"/>
      <c r="C2" s="221"/>
      <c r="D2" s="30"/>
      <c r="E2" s="30"/>
      <c r="F2" s="67"/>
      <c r="G2" s="67"/>
      <c r="H2" s="67"/>
      <c r="I2" s="67"/>
      <c r="J2" s="67"/>
      <c r="K2" s="67"/>
      <c r="L2" s="67"/>
      <c r="M2" s="30"/>
      <c r="N2" s="30"/>
      <c r="O2" s="30"/>
      <c r="P2" s="30"/>
      <c r="Q2" s="30"/>
      <c r="R2" s="30"/>
      <c r="S2" s="30"/>
      <c r="T2" s="30"/>
      <c r="U2" s="30"/>
      <c r="V2" s="30"/>
      <c r="W2" s="220"/>
      <c r="X2" s="220"/>
      <c r="Y2" s="220"/>
      <c r="Z2" s="220"/>
      <c r="AA2" s="220"/>
      <c r="AB2" s="220"/>
      <c r="AC2" s="220"/>
      <c r="AD2" s="220"/>
      <c r="AE2" s="220"/>
      <c r="AF2" s="220"/>
      <c r="AG2" s="220"/>
      <c r="AH2" s="220"/>
      <c r="AI2" s="220"/>
      <c r="AJ2" s="220"/>
      <c r="AK2" s="220"/>
      <c r="AL2" s="220"/>
      <c r="AM2" s="220"/>
      <c r="AN2" s="220"/>
      <c r="AO2" s="220"/>
    </row>
    <row r="3" ht="13.5" customHeight="1">
      <c r="A3" s="95" t="s">
        <v>134</v>
      </c>
      <c r="B3" s="95"/>
      <c r="C3" s="95"/>
      <c r="D3" s="95"/>
      <c r="E3" s="30"/>
      <c r="F3" s="30"/>
      <c r="G3" s="30"/>
      <c r="H3" s="30"/>
      <c r="I3" s="30"/>
      <c r="J3" s="30"/>
      <c r="K3" s="30"/>
      <c r="L3" s="67"/>
      <c r="M3" s="30"/>
      <c r="N3" s="30"/>
      <c r="O3" s="30"/>
      <c r="P3" s="30"/>
      <c r="Q3" s="30"/>
      <c r="R3" s="30"/>
      <c r="S3" s="30"/>
      <c r="T3" s="30"/>
      <c r="U3" s="30"/>
      <c r="V3" s="30"/>
      <c r="W3" s="220"/>
      <c r="X3" s="220"/>
      <c r="Y3" s="220"/>
      <c r="Z3" s="220"/>
      <c r="AA3" s="220"/>
      <c r="AB3" s="220"/>
      <c r="AC3" s="220"/>
      <c r="AD3" s="220"/>
      <c r="AE3" s="220"/>
      <c r="AF3" s="220"/>
      <c r="AG3" s="220"/>
      <c r="AH3" s="220"/>
      <c r="AI3" s="220"/>
      <c r="AJ3" s="220"/>
      <c r="AK3" s="220"/>
      <c r="AL3" s="220"/>
      <c r="AM3" s="220"/>
      <c r="AN3" s="220"/>
      <c r="AO3" s="220"/>
    </row>
    <row r="4" ht="13.5" customHeight="1">
      <c r="A4" s="222" t="s">
        <v>135</v>
      </c>
      <c r="B4" s="222"/>
      <c r="C4" s="222"/>
      <c r="D4" s="222"/>
      <c r="E4" s="30"/>
      <c r="F4" s="30"/>
      <c r="G4" s="30"/>
      <c r="H4" s="30"/>
      <c r="I4" s="30"/>
      <c r="J4" s="30"/>
      <c r="K4" s="30"/>
      <c r="L4" s="67"/>
      <c r="M4" s="30"/>
      <c r="N4" s="30"/>
      <c r="O4" s="30"/>
      <c r="P4" s="30"/>
      <c r="Q4" s="30"/>
      <c r="R4" s="30"/>
      <c r="S4" s="30"/>
      <c r="T4" s="30"/>
      <c r="U4" s="30"/>
      <c r="V4" s="30"/>
      <c r="W4" s="220"/>
      <c r="X4" s="220"/>
      <c r="Y4" s="220"/>
      <c r="Z4" s="220"/>
      <c r="AA4" s="220"/>
      <c r="AB4" s="220"/>
      <c r="AC4" s="220"/>
      <c r="AD4" s="220"/>
      <c r="AE4" s="220"/>
      <c r="AF4" s="220"/>
      <c r="AG4" s="220"/>
      <c r="AH4" s="220"/>
      <c r="AI4" s="220"/>
      <c r="AJ4" s="220"/>
      <c r="AK4" s="220"/>
      <c r="AL4" s="220"/>
      <c r="AM4" s="220"/>
      <c r="AN4" s="220"/>
      <c r="AO4" s="220"/>
    </row>
    <row r="5" ht="13.5" customHeight="1">
      <c r="A5" s="98" t="str">
        <f>CELL("filename")</f>
        <v>#N/A</v>
      </c>
      <c r="B5" s="98"/>
      <c r="C5" s="98"/>
      <c r="D5" s="98"/>
      <c r="E5" s="30"/>
      <c r="F5" s="30"/>
      <c r="G5" s="30"/>
      <c r="H5" s="30"/>
      <c r="I5" s="30"/>
      <c r="J5" s="30"/>
      <c r="K5" s="30"/>
      <c r="L5" s="67"/>
      <c r="M5" s="30"/>
      <c r="N5" s="30"/>
      <c r="O5" s="30"/>
      <c r="P5" s="30"/>
      <c r="Q5" s="30"/>
      <c r="R5" s="30"/>
      <c r="S5" s="30"/>
      <c r="T5" s="30"/>
      <c r="U5" s="30"/>
      <c r="V5" s="30"/>
      <c r="W5" s="220"/>
      <c r="X5" s="220"/>
      <c r="Y5" s="220"/>
      <c r="Z5" s="220"/>
      <c r="AA5" s="220"/>
      <c r="AB5" s="220"/>
      <c r="AC5" s="220"/>
      <c r="AD5" s="220"/>
      <c r="AE5" s="220"/>
      <c r="AF5" s="220"/>
      <c r="AG5" s="220"/>
      <c r="AH5" s="220"/>
      <c r="AI5" s="220"/>
      <c r="AJ5" s="220"/>
      <c r="AK5" s="220"/>
      <c r="AL5" s="220"/>
      <c r="AM5" s="220"/>
      <c r="AN5" s="220"/>
      <c r="AO5" s="220"/>
    </row>
    <row r="6" ht="13.5" customHeight="1">
      <c r="A6" s="30"/>
      <c r="B6" s="30"/>
      <c r="C6" s="30"/>
      <c r="D6" s="30"/>
      <c r="E6" s="30"/>
      <c r="F6" s="30"/>
      <c r="G6" s="30"/>
      <c r="H6" s="30"/>
      <c r="I6" s="30"/>
      <c r="J6" s="30"/>
      <c r="K6" s="30"/>
      <c r="L6" s="30"/>
      <c r="M6" s="30"/>
      <c r="N6" s="30"/>
      <c r="O6" s="30"/>
      <c r="P6" s="30"/>
      <c r="Q6" s="30"/>
      <c r="R6" s="30"/>
      <c r="S6" s="30"/>
      <c r="T6" s="30"/>
      <c r="U6" s="30"/>
      <c r="V6" s="30"/>
      <c r="W6" s="220"/>
      <c r="X6" s="220"/>
      <c r="Y6" s="220"/>
      <c r="Z6" s="220"/>
      <c r="AA6" s="220"/>
      <c r="AB6" s="220"/>
      <c r="AC6" s="220"/>
      <c r="AD6" s="220"/>
      <c r="AE6" s="220"/>
      <c r="AF6" s="220"/>
      <c r="AG6" s="220"/>
      <c r="AH6" s="220"/>
      <c r="AI6" s="220"/>
      <c r="AJ6" s="220"/>
      <c r="AK6" s="220"/>
      <c r="AL6" s="220"/>
      <c r="AM6" s="220"/>
      <c r="AN6" s="220"/>
      <c r="AO6" s="220"/>
    </row>
    <row r="7" ht="13.5" customHeight="1">
      <c r="A7" s="30"/>
      <c r="B7" s="223" t="s">
        <v>246</v>
      </c>
      <c r="C7" s="223"/>
      <c r="D7" s="223"/>
      <c r="E7" s="224">
        <f>' Enrol &amp; Rev'!G10</f>
        <v>2025</v>
      </c>
      <c r="F7" s="225" t="s">
        <v>247</v>
      </c>
      <c r="G7" s="30"/>
      <c r="H7" s="30"/>
      <c r="I7" s="30"/>
      <c r="J7" s="30"/>
      <c r="K7" s="30"/>
      <c r="L7" s="30"/>
      <c r="M7" s="226"/>
      <c r="N7" s="226"/>
      <c r="O7" s="226"/>
      <c r="P7" s="226"/>
      <c r="Q7" s="226"/>
      <c r="R7" s="226"/>
      <c r="S7" s="30"/>
      <c r="T7" s="30"/>
      <c r="U7" s="30"/>
      <c r="V7" s="30"/>
      <c r="W7" s="220"/>
      <c r="X7" s="220"/>
      <c r="Y7" s="220"/>
      <c r="Z7" s="220"/>
      <c r="AA7" s="220"/>
      <c r="AB7" s="220"/>
      <c r="AC7" s="220"/>
      <c r="AD7" s="220"/>
      <c r="AE7" s="220"/>
      <c r="AF7" s="220"/>
      <c r="AG7" s="220"/>
      <c r="AH7" s="220"/>
      <c r="AI7" s="220"/>
      <c r="AJ7" s="220"/>
      <c r="AK7" s="220"/>
      <c r="AL7" s="220"/>
      <c r="AM7" s="220"/>
      <c r="AN7" s="220"/>
      <c r="AO7" s="220"/>
    </row>
    <row r="8" ht="13.5" customHeight="1">
      <c r="A8" s="30"/>
      <c r="B8" s="223" t="s">
        <v>248</v>
      </c>
      <c r="C8" s="223"/>
      <c r="D8" s="223"/>
      <c r="E8" s="224">
        <f>' Enrol &amp; Rev'!G11</f>
        <v>2026</v>
      </c>
      <c r="F8" s="164" t="s">
        <v>249</v>
      </c>
      <c r="G8" s="227"/>
      <c r="H8" s="30"/>
      <c r="I8" s="30"/>
      <c r="J8" s="30"/>
      <c r="K8" s="30"/>
      <c r="L8" s="227"/>
      <c r="M8" s="227"/>
      <c r="N8" s="227"/>
      <c r="O8" s="227"/>
      <c r="P8" s="227"/>
      <c r="Q8" s="227"/>
      <c r="R8" s="227"/>
      <c r="S8" s="30"/>
      <c r="T8" s="30"/>
      <c r="U8" s="30"/>
      <c r="V8" s="30"/>
      <c r="W8" s="220"/>
      <c r="X8" s="220"/>
      <c r="Y8" s="220"/>
      <c r="Z8" s="220"/>
      <c r="AA8" s="220"/>
      <c r="AB8" s="220"/>
      <c r="AC8" s="220"/>
      <c r="AD8" s="220"/>
      <c r="AE8" s="220"/>
      <c r="AF8" s="220"/>
      <c r="AG8" s="220"/>
      <c r="AH8" s="220"/>
      <c r="AI8" s="220"/>
      <c r="AJ8" s="220"/>
      <c r="AK8" s="220"/>
      <c r="AL8" s="220"/>
      <c r="AM8" s="220"/>
      <c r="AN8" s="220"/>
      <c r="AO8" s="220"/>
    </row>
    <row r="9" ht="13.5" customHeight="1">
      <c r="A9" s="30"/>
      <c r="B9" s="223" t="s">
        <v>250</v>
      </c>
      <c r="C9" s="223"/>
      <c r="D9" s="223"/>
      <c r="E9" s="228">
        <v>0.0125</v>
      </c>
      <c r="F9" s="229">
        <v>1.0</v>
      </c>
      <c r="G9" s="230">
        <f t="shared" ref="G9:Q9" si="1">1+F9</f>
        <v>2</v>
      </c>
      <c r="H9" s="230">
        <f t="shared" si="1"/>
        <v>3</v>
      </c>
      <c r="I9" s="230">
        <f t="shared" si="1"/>
        <v>4</v>
      </c>
      <c r="J9" s="230">
        <f t="shared" si="1"/>
        <v>5</v>
      </c>
      <c r="K9" s="230">
        <f t="shared" si="1"/>
        <v>6</v>
      </c>
      <c r="L9" s="230">
        <f t="shared" si="1"/>
        <v>7</v>
      </c>
      <c r="M9" s="230">
        <f t="shared" si="1"/>
        <v>8</v>
      </c>
      <c r="N9" s="230">
        <f t="shared" si="1"/>
        <v>9</v>
      </c>
      <c r="O9" s="230">
        <f t="shared" si="1"/>
        <v>10</v>
      </c>
      <c r="P9" s="230">
        <f t="shared" si="1"/>
        <v>11</v>
      </c>
      <c r="Q9" s="230">
        <f t="shared" si="1"/>
        <v>12</v>
      </c>
      <c r="R9" s="231" t="s">
        <v>251</v>
      </c>
      <c r="S9" s="30"/>
      <c r="T9" s="30"/>
      <c r="U9" s="30"/>
      <c r="V9" s="30"/>
      <c r="W9" s="220"/>
      <c r="X9" s="220"/>
      <c r="Y9" s="220"/>
      <c r="Z9" s="220"/>
      <c r="AA9" s="220"/>
      <c r="AB9" s="220"/>
      <c r="AC9" s="220"/>
      <c r="AD9" s="220"/>
      <c r="AE9" s="220"/>
      <c r="AF9" s="220"/>
      <c r="AG9" s="220"/>
      <c r="AH9" s="220"/>
      <c r="AI9" s="220"/>
      <c r="AJ9" s="220"/>
      <c r="AK9" s="220"/>
      <c r="AL9" s="220"/>
      <c r="AM9" s="220"/>
      <c r="AN9" s="220"/>
      <c r="AO9" s="220"/>
    </row>
    <row r="10" ht="13.5" customHeight="1">
      <c r="A10" s="30"/>
      <c r="B10" s="67" t="s">
        <v>252</v>
      </c>
      <c r="C10" s="67"/>
      <c r="D10" s="67"/>
      <c r="E10" s="226"/>
      <c r="F10" s="232"/>
      <c r="G10" s="233"/>
      <c r="H10" s="234" t="s">
        <v>253</v>
      </c>
      <c r="I10" s="233"/>
      <c r="J10" s="235"/>
      <c r="K10" s="234" t="s">
        <v>253</v>
      </c>
      <c r="L10" s="235"/>
      <c r="M10" s="235"/>
      <c r="N10" s="234" t="s">
        <v>253</v>
      </c>
      <c r="O10" s="235"/>
      <c r="P10" s="235"/>
      <c r="Q10" s="234" t="s">
        <v>253</v>
      </c>
      <c r="R10" s="236" t="s">
        <v>254</v>
      </c>
      <c r="S10" s="30"/>
      <c r="T10" s="30"/>
      <c r="U10" s="30"/>
      <c r="V10" s="30"/>
      <c r="W10" s="220"/>
      <c r="X10" s="220"/>
      <c r="Y10" s="220"/>
      <c r="Z10" s="220"/>
      <c r="AA10" s="220"/>
      <c r="AB10" s="220"/>
      <c r="AC10" s="220"/>
      <c r="AD10" s="220"/>
      <c r="AE10" s="220"/>
      <c r="AF10" s="220"/>
      <c r="AG10" s="220"/>
      <c r="AH10" s="220"/>
      <c r="AI10" s="220"/>
      <c r="AJ10" s="220"/>
      <c r="AK10" s="220"/>
      <c r="AL10" s="220"/>
      <c r="AM10" s="220"/>
      <c r="AN10" s="220"/>
      <c r="AO10" s="220"/>
    </row>
    <row r="11" ht="15.0" customHeight="1">
      <c r="A11" s="30"/>
      <c r="B11" s="30"/>
      <c r="C11" s="237" t="s">
        <v>255</v>
      </c>
      <c r="D11" s="238"/>
      <c r="E11" s="239" t="s">
        <v>256</v>
      </c>
      <c r="F11" s="240" t="s">
        <v>257</v>
      </c>
      <c r="G11" s="240" t="s">
        <v>257</v>
      </c>
      <c r="H11" s="241" t="s">
        <v>257</v>
      </c>
      <c r="I11" s="240" t="s">
        <v>257</v>
      </c>
      <c r="J11" s="240" t="s">
        <v>257</v>
      </c>
      <c r="K11" s="241" t="s">
        <v>257</v>
      </c>
      <c r="L11" s="240" t="s">
        <v>257</v>
      </c>
      <c r="M11" s="240" t="s">
        <v>257</v>
      </c>
      <c r="N11" s="241" t="s">
        <v>257</v>
      </c>
      <c r="O11" s="240" t="s">
        <v>257</v>
      </c>
      <c r="P11" s="240" t="s">
        <v>257</v>
      </c>
      <c r="Q11" s="241" t="s">
        <v>257</v>
      </c>
      <c r="R11" s="242" t="s">
        <v>257</v>
      </c>
      <c r="S11" s="30"/>
      <c r="T11" s="30"/>
      <c r="U11" s="30"/>
      <c r="V11" s="30"/>
      <c r="W11" s="220"/>
      <c r="X11" s="220"/>
      <c r="Y11" s="220"/>
      <c r="Z11" s="220"/>
      <c r="AA11" s="220"/>
      <c r="AB11" s="220"/>
      <c r="AC11" s="220"/>
      <c r="AD11" s="220"/>
      <c r="AE11" s="220"/>
      <c r="AF11" s="220"/>
      <c r="AG11" s="220"/>
      <c r="AH11" s="220"/>
      <c r="AI11" s="220"/>
      <c r="AJ11" s="220"/>
      <c r="AK11" s="220"/>
      <c r="AL11" s="220"/>
      <c r="AM11" s="220"/>
      <c r="AN11" s="220"/>
      <c r="AO11" s="220"/>
    </row>
    <row r="12" ht="13.5" customHeight="1">
      <c r="A12" s="30"/>
      <c r="B12" s="95"/>
      <c r="C12" s="243" t="s">
        <v>258</v>
      </c>
      <c r="D12" s="244" t="s">
        <v>259</v>
      </c>
      <c r="E12" s="245">
        <f>+E8</f>
        <v>2026</v>
      </c>
      <c r="F12" s="246">
        <v>44378.0</v>
      </c>
      <c r="G12" s="246">
        <v>44409.0</v>
      </c>
      <c r="H12" s="247">
        <v>44440.0</v>
      </c>
      <c r="I12" s="246">
        <v>44470.0</v>
      </c>
      <c r="J12" s="246">
        <v>44501.0</v>
      </c>
      <c r="K12" s="247">
        <v>44531.0</v>
      </c>
      <c r="L12" s="246">
        <v>44197.0</v>
      </c>
      <c r="M12" s="246">
        <v>44228.0</v>
      </c>
      <c r="N12" s="247">
        <v>44256.0</v>
      </c>
      <c r="O12" s="246">
        <v>44287.0</v>
      </c>
      <c r="P12" s="246">
        <v>44317.0</v>
      </c>
      <c r="Q12" s="247">
        <v>44348.0</v>
      </c>
      <c r="R12" s="248">
        <v>44378.0</v>
      </c>
      <c r="S12" s="30"/>
      <c r="T12" s="30"/>
      <c r="U12" s="36" t="s">
        <v>260</v>
      </c>
      <c r="V12" s="30"/>
      <c r="W12" s="220"/>
      <c r="X12" s="220"/>
      <c r="Y12" s="220"/>
      <c r="Z12" s="220"/>
      <c r="AA12" s="220"/>
      <c r="AB12" s="220"/>
      <c r="AC12" s="220"/>
      <c r="AD12" s="220"/>
      <c r="AE12" s="220"/>
      <c r="AF12" s="220"/>
      <c r="AG12" s="220"/>
      <c r="AH12" s="220"/>
      <c r="AI12" s="220"/>
      <c r="AJ12" s="220"/>
      <c r="AK12" s="220"/>
      <c r="AL12" s="220"/>
      <c r="AM12" s="220"/>
      <c r="AN12" s="220"/>
      <c r="AO12" s="220"/>
    </row>
    <row r="13" ht="13.5" customHeight="1">
      <c r="A13" s="30"/>
      <c r="B13" s="95"/>
      <c r="C13" s="249"/>
      <c r="D13" s="249"/>
      <c r="E13" s="250" t="s">
        <v>261</v>
      </c>
      <c r="F13" s="251">
        <v>7.0</v>
      </c>
      <c r="G13" s="251">
        <f t="shared" ref="G13:K13" si="2">+F13+1</f>
        <v>8</v>
      </c>
      <c r="H13" s="251">
        <f t="shared" si="2"/>
        <v>9</v>
      </c>
      <c r="I13" s="251">
        <f t="shared" si="2"/>
        <v>10</v>
      </c>
      <c r="J13" s="251">
        <f t="shared" si="2"/>
        <v>11</v>
      </c>
      <c r="K13" s="251">
        <f t="shared" si="2"/>
        <v>12</v>
      </c>
      <c r="L13" s="251">
        <v>1.0</v>
      </c>
      <c r="M13" s="251">
        <f t="shared" ref="M13:R13" si="3">+L13+1</f>
        <v>2</v>
      </c>
      <c r="N13" s="251">
        <f t="shared" si="3"/>
        <v>3</v>
      </c>
      <c r="O13" s="251">
        <f t="shared" si="3"/>
        <v>4</v>
      </c>
      <c r="P13" s="251">
        <f t="shared" si="3"/>
        <v>5</v>
      </c>
      <c r="Q13" s="251">
        <f t="shared" si="3"/>
        <v>6</v>
      </c>
      <c r="R13" s="251">
        <f t="shared" si="3"/>
        <v>7</v>
      </c>
      <c r="S13" s="30"/>
      <c r="T13" s="30"/>
      <c r="U13" s="63"/>
      <c r="V13" s="30"/>
      <c r="W13" s="220"/>
      <c r="X13" s="220"/>
      <c r="Y13" s="220"/>
      <c r="Z13" s="220"/>
      <c r="AA13" s="220"/>
      <c r="AB13" s="220"/>
      <c r="AC13" s="220"/>
      <c r="AD13" s="220"/>
      <c r="AE13" s="220"/>
      <c r="AF13" s="220"/>
      <c r="AG13" s="220"/>
      <c r="AH13" s="220"/>
      <c r="AI13" s="220"/>
      <c r="AJ13" s="220"/>
      <c r="AK13" s="220"/>
      <c r="AL13" s="220"/>
      <c r="AM13" s="220"/>
      <c r="AN13" s="220"/>
      <c r="AO13" s="220"/>
    </row>
    <row r="14" ht="13.5" customHeight="1">
      <c r="A14" s="30"/>
      <c r="B14" s="95"/>
      <c r="C14" s="249"/>
      <c r="D14" s="249"/>
      <c r="E14" s="250" t="s">
        <v>262</v>
      </c>
      <c r="F14" s="252">
        <f t="shared" ref="F14:K14" si="4">DATE($E$12-1,F13,1)</f>
        <v>45839</v>
      </c>
      <c r="G14" s="252">
        <f t="shared" si="4"/>
        <v>45870</v>
      </c>
      <c r="H14" s="252">
        <f t="shared" si="4"/>
        <v>45901</v>
      </c>
      <c r="I14" s="252">
        <f t="shared" si="4"/>
        <v>45931</v>
      </c>
      <c r="J14" s="252">
        <f t="shared" si="4"/>
        <v>45962</v>
      </c>
      <c r="K14" s="252">
        <f t="shared" si="4"/>
        <v>45992</v>
      </c>
      <c r="L14" s="252">
        <f t="shared" ref="L14:R14" si="5">DATE($E$12,L13,1)</f>
        <v>46023</v>
      </c>
      <c r="M14" s="252">
        <f t="shared" si="5"/>
        <v>46054</v>
      </c>
      <c r="N14" s="252">
        <f t="shared" si="5"/>
        <v>46082</v>
      </c>
      <c r="O14" s="252">
        <f t="shared" si="5"/>
        <v>46113</v>
      </c>
      <c r="P14" s="252">
        <f t="shared" si="5"/>
        <v>46143</v>
      </c>
      <c r="Q14" s="252">
        <f t="shared" si="5"/>
        <v>46174</v>
      </c>
      <c r="R14" s="252">
        <f t="shared" si="5"/>
        <v>46204</v>
      </c>
      <c r="S14" s="30"/>
      <c r="T14" s="30"/>
      <c r="U14" s="63"/>
      <c r="V14" s="30"/>
      <c r="W14" s="220"/>
      <c r="X14" s="220"/>
      <c r="Y14" s="220"/>
      <c r="Z14" s="220"/>
      <c r="AA14" s="220"/>
      <c r="AB14" s="220"/>
      <c r="AC14" s="220"/>
      <c r="AD14" s="220"/>
      <c r="AE14" s="220"/>
      <c r="AF14" s="220"/>
      <c r="AG14" s="220"/>
      <c r="AH14" s="220"/>
      <c r="AI14" s="220"/>
      <c r="AJ14" s="220"/>
      <c r="AK14" s="220"/>
      <c r="AL14" s="220"/>
      <c r="AM14" s="220"/>
      <c r="AN14" s="220"/>
      <c r="AO14" s="220"/>
    </row>
    <row r="15" ht="13.5" customHeight="1">
      <c r="A15" s="30"/>
      <c r="B15" s="95"/>
      <c r="C15" s="249"/>
      <c r="D15" s="249"/>
      <c r="E15" s="253" t="s">
        <v>263</v>
      </c>
      <c r="F15" s="254">
        <f t="shared" ref="F15:Q15" si="6">+G14-F14</f>
        <v>31</v>
      </c>
      <c r="G15" s="254">
        <f t="shared" si="6"/>
        <v>31</v>
      </c>
      <c r="H15" s="254">
        <f t="shared" si="6"/>
        <v>30</v>
      </c>
      <c r="I15" s="254">
        <f t="shared" si="6"/>
        <v>31</v>
      </c>
      <c r="J15" s="254">
        <f t="shared" si="6"/>
        <v>30</v>
      </c>
      <c r="K15" s="254">
        <f t="shared" si="6"/>
        <v>31</v>
      </c>
      <c r="L15" s="254">
        <f t="shared" si="6"/>
        <v>31</v>
      </c>
      <c r="M15" s="254">
        <f t="shared" si="6"/>
        <v>28</v>
      </c>
      <c r="N15" s="254">
        <f t="shared" si="6"/>
        <v>31</v>
      </c>
      <c r="O15" s="254">
        <f t="shared" si="6"/>
        <v>30</v>
      </c>
      <c r="P15" s="254">
        <f t="shared" si="6"/>
        <v>31</v>
      </c>
      <c r="Q15" s="254">
        <f t="shared" si="6"/>
        <v>30</v>
      </c>
      <c r="R15" s="254">
        <f>DATE($E$12,7,1)-R14</f>
        <v>0</v>
      </c>
      <c r="S15" s="30"/>
      <c r="T15" s="30"/>
      <c r="U15" s="63"/>
      <c r="V15" s="30"/>
      <c r="W15" s="220"/>
      <c r="X15" s="220"/>
      <c r="Y15" s="220"/>
      <c r="Z15" s="220"/>
      <c r="AA15" s="220"/>
      <c r="AB15" s="220"/>
      <c r="AC15" s="220"/>
      <c r="AD15" s="220"/>
      <c r="AE15" s="220"/>
      <c r="AF15" s="220"/>
      <c r="AG15" s="220"/>
      <c r="AH15" s="220"/>
      <c r="AI15" s="220"/>
      <c r="AJ15" s="220"/>
      <c r="AK15" s="220"/>
      <c r="AL15" s="220"/>
      <c r="AM15" s="220"/>
      <c r="AN15" s="220"/>
      <c r="AO15" s="220"/>
    </row>
    <row r="16" ht="13.5" customHeight="1">
      <c r="A16" s="111">
        <f t="shared" ref="A16:A130" si="7">ROW()</f>
        <v>16</v>
      </c>
      <c r="B16" s="255" t="s">
        <v>264</v>
      </c>
      <c r="C16" s="255"/>
      <c r="D16" s="255"/>
      <c r="E16" s="256"/>
      <c r="F16" s="257"/>
      <c r="G16" s="257"/>
      <c r="H16" s="257"/>
      <c r="I16" s="257"/>
      <c r="J16" s="257"/>
      <c r="K16" s="257"/>
      <c r="L16" s="257"/>
      <c r="M16" s="257"/>
      <c r="N16" s="257"/>
      <c r="O16" s="257"/>
      <c r="P16" s="257"/>
      <c r="Q16" s="257"/>
      <c r="R16" s="257"/>
      <c r="S16" s="30"/>
      <c r="T16" s="30"/>
      <c r="U16" s="30"/>
      <c r="V16" s="30"/>
      <c r="W16" s="220"/>
      <c r="X16" s="220"/>
      <c r="Y16" s="220"/>
      <c r="Z16" s="220"/>
      <c r="AA16" s="220"/>
      <c r="AB16" s="220"/>
      <c r="AC16" s="220"/>
      <c r="AD16" s="220"/>
      <c r="AE16" s="220"/>
      <c r="AF16" s="220"/>
      <c r="AG16" s="220"/>
      <c r="AH16" s="220"/>
      <c r="AI16" s="220"/>
      <c r="AJ16" s="220"/>
      <c r="AK16" s="220"/>
      <c r="AL16" s="220"/>
      <c r="AM16" s="220"/>
      <c r="AN16" s="220"/>
      <c r="AO16" s="220"/>
    </row>
    <row r="17" ht="13.5" customHeight="1">
      <c r="A17" s="111">
        <f t="shared" si="7"/>
        <v>17</v>
      </c>
      <c r="B17" s="258" t="s">
        <v>265</v>
      </c>
      <c r="C17" s="259">
        <f>' Enrol &amp; Rev'!F114+' Enrol &amp; Rev'!F116</f>
        <v>5893301.975</v>
      </c>
      <c r="D17" s="259">
        <f t="shared" ref="D17:D34" si="9">+C17-E17</f>
        <v>-0.0000000009313225746</v>
      </c>
      <c r="E17" s="259">
        <f t="shared" ref="E17:E33" si="10">SUM(F17:R17)</f>
        <v>5893301.975</v>
      </c>
      <c r="F17" s="260">
        <f t="shared" ref="F17:Q17" si="8">$C$17/12</f>
        <v>491108.4979</v>
      </c>
      <c r="G17" s="260">
        <f t="shared" si="8"/>
        <v>491108.4979</v>
      </c>
      <c r="H17" s="260">
        <f t="shared" si="8"/>
        <v>491108.4979</v>
      </c>
      <c r="I17" s="260">
        <f t="shared" si="8"/>
        <v>491108.4979</v>
      </c>
      <c r="J17" s="260">
        <f t="shared" si="8"/>
        <v>491108.4979</v>
      </c>
      <c r="K17" s="260">
        <f t="shared" si="8"/>
        <v>491108.4979</v>
      </c>
      <c r="L17" s="260">
        <f t="shared" si="8"/>
        <v>491108.4979</v>
      </c>
      <c r="M17" s="260">
        <f t="shared" si="8"/>
        <v>491108.4979</v>
      </c>
      <c r="N17" s="260">
        <f t="shared" si="8"/>
        <v>491108.4979</v>
      </c>
      <c r="O17" s="260">
        <f t="shared" si="8"/>
        <v>491108.4979</v>
      </c>
      <c r="P17" s="260">
        <f t="shared" si="8"/>
        <v>491108.4979</v>
      </c>
      <c r="Q17" s="260">
        <f t="shared" si="8"/>
        <v>491108.4979</v>
      </c>
      <c r="R17" s="261">
        <v>0.0</v>
      </c>
      <c r="S17" s="30"/>
      <c r="T17" s="30"/>
      <c r="U17" s="119" t="s">
        <v>266</v>
      </c>
      <c r="V17" s="30"/>
      <c r="W17" s="220"/>
      <c r="X17" s="220"/>
      <c r="Y17" s="220"/>
      <c r="Z17" s="220"/>
      <c r="AA17" s="220"/>
      <c r="AB17" s="220"/>
      <c r="AC17" s="220"/>
      <c r="AD17" s="220"/>
      <c r="AE17" s="220"/>
      <c r="AF17" s="220"/>
      <c r="AG17" s="220"/>
      <c r="AH17" s="220"/>
      <c r="AI17" s="220"/>
      <c r="AJ17" s="220"/>
      <c r="AK17" s="220"/>
      <c r="AL17" s="220"/>
      <c r="AM17" s="220"/>
      <c r="AN17" s="220"/>
      <c r="AO17" s="220"/>
    </row>
    <row r="18" ht="13.5" customHeight="1">
      <c r="A18" s="111">
        <f t="shared" si="7"/>
        <v>18</v>
      </c>
      <c r="B18" s="262" t="s">
        <v>267</v>
      </c>
      <c r="C18" s="263">
        <f>' Enrol &amp; Rev'!F120</f>
        <v>-71428.725</v>
      </c>
      <c r="D18" s="263">
        <f t="shared" si="9"/>
        <v>0.27492</v>
      </c>
      <c r="E18" s="263">
        <f t="shared" si="10"/>
        <v>-71428.99992</v>
      </c>
      <c r="F18" s="264">
        <f t="shared" ref="F18:Q18" si="11">-5952.41666</f>
        <v>-5952.41666</v>
      </c>
      <c r="G18" s="264">
        <f t="shared" si="11"/>
        <v>-5952.41666</v>
      </c>
      <c r="H18" s="264">
        <f t="shared" si="11"/>
        <v>-5952.41666</v>
      </c>
      <c r="I18" s="264">
        <f t="shared" si="11"/>
        <v>-5952.41666</v>
      </c>
      <c r="J18" s="264">
        <f t="shared" si="11"/>
        <v>-5952.41666</v>
      </c>
      <c r="K18" s="264">
        <f t="shared" si="11"/>
        <v>-5952.41666</v>
      </c>
      <c r="L18" s="264">
        <f t="shared" si="11"/>
        <v>-5952.41666</v>
      </c>
      <c r="M18" s="264">
        <f t="shared" si="11"/>
        <v>-5952.41666</v>
      </c>
      <c r="N18" s="264">
        <f t="shared" si="11"/>
        <v>-5952.41666</v>
      </c>
      <c r="O18" s="264">
        <f t="shared" si="11"/>
        <v>-5952.41666</v>
      </c>
      <c r="P18" s="264">
        <f t="shared" si="11"/>
        <v>-5952.41666</v>
      </c>
      <c r="Q18" s="264">
        <f t="shared" si="11"/>
        <v>-5952.41666</v>
      </c>
      <c r="R18" s="264">
        <v>0.0</v>
      </c>
      <c r="S18" s="30"/>
      <c r="T18" s="30"/>
      <c r="U18" s="119" t="s">
        <v>268</v>
      </c>
      <c r="V18" s="30"/>
      <c r="W18" s="220"/>
      <c r="X18" s="220"/>
      <c r="Y18" s="220"/>
      <c r="Z18" s="220"/>
      <c r="AA18" s="220"/>
      <c r="AB18" s="220"/>
      <c r="AC18" s="220"/>
      <c r="AD18" s="220"/>
      <c r="AE18" s="220"/>
      <c r="AF18" s="220"/>
      <c r="AG18" s="220"/>
      <c r="AH18" s="220"/>
      <c r="AI18" s="220"/>
      <c r="AJ18" s="220"/>
      <c r="AK18" s="220"/>
      <c r="AL18" s="220"/>
      <c r="AM18" s="220"/>
      <c r="AN18" s="220"/>
      <c r="AO18" s="220"/>
    </row>
    <row r="19" ht="13.5" customHeight="1">
      <c r="A19" s="111">
        <f t="shared" si="7"/>
        <v>19</v>
      </c>
      <c r="B19" s="262" t="s">
        <v>165</v>
      </c>
      <c r="C19" s="263">
        <f>' Enrol &amp; Rev'!G125</f>
        <v>0</v>
      </c>
      <c r="D19" s="263">
        <f t="shared" si="9"/>
        <v>0</v>
      </c>
      <c r="E19" s="263">
        <f t="shared" si="10"/>
        <v>0</v>
      </c>
      <c r="F19" s="265"/>
      <c r="G19" s="265"/>
      <c r="H19" s="265"/>
      <c r="I19" s="265"/>
      <c r="J19" s="265"/>
      <c r="K19" s="265"/>
      <c r="L19" s="265"/>
      <c r="M19" s="265"/>
      <c r="N19" s="265"/>
      <c r="O19" s="265"/>
      <c r="P19" s="265"/>
      <c r="Q19" s="265"/>
      <c r="R19" s="266">
        <v>0.0</v>
      </c>
      <c r="S19" s="30"/>
      <c r="T19" s="30"/>
      <c r="U19" s="119" t="s">
        <v>269</v>
      </c>
      <c r="V19" s="30"/>
      <c r="W19" s="220"/>
      <c r="X19" s="220"/>
      <c r="Y19" s="220"/>
      <c r="Z19" s="220"/>
      <c r="AA19" s="220"/>
      <c r="AB19" s="220"/>
      <c r="AC19" s="220"/>
      <c r="AD19" s="220"/>
      <c r="AE19" s="220"/>
      <c r="AF19" s="220"/>
      <c r="AG19" s="220"/>
      <c r="AH19" s="220"/>
      <c r="AI19" s="220"/>
      <c r="AJ19" s="220"/>
      <c r="AK19" s="220"/>
      <c r="AL19" s="220"/>
      <c r="AM19" s="220"/>
      <c r="AN19" s="220"/>
      <c r="AO19" s="220"/>
    </row>
    <row r="20" ht="13.5" customHeight="1">
      <c r="A20" s="111">
        <f t="shared" si="7"/>
        <v>20</v>
      </c>
      <c r="B20" s="262" t="s">
        <v>166</v>
      </c>
      <c r="C20" s="263">
        <f>' Enrol &amp; Rev'!F126</f>
        <v>0</v>
      </c>
      <c r="D20" s="263">
        <f t="shared" si="9"/>
        <v>0</v>
      </c>
      <c r="E20" s="263">
        <f t="shared" si="10"/>
        <v>0</v>
      </c>
      <c r="F20" s="264">
        <v>0.0</v>
      </c>
      <c r="G20" s="264">
        <v>0.0</v>
      </c>
      <c r="H20" s="264">
        <v>0.0</v>
      </c>
      <c r="I20" s="264">
        <v>0.0</v>
      </c>
      <c r="J20" s="264">
        <v>0.0</v>
      </c>
      <c r="K20" s="264">
        <v>0.0</v>
      </c>
      <c r="L20" s="264">
        <v>0.0</v>
      </c>
      <c r="M20" s="264">
        <v>0.0</v>
      </c>
      <c r="N20" s="264">
        <v>0.0</v>
      </c>
      <c r="O20" s="264">
        <v>0.0</v>
      </c>
      <c r="P20" s="264">
        <v>0.0</v>
      </c>
      <c r="Q20" s="264">
        <v>0.0</v>
      </c>
      <c r="R20" s="266">
        <v>0.0</v>
      </c>
      <c r="S20" s="30"/>
      <c r="T20" s="30"/>
      <c r="U20" s="119" t="s">
        <v>270</v>
      </c>
      <c r="V20" s="30"/>
      <c r="W20" s="220"/>
      <c r="X20" s="220"/>
      <c r="Y20" s="220"/>
      <c r="Z20" s="220"/>
      <c r="AA20" s="220"/>
      <c r="AB20" s="220"/>
      <c r="AC20" s="220"/>
      <c r="AD20" s="220"/>
      <c r="AE20" s="220"/>
      <c r="AF20" s="220"/>
      <c r="AG20" s="220"/>
      <c r="AH20" s="220"/>
      <c r="AI20" s="220"/>
      <c r="AJ20" s="220"/>
      <c r="AK20" s="220"/>
      <c r="AL20" s="220"/>
      <c r="AM20" s="220"/>
      <c r="AN20" s="220"/>
      <c r="AO20" s="220"/>
    </row>
    <row r="21" ht="13.5" customHeight="1">
      <c r="A21" s="111">
        <f t="shared" si="7"/>
        <v>21</v>
      </c>
      <c r="B21" s="262" t="s">
        <v>166</v>
      </c>
      <c r="C21" s="263">
        <f>' Enrol &amp; Rev'!G127</f>
        <v>0</v>
      </c>
      <c r="D21" s="263">
        <f t="shared" si="9"/>
        <v>0</v>
      </c>
      <c r="E21" s="263">
        <f t="shared" si="10"/>
        <v>0</v>
      </c>
      <c r="F21" s="265"/>
      <c r="G21" s="265"/>
      <c r="H21" s="265">
        <v>0.0</v>
      </c>
      <c r="I21" s="265"/>
      <c r="J21" s="265"/>
      <c r="K21" s="265"/>
      <c r="L21" s="265"/>
      <c r="M21" s="265"/>
      <c r="N21" s="265"/>
      <c r="O21" s="265"/>
      <c r="P21" s="265"/>
      <c r="Q21" s="265"/>
      <c r="R21" s="266">
        <v>0.0</v>
      </c>
      <c r="S21" s="30"/>
      <c r="T21" s="30"/>
      <c r="U21" s="119" t="s">
        <v>271</v>
      </c>
      <c r="V21" s="30"/>
      <c r="W21" s="220"/>
      <c r="X21" s="220"/>
      <c r="Y21" s="220"/>
      <c r="Z21" s="220"/>
      <c r="AA21" s="220"/>
      <c r="AB21" s="220"/>
      <c r="AC21" s="220"/>
      <c r="AD21" s="220"/>
      <c r="AE21" s="220"/>
      <c r="AF21" s="220"/>
      <c r="AG21" s="220"/>
      <c r="AH21" s="220"/>
      <c r="AI21" s="220"/>
      <c r="AJ21" s="220"/>
      <c r="AK21" s="220"/>
      <c r="AL21" s="220"/>
      <c r="AM21" s="220"/>
      <c r="AN21" s="220"/>
      <c r="AO21" s="220"/>
    </row>
    <row r="22" ht="13.5" customHeight="1">
      <c r="A22" s="111">
        <f t="shared" si="7"/>
        <v>22</v>
      </c>
      <c r="B22" s="262" t="s">
        <v>167</v>
      </c>
      <c r="C22" s="263">
        <f>' Enrol &amp; Rev'!F128</f>
        <v>0</v>
      </c>
      <c r="D22" s="263">
        <f t="shared" si="9"/>
        <v>0</v>
      </c>
      <c r="E22" s="263">
        <f t="shared" si="10"/>
        <v>0</v>
      </c>
      <c r="F22" s="264">
        <v>0.0</v>
      </c>
      <c r="G22" s="264">
        <v>0.0</v>
      </c>
      <c r="H22" s="264">
        <v>0.0</v>
      </c>
      <c r="I22" s="264">
        <v>0.0</v>
      </c>
      <c r="J22" s="264">
        <v>0.0</v>
      </c>
      <c r="K22" s="264">
        <v>0.0</v>
      </c>
      <c r="L22" s="264">
        <v>0.0</v>
      </c>
      <c r="M22" s="264">
        <v>0.0</v>
      </c>
      <c r="N22" s="264">
        <v>0.0</v>
      </c>
      <c r="O22" s="264">
        <v>0.0</v>
      </c>
      <c r="P22" s="264">
        <v>0.0</v>
      </c>
      <c r="Q22" s="264">
        <v>0.0</v>
      </c>
      <c r="R22" s="266">
        <v>0.0</v>
      </c>
      <c r="S22" s="30"/>
      <c r="T22" s="30"/>
      <c r="U22" s="119" t="s">
        <v>272</v>
      </c>
      <c r="V22" s="30"/>
      <c r="W22" s="220"/>
      <c r="X22" s="220"/>
      <c r="Y22" s="220"/>
      <c r="Z22" s="220"/>
      <c r="AA22" s="220"/>
      <c r="AB22" s="220"/>
      <c r="AC22" s="220"/>
      <c r="AD22" s="220"/>
      <c r="AE22" s="220"/>
      <c r="AF22" s="220"/>
      <c r="AG22" s="220"/>
      <c r="AH22" s="220"/>
      <c r="AI22" s="220"/>
      <c r="AJ22" s="220"/>
      <c r="AK22" s="220"/>
      <c r="AL22" s="220"/>
      <c r="AM22" s="220"/>
      <c r="AN22" s="220"/>
      <c r="AO22" s="220"/>
    </row>
    <row r="23" ht="13.5" customHeight="1">
      <c r="A23" s="111">
        <f t="shared" si="7"/>
        <v>23</v>
      </c>
      <c r="B23" s="262" t="s">
        <v>169</v>
      </c>
      <c r="C23" s="263">
        <f>' Enrol &amp; Rev'!G130</f>
        <v>0</v>
      </c>
      <c r="D23" s="263">
        <f t="shared" si="9"/>
        <v>0</v>
      </c>
      <c r="E23" s="263">
        <f t="shared" si="10"/>
        <v>0</v>
      </c>
      <c r="F23" s="265"/>
      <c r="G23" s="265">
        <v>0.0</v>
      </c>
      <c r="H23" s="265">
        <v>0.0</v>
      </c>
      <c r="I23" s="265">
        <v>0.0</v>
      </c>
      <c r="J23" s="265">
        <v>0.0</v>
      </c>
      <c r="K23" s="265">
        <v>0.0</v>
      </c>
      <c r="L23" s="265">
        <v>0.0</v>
      </c>
      <c r="M23" s="265">
        <v>0.0</v>
      </c>
      <c r="N23" s="265"/>
      <c r="O23" s="265"/>
      <c r="P23" s="265"/>
      <c r="Q23" s="265"/>
      <c r="R23" s="266">
        <v>0.0</v>
      </c>
      <c r="S23" s="30"/>
      <c r="T23" s="30"/>
      <c r="U23" s="119"/>
      <c r="V23" s="30"/>
      <c r="W23" s="220"/>
      <c r="X23" s="220"/>
      <c r="Y23" s="220"/>
      <c r="Z23" s="220"/>
      <c r="AA23" s="220"/>
      <c r="AB23" s="220"/>
      <c r="AC23" s="220"/>
      <c r="AD23" s="220"/>
      <c r="AE23" s="220"/>
      <c r="AF23" s="220"/>
      <c r="AG23" s="220"/>
      <c r="AH23" s="220"/>
      <c r="AI23" s="220"/>
      <c r="AJ23" s="220"/>
      <c r="AK23" s="220"/>
      <c r="AL23" s="220"/>
      <c r="AM23" s="220"/>
      <c r="AN23" s="220"/>
      <c r="AO23" s="220"/>
    </row>
    <row r="24" ht="13.5" customHeight="1">
      <c r="A24" s="111">
        <f t="shared" si="7"/>
        <v>24</v>
      </c>
      <c r="B24" s="262" t="s">
        <v>170</v>
      </c>
      <c r="C24" s="263">
        <f>' Enrol &amp; Rev'!G131</f>
        <v>0</v>
      </c>
      <c r="D24" s="263">
        <f t="shared" si="9"/>
        <v>0</v>
      </c>
      <c r="E24" s="263">
        <f t="shared" si="10"/>
        <v>0</v>
      </c>
      <c r="F24" s="265"/>
      <c r="G24" s="265">
        <v>0.0</v>
      </c>
      <c r="H24" s="265">
        <v>0.0</v>
      </c>
      <c r="I24" s="265">
        <v>0.0</v>
      </c>
      <c r="J24" s="265">
        <v>0.0</v>
      </c>
      <c r="K24" s="265">
        <v>0.0</v>
      </c>
      <c r="L24" s="265">
        <v>0.0</v>
      </c>
      <c r="M24" s="265">
        <v>0.0</v>
      </c>
      <c r="N24" s="265">
        <v>0.0</v>
      </c>
      <c r="O24" s="265">
        <v>0.0</v>
      </c>
      <c r="P24" s="265">
        <v>0.0</v>
      </c>
      <c r="Q24" s="265"/>
      <c r="R24" s="266">
        <v>0.0</v>
      </c>
      <c r="S24" s="30"/>
      <c r="T24" s="30"/>
      <c r="U24" s="267" t="s">
        <v>273</v>
      </c>
      <c r="V24" s="30"/>
      <c r="W24" s="220"/>
      <c r="X24" s="220"/>
      <c r="Y24" s="220"/>
      <c r="Z24" s="220"/>
      <c r="AA24" s="220"/>
      <c r="AB24" s="220"/>
      <c r="AC24" s="220"/>
      <c r="AD24" s="220"/>
      <c r="AE24" s="220"/>
      <c r="AF24" s="220"/>
      <c r="AG24" s="220"/>
      <c r="AH24" s="220"/>
      <c r="AI24" s="220"/>
      <c r="AJ24" s="220"/>
      <c r="AK24" s="220"/>
      <c r="AL24" s="220"/>
      <c r="AM24" s="220"/>
      <c r="AN24" s="220"/>
      <c r="AO24" s="220"/>
    </row>
    <row r="25" ht="13.5" customHeight="1">
      <c r="A25" s="111">
        <f t="shared" si="7"/>
        <v>25</v>
      </c>
      <c r="B25" s="262" t="s">
        <v>171</v>
      </c>
      <c r="C25" s="263">
        <f>' Enrol &amp; Rev'!F132</f>
        <v>86035.95</v>
      </c>
      <c r="D25" s="263">
        <f t="shared" si="9"/>
        <v>-0.04199999999</v>
      </c>
      <c r="E25" s="263">
        <f t="shared" si="10"/>
        <v>86035.992</v>
      </c>
      <c r="F25" s="264">
        <v>7169.666</v>
      </c>
      <c r="G25" s="264">
        <v>7169.666</v>
      </c>
      <c r="H25" s="264">
        <v>7169.666</v>
      </c>
      <c r="I25" s="264">
        <v>7169.666</v>
      </c>
      <c r="J25" s="264">
        <v>7169.666</v>
      </c>
      <c r="K25" s="264">
        <v>7169.666</v>
      </c>
      <c r="L25" s="264">
        <v>7169.666</v>
      </c>
      <c r="M25" s="264">
        <v>7169.666</v>
      </c>
      <c r="N25" s="264">
        <v>7169.666</v>
      </c>
      <c r="O25" s="264">
        <v>7169.666</v>
      </c>
      <c r="P25" s="264">
        <v>7169.666</v>
      </c>
      <c r="Q25" s="264">
        <v>7169.666</v>
      </c>
      <c r="R25" s="266">
        <v>0.0</v>
      </c>
      <c r="S25" s="30"/>
      <c r="T25" s="30"/>
      <c r="U25" s="267" t="s">
        <v>274</v>
      </c>
      <c r="V25" s="30"/>
      <c r="W25" s="220"/>
      <c r="X25" s="220"/>
      <c r="Y25" s="220"/>
      <c r="Z25" s="220"/>
      <c r="AA25" s="220"/>
      <c r="AB25" s="220"/>
      <c r="AC25" s="220"/>
      <c r="AD25" s="220"/>
      <c r="AE25" s="220"/>
      <c r="AF25" s="220"/>
      <c r="AG25" s="220"/>
      <c r="AH25" s="220"/>
      <c r="AI25" s="220"/>
      <c r="AJ25" s="220"/>
      <c r="AK25" s="220"/>
      <c r="AL25" s="220"/>
      <c r="AM25" s="220"/>
      <c r="AN25" s="220"/>
      <c r="AO25" s="220"/>
    </row>
    <row r="26" ht="13.5" customHeight="1">
      <c r="A26" s="111">
        <f t="shared" si="7"/>
        <v>26</v>
      </c>
      <c r="B26" s="262" t="s">
        <v>275</v>
      </c>
      <c r="C26" s="263">
        <f>' Enrol &amp; Rev'!F115</f>
        <v>312262.68</v>
      </c>
      <c r="D26" s="263">
        <f t="shared" si="9"/>
        <v>-0.3199199999</v>
      </c>
      <c r="E26" s="263">
        <f t="shared" si="10"/>
        <v>312262.9999</v>
      </c>
      <c r="F26" s="264">
        <v>26021.91666</v>
      </c>
      <c r="G26" s="264">
        <v>26021.91666</v>
      </c>
      <c r="H26" s="264">
        <v>26021.91666</v>
      </c>
      <c r="I26" s="264">
        <v>26021.91666</v>
      </c>
      <c r="J26" s="264">
        <v>26021.91666</v>
      </c>
      <c r="K26" s="264">
        <v>26021.91666</v>
      </c>
      <c r="L26" s="264">
        <v>26021.91666</v>
      </c>
      <c r="M26" s="264">
        <v>26021.91666</v>
      </c>
      <c r="N26" s="264">
        <v>26021.91666</v>
      </c>
      <c r="O26" s="264">
        <v>26021.91666</v>
      </c>
      <c r="P26" s="264">
        <v>26021.91666</v>
      </c>
      <c r="Q26" s="264">
        <v>26021.91666</v>
      </c>
      <c r="R26" s="266">
        <v>0.0</v>
      </c>
      <c r="S26" s="30"/>
      <c r="T26" s="30"/>
      <c r="U26" s="267" t="s">
        <v>276</v>
      </c>
      <c r="V26" s="30"/>
      <c r="W26" s="220"/>
      <c r="X26" s="220"/>
      <c r="Y26" s="220"/>
      <c r="Z26" s="220"/>
      <c r="AA26" s="220"/>
      <c r="AB26" s="220"/>
      <c r="AC26" s="220"/>
      <c r="AD26" s="220"/>
      <c r="AE26" s="220"/>
      <c r="AF26" s="220"/>
      <c r="AG26" s="220"/>
      <c r="AH26" s="220"/>
      <c r="AI26" s="220"/>
      <c r="AJ26" s="220"/>
      <c r="AK26" s="220"/>
      <c r="AL26" s="220"/>
      <c r="AM26" s="220"/>
      <c r="AN26" s="220"/>
      <c r="AO26" s="220"/>
    </row>
    <row r="27" ht="13.5" customHeight="1">
      <c r="A27" s="111">
        <f t="shared" si="7"/>
        <v>27</v>
      </c>
      <c r="B27" s="262" t="s">
        <v>277</v>
      </c>
      <c r="C27" s="263">
        <f>' Enrol &amp; Rev'!G133</f>
        <v>0</v>
      </c>
      <c r="D27" s="263">
        <f t="shared" si="9"/>
        <v>0</v>
      </c>
      <c r="E27" s="263">
        <f t="shared" si="10"/>
        <v>0</v>
      </c>
      <c r="F27" s="265"/>
      <c r="G27" s="265"/>
      <c r="H27" s="265"/>
      <c r="I27" s="265"/>
      <c r="J27" s="265"/>
      <c r="K27" s="265"/>
      <c r="L27" s="265"/>
      <c r="M27" s="265"/>
      <c r="N27" s="265"/>
      <c r="O27" s="265"/>
      <c r="P27" s="265"/>
      <c r="Q27" s="265"/>
      <c r="R27" s="266">
        <v>0.0</v>
      </c>
      <c r="S27" s="30"/>
      <c r="T27" s="30"/>
      <c r="U27" s="119"/>
      <c r="V27" s="30"/>
      <c r="W27" s="220"/>
      <c r="X27" s="220"/>
      <c r="Y27" s="220"/>
      <c r="Z27" s="220"/>
      <c r="AA27" s="220"/>
      <c r="AB27" s="220"/>
      <c r="AC27" s="220"/>
      <c r="AD27" s="220"/>
      <c r="AE27" s="220"/>
      <c r="AF27" s="220"/>
      <c r="AG27" s="220"/>
      <c r="AH27" s="220"/>
      <c r="AI27" s="220"/>
      <c r="AJ27" s="220"/>
      <c r="AK27" s="220"/>
      <c r="AL27" s="220"/>
      <c r="AM27" s="220"/>
      <c r="AN27" s="220"/>
      <c r="AO27" s="220"/>
    </row>
    <row r="28" ht="13.5" customHeight="1">
      <c r="A28" s="111">
        <f t="shared" si="7"/>
        <v>28</v>
      </c>
      <c r="B28" s="262" t="s">
        <v>278</v>
      </c>
      <c r="C28" s="263">
        <f>' Enrol &amp; Rev'!G135</f>
        <v>0</v>
      </c>
      <c r="D28" s="263">
        <f t="shared" si="9"/>
        <v>0</v>
      </c>
      <c r="E28" s="263">
        <f t="shared" si="10"/>
        <v>0</v>
      </c>
      <c r="F28" s="265"/>
      <c r="G28" s="265"/>
      <c r="H28" s="265"/>
      <c r="I28" s="265"/>
      <c r="J28" s="265"/>
      <c r="K28" s="265"/>
      <c r="L28" s="265"/>
      <c r="M28" s="265"/>
      <c r="N28" s="265"/>
      <c r="O28" s="265"/>
      <c r="P28" s="265"/>
      <c r="Q28" s="265"/>
      <c r="R28" s="266">
        <v>0.0</v>
      </c>
      <c r="S28" s="30"/>
      <c r="T28" s="30"/>
      <c r="U28" s="119"/>
      <c r="V28" s="30"/>
      <c r="W28" s="220"/>
      <c r="X28" s="220"/>
      <c r="Y28" s="220"/>
      <c r="Z28" s="220"/>
      <c r="AA28" s="220"/>
      <c r="AB28" s="220"/>
      <c r="AC28" s="220"/>
      <c r="AD28" s="220"/>
      <c r="AE28" s="220"/>
      <c r="AF28" s="220"/>
      <c r="AG28" s="220"/>
      <c r="AH28" s="220"/>
      <c r="AI28" s="220"/>
      <c r="AJ28" s="220"/>
      <c r="AK28" s="220"/>
      <c r="AL28" s="220"/>
      <c r="AM28" s="220"/>
      <c r="AN28" s="220"/>
      <c r="AO28" s="220"/>
    </row>
    <row r="29" ht="13.5" customHeight="1">
      <c r="A29" s="111">
        <f t="shared" si="7"/>
        <v>29</v>
      </c>
      <c r="B29" s="262" t="s">
        <v>180</v>
      </c>
      <c r="C29" s="263">
        <f>' Enrol &amp; Rev'!G136</f>
        <v>0</v>
      </c>
      <c r="D29" s="263">
        <f t="shared" si="9"/>
        <v>0</v>
      </c>
      <c r="E29" s="263">
        <f t="shared" si="10"/>
        <v>0</v>
      </c>
      <c r="F29" s="265"/>
      <c r="G29" s="265"/>
      <c r="H29" s="265"/>
      <c r="I29" s="265"/>
      <c r="J29" s="265"/>
      <c r="K29" s="265"/>
      <c r="L29" s="265"/>
      <c r="M29" s="265"/>
      <c r="N29" s="265"/>
      <c r="O29" s="265"/>
      <c r="P29" s="265"/>
      <c r="Q29" s="265"/>
      <c r="R29" s="266">
        <v>0.0</v>
      </c>
      <c r="S29" s="30"/>
      <c r="T29" s="30"/>
      <c r="U29" s="119"/>
      <c r="V29" s="30"/>
      <c r="W29" s="220"/>
      <c r="X29" s="220"/>
      <c r="Y29" s="220"/>
      <c r="Z29" s="220"/>
      <c r="AA29" s="220"/>
      <c r="AB29" s="220"/>
      <c r="AC29" s="220"/>
      <c r="AD29" s="220"/>
      <c r="AE29" s="220"/>
      <c r="AF29" s="220"/>
      <c r="AG29" s="220"/>
      <c r="AH29" s="220"/>
      <c r="AI29" s="220"/>
      <c r="AJ29" s="220"/>
      <c r="AK29" s="220"/>
      <c r="AL29" s="220"/>
      <c r="AM29" s="220"/>
      <c r="AN29" s="220"/>
      <c r="AO29" s="220"/>
    </row>
    <row r="30" ht="13.5" customHeight="1">
      <c r="A30" s="111">
        <f t="shared" si="7"/>
        <v>30</v>
      </c>
      <c r="B30" s="262" t="s">
        <v>279</v>
      </c>
      <c r="C30" s="263">
        <f>' Enrol &amp; Rev'!G137</f>
        <v>61641</v>
      </c>
      <c r="D30" s="263">
        <f t="shared" si="9"/>
        <v>0</v>
      </c>
      <c r="E30" s="263">
        <f t="shared" si="10"/>
        <v>61641</v>
      </c>
      <c r="F30" s="264">
        <v>5136.75</v>
      </c>
      <c r="G30" s="264">
        <v>5136.75</v>
      </c>
      <c r="H30" s="264">
        <v>5136.75</v>
      </c>
      <c r="I30" s="264">
        <v>5136.75</v>
      </c>
      <c r="J30" s="264">
        <v>5136.75</v>
      </c>
      <c r="K30" s="264">
        <v>5136.75</v>
      </c>
      <c r="L30" s="264">
        <v>5136.75</v>
      </c>
      <c r="M30" s="264">
        <v>5136.75</v>
      </c>
      <c r="N30" s="264">
        <v>5136.75</v>
      </c>
      <c r="O30" s="264">
        <v>5136.75</v>
      </c>
      <c r="P30" s="264">
        <v>5136.75</v>
      </c>
      <c r="Q30" s="264">
        <v>5136.75</v>
      </c>
      <c r="R30" s="266">
        <v>0.0</v>
      </c>
      <c r="S30" s="30"/>
      <c r="T30" s="30"/>
      <c r="U30" s="119"/>
      <c r="V30" s="30"/>
      <c r="W30" s="220"/>
      <c r="X30" s="220"/>
      <c r="Y30" s="220"/>
      <c r="Z30" s="220"/>
      <c r="AA30" s="220"/>
      <c r="AB30" s="220"/>
      <c r="AC30" s="220"/>
      <c r="AD30" s="220"/>
      <c r="AE30" s="220"/>
      <c r="AF30" s="220"/>
      <c r="AG30" s="220"/>
      <c r="AH30" s="220"/>
      <c r="AI30" s="220"/>
      <c r="AJ30" s="220"/>
      <c r="AK30" s="220"/>
      <c r="AL30" s="220"/>
      <c r="AM30" s="220"/>
      <c r="AN30" s="220"/>
      <c r="AO30" s="220"/>
    </row>
    <row r="31" ht="13.5" customHeight="1">
      <c r="A31" s="111">
        <f t="shared" si="7"/>
        <v>31</v>
      </c>
      <c r="B31" s="262" t="s">
        <v>179</v>
      </c>
      <c r="C31" s="263">
        <f>' Enrol &amp; Rev'!G140</f>
        <v>150000</v>
      </c>
      <c r="D31" s="263">
        <f t="shared" si="9"/>
        <v>0</v>
      </c>
      <c r="E31" s="263">
        <f t="shared" si="10"/>
        <v>150000</v>
      </c>
      <c r="F31" s="264">
        <v>12500.0</v>
      </c>
      <c r="G31" s="264">
        <v>12500.0</v>
      </c>
      <c r="H31" s="264">
        <v>12500.0</v>
      </c>
      <c r="I31" s="264">
        <v>12500.0</v>
      </c>
      <c r="J31" s="264">
        <v>12500.0</v>
      </c>
      <c r="K31" s="264">
        <v>12500.0</v>
      </c>
      <c r="L31" s="264">
        <v>12500.0</v>
      </c>
      <c r="M31" s="264">
        <v>12500.0</v>
      </c>
      <c r="N31" s="264">
        <v>12500.0</v>
      </c>
      <c r="O31" s="264">
        <v>12500.0</v>
      </c>
      <c r="P31" s="264">
        <v>12500.0</v>
      </c>
      <c r="Q31" s="264">
        <v>12500.0</v>
      </c>
      <c r="R31" s="266">
        <v>0.0</v>
      </c>
      <c r="S31" s="30"/>
      <c r="T31" s="30"/>
      <c r="U31" s="119"/>
      <c r="V31" s="30"/>
      <c r="W31" s="220"/>
      <c r="X31" s="220"/>
      <c r="Y31" s="220"/>
      <c r="Z31" s="220"/>
      <c r="AA31" s="220"/>
      <c r="AB31" s="220"/>
      <c r="AC31" s="220"/>
      <c r="AD31" s="220"/>
      <c r="AE31" s="220"/>
      <c r="AF31" s="220"/>
      <c r="AG31" s="220"/>
      <c r="AH31" s="220"/>
      <c r="AI31" s="220"/>
      <c r="AJ31" s="220"/>
      <c r="AK31" s="220"/>
      <c r="AL31" s="220"/>
      <c r="AM31" s="220"/>
      <c r="AN31" s="220"/>
      <c r="AO31" s="220"/>
    </row>
    <row r="32" ht="13.5" customHeight="1">
      <c r="A32" s="111">
        <f t="shared" si="7"/>
        <v>32</v>
      </c>
      <c r="B32" s="262" t="s">
        <v>280</v>
      </c>
      <c r="C32" s="263">
        <f>' Enrol &amp; Rev'!G141</f>
        <v>0</v>
      </c>
      <c r="D32" s="263">
        <f t="shared" si="9"/>
        <v>0</v>
      </c>
      <c r="E32" s="263">
        <f t="shared" si="10"/>
        <v>0</v>
      </c>
      <c r="F32" s="265"/>
      <c r="G32" s="265">
        <v>0.0</v>
      </c>
      <c r="H32" s="265">
        <v>0.0</v>
      </c>
      <c r="I32" s="265"/>
      <c r="J32" s="265"/>
      <c r="K32" s="265"/>
      <c r="L32" s="265"/>
      <c r="M32" s="265"/>
      <c r="N32" s="265"/>
      <c r="O32" s="265"/>
      <c r="P32" s="265"/>
      <c r="Q32" s="265"/>
      <c r="R32" s="266">
        <v>0.0</v>
      </c>
      <c r="S32" s="30"/>
      <c r="T32" s="30"/>
      <c r="U32" s="119"/>
      <c r="V32" s="30"/>
      <c r="W32" s="220"/>
      <c r="X32" s="220"/>
      <c r="Y32" s="220"/>
      <c r="Z32" s="220"/>
      <c r="AA32" s="220"/>
      <c r="AB32" s="220"/>
      <c r="AC32" s="220"/>
      <c r="AD32" s="220"/>
      <c r="AE32" s="220"/>
      <c r="AF32" s="220"/>
      <c r="AG32" s="220"/>
      <c r="AH32" s="220"/>
      <c r="AI32" s="220"/>
      <c r="AJ32" s="220"/>
      <c r="AK32" s="220"/>
      <c r="AL32" s="220"/>
      <c r="AM32" s="220"/>
      <c r="AN32" s="220"/>
      <c r="AO32" s="220"/>
    </row>
    <row r="33" ht="13.5" customHeight="1">
      <c r="A33" s="111">
        <f t="shared" si="7"/>
        <v>33</v>
      </c>
      <c r="B33" s="268" t="s">
        <v>281</v>
      </c>
      <c r="C33" s="269">
        <f>+' Enrol &amp; Rev'!G142</f>
        <v>0</v>
      </c>
      <c r="D33" s="270">
        <f t="shared" si="9"/>
        <v>0</v>
      </c>
      <c r="E33" s="270">
        <f t="shared" si="10"/>
        <v>0</v>
      </c>
      <c r="F33" s="271">
        <v>0.0</v>
      </c>
      <c r="G33" s="271"/>
      <c r="H33" s="271"/>
      <c r="I33" s="271"/>
      <c r="J33" s="271"/>
      <c r="K33" s="271"/>
      <c r="L33" s="271">
        <v>0.0</v>
      </c>
      <c r="M33" s="271"/>
      <c r="N33" s="271"/>
      <c r="O33" s="271"/>
      <c r="P33" s="271"/>
      <c r="Q33" s="271"/>
      <c r="R33" s="272">
        <v>0.0</v>
      </c>
      <c r="S33" s="30"/>
      <c r="T33" s="30"/>
      <c r="U33" s="119"/>
      <c r="V33" s="30"/>
      <c r="W33" s="220"/>
      <c r="X33" s="220"/>
      <c r="Y33" s="220"/>
      <c r="Z33" s="220"/>
      <c r="AA33" s="220"/>
      <c r="AB33" s="220"/>
      <c r="AC33" s="220"/>
      <c r="AD33" s="220"/>
      <c r="AE33" s="220"/>
      <c r="AF33" s="220"/>
      <c r="AG33" s="220"/>
      <c r="AH33" s="220"/>
      <c r="AI33" s="220"/>
      <c r="AJ33" s="220"/>
      <c r="AK33" s="220"/>
      <c r="AL33" s="220"/>
      <c r="AM33" s="220"/>
      <c r="AN33" s="220"/>
      <c r="AO33" s="220"/>
    </row>
    <row r="34" ht="13.5" customHeight="1">
      <c r="A34" s="111">
        <f t="shared" si="7"/>
        <v>34</v>
      </c>
      <c r="B34" s="273" t="s">
        <v>282</v>
      </c>
      <c r="C34" s="274">
        <f>' Enrol &amp; Rev'!F145</f>
        <v>6431812.88</v>
      </c>
      <c r="D34" s="274">
        <f t="shared" si="9"/>
        <v>-0.08700000029</v>
      </c>
      <c r="E34" s="275">
        <f t="shared" ref="E34:R34" si="12">SUM(E17:E33)</f>
        <v>6431812.967</v>
      </c>
      <c r="F34" s="274">
        <f t="shared" si="12"/>
        <v>535984.4139</v>
      </c>
      <c r="G34" s="274">
        <f t="shared" si="12"/>
        <v>535984.4139</v>
      </c>
      <c r="H34" s="274">
        <f t="shared" si="12"/>
        <v>535984.4139</v>
      </c>
      <c r="I34" s="274">
        <f t="shared" si="12"/>
        <v>535984.4139</v>
      </c>
      <c r="J34" s="274">
        <f t="shared" si="12"/>
        <v>535984.4139</v>
      </c>
      <c r="K34" s="274">
        <f t="shared" si="12"/>
        <v>535984.4139</v>
      </c>
      <c r="L34" s="274">
        <f t="shared" si="12"/>
        <v>535984.4139</v>
      </c>
      <c r="M34" s="274">
        <f t="shared" si="12"/>
        <v>535984.4139</v>
      </c>
      <c r="N34" s="274">
        <f t="shared" si="12"/>
        <v>535984.4139</v>
      </c>
      <c r="O34" s="274">
        <f t="shared" si="12"/>
        <v>535984.4139</v>
      </c>
      <c r="P34" s="274">
        <f t="shared" si="12"/>
        <v>535984.4139</v>
      </c>
      <c r="Q34" s="276">
        <f t="shared" si="12"/>
        <v>535984.4139</v>
      </c>
      <c r="R34" s="276">
        <f t="shared" si="12"/>
        <v>0</v>
      </c>
      <c r="S34" s="30"/>
      <c r="T34" s="30"/>
      <c r="U34" s="119"/>
      <c r="V34" s="30"/>
      <c r="W34" s="220"/>
      <c r="X34" s="220"/>
      <c r="Y34" s="220"/>
      <c r="Z34" s="220"/>
      <c r="AA34" s="220"/>
      <c r="AB34" s="220"/>
      <c r="AC34" s="220"/>
      <c r="AD34" s="220"/>
      <c r="AE34" s="220"/>
      <c r="AF34" s="220"/>
      <c r="AG34" s="220"/>
      <c r="AH34" s="220"/>
      <c r="AI34" s="220"/>
      <c r="AJ34" s="220"/>
      <c r="AK34" s="220"/>
      <c r="AL34" s="220"/>
      <c r="AM34" s="220"/>
      <c r="AN34" s="220"/>
      <c r="AO34" s="220"/>
    </row>
    <row r="35" ht="13.5" customHeight="1">
      <c r="A35" s="111">
        <f t="shared" si="7"/>
        <v>35</v>
      </c>
      <c r="B35" s="95" t="s">
        <v>283</v>
      </c>
      <c r="C35" s="277"/>
      <c r="D35" s="278">
        <f>IF(ABS(D34)&gt;(0.0025*E34),"*** Out of Balance *** sb 0",0)</f>
        <v>0</v>
      </c>
      <c r="E35" s="279"/>
      <c r="F35" s="279">
        <f>F34</f>
        <v>535984.4139</v>
      </c>
      <c r="G35" s="280">
        <f t="shared" ref="G35:P35" si="13">F35+G34</f>
        <v>1071968.828</v>
      </c>
      <c r="H35" s="280">
        <f t="shared" si="13"/>
        <v>1607953.242</v>
      </c>
      <c r="I35" s="280">
        <f t="shared" si="13"/>
        <v>2143937.656</v>
      </c>
      <c r="J35" s="280">
        <f t="shared" si="13"/>
        <v>2679922.07</v>
      </c>
      <c r="K35" s="280">
        <f t="shared" si="13"/>
        <v>3215906.484</v>
      </c>
      <c r="L35" s="280">
        <f t="shared" si="13"/>
        <v>3751890.897</v>
      </c>
      <c r="M35" s="280">
        <f t="shared" si="13"/>
        <v>4287875.311</v>
      </c>
      <c r="N35" s="280">
        <f t="shared" si="13"/>
        <v>4823859.725</v>
      </c>
      <c r="O35" s="280">
        <f t="shared" si="13"/>
        <v>5359844.139</v>
      </c>
      <c r="P35" s="280">
        <f t="shared" si="13"/>
        <v>5895828.553</v>
      </c>
      <c r="Q35" s="280">
        <f t="shared" ref="Q35:R35" si="14">O35+Q34</f>
        <v>5895828.553</v>
      </c>
      <c r="R35" s="280">
        <f t="shared" si="14"/>
        <v>5895828.553</v>
      </c>
      <c r="S35" s="30"/>
      <c r="T35" s="30"/>
      <c r="U35" s="119"/>
      <c r="V35" s="30"/>
      <c r="W35" s="220"/>
      <c r="X35" s="220"/>
      <c r="Y35" s="220"/>
      <c r="Z35" s="220"/>
      <c r="AA35" s="220"/>
      <c r="AB35" s="220"/>
      <c r="AC35" s="220"/>
      <c r="AD35" s="220"/>
      <c r="AE35" s="220"/>
      <c r="AF35" s="220"/>
      <c r="AG35" s="220"/>
      <c r="AH35" s="220"/>
      <c r="AI35" s="220"/>
      <c r="AJ35" s="220"/>
      <c r="AK35" s="220"/>
      <c r="AL35" s="220"/>
      <c r="AM35" s="220"/>
      <c r="AN35" s="220"/>
      <c r="AO35" s="220"/>
    </row>
    <row r="36" ht="13.5" customHeight="1">
      <c r="A36" s="111">
        <f t="shared" si="7"/>
        <v>36</v>
      </c>
      <c r="B36" s="281" t="s">
        <v>284</v>
      </c>
      <c r="C36" s="277"/>
      <c r="D36" s="282"/>
      <c r="E36" s="226"/>
      <c r="F36" s="283">
        <f t="shared" ref="F36:R36" si="15">IFERROR(F35/$E34,0)</f>
        <v>0.08333333333</v>
      </c>
      <c r="G36" s="283">
        <f t="shared" si="15"/>
        <v>0.1666666667</v>
      </c>
      <c r="H36" s="283">
        <f t="shared" si="15"/>
        <v>0.25</v>
      </c>
      <c r="I36" s="283">
        <f t="shared" si="15"/>
        <v>0.3333333333</v>
      </c>
      <c r="J36" s="283">
        <f t="shared" si="15"/>
        <v>0.4166666667</v>
      </c>
      <c r="K36" s="283">
        <f t="shared" si="15"/>
        <v>0.5</v>
      </c>
      <c r="L36" s="283">
        <f t="shared" si="15"/>
        <v>0.5833333333</v>
      </c>
      <c r="M36" s="283">
        <f t="shared" si="15"/>
        <v>0.6666666667</v>
      </c>
      <c r="N36" s="283">
        <f t="shared" si="15"/>
        <v>0.75</v>
      </c>
      <c r="O36" s="283">
        <f t="shared" si="15"/>
        <v>0.8333333333</v>
      </c>
      <c r="P36" s="283">
        <f t="shared" si="15"/>
        <v>0.9166666667</v>
      </c>
      <c r="Q36" s="283">
        <f t="shared" si="15"/>
        <v>0.9166666667</v>
      </c>
      <c r="R36" s="283">
        <f t="shared" si="15"/>
        <v>0.9166666667</v>
      </c>
      <c r="S36" s="30"/>
      <c r="T36" s="30"/>
      <c r="U36" s="119"/>
      <c r="V36" s="30"/>
      <c r="W36" s="220"/>
      <c r="X36" s="220"/>
      <c r="Y36" s="220"/>
      <c r="Z36" s="220"/>
      <c r="AA36" s="220"/>
      <c r="AB36" s="220"/>
      <c r="AC36" s="220"/>
      <c r="AD36" s="220"/>
      <c r="AE36" s="220"/>
      <c r="AF36" s="220"/>
      <c r="AG36" s="220"/>
      <c r="AH36" s="220"/>
      <c r="AI36" s="220"/>
      <c r="AJ36" s="220"/>
      <c r="AK36" s="220"/>
      <c r="AL36" s="220"/>
      <c r="AM36" s="220"/>
      <c r="AN36" s="220"/>
      <c r="AO36" s="220"/>
    </row>
    <row r="37" ht="13.5" customHeight="1">
      <c r="A37" s="111">
        <f t="shared" si="7"/>
        <v>37</v>
      </c>
      <c r="B37" s="226"/>
      <c r="C37" s="224" t="s">
        <v>285</v>
      </c>
      <c r="D37" s="226"/>
      <c r="E37" s="226"/>
      <c r="F37" s="284"/>
      <c r="G37" s="285"/>
      <c r="H37" s="285"/>
      <c r="I37" s="285"/>
      <c r="J37" s="284"/>
      <c r="K37" s="285"/>
      <c r="L37" s="285"/>
      <c r="M37" s="285"/>
      <c r="N37" s="284"/>
      <c r="O37" s="285"/>
      <c r="P37" s="285"/>
      <c r="Q37" s="285"/>
      <c r="R37" s="285"/>
      <c r="S37" s="30"/>
      <c r="T37" s="30"/>
      <c r="U37" s="119"/>
      <c r="V37" s="30"/>
      <c r="W37" s="220"/>
      <c r="X37" s="220"/>
      <c r="Y37" s="220"/>
      <c r="Z37" s="220"/>
      <c r="AA37" s="220"/>
      <c r="AB37" s="220"/>
      <c r="AC37" s="220"/>
      <c r="AD37" s="220"/>
      <c r="AE37" s="220"/>
      <c r="AF37" s="220"/>
      <c r="AG37" s="220"/>
      <c r="AH37" s="220"/>
      <c r="AI37" s="220"/>
      <c r="AJ37" s="220"/>
      <c r="AK37" s="220"/>
      <c r="AL37" s="220"/>
      <c r="AM37" s="220"/>
      <c r="AN37" s="220"/>
      <c r="AO37" s="220"/>
    </row>
    <row r="38" ht="14.25" customHeight="1">
      <c r="A38" s="111">
        <f t="shared" si="7"/>
        <v>38</v>
      </c>
      <c r="B38" s="286" t="s">
        <v>286</v>
      </c>
      <c r="C38" s="286"/>
      <c r="D38" s="286"/>
      <c r="E38" s="287"/>
      <c r="F38" s="288"/>
      <c r="G38" s="288"/>
      <c r="H38" s="288"/>
      <c r="I38" s="288"/>
      <c r="J38" s="288"/>
      <c r="K38" s="288"/>
      <c r="L38" s="288"/>
      <c r="M38" s="288"/>
      <c r="N38" s="288"/>
      <c r="O38" s="288"/>
      <c r="P38" s="288"/>
      <c r="Q38" s="288"/>
      <c r="R38" s="288"/>
      <c r="S38" s="30"/>
      <c r="T38" s="30"/>
      <c r="U38" s="119"/>
      <c r="V38" s="30"/>
      <c r="W38" s="220"/>
      <c r="X38" s="220"/>
      <c r="Y38" s="220"/>
      <c r="Z38" s="220"/>
      <c r="AA38" s="220"/>
      <c r="AB38" s="220"/>
      <c r="AC38" s="220"/>
      <c r="AD38" s="220"/>
      <c r="AE38" s="220"/>
      <c r="AF38" s="220"/>
      <c r="AG38" s="220"/>
      <c r="AH38" s="220"/>
      <c r="AI38" s="220"/>
      <c r="AJ38" s="220"/>
      <c r="AK38" s="220"/>
      <c r="AL38" s="220"/>
      <c r="AM38" s="220"/>
      <c r="AN38" s="220"/>
      <c r="AO38" s="220"/>
    </row>
    <row r="39" ht="13.5" customHeight="1">
      <c r="A39" s="111">
        <f t="shared" si="7"/>
        <v>39</v>
      </c>
      <c r="B39" s="289" t="s">
        <v>287</v>
      </c>
      <c r="C39" s="290">
        <f>+Staff!G461</f>
        <v>4377734.355</v>
      </c>
      <c r="D39" s="290">
        <f t="shared" ref="D39:D46" si="16">+C39-E39</f>
        <v>0.3260840019</v>
      </c>
      <c r="E39" s="290">
        <f t="shared" ref="E39:E50" si="17">SUM(F39:R39)</f>
        <v>4377734.029</v>
      </c>
      <c r="F39" s="291">
        <f>C$39/12</f>
        <v>364811.1962</v>
      </c>
      <c r="G39" s="292">
        <v>364811.1666</v>
      </c>
      <c r="H39" s="292">
        <v>364811.1666</v>
      </c>
      <c r="I39" s="292">
        <v>364811.1666</v>
      </c>
      <c r="J39" s="292">
        <v>364811.1666</v>
      </c>
      <c r="K39" s="292">
        <v>364811.1666</v>
      </c>
      <c r="L39" s="292">
        <v>364811.1666</v>
      </c>
      <c r="M39" s="292">
        <v>364811.1666</v>
      </c>
      <c r="N39" s="292">
        <v>364811.1666</v>
      </c>
      <c r="O39" s="292">
        <v>364811.166599999</v>
      </c>
      <c r="P39" s="292">
        <v>364811.166599999</v>
      </c>
      <c r="Q39" s="292">
        <v>364811.166599999</v>
      </c>
      <c r="R39" s="293">
        <v>0.0</v>
      </c>
      <c r="S39" s="30"/>
      <c r="T39" s="30"/>
      <c r="U39" s="267" t="s">
        <v>288</v>
      </c>
      <c r="V39" s="30"/>
      <c r="W39" s="220"/>
      <c r="X39" s="220"/>
      <c r="Y39" s="220"/>
      <c r="Z39" s="220"/>
      <c r="AA39" s="220"/>
      <c r="AB39" s="220"/>
      <c r="AC39" s="220"/>
      <c r="AD39" s="220"/>
      <c r="AE39" s="220"/>
      <c r="AF39" s="220"/>
      <c r="AG39" s="220"/>
      <c r="AH39" s="220"/>
      <c r="AI39" s="220"/>
      <c r="AJ39" s="220"/>
      <c r="AK39" s="220"/>
      <c r="AL39" s="220"/>
      <c r="AM39" s="220"/>
      <c r="AN39" s="220"/>
      <c r="AO39" s="220"/>
    </row>
    <row r="40" ht="13.5" customHeight="1">
      <c r="A40" s="111">
        <f t="shared" si="7"/>
        <v>40</v>
      </c>
      <c r="B40" s="294" t="s">
        <v>289</v>
      </c>
      <c r="C40" s="263">
        <f>'Gen Optg'!F105</f>
        <v>200148.0638</v>
      </c>
      <c r="D40" s="263">
        <f t="shared" si="16"/>
        <v>-135.6078442</v>
      </c>
      <c r="E40" s="263">
        <f t="shared" si="17"/>
        <v>200283.6716</v>
      </c>
      <c r="F40" s="264">
        <f t="shared" ref="F40:F50" si="18">C40/12</f>
        <v>16679.00531</v>
      </c>
      <c r="G40" s="264">
        <v>16691.3333</v>
      </c>
      <c r="H40" s="264">
        <v>16691.3333</v>
      </c>
      <c r="I40" s="264">
        <v>16691.3333</v>
      </c>
      <c r="J40" s="264">
        <v>16691.3333</v>
      </c>
      <c r="K40" s="264">
        <v>16691.3333</v>
      </c>
      <c r="L40" s="264">
        <v>16691.3333</v>
      </c>
      <c r="M40" s="264">
        <v>16691.3333</v>
      </c>
      <c r="N40" s="264">
        <v>16691.3333</v>
      </c>
      <c r="O40" s="264">
        <v>16691.3333</v>
      </c>
      <c r="P40" s="264">
        <v>16691.3333</v>
      </c>
      <c r="Q40" s="264">
        <v>16691.3333</v>
      </c>
      <c r="R40" s="295">
        <v>0.0</v>
      </c>
      <c r="S40" s="30"/>
      <c r="T40" s="30"/>
      <c r="U40" s="267" t="s">
        <v>290</v>
      </c>
      <c r="V40" s="30"/>
      <c r="W40" s="220"/>
      <c r="X40" s="220"/>
      <c r="Y40" s="220"/>
      <c r="Z40" s="220"/>
      <c r="AA40" s="220"/>
      <c r="AB40" s="220"/>
      <c r="AC40" s="220"/>
      <c r="AD40" s="220"/>
      <c r="AE40" s="220"/>
      <c r="AF40" s="220"/>
      <c r="AG40" s="220"/>
      <c r="AH40" s="220"/>
      <c r="AI40" s="220"/>
      <c r="AJ40" s="220"/>
      <c r="AK40" s="220"/>
      <c r="AL40" s="220"/>
      <c r="AM40" s="220"/>
      <c r="AN40" s="220"/>
      <c r="AO40" s="220"/>
    </row>
    <row r="41" ht="13.5" customHeight="1">
      <c r="A41" s="111">
        <f t="shared" si="7"/>
        <v>41</v>
      </c>
      <c r="B41" s="294" t="s">
        <v>291</v>
      </c>
      <c r="C41" s="263">
        <f>+'Gen Optg'!G143</f>
        <v>757642</v>
      </c>
      <c r="D41" s="263">
        <f t="shared" si="16"/>
        <v>0.0003666668199</v>
      </c>
      <c r="E41" s="263">
        <f t="shared" si="17"/>
        <v>757641.9996</v>
      </c>
      <c r="F41" s="264">
        <f t="shared" si="18"/>
        <v>63136.83333</v>
      </c>
      <c r="G41" s="264">
        <v>63136.8333</v>
      </c>
      <c r="H41" s="264">
        <v>63136.8333</v>
      </c>
      <c r="I41" s="264">
        <v>63136.8333</v>
      </c>
      <c r="J41" s="264">
        <v>63136.8333</v>
      </c>
      <c r="K41" s="264">
        <v>63136.8333</v>
      </c>
      <c r="L41" s="264">
        <v>63136.8333</v>
      </c>
      <c r="M41" s="264">
        <v>63136.8333</v>
      </c>
      <c r="N41" s="264">
        <v>63136.8333</v>
      </c>
      <c r="O41" s="264">
        <v>63136.8333</v>
      </c>
      <c r="P41" s="264">
        <v>63136.8332999999</v>
      </c>
      <c r="Q41" s="264">
        <v>63136.8332999999</v>
      </c>
      <c r="R41" s="295">
        <v>0.0</v>
      </c>
      <c r="S41" s="30"/>
      <c r="T41" s="30"/>
      <c r="U41" s="267" t="s">
        <v>292</v>
      </c>
      <c r="V41" s="30"/>
      <c r="W41" s="220"/>
      <c r="X41" s="220"/>
      <c r="Y41" s="220"/>
      <c r="Z41" s="220"/>
      <c r="AA41" s="220"/>
      <c r="AB41" s="220"/>
      <c r="AC41" s="220"/>
      <c r="AD41" s="220"/>
      <c r="AE41" s="220"/>
      <c r="AF41" s="220"/>
      <c r="AG41" s="220"/>
      <c r="AH41" s="220"/>
      <c r="AI41" s="220"/>
      <c r="AJ41" s="220"/>
      <c r="AK41" s="220"/>
      <c r="AL41" s="220"/>
      <c r="AM41" s="220"/>
      <c r="AN41" s="220"/>
      <c r="AO41" s="220"/>
    </row>
    <row r="42" ht="13.5" customHeight="1">
      <c r="A42" s="111">
        <f t="shared" si="7"/>
        <v>42</v>
      </c>
      <c r="B42" s="294" t="s">
        <v>293</v>
      </c>
      <c r="C42" s="263">
        <f>'Gen Optg'!G180+'Gen Optg'!G151</f>
        <v>0</v>
      </c>
      <c r="D42" s="263">
        <f t="shared" si="16"/>
        <v>0</v>
      </c>
      <c r="E42" s="263">
        <f t="shared" si="17"/>
        <v>0</v>
      </c>
      <c r="F42" s="264">
        <f t="shared" si="18"/>
        <v>0</v>
      </c>
      <c r="G42" s="265">
        <v>0.0</v>
      </c>
      <c r="H42" s="265">
        <v>0.0</v>
      </c>
      <c r="I42" s="265">
        <v>0.0</v>
      </c>
      <c r="J42" s="265">
        <v>0.0</v>
      </c>
      <c r="K42" s="265">
        <v>0.0</v>
      </c>
      <c r="L42" s="265">
        <v>0.0</v>
      </c>
      <c r="M42" s="265">
        <v>0.0</v>
      </c>
      <c r="N42" s="265">
        <v>0.0</v>
      </c>
      <c r="O42" s="265">
        <v>0.0</v>
      </c>
      <c r="P42" s="265">
        <v>0.0</v>
      </c>
      <c r="Q42" s="265">
        <v>0.0</v>
      </c>
      <c r="R42" s="295">
        <v>0.0</v>
      </c>
      <c r="S42" s="30"/>
      <c r="T42" s="30"/>
      <c r="U42" s="119" t="s">
        <v>271</v>
      </c>
      <c r="V42" s="30"/>
      <c r="W42" s="220"/>
      <c r="X42" s="220"/>
      <c r="Y42" s="220"/>
      <c r="Z42" s="220"/>
      <c r="AA42" s="220"/>
      <c r="AB42" s="220"/>
      <c r="AC42" s="220"/>
      <c r="AD42" s="220"/>
      <c r="AE42" s="220"/>
      <c r="AF42" s="220"/>
      <c r="AG42" s="220"/>
      <c r="AH42" s="220"/>
      <c r="AI42" s="220"/>
      <c r="AJ42" s="220"/>
      <c r="AK42" s="220"/>
      <c r="AL42" s="220"/>
      <c r="AM42" s="220"/>
      <c r="AN42" s="220"/>
      <c r="AO42" s="220"/>
    </row>
    <row r="43" ht="13.5" customHeight="1">
      <c r="A43" s="111">
        <f t="shared" si="7"/>
        <v>43</v>
      </c>
      <c r="B43" s="294" t="s">
        <v>294</v>
      </c>
      <c r="C43" s="263">
        <f>'Gen Optg'!G193</f>
        <v>0</v>
      </c>
      <c r="D43" s="263">
        <f t="shared" si="16"/>
        <v>0</v>
      </c>
      <c r="E43" s="263">
        <f t="shared" si="17"/>
        <v>0</v>
      </c>
      <c r="F43" s="264">
        <f t="shared" si="18"/>
        <v>0</v>
      </c>
      <c r="G43" s="265">
        <v>0.0</v>
      </c>
      <c r="H43" s="265">
        <v>0.0</v>
      </c>
      <c r="I43" s="265">
        <v>0.0</v>
      </c>
      <c r="J43" s="265">
        <v>0.0</v>
      </c>
      <c r="K43" s="265">
        <v>0.0</v>
      </c>
      <c r="L43" s="265">
        <v>0.0</v>
      </c>
      <c r="M43" s="265">
        <v>0.0</v>
      </c>
      <c r="N43" s="265">
        <v>0.0</v>
      </c>
      <c r="O43" s="265">
        <v>0.0</v>
      </c>
      <c r="P43" s="265">
        <v>0.0</v>
      </c>
      <c r="Q43" s="265">
        <v>0.0</v>
      </c>
      <c r="R43" s="295">
        <v>0.0</v>
      </c>
      <c r="S43" s="30"/>
      <c r="T43" s="30"/>
      <c r="U43" s="119" t="s">
        <v>272</v>
      </c>
      <c r="V43" s="30"/>
      <c r="W43" s="220"/>
      <c r="X43" s="220"/>
      <c r="Y43" s="220"/>
      <c r="Z43" s="220"/>
      <c r="AA43" s="220"/>
      <c r="AB43" s="220"/>
      <c r="AC43" s="220"/>
      <c r="AD43" s="220"/>
      <c r="AE43" s="220"/>
      <c r="AF43" s="220"/>
      <c r="AG43" s="220"/>
      <c r="AH43" s="220"/>
      <c r="AI43" s="220"/>
      <c r="AJ43" s="220"/>
      <c r="AK43" s="220"/>
      <c r="AL43" s="220"/>
      <c r="AM43" s="220"/>
      <c r="AN43" s="220"/>
      <c r="AO43" s="220"/>
    </row>
    <row r="44" ht="13.5" customHeight="1">
      <c r="A44" s="111">
        <f t="shared" si="7"/>
        <v>44</v>
      </c>
      <c r="B44" s="294" t="s">
        <v>295</v>
      </c>
      <c r="C44" s="263">
        <f>+'Gen Optg'!G195</f>
        <v>28748.08025</v>
      </c>
      <c r="D44" s="263">
        <f t="shared" si="16"/>
        <v>-2.4257682</v>
      </c>
      <c r="E44" s="263">
        <f t="shared" si="17"/>
        <v>28750.50601</v>
      </c>
      <c r="F44" s="264">
        <f t="shared" si="18"/>
        <v>2395.673354</v>
      </c>
      <c r="G44" s="264">
        <v>2395.916666</v>
      </c>
      <c r="H44" s="264">
        <v>2395.916666</v>
      </c>
      <c r="I44" s="264">
        <v>2395.916666</v>
      </c>
      <c r="J44" s="264">
        <v>2395.916666</v>
      </c>
      <c r="K44" s="264">
        <v>2395.916666</v>
      </c>
      <c r="L44" s="264">
        <v>2395.916666</v>
      </c>
      <c r="M44" s="264">
        <v>2395.916666</v>
      </c>
      <c r="N44" s="264">
        <v>2395.916666</v>
      </c>
      <c r="O44" s="264">
        <v>2395.916666</v>
      </c>
      <c r="P44" s="264">
        <v>2395.916666</v>
      </c>
      <c r="Q44" s="264">
        <v>2395.666</v>
      </c>
      <c r="R44" s="295">
        <v>0.0</v>
      </c>
      <c r="S44" s="30"/>
      <c r="T44" s="30"/>
      <c r="U44" s="119"/>
      <c r="V44" s="30"/>
      <c r="W44" s="220"/>
      <c r="X44" s="220"/>
      <c r="Y44" s="220"/>
      <c r="Z44" s="220"/>
      <c r="AA44" s="220"/>
      <c r="AB44" s="220"/>
      <c r="AC44" s="220"/>
      <c r="AD44" s="220"/>
      <c r="AE44" s="220"/>
      <c r="AF44" s="220"/>
      <c r="AG44" s="220"/>
      <c r="AH44" s="220"/>
      <c r="AI44" s="220"/>
      <c r="AJ44" s="220"/>
      <c r="AK44" s="220"/>
      <c r="AL44" s="220"/>
      <c r="AM44" s="220"/>
      <c r="AN44" s="220"/>
      <c r="AO44" s="220"/>
    </row>
    <row r="45" ht="13.5" customHeight="1">
      <c r="A45" s="111">
        <f t="shared" si="7"/>
        <v>45</v>
      </c>
      <c r="B45" s="161" t="s">
        <v>196</v>
      </c>
      <c r="C45" s="263">
        <f>Marketing!I44</f>
        <v>8000</v>
      </c>
      <c r="D45" s="263">
        <f t="shared" si="16"/>
        <v>0.007333333332</v>
      </c>
      <c r="E45" s="263">
        <f t="shared" si="17"/>
        <v>7999.992667</v>
      </c>
      <c r="F45" s="264">
        <f t="shared" si="18"/>
        <v>666.6666667</v>
      </c>
      <c r="G45" s="264">
        <v>666.666</v>
      </c>
      <c r="H45" s="264">
        <v>666.666</v>
      </c>
      <c r="I45" s="264">
        <v>666.666</v>
      </c>
      <c r="J45" s="264">
        <v>666.666</v>
      </c>
      <c r="K45" s="264">
        <v>666.666</v>
      </c>
      <c r="L45" s="264">
        <v>666.666</v>
      </c>
      <c r="M45" s="264">
        <v>666.666</v>
      </c>
      <c r="N45" s="264">
        <v>666.666</v>
      </c>
      <c r="O45" s="264">
        <v>666.666</v>
      </c>
      <c r="P45" s="264">
        <v>666.666</v>
      </c>
      <c r="Q45" s="264">
        <v>666.666</v>
      </c>
      <c r="R45" s="295">
        <v>0.0</v>
      </c>
      <c r="S45" s="30"/>
      <c r="T45" s="30"/>
      <c r="U45" s="119"/>
      <c r="V45" s="30"/>
      <c r="W45" s="220"/>
      <c r="X45" s="220"/>
      <c r="Y45" s="220"/>
      <c r="Z45" s="220"/>
      <c r="AA45" s="220"/>
      <c r="AB45" s="220"/>
      <c r="AC45" s="220"/>
      <c r="AD45" s="220"/>
      <c r="AE45" s="220"/>
      <c r="AF45" s="220"/>
      <c r="AG45" s="220"/>
      <c r="AH45" s="220"/>
      <c r="AI45" s="220"/>
      <c r="AJ45" s="220"/>
      <c r="AK45" s="220"/>
      <c r="AL45" s="220"/>
      <c r="AM45" s="220"/>
      <c r="AN45" s="220"/>
      <c r="AO45" s="220"/>
    </row>
    <row r="46" ht="13.5" customHeight="1">
      <c r="A46" s="111">
        <f t="shared" si="7"/>
        <v>46</v>
      </c>
      <c r="B46" s="294" t="s">
        <v>296</v>
      </c>
      <c r="C46" s="263">
        <f>Facilities!F74</f>
        <v>812840</v>
      </c>
      <c r="D46" s="263">
        <f t="shared" si="16"/>
        <v>0.08333333337</v>
      </c>
      <c r="E46" s="263">
        <f t="shared" si="17"/>
        <v>812839.9167</v>
      </c>
      <c r="F46" s="264">
        <f t="shared" si="18"/>
        <v>67736.66667</v>
      </c>
      <c r="G46" s="264">
        <v>67736.55</v>
      </c>
      <c r="H46" s="264">
        <v>67736.55</v>
      </c>
      <c r="I46" s="264">
        <v>67736.55</v>
      </c>
      <c r="J46" s="264">
        <v>67736.55</v>
      </c>
      <c r="K46" s="264">
        <v>67736.55</v>
      </c>
      <c r="L46" s="264">
        <v>67736.75</v>
      </c>
      <c r="M46" s="264">
        <v>67736.75</v>
      </c>
      <c r="N46" s="264">
        <v>67736.75</v>
      </c>
      <c r="O46" s="264">
        <v>67736.75</v>
      </c>
      <c r="P46" s="264">
        <v>67736.75</v>
      </c>
      <c r="Q46" s="264">
        <v>67736.75</v>
      </c>
      <c r="R46" s="295">
        <v>0.0</v>
      </c>
      <c r="S46" s="30"/>
      <c r="T46" s="30"/>
      <c r="U46" s="119"/>
      <c r="V46" s="30"/>
      <c r="W46" s="220"/>
      <c r="X46" s="220"/>
      <c r="Y46" s="220"/>
      <c r="Z46" s="220"/>
      <c r="AA46" s="220"/>
      <c r="AB46" s="220"/>
      <c r="AC46" s="220"/>
      <c r="AD46" s="220"/>
      <c r="AE46" s="220"/>
      <c r="AF46" s="220"/>
      <c r="AG46" s="220"/>
      <c r="AH46" s="220"/>
      <c r="AI46" s="220"/>
      <c r="AJ46" s="220"/>
      <c r="AK46" s="220"/>
      <c r="AL46" s="220"/>
      <c r="AM46" s="220"/>
      <c r="AN46" s="220"/>
      <c r="AO46" s="220"/>
    </row>
    <row r="47" ht="13.5" customHeight="1">
      <c r="A47" s="111">
        <f t="shared" si="7"/>
        <v>47</v>
      </c>
      <c r="B47" s="294" t="s">
        <v>297</v>
      </c>
      <c r="C47" s="263">
        <f>Facilities!G100</f>
        <v>0</v>
      </c>
      <c r="D47" s="263"/>
      <c r="E47" s="263">
        <f t="shared" si="17"/>
        <v>0</v>
      </c>
      <c r="F47" s="264">
        <f t="shared" si="18"/>
        <v>0</v>
      </c>
      <c r="G47" s="265">
        <v>0.0</v>
      </c>
      <c r="H47" s="265">
        <v>0.0</v>
      </c>
      <c r="I47" s="265">
        <v>0.0</v>
      </c>
      <c r="J47" s="265">
        <v>0.0</v>
      </c>
      <c r="K47" s="265">
        <v>0.0</v>
      </c>
      <c r="L47" s="265">
        <v>0.0</v>
      </c>
      <c r="M47" s="265">
        <v>0.0</v>
      </c>
      <c r="N47" s="265">
        <v>0.0</v>
      </c>
      <c r="O47" s="265">
        <v>0.0</v>
      </c>
      <c r="P47" s="265">
        <v>0.0</v>
      </c>
      <c r="Q47" s="265">
        <v>0.0</v>
      </c>
      <c r="R47" s="295">
        <v>0.0</v>
      </c>
      <c r="S47" s="30"/>
      <c r="T47" s="30"/>
      <c r="U47" s="119"/>
      <c r="V47" s="30"/>
      <c r="W47" s="220"/>
      <c r="X47" s="220"/>
      <c r="Y47" s="220"/>
      <c r="Z47" s="220"/>
      <c r="AA47" s="220"/>
      <c r="AB47" s="220"/>
      <c r="AC47" s="220"/>
      <c r="AD47" s="220"/>
      <c r="AE47" s="220"/>
      <c r="AF47" s="220"/>
      <c r="AG47" s="220"/>
      <c r="AH47" s="220"/>
      <c r="AI47" s="220"/>
      <c r="AJ47" s="220"/>
      <c r="AK47" s="220"/>
      <c r="AL47" s="220"/>
      <c r="AM47" s="220"/>
      <c r="AN47" s="220"/>
      <c r="AO47" s="220"/>
    </row>
    <row r="48" ht="13.5" customHeight="1">
      <c r="A48" s="111">
        <f t="shared" si="7"/>
        <v>48</v>
      </c>
      <c r="B48" s="294" t="s">
        <v>197</v>
      </c>
      <c r="C48" s="263">
        <f>+'FFE&amp;T'!F43</f>
        <v>186214.5</v>
      </c>
      <c r="D48" s="263">
        <f t="shared" ref="D48:D50" si="19">+C48-E48</f>
        <v>-0.45826</v>
      </c>
      <c r="E48" s="263">
        <f t="shared" si="17"/>
        <v>186214.9583</v>
      </c>
      <c r="F48" s="264">
        <f t="shared" si="18"/>
        <v>15517.875</v>
      </c>
      <c r="G48" s="264">
        <v>15517.91666</v>
      </c>
      <c r="H48" s="264">
        <v>15517.91666</v>
      </c>
      <c r="I48" s="264">
        <v>15517.91666</v>
      </c>
      <c r="J48" s="264">
        <v>15517.91666</v>
      </c>
      <c r="K48" s="264">
        <v>15517.91666</v>
      </c>
      <c r="L48" s="264">
        <v>15517.91666</v>
      </c>
      <c r="M48" s="264">
        <v>15517.91666</v>
      </c>
      <c r="N48" s="264">
        <v>15517.91666</v>
      </c>
      <c r="O48" s="264">
        <v>15517.91666</v>
      </c>
      <c r="P48" s="264">
        <v>15517.91666</v>
      </c>
      <c r="Q48" s="264">
        <v>15517.91666</v>
      </c>
      <c r="R48" s="295">
        <v>0.0</v>
      </c>
      <c r="S48" s="30"/>
      <c r="T48" s="30"/>
      <c r="U48" s="119"/>
      <c r="V48" s="30"/>
      <c r="W48" s="220"/>
      <c r="X48" s="220"/>
      <c r="Y48" s="220"/>
      <c r="Z48" s="220"/>
      <c r="AA48" s="220"/>
      <c r="AB48" s="220"/>
      <c r="AC48" s="220"/>
      <c r="AD48" s="220"/>
      <c r="AE48" s="220"/>
      <c r="AF48" s="220"/>
      <c r="AG48" s="220"/>
      <c r="AH48" s="220"/>
      <c r="AI48" s="220"/>
      <c r="AJ48" s="220"/>
      <c r="AK48" s="220"/>
      <c r="AL48" s="220"/>
      <c r="AM48" s="220"/>
      <c r="AN48" s="220"/>
      <c r="AO48" s="220"/>
    </row>
    <row r="49" ht="13.5" customHeight="1">
      <c r="A49" s="111">
        <f t="shared" si="7"/>
        <v>49</v>
      </c>
      <c r="B49" s="294" t="s">
        <v>298</v>
      </c>
      <c r="C49" s="263">
        <f>'EMO-CMO-BOSP'!F39</f>
        <v>0</v>
      </c>
      <c r="D49" s="263">
        <f t="shared" si="19"/>
        <v>0</v>
      </c>
      <c r="E49" s="263">
        <f t="shared" si="17"/>
        <v>0</v>
      </c>
      <c r="F49" s="264">
        <f t="shared" si="18"/>
        <v>0</v>
      </c>
      <c r="G49" s="265"/>
      <c r="H49" s="265"/>
      <c r="I49" s="265"/>
      <c r="J49" s="264">
        <v>0.0</v>
      </c>
      <c r="K49" s="265"/>
      <c r="L49" s="265"/>
      <c r="M49" s="264">
        <v>0.0</v>
      </c>
      <c r="N49" s="265"/>
      <c r="O49" s="265"/>
      <c r="P49" s="265"/>
      <c r="Q49" s="265"/>
      <c r="R49" s="295">
        <v>0.0</v>
      </c>
      <c r="S49" s="30"/>
      <c r="T49" s="30"/>
      <c r="U49" s="119"/>
      <c r="V49" s="30"/>
      <c r="W49" s="220"/>
      <c r="X49" s="220"/>
      <c r="Y49" s="220"/>
      <c r="Z49" s="220"/>
      <c r="AA49" s="220"/>
      <c r="AB49" s="220"/>
      <c r="AC49" s="220"/>
      <c r="AD49" s="220"/>
      <c r="AE49" s="220"/>
      <c r="AF49" s="220"/>
      <c r="AG49" s="220"/>
      <c r="AH49" s="220"/>
      <c r="AI49" s="220"/>
      <c r="AJ49" s="220"/>
      <c r="AK49" s="220"/>
      <c r="AL49" s="220"/>
      <c r="AM49" s="220"/>
      <c r="AN49" s="220"/>
      <c r="AO49" s="220"/>
    </row>
    <row r="50" ht="13.5" customHeight="1">
      <c r="A50" s="111">
        <f t="shared" si="7"/>
        <v>50</v>
      </c>
      <c r="B50" s="296" t="s">
        <v>198</v>
      </c>
      <c r="C50" s="269">
        <f>+Ins!F51</f>
        <v>59053.95</v>
      </c>
      <c r="D50" s="269">
        <f t="shared" si="19"/>
        <v>-0.0451</v>
      </c>
      <c r="E50" s="269">
        <f t="shared" si="17"/>
        <v>59053.9951</v>
      </c>
      <c r="F50" s="264">
        <f t="shared" si="18"/>
        <v>4921.1625</v>
      </c>
      <c r="G50" s="297">
        <v>4921.1666</v>
      </c>
      <c r="H50" s="297">
        <v>4921.1666</v>
      </c>
      <c r="I50" s="297">
        <v>4921.1666</v>
      </c>
      <c r="J50" s="297">
        <v>4921.1666</v>
      </c>
      <c r="K50" s="297">
        <v>4921.1666</v>
      </c>
      <c r="L50" s="297">
        <v>4921.1666</v>
      </c>
      <c r="M50" s="297">
        <v>4921.1666</v>
      </c>
      <c r="N50" s="297">
        <v>4921.1666</v>
      </c>
      <c r="O50" s="297">
        <v>4921.1666</v>
      </c>
      <c r="P50" s="297">
        <v>4921.1666</v>
      </c>
      <c r="Q50" s="297">
        <v>4921.16660000001</v>
      </c>
      <c r="R50" s="298">
        <v>0.0</v>
      </c>
      <c r="S50" s="30"/>
      <c r="T50" s="30"/>
      <c r="U50" s="119"/>
      <c r="V50" s="30"/>
      <c r="W50" s="220"/>
      <c r="X50" s="220"/>
      <c r="Y50" s="220"/>
      <c r="Z50" s="220"/>
      <c r="AA50" s="220"/>
      <c r="AB50" s="220"/>
      <c r="AC50" s="220"/>
      <c r="AD50" s="220"/>
      <c r="AE50" s="220"/>
      <c r="AF50" s="220"/>
      <c r="AG50" s="220"/>
      <c r="AH50" s="220"/>
      <c r="AI50" s="220"/>
      <c r="AJ50" s="220"/>
      <c r="AK50" s="220"/>
      <c r="AL50" s="220"/>
      <c r="AM50" s="220"/>
      <c r="AN50" s="220"/>
      <c r="AO50" s="220"/>
    </row>
    <row r="51" ht="13.5" customHeight="1">
      <c r="A51" s="111">
        <f t="shared" si="7"/>
        <v>51</v>
      </c>
      <c r="B51" s="273" t="s">
        <v>299</v>
      </c>
      <c r="C51" s="299">
        <f t="shared" ref="C51:R51" si="20">SUM(C39:C50)</f>
        <v>6430380.949</v>
      </c>
      <c r="D51" s="299">
        <f t="shared" si="20"/>
        <v>-138.119855</v>
      </c>
      <c r="E51" s="299">
        <f t="shared" si="20"/>
        <v>6430519.069</v>
      </c>
      <c r="F51" s="299">
        <f t="shared" si="20"/>
        <v>535865.0791</v>
      </c>
      <c r="G51" s="299">
        <f t="shared" si="20"/>
        <v>535877.5491</v>
      </c>
      <c r="H51" s="299">
        <f t="shared" si="20"/>
        <v>535877.5491</v>
      </c>
      <c r="I51" s="299">
        <f t="shared" si="20"/>
        <v>535877.5491</v>
      </c>
      <c r="J51" s="299">
        <f t="shared" si="20"/>
        <v>535877.5491</v>
      </c>
      <c r="K51" s="299">
        <f t="shared" si="20"/>
        <v>535877.5491</v>
      </c>
      <c r="L51" s="299">
        <f t="shared" si="20"/>
        <v>535877.7491</v>
      </c>
      <c r="M51" s="299">
        <f t="shared" si="20"/>
        <v>535877.7491</v>
      </c>
      <c r="N51" s="299">
        <f t="shared" si="20"/>
        <v>535877.7491</v>
      </c>
      <c r="O51" s="299">
        <f t="shared" si="20"/>
        <v>535877.7491</v>
      </c>
      <c r="P51" s="299">
        <f t="shared" si="20"/>
        <v>535877.7491</v>
      </c>
      <c r="Q51" s="299">
        <f t="shared" si="20"/>
        <v>535877.4985</v>
      </c>
      <c r="R51" s="299">
        <f t="shared" si="20"/>
        <v>0</v>
      </c>
      <c r="S51" s="30"/>
      <c r="T51" s="30"/>
      <c r="U51" s="119"/>
      <c r="V51" s="30"/>
      <c r="W51" s="220"/>
      <c r="X51" s="220"/>
      <c r="Y51" s="220"/>
      <c r="Z51" s="220"/>
      <c r="AA51" s="220"/>
      <c r="AB51" s="220"/>
      <c r="AC51" s="220"/>
      <c r="AD51" s="220"/>
      <c r="AE51" s="220"/>
      <c r="AF51" s="220"/>
      <c r="AG51" s="220"/>
      <c r="AH51" s="220"/>
      <c r="AI51" s="220"/>
      <c r="AJ51" s="220"/>
      <c r="AK51" s="220"/>
      <c r="AL51" s="220"/>
      <c r="AM51" s="220"/>
      <c r="AN51" s="220"/>
      <c r="AO51" s="220"/>
    </row>
    <row r="52" ht="13.5" customHeight="1">
      <c r="A52" s="111">
        <f t="shared" si="7"/>
        <v>52</v>
      </c>
      <c r="B52" s="300" t="s">
        <v>300</v>
      </c>
      <c r="C52" s="301">
        <f>+Summary!G52-C51</f>
        <v>122708.1227</v>
      </c>
      <c r="D52" s="302"/>
      <c r="E52" s="303">
        <f>SUM(F52:R52)</f>
        <v>1293.898201</v>
      </c>
      <c r="F52" s="303">
        <f t="shared" ref="F52:R52" si="21">F34-F51</f>
        <v>119.334838</v>
      </c>
      <c r="G52" s="303">
        <f t="shared" si="21"/>
        <v>106.8647907</v>
      </c>
      <c r="H52" s="303">
        <f t="shared" si="21"/>
        <v>106.8647907</v>
      </c>
      <c r="I52" s="303">
        <f t="shared" si="21"/>
        <v>106.8647907</v>
      </c>
      <c r="J52" s="303">
        <f t="shared" si="21"/>
        <v>106.8647907</v>
      </c>
      <c r="K52" s="303">
        <f t="shared" si="21"/>
        <v>106.8647907</v>
      </c>
      <c r="L52" s="303">
        <f t="shared" si="21"/>
        <v>106.6647907</v>
      </c>
      <c r="M52" s="303">
        <f t="shared" si="21"/>
        <v>106.6647907</v>
      </c>
      <c r="N52" s="303">
        <f t="shared" si="21"/>
        <v>106.6647907</v>
      </c>
      <c r="O52" s="303">
        <f t="shared" si="21"/>
        <v>106.6647907</v>
      </c>
      <c r="P52" s="303">
        <f t="shared" si="21"/>
        <v>106.6647907</v>
      </c>
      <c r="Q52" s="303">
        <f t="shared" si="21"/>
        <v>106.9154567</v>
      </c>
      <c r="R52" s="303">
        <f t="shared" si="21"/>
        <v>0</v>
      </c>
      <c r="S52" s="30"/>
      <c r="T52" s="30"/>
      <c r="U52" s="119"/>
      <c r="V52" s="30"/>
      <c r="W52" s="220"/>
      <c r="X52" s="220"/>
      <c r="Y52" s="220"/>
      <c r="Z52" s="220"/>
      <c r="AA52" s="220"/>
      <c r="AB52" s="220"/>
      <c r="AC52" s="220"/>
      <c r="AD52" s="220"/>
      <c r="AE52" s="220"/>
      <c r="AF52" s="220"/>
      <c r="AG52" s="220"/>
      <c r="AH52" s="220"/>
      <c r="AI52" s="220"/>
      <c r="AJ52" s="220"/>
      <c r="AK52" s="220"/>
      <c r="AL52" s="220"/>
      <c r="AM52" s="220"/>
      <c r="AN52" s="220"/>
      <c r="AO52" s="220"/>
    </row>
    <row r="53" ht="13.5" customHeight="1">
      <c r="A53" s="111">
        <f t="shared" si="7"/>
        <v>53</v>
      </c>
      <c r="B53" s="304" t="s">
        <v>301</v>
      </c>
      <c r="C53" s="305">
        <f t="shared" ref="C53:D53" si="22">+C34-C51</f>
        <v>1431.931056</v>
      </c>
      <c r="D53" s="115">
        <f t="shared" si="22"/>
        <v>138.032855</v>
      </c>
      <c r="E53" s="306">
        <f>+E34-(E51+D51)</f>
        <v>1432.018056</v>
      </c>
      <c r="F53" s="306">
        <f t="shared" ref="F53:R53" si="23">+F34-F51</f>
        <v>119.334838</v>
      </c>
      <c r="G53" s="306">
        <f t="shared" si="23"/>
        <v>106.8647907</v>
      </c>
      <c r="H53" s="306">
        <f t="shared" si="23"/>
        <v>106.8647907</v>
      </c>
      <c r="I53" s="306">
        <f t="shared" si="23"/>
        <v>106.8647907</v>
      </c>
      <c r="J53" s="306">
        <f t="shared" si="23"/>
        <v>106.8647907</v>
      </c>
      <c r="K53" s="306">
        <f t="shared" si="23"/>
        <v>106.8647907</v>
      </c>
      <c r="L53" s="306">
        <f t="shared" si="23"/>
        <v>106.6647907</v>
      </c>
      <c r="M53" s="306">
        <f t="shared" si="23"/>
        <v>106.6647907</v>
      </c>
      <c r="N53" s="306">
        <f t="shared" si="23"/>
        <v>106.6647907</v>
      </c>
      <c r="O53" s="306">
        <f t="shared" si="23"/>
        <v>106.6647907</v>
      </c>
      <c r="P53" s="306">
        <f t="shared" si="23"/>
        <v>106.6647907</v>
      </c>
      <c r="Q53" s="306">
        <f t="shared" si="23"/>
        <v>106.9154567</v>
      </c>
      <c r="R53" s="306">
        <f t="shared" si="23"/>
        <v>0</v>
      </c>
      <c r="S53" s="30"/>
      <c r="T53" s="30"/>
      <c r="U53" s="119"/>
      <c r="V53" s="30"/>
      <c r="W53" s="220"/>
      <c r="X53" s="220"/>
      <c r="Y53" s="220"/>
      <c r="Z53" s="220"/>
      <c r="AA53" s="220"/>
      <c r="AB53" s="220"/>
      <c r="AC53" s="220"/>
      <c r="AD53" s="220"/>
      <c r="AE53" s="220"/>
      <c r="AF53" s="220"/>
      <c r="AG53" s="220"/>
      <c r="AH53" s="220"/>
      <c r="AI53" s="220"/>
      <c r="AJ53" s="220"/>
      <c r="AK53" s="220"/>
      <c r="AL53" s="220"/>
      <c r="AM53" s="220"/>
      <c r="AN53" s="220"/>
      <c r="AO53" s="220"/>
    </row>
    <row r="54" ht="13.5" customHeight="1">
      <c r="A54" s="111">
        <f t="shared" si="7"/>
        <v>54</v>
      </c>
      <c r="B54" s="307" t="s">
        <v>302</v>
      </c>
      <c r="C54" s="308"/>
      <c r="D54" s="309"/>
      <c r="E54" s="310"/>
      <c r="F54" s="310">
        <f>+F53</f>
        <v>119.334838</v>
      </c>
      <c r="G54" s="310">
        <f t="shared" ref="G54:R54" si="24">+F54+G53</f>
        <v>226.1996287</v>
      </c>
      <c r="H54" s="310">
        <f t="shared" si="24"/>
        <v>333.0644194</v>
      </c>
      <c r="I54" s="310">
        <f t="shared" si="24"/>
        <v>439.92921</v>
      </c>
      <c r="J54" s="310">
        <f t="shared" si="24"/>
        <v>546.7940007</v>
      </c>
      <c r="K54" s="310">
        <f t="shared" si="24"/>
        <v>653.6587914</v>
      </c>
      <c r="L54" s="310">
        <f t="shared" si="24"/>
        <v>760.323582</v>
      </c>
      <c r="M54" s="310">
        <f t="shared" si="24"/>
        <v>866.9883727</v>
      </c>
      <c r="N54" s="310">
        <f t="shared" si="24"/>
        <v>973.6531634</v>
      </c>
      <c r="O54" s="310">
        <f t="shared" si="24"/>
        <v>1080.317954</v>
      </c>
      <c r="P54" s="310">
        <f t="shared" si="24"/>
        <v>1186.982745</v>
      </c>
      <c r="Q54" s="310">
        <f t="shared" si="24"/>
        <v>1293.898201</v>
      </c>
      <c r="R54" s="310">
        <f t="shared" si="24"/>
        <v>1293.898201</v>
      </c>
      <c r="S54" s="30"/>
      <c r="T54" s="30"/>
      <c r="U54" s="119"/>
      <c r="V54" s="30"/>
      <c r="W54" s="220"/>
      <c r="X54" s="220"/>
      <c r="Y54" s="220"/>
      <c r="Z54" s="220"/>
      <c r="AA54" s="220"/>
      <c r="AB54" s="220"/>
      <c r="AC54" s="220"/>
      <c r="AD54" s="220"/>
      <c r="AE54" s="220"/>
      <c r="AF54" s="220"/>
      <c r="AG54" s="220"/>
      <c r="AH54" s="220"/>
      <c r="AI54" s="220"/>
      <c r="AJ54" s="220"/>
      <c r="AK54" s="220"/>
      <c r="AL54" s="220"/>
      <c r="AM54" s="220"/>
      <c r="AN54" s="220"/>
      <c r="AO54" s="220"/>
    </row>
    <row r="55" ht="13.5" customHeight="1">
      <c r="A55" s="111">
        <f t="shared" si="7"/>
        <v>55</v>
      </c>
      <c r="B55" s="94"/>
      <c r="C55" s="311"/>
      <c r="D55" s="312"/>
      <c r="E55" s="313"/>
      <c r="F55" s="313"/>
      <c r="G55" s="313"/>
      <c r="H55" s="313"/>
      <c r="I55" s="313"/>
      <c r="J55" s="313"/>
      <c r="K55" s="313"/>
      <c r="L55" s="313"/>
      <c r="M55" s="313"/>
      <c r="N55" s="313"/>
      <c r="O55" s="313"/>
      <c r="P55" s="313"/>
      <c r="Q55" s="313"/>
      <c r="R55" s="313"/>
      <c r="S55" s="30"/>
      <c r="T55" s="30"/>
      <c r="U55" s="119"/>
      <c r="V55" s="30"/>
      <c r="W55" s="220"/>
      <c r="X55" s="220"/>
      <c r="Y55" s="220"/>
      <c r="Z55" s="220"/>
      <c r="AA55" s="220"/>
      <c r="AB55" s="220"/>
      <c r="AC55" s="220"/>
      <c r="AD55" s="220"/>
      <c r="AE55" s="220"/>
      <c r="AF55" s="220"/>
      <c r="AG55" s="220"/>
      <c r="AH55" s="220"/>
      <c r="AI55" s="220"/>
      <c r="AJ55" s="220"/>
      <c r="AK55" s="220"/>
      <c r="AL55" s="220"/>
      <c r="AM55" s="220"/>
      <c r="AN55" s="220"/>
      <c r="AO55" s="220"/>
    </row>
    <row r="56" ht="13.5" customHeight="1">
      <c r="A56" s="111">
        <f t="shared" si="7"/>
        <v>56</v>
      </c>
      <c r="B56" s="95" t="s">
        <v>303</v>
      </c>
      <c r="C56" s="95"/>
      <c r="D56" s="279"/>
      <c r="E56" s="279"/>
      <c r="F56" s="280">
        <f>F51</f>
        <v>535865.0791</v>
      </c>
      <c r="G56" s="280">
        <f t="shared" ref="G56:R56" si="25">F56+G51</f>
        <v>1071742.628</v>
      </c>
      <c r="H56" s="280">
        <f t="shared" si="25"/>
        <v>1607620.177</v>
      </c>
      <c r="I56" s="280">
        <f t="shared" si="25"/>
        <v>2143497.726</v>
      </c>
      <c r="J56" s="280">
        <f t="shared" si="25"/>
        <v>2679375.276</v>
      </c>
      <c r="K56" s="280">
        <f t="shared" si="25"/>
        <v>3215252.825</v>
      </c>
      <c r="L56" s="280">
        <f t="shared" si="25"/>
        <v>3751130.574</v>
      </c>
      <c r="M56" s="280">
        <f t="shared" si="25"/>
        <v>4287008.323</v>
      </c>
      <c r="N56" s="280">
        <f t="shared" si="25"/>
        <v>4822886.072</v>
      </c>
      <c r="O56" s="280">
        <f t="shared" si="25"/>
        <v>5358763.821</v>
      </c>
      <c r="P56" s="280">
        <f t="shared" si="25"/>
        <v>5894641.57</v>
      </c>
      <c r="Q56" s="280">
        <f t="shared" si="25"/>
        <v>6430519.069</v>
      </c>
      <c r="R56" s="280">
        <f t="shared" si="25"/>
        <v>6430519.069</v>
      </c>
      <c r="S56" s="30"/>
      <c r="T56" s="30"/>
      <c r="U56" s="119"/>
      <c r="V56" s="30"/>
      <c r="W56" s="220"/>
      <c r="X56" s="220"/>
      <c r="Y56" s="220"/>
      <c r="Z56" s="220"/>
      <c r="AA56" s="220"/>
      <c r="AB56" s="220"/>
      <c r="AC56" s="220"/>
      <c r="AD56" s="220"/>
      <c r="AE56" s="220"/>
      <c r="AF56" s="220"/>
      <c r="AG56" s="220"/>
      <c r="AH56" s="220"/>
      <c r="AI56" s="220"/>
      <c r="AJ56" s="220"/>
      <c r="AK56" s="220"/>
      <c r="AL56" s="220"/>
      <c r="AM56" s="220"/>
      <c r="AN56" s="220"/>
      <c r="AO56" s="220"/>
    </row>
    <row r="57" ht="13.5" customHeight="1">
      <c r="A57" s="111">
        <f t="shared" si="7"/>
        <v>57</v>
      </c>
      <c r="B57" s="281" t="s">
        <v>304</v>
      </c>
      <c r="C57" s="281"/>
      <c r="D57" s="281"/>
      <c r="E57" s="314"/>
      <c r="F57" s="283">
        <f t="shared" ref="F57:R57" si="26">IFERROR(F56/$E51,0)</f>
        <v>0.08333154343</v>
      </c>
      <c r="G57" s="283">
        <f t="shared" si="26"/>
        <v>0.1666650261</v>
      </c>
      <c r="H57" s="283">
        <f t="shared" si="26"/>
        <v>0.2499985087</v>
      </c>
      <c r="I57" s="283">
        <f t="shared" si="26"/>
        <v>0.3333319913</v>
      </c>
      <c r="J57" s="283">
        <f t="shared" si="26"/>
        <v>0.416665474</v>
      </c>
      <c r="K57" s="283">
        <f t="shared" si="26"/>
        <v>0.4999989566</v>
      </c>
      <c r="L57" s="283">
        <f t="shared" si="26"/>
        <v>0.5833324703</v>
      </c>
      <c r="M57" s="283">
        <f t="shared" si="26"/>
        <v>0.6666659841</v>
      </c>
      <c r="N57" s="283">
        <f t="shared" si="26"/>
        <v>0.7499994978</v>
      </c>
      <c r="O57" s="283">
        <f t="shared" si="26"/>
        <v>0.8333330115</v>
      </c>
      <c r="P57" s="283">
        <f t="shared" si="26"/>
        <v>0.9166665252</v>
      </c>
      <c r="Q57" s="283">
        <f t="shared" si="26"/>
        <v>1</v>
      </c>
      <c r="R57" s="283">
        <f t="shared" si="26"/>
        <v>1</v>
      </c>
      <c r="S57" s="30"/>
      <c r="T57" s="30"/>
      <c r="U57" s="119"/>
      <c r="V57" s="30"/>
      <c r="W57" s="220"/>
      <c r="X57" s="220"/>
      <c r="Y57" s="220"/>
      <c r="Z57" s="220"/>
      <c r="AA57" s="220"/>
      <c r="AB57" s="220"/>
      <c r="AC57" s="220"/>
      <c r="AD57" s="220"/>
      <c r="AE57" s="220"/>
      <c r="AF57" s="220"/>
      <c r="AG57" s="220"/>
      <c r="AH57" s="220"/>
      <c r="AI57" s="220"/>
      <c r="AJ57" s="220"/>
      <c r="AK57" s="220"/>
      <c r="AL57" s="220"/>
      <c r="AM57" s="220"/>
      <c r="AN57" s="220"/>
      <c r="AO57" s="220"/>
    </row>
    <row r="58" ht="13.5" customHeight="1">
      <c r="A58" s="111">
        <f t="shared" si="7"/>
        <v>58</v>
      </c>
      <c r="B58" s="95" t="s">
        <v>305</v>
      </c>
      <c r="C58" s="95"/>
      <c r="D58" s="95"/>
      <c r="E58" s="284"/>
      <c r="F58" s="315">
        <f t="shared" ref="F58:R58" si="27">IFERROR((F36-F57)/F36,0)</f>
        <v>0.00002147880343</v>
      </c>
      <c r="G58" s="315">
        <f t="shared" si="27"/>
        <v>0.000009843617623</v>
      </c>
      <c r="H58" s="315">
        <f t="shared" si="27"/>
        <v>0.000005965222354</v>
      </c>
      <c r="I58" s="315">
        <f t="shared" si="27"/>
        <v>0.000004026024719</v>
      </c>
      <c r="J58" s="315">
        <f t="shared" si="27"/>
        <v>0.000002862506139</v>
      </c>
      <c r="K58" s="315">
        <f t="shared" si="27"/>
        <v>0.000002086827085</v>
      </c>
      <c r="L58" s="315">
        <f t="shared" si="27"/>
        <v>0.000001479453438</v>
      </c>
      <c r="M58" s="315">
        <f t="shared" si="27"/>
        <v>0.000001023923203</v>
      </c>
      <c r="N58" s="315">
        <f t="shared" si="27"/>
        <v>0.0000006696219087</v>
      </c>
      <c r="O58" s="315">
        <f t="shared" si="27"/>
        <v>0.0000003861808735</v>
      </c>
      <c r="P58" s="315">
        <f t="shared" si="27"/>
        <v>0.0000001542745721</v>
      </c>
      <c r="Q58" s="315">
        <f t="shared" si="27"/>
        <v>-0.09090909091</v>
      </c>
      <c r="R58" s="315">
        <f t="shared" si="27"/>
        <v>-0.09090909091</v>
      </c>
      <c r="S58" s="30"/>
      <c r="T58" s="30"/>
      <c r="U58" s="119"/>
      <c r="V58" s="30"/>
      <c r="W58" s="220"/>
      <c r="X58" s="220"/>
      <c r="Y58" s="220"/>
      <c r="Z58" s="220"/>
      <c r="AA58" s="220"/>
      <c r="AB58" s="220"/>
      <c r="AC58" s="220"/>
      <c r="AD58" s="220"/>
      <c r="AE58" s="220"/>
      <c r="AF58" s="220"/>
      <c r="AG58" s="220"/>
      <c r="AH58" s="220"/>
      <c r="AI58" s="220"/>
      <c r="AJ58" s="220"/>
      <c r="AK58" s="220"/>
      <c r="AL58" s="220"/>
      <c r="AM58" s="220"/>
      <c r="AN58" s="220"/>
      <c r="AO58" s="220"/>
    </row>
    <row r="59" ht="13.5" customHeight="1">
      <c r="A59" s="111">
        <f t="shared" si="7"/>
        <v>59</v>
      </c>
      <c r="B59" s="95" t="s">
        <v>306</v>
      </c>
      <c r="C59" s="95"/>
      <c r="D59" s="95"/>
      <c r="E59" s="284"/>
      <c r="F59" s="280">
        <f>+F15</f>
        <v>31</v>
      </c>
      <c r="G59" s="280">
        <f t="shared" ref="G59:R59" si="28">+F59+G15</f>
        <v>62</v>
      </c>
      <c r="H59" s="280">
        <f t="shared" si="28"/>
        <v>92</v>
      </c>
      <c r="I59" s="280">
        <f t="shared" si="28"/>
        <v>123</v>
      </c>
      <c r="J59" s="280">
        <f t="shared" si="28"/>
        <v>153</v>
      </c>
      <c r="K59" s="280">
        <f t="shared" si="28"/>
        <v>184</v>
      </c>
      <c r="L59" s="280">
        <f t="shared" si="28"/>
        <v>215</v>
      </c>
      <c r="M59" s="280">
        <f t="shared" si="28"/>
        <v>243</v>
      </c>
      <c r="N59" s="280">
        <f t="shared" si="28"/>
        <v>274</v>
      </c>
      <c r="O59" s="280">
        <f t="shared" si="28"/>
        <v>304</v>
      </c>
      <c r="P59" s="280">
        <f t="shared" si="28"/>
        <v>335</v>
      </c>
      <c r="Q59" s="280">
        <f t="shared" si="28"/>
        <v>365</v>
      </c>
      <c r="R59" s="280">
        <f t="shared" si="28"/>
        <v>365</v>
      </c>
      <c r="S59" s="30"/>
      <c r="T59" s="30"/>
      <c r="U59" s="119"/>
      <c r="V59" s="30"/>
      <c r="W59" s="220"/>
      <c r="X59" s="220"/>
      <c r="Y59" s="220"/>
      <c r="Z59" s="220"/>
      <c r="AA59" s="220"/>
      <c r="AB59" s="220"/>
      <c r="AC59" s="220"/>
      <c r="AD59" s="220"/>
      <c r="AE59" s="220"/>
      <c r="AF59" s="220"/>
      <c r="AG59" s="220"/>
      <c r="AH59" s="220"/>
      <c r="AI59" s="220"/>
      <c r="AJ59" s="220"/>
      <c r="AK59" s="220"/>
      <c r="AL59" s="220"/>
      <c r="AM59" s="220"/>
      <c r="AN59" s="220"/>
      <c r="AO59" s="220"/>
    </row>
    <row r="60" ht="13.5" customHeight="1">
      <c r="A60" s="111">
        <f t="shared" si="7"/>
        <v>60</v>
      </c>
      <c r="B60" s="95"/>
      <c r="C60" s="95"/>
      <c r="D60" s="95"/>
      <c r="E60" s="284"/>
      <c r="F60" s="316"/>
      <c r="G60" s="316"/>
      <c r="H60" s="316"/>
      <c r="I60" s="316"/>
      <c r="J60" s="316"/>
      <c r="K60" s="316"/>
      <c r="L60" s="316"/>
      <c r="M60" s="316"/>
      <c r="N60" s="316"/>
      <c r="O60" s="316"/>
      <c r="P60" s="316"/>
      <c r="Q60" s="316"/>
      <c r="R60" s="316"/>
      <c r="S60" s="30"/>
      <c r="T60" s="30"/>
      <c r="U60" s="119"/>
      <c r="V60" s="30"/>
      <c r="W60" s="220"/>
      <c r="X60" s="220"/>
      <c r="Y60" s="220"/>
      <c r="Z60" s="220"/>
      <c r="AA60" s="220"/>
      <c r="AB60" s="220"/>
      <c r="AC60" s="220"/>
      <c r="AD60" s="220"/>
      <c r="AE60" s="220"/>
      <c r="AF60" s="220"/>
      <c r="AG60" s="220"/>
      <c r="AH60" s="220"/>
      <c r="AI60" s="220"/>
      <c r="AJ60" s="220"/>
      <c r="AK60" s="220"/>
      <c r="AL60" s="220"/>
      <c r="AM60" s="220"/>
      <c r="AN60" s="220"/>
      <c r="AO60" s="220"/>
    </row>
    <row r="61" ht="13.5" customHeight="1">
      <c r="A61" s="111">
        <f t="shared" si="7"/>
        <v>61</v>
      </c>
      <c r="B61" s="317" t="s">
        <v>307</v>
      </c>
      <c r="C61" s="317"/>
      <c r="D61" s="317"/>
      <c r="E61" s="318"/>
      <c r="F61" s="319"/>
      <c r="G61" s="319"/>
      <c r="H61" s="319"/>
      <c r="I61" s="319"/>
      <c r="J61" s="319"/>
      <c r="K61" s="319"/>
      <c r="L61" s="319"/>
      <c r="M61" s="319"/>
      <c r="N61" s="319"/>
      <c r="O61" s="319"/>
      <c r="P61" s="319"/>
      <c r="Q61" s="319"/>
      <c r="R61" s="319"/>
      <c r="S61" s="30"/>
      <c r="T61" s="30"/>
      <c r="U61" s="119"/>
      <c r="V61" s="30"/>
      <c r="W61" s="220"/>
      <c r="X61" s="220"/>
      <c r="Y61" s="220"/>
      <c r="Z61" s="220"/>
      <c r="AA61" s="220"/>
      <c r="AB61" s="220"/>
      <c r="AC61" s="220"/>
      <c r="AD61" s="220"/>
      <c r="AE61" s="220"/>
      <c r="AF61" s="220"/>
      <c r="AG61" s="220"/>
      <c r="AH61" s="220"/>
      <c r="AI61" s="220"/>
      <c r="AJ61" s="220"/>
      <c r="AK61" s="220"/>
      <c r="AL61" s="220"/>
      <c r="AM61" s="220"/>
      <c r="AN61" s="220"/>
      <c r="AO61" s="220"/>
    </row>
    <row r="62" ht="13.5" customHeight="1">
      <c r="A62" s="111">
        <f t="shared" si="7"/>
        <v>62</v>
      </c>
      <c r="B62" s="63" t="s">
        <v>308</v>
      </c>
      <c r="C62" s="30"/>
      <c r="D62" s="30"/>
      <c r="E62" s="30"/>
      <c r="F62" s="264">
        <v>0.0</v>
      </c>
      <c r="G62" s="320">
        <f t="shared" ref="G62:R62" si="29">+F67</f>
        <v>0</v>
      </c>
      <c r="H62" s="320">
        <f t="shared" si="29"/>
        <v>0</v>
      </c>
      <c r="I62" s="320">
        <f t="shared" si="29"/>
        <v>0</v>
      </c>
      <c r="J62" s="320">
        <f t="shared" si="29"/>
        <v>0</v>
      </c>
      <c r="K62" s="320">
        <f t="shared" si="29"/>
        <v>0</v>
      </c>
      <c r="L62" s="320">
        <f t="shared" si="29"/>
        <v>0</v>
      </c>
      <c r="M62" s="320">
        <f t="shared" si="29"/>
        <v>0</v>
      </c>
      <c r="N62" s="320">
        <f t="shared" si="29"/>
        <v>0</v>
      </c>
      <c r="O62" s="320">
        <f t="shared" si="29"/>
        <v>0</v>
      </c>
      <c r="P62" s="320">
        <f t="shared" si="29"/>
        <v>0</v>
      </c>
      <c r="Q62" s="320">
        <f t="shared" si="29"/>
        <v>0</v>
      </c>
      <c r="R62" s="320">
        <f t="shared" si="29"/>
        <v>0</v>
      </c>
      <c r="S62" s="30"/>
      <c r="T62" s="30"/>
      <c r="U62" s="119"/>
      <c r="V62" s="30"/>
      <c r="W62" s="220"/>
      <c r="X62" s="220"/>
      <c r="Y62" s="220"/>
      <c r="Z62" s="220"/>
      <c r="AA62" s="220"/>
      <c r="AB62" s="220"/>
      <c r="AC62" s="220"/>
      <c r="AD62" s="220"/>
      <c r="AE62" s="220"/>
      <c r="AF62" s="220"/>
      <c r="AG62" s="220"/>
      <c r="AH62" s="220"/>
      <c r="AI62" s="220"/>
      <c r="AJ62" s="220"/>
      <c r="AK62" s="220"/>
      <c r="AL62" s="220"/>
      <c r="AM62" s="220"/>
      <c r="AN62" s="220"/>
      <c r="AO62" s="220"/>
    </row>
    <row r="63" ht="13.5" customHeight="1">
      <c r="A63" s="111">
        <f t="shared" si="7"/>
        <v>63</v>
      </c>
      <c r="B63" s="226" t="s">
        <v>309</v>
      </c>
      <c r="C63" s="95"/>
      <c r="D63" s="95"/>
      <c r="E63" s="321">
        <f>SUM(F63:R63)</f>
        <v>0</v>
      </c>
      <c r="F63" s="322">
        <f t="shared" ref="F63:R63" si="30">IF(F53&lt;0,-F53,0)</f>
        <v>0</v>
      </c>
      <c r="G63" s="322">
        <f t="shared" si="30"/>
        <v>0</v>
      </c>
      <c r="H63" s="322">
        <f t="shared" si="30"/>
        <v>0</v>
      </c>
      <c r="I63" s="322">
        <f t="shared" si="30"/>
        <v>0</v>
      </c>
      <c r="J63" s="322">
        <f t="shared" si="30"/>
        <v>0</v>
      </c>
      <c r="K63" s="322">
        <f t="shared" si="30"/>
        <v>0</v>
      </c>
      <c r="L63" s="322">
        <f t="shared" si="30"/>
        <v>0</v>
      </c>
      <c r="M63" s="322">
        <f t="shared" si="30"/>
        <v>0</v>
      </c>
      <c r="N63" s="322">
        <f t="shared" si="30"/>
        <v>0</v>
      </c>
      <c r="O63" s="322">
        <f t="shared" si="30"/>
        <v>0</v>
      </c>
      <c r="P63" s="322">
        <f t="shared" si="30"/>
        <v>0</v>
      </c>
      <c r="Q63" s="322">
        <f t="shared" si="30"/>
        <v>0</v>
      </c>
      <c r="R63" s="322">
        <f t="shared" si="30"/>
        <v>0</v>
      </c>
      <c r="S63" s="30"/>
      <c r="T63" s="30"/>
      <c r="U63" s="119"/>
      <c r="V63" s="30"/>
      <c r="W63" s="220"/>
      <c r="X63" s="220"/>
      <c r="Y63" s="220"/>
      <c r="Z63" s="220"/>
      <c r="AA63" s="220"/>
      <c r="AB63" s="220"/>
      <c r="AC63" s="220"/>
      <c r="AD63" s="220"/>
      <c r="AE63" s="220"/>
      <c r="AF63" s="220"/>
      <c r="AG63" s="220"/>
      <c r="AH63" s="220"/>
      <c r="AI63" s="220"/>
      <c r="AJ63" s="220"/>
      <c r="AK63" s="220"/>
      <c r="AL63" s="220"/>
      <c r="AM63" s="220"/>
      <c r="AN63" s="220"/>
      <c r="AO63" s="220"/>
    </row>
    <row r="64" ht="13.5" customHeight="1">
      <c r="A64" s="111">
        <f t="shared" si="7"/>
        <v>64</v>
      </c>
      <c r="B64" s="226" t="s">
        <v>310</v>
      </c>
      <c r="C64" s="95"/>
      <c r="D64" s="95"/>
      <c r="E64" s="321"/>
      <c r="F64" s="323">
        <f t="shared" ref="F64:R64" si="31">SUM(F62:F63)</f>
        <v>0</v>
      </c>
      <c r="G64" s="323">
        <f t="shared" si="31"/>
        <v>0</v>
      </c>
      <c r="H64" s="323">
        <f t="shared" si="31"/>
        <v>0</v>
      </c>
      <c r="I64" s="323">
        <f t="shared" si="31"/>
        <v>0</v>
      </c>
      <c r="J64" s="323">
        <f t="shared" si="31"/>
        <v>0</v>
      </c>
      <c r="K64" s="323">
        <f t="shared" si="31"/>
        <v>0</v>
      </c>
      <c r="L64" s="323">
        <f t="shared" si="31"/>
        <v>0</v>
      </c>
      <c r="M64" s="323">
        <f t="shared" si="31"/>
        <v>0</v>
      </c>
      <c r="N64" s="323">
        <f t="shared" si="31"/>
        <v>0</v>
      </c>
      <c r="O64" s="323">
        <f t="shared" si="31"/>
        <v>0</v>
      </c>
      <c r="P64" s="323">
        <f t="shared" si="31"/>
        <v>0</v>
      </c>
      <c r="Q64" s="323">
        <f t="shared" si="31"/>
        <v>0</v>
      </c>
      <c r="R64" s="323">
        <f t="shared" si="31"/>
        <v>0</v>
      </c>
      <c r="S64" s="30"/>
      <c r="T64" s="30"/>
      <c r="U64" s="119"/>
      <c r="V64" s="30"/>
      <c r="W64" s="220"/>
      <c r="X64" s="220"/>
      <c r="Y64" s="220"/>
      <c r="Z64" s="220"/>
      <c r="AA64" s="220"/>
      <c r="AB64" s="220"/>
      <c r="AC64" s="220"/>
      <c r="AD64" s="220"/>
      <c r="AE64" s="220"/>
      <c r="AF64" s="220"/>
      <c r="AG64" s="220"/>
      <c r="AH64" s="220"/>
      <c r="AI64" s="220"/>
      <c r="AJ64" s="220"/>
      <c r="AK64" s="220"/>
      <c r="AL64" s="220"/>
      <c r="AM64" s="220"/>
      <c r="AN64" s="220"/>
      <c r="AO64" s="220"/>
    </row>
    <row r="65" ht="13.5" customHeight="1">
      <c r="A65" s="111">
        <f t="shared" si="7"/>
        <v>65</v>
      </c>
      <c r="B65" s="226" t="s">
        <v>311</v>
      </c>
      <c r="C65" s="324">
        <v>0.0</v>
      </c>
      <c r="D65" s="95"/>
      <c r="E65" s="325">
        <f t="shared" ref="E65:E66" si="33">SUM(F65:R65)</f>
        <v>0</v>
      </c>
      <c r="F65" s="269">
        <f t="shared" ref="F65:R65" si="32">F62*($C$65/12)</f>
        <v>0</v>
      </c>
      <c r="G65" s="269">
        <f t="shared" si="32"/>
        <v>0</v>
      </c>
      <c r="H65" s="269">
        <f t="shared" si="32"/>
        <v>0</v>
      </c>
      <c r="I65" s="269">
        <f t="shared" si="32"/>
        <v>0</v>
      </c>
      <c r="J65" s="269">
        <f t="shared" si="32"/>
        <v>0</v>
      </c>
      <c r="K65" s="269">
        <f t="shared" si="32"/>
        <v>0</v>
      </c>
      <c r="L65" s="269">
        <f t="shared" si="32"/>
        <v>0</v>
      </c>
      <c r="M65" s="269">
        <f t="shared" si="32"/>
        <v>0</v>
      </c>
      <c r="N65" s="269">
        <f t="shared" si="32"/>
        <v>0</v>
      </c>
      <c r="O65" s="269">
        <f t="shared" si="32"/>
        <v>0</v>
      </c>
      <c r="P65" s="269">
        <f t="shared" si="32"/>
        <v>0</v>
      </c>
      <c r="Q65" s="269">
        <f t="shared" si="32"/>
        <v>0</v>
      </c>
      <c r="R65" s="269">
        <f t="shared" si="32"/>
        <v>0</v>
      </c>
      <c r="S65" s="30"/>
      <c r="T65" s="30"/>
      <c r="U65" s="119"/>
      <c r="V65" s="30"/>
      <c r="W65" s="220"/>
      <c r="X65" s="220"/>
      <c r="Y65" s="220"/>
      <c r="Z65" s="220"/>
      <c r="AA65" s="220"/>
      <c r="AB65" s="220"/>
      <c r="AC65" s="220"/>
      <c r="AD65" s="220"/>
      <c r="AE65" s="220"/>
      <c r="AF65" s="220"/>
      <c r="AG65" s="220"/>
      <c r="AH65" s="220"/>
      <c r="AI65" s="220"/>
      <c r="AJ65" s="220"/>
      <c r="AK65" s="220"/>
      <c r="AL65" s="220"/>
      <c r="AM65" s="220"/>
      <c r="AN65" s="220"/>
      <c r="AO65" s="220"/>
    </row>
    <row r="66" ht="13.5" customHeight="1">
      <c r="A66" s="111">
        <f t="shared" si="7"/>
        <v>66</v>
      </c>
      <c r="B66" s="226" t="s">
        <v>312</v>
      </c>
      <c r="C66" s="95"/>
      <c r="D66" s="95"/>
      <c r="E66" s="321">
        <f t="shared" si="33"/>
        <v>0</v>
      </c>
      <c r="F66" s="322">
        <f t="shared" ref="F66:R66" si="34">IF(F52&gt;0,MIN(F52,(F64+F65)),0)</f>
        <v>0</v>
      </c>
      <c r="G66" s="322">
        <f t="shared" si="34"/>
        <v>0</v>
      </c>
      <c r="H66" s="322">
        <f t="shared" si="34"/>
        <v>0</v>
      </c>
      <c r="I66" s="322">
        <f t="shared" si="34"/>
        <v>0</v>
      </c>
      <c r="J66" s="322">
        <f t="shared" si="34"/>
        <v>0</v>
      </c>
      <c r="K66" s="322">
        <f t="shared" si="34"/>
        <v>0</v>
      </c>
      <c r="L66" s="322">
        <f t="shared" si="34"/>
        <v>0</v>
      </c>
      <c r="M66" s="322">
        <f t="shared" si="34"/>
        <v>0</v>
      </c>
      <c r="N66" s="322">
        <f t="shared" si="34"/>
        <v>0</v>
      </c>
      <c r="O66" s="322">
        <f t="shared" si="34"/>
        <v>0</v>
      </c>
      <c r="P66" s="322">
        <f t="shared" si="34"/>
        <v>0</v>
      </c>
      <c r="Q66" s="322">
        <f t="shared" si="34"/>
        <v>0</v>
      </c>
      <c r="R66" s="322">
        <f t="shared" si="34"/>
        <v>0</v>
      </c>
      <c r="S66" s="30"/>
      <c r="T66" s="30"/>
      <c r="U66" s="119"/>
      <c r="V66" s="30"/>
      <c r="W66" s="220"/>
      <c r="X66" s="220"/>
      <c r="Y66" s="220"/>
      <c r="Z66" s="220"/>
      <c r="AA66" s="220"/>
      <c r="AB66" s="220"/>
      <c r="AC66" s="220"/>
      <c r="AD66" s="220"/>
      <c r="AE66" s="220"/>
      <c r="AF66" s="220"/>
      <c r="AG66" s="220"/>
      <c r="AH66" s="220"/>
      <c r="AI66" s="220"/>
      <c r="AJ66" s="220"/>
      <c r="AK66" s="220"/>
      <c r="AL66" s="220"/>
      <c r="AM66" s="220"/>
      <c r="AN66" s="220"/>
      <c r="AO66" s="220"/>
    </row>
    <row r="67" ht="13.5" customHeight="1">
      <c r="A67" s="111">
        <f t="shared" si="7"/>
        <v>67</v>
      </c>
      <c r="B67" s="95" t="s">
        <v>313</v>
      </c>
      <c r="C67" s="95"/>
      <c r="D67" s="95"/>
      <c r="E67" s="321"/>
      <c r="F67" s="326">
        <f t="shared" ref="F67:R67" si="35">F64+F65-F66</f>
        <v>0</v>
      </c>
      <c r="G67" s="326">
        <f t="shared" si="35"/>
        <v>0</v>
      </c>
      <c r="H67" s="326">
        <f t="shared" si="35"/>
        <v>0</v>
      </c>
      <c r="I67" s="326">
        <f t="shared" si="35"/>
        <v>0</v>
      </c>
      <c r="J67" s="326">
        <f t="shared" si="35"/>
        <v>0</v>
      </c>
      <c r="K67" s="326">
        <f t="shared" si="35"/>
        <v>0</v>
      </c>
      <c r="L67" s="326">
        <f t="shared" si="35"/>
        <v>0</v>
      </c>
      <c r="M67" s="326">
        <f t="shared" si="35"/>
        <v>0</v>
      </c>
      <c r="N67" s="326">
        <f t="shared" si="35"/>
        <v>0</v>
      </c>
      <c r="O67" s="326">
        <f t="shared" si="35"/>
        <v>0</v>
      </c>
      <c r="P67" s="326">
        <f t="shared" si="35"/>
        <v>0</v>
      </c>
      <c r="Q67" s="326">
        <f t="shared" si="35"/>
        <v>0</v>
      </c>
      <c r="R67" s="326">
        <f t="shared" si="35"/>
        <v>0</v>
      </c>
      <c r="S67" s="30"/>
      <c r="T67" s="30"/>
      <c r="U67" s="119"/>
      <c r="V67" s="30"/>
      <c r="W67" s="220"/>
      <c r="X67" s="220"/>
      <c r="Y67" s="220"/>
      <c r="Z67" s="220"/>
      <c r="AA67" s="220"/>
      <c r="AB67" s="220"/>
      <c r="AC67" s="220"/>
      <c r="AD67" s="220"/>
      <c r="AE67" s="220"/>
      <c r="AF67" s="220"/>
      <c r="AG67" s="220"/>
      <c r="AH67" s="220"/>
      <c r="AI67" s="220"/>
      <c r="AJ67" s="220"/>
      <c r="AK67" s="220"/>
      <c r="AL67" s="220"/>
      <c r="AM67" s="220"/>
      <c r="AN67" s="220"/>
      <c r="AO67" s="220"/>
    </row>
    <row r="68" ht="13.5" customHeight="1">
      <c r="A68" s="111">
        <f t="shared" si="7"/>
        <v>68</v>
      </c>
      <c r="B68" s="95" t="s">
        <v>314</v>
      </c>
      <c r="C68" s="95"/>
      <c r="D68" s="95"/>
      <c r="E68" s="327"/>
      <c r="F68" s="328">
        <f t="shared" ref="F68:R68" si="36">IF(F63=-F52,MAX(0,E68),F52-F66+E68)</f>
        <v>119.334838</v>
      </c>
      <c r="G68" s="328">
        <f t="shared" si="36"/>
        <v>226.1996287</v>
      </c>
      <c r="H68" s="328">
        <f t="shared" si="36"/>
        <v>333.0644194</v>
      </c>
      <c r="I68" s="328">
        <f t="shared" si="36"/>
        <v>439.92921</v>
      </c>
      <c r="J68" s="328">
        <f t="shared" si="36"/>
        <v>546.7940007</v>
      </c>
      <c r="K68" s="328">
        <f t="shared" si="36"/>
        <v>653.6587914</v>
      </c>
      <c r="L68" s="328">
        <f t="shared" si="36"/>
        <v>760.323582</v>
      </c>
      <c r="M68" s="328">
        <f t="shared" si="36"/>
        <v>866.9883727</v>
      </c>
      <c r="N68" s="328">
        <f t="shared" si="36"/>
        <v>973.6531634</v>
      </c>
      <c r="O68" s="328">
        <f t="shared" si="36"/>
        <v>1080.317954</v>
      </c>
      <c r="P68" s="328">
        <f t="shared" si="36"/>
        <v>1186.982745</v>
      </c>
      <c r="Q68" s="328">
        <f t="shared" si="36"/>
        <v>1293.898201</v>
      </c>
      <c r="R68" s="329">
        <f t="shared" si="36"/>
        <v>1293.898201</v>
      </c>
      <c r="S68" s="30"/>
      <c r="T68" s="30"/>
      <c r="U68" s="172"/>
      <c r="V68" s="30"/>
      <c r="W68" s="220"/>
      <c r="X68" s="220"/>
      <c r="Y68" s="220"/>
      <c r="Z68" s="220"/>
      <c r="AA68" s="220"/>
      <c r="AB68" s="220"/>
      <c r="AC68" s="220"/>
      <c r="AD68" s="220"/>
      <c r="AE68" s="220"/>
      <c r="AF68" s="220"/>
      <c r="AG68" s="220"/>
      <c r="AH68" s="220"/>
      <c r="AI68" s="220"/>
      <c r="AJ68" s="220"/>
      <c r="AK68" s="220"/>
      <c r="AL68" s="220"/>
      <c r="AM68" s="220"/>
      <c r="AN68" s="220"/>
      <c r="AO68" s="220"/>
    </row>
    <row r="69" ht="13.5" customHeight="1">
      <c r="A69" s="111">
        <f t="shared" si="7"/>
        <v>69</v>
      </c>
      <c r="B69" s="226"/>
      <c r="C69" s="226"/>
      <c r="D69" s="226"/>
      <c r="E69" s="330"/>
      <c r="F69" s="331"/>
      <c r="G69" s="331"/>
      <c r="H69" s="331"/>
      <c r="I69" s="331"/>
      <c r="J69" s="331"/>
      <c r="K69" s="331"/>
      <c r="L69" s="331"/>
      <c r="M69" s="331"/>
      <c r="N69" s="331"/>
      <c r="O69" s="331"/>
      <c r="P69" s="331"/>
      <c r="Q69" s="331"/>
      <c r="R69" s="331"/>
      <c r="S69" s="30"/>
      <c r="T69" s="30"/>
      <c r="U69" s="119"/>
      <c r="V69" s="30"/>
      <c r="W69" s="220"/>
      <c r="X69" s="220"/>
      <c r="Y69" s="220"/>
      <c r="Z69" s="220"/>
      <c r="AA69" s="220"/>
      <c r="AB69" s="220"/>
      <c r="AC69" s="220"/>
      <c r="AD69" s="220"/>
      <c r="AE69" s="220"/>
      <c r="AF69" s="220"/>
      <c r="AG69" s="220"/>
      <c r="AH69" s="220"/>
      <c r="AI69" s="220"/>
      <c r="AJ69" s="220"/>
      <c r="AK69" s="220"/>
      <c r="AL69" s="220"/>
      <c r="AM69" s="220"/>
      <c r="AN69" s="220"/>
      <c r="AO69" s="220"/>
    </row>
    <row r="70" ht="13.5" customHeight="1">
      <c r="A70" s="111">
        <f t="shared" si="7"/>
        <v>70</v>
      </c>
      <c r="B70" s="332" t="s">
        <v>315</v>
      </c>
      <c r="C70" s="332"/>
      <c r="D70" s="332"/>
      <c r="E70" s="332"/>
      <c r="F70" s="333"/>
      <c r="G70" s="334">
        <f t="shared" ref="G70:R70" si="37">IFERROR(MAX(G62,G68)/G51,0)</f>
        <v>0.0004221106651</v>
      </c>
      <c r="H70" s="334">
        <f t="shared" si="37"/>
        <v>0.0006215308328</v>
      </c>
      <c r="I70" s="334">
        <f t="shared" si="37"/>
        <v>0.0008209510004</v>
      </c>
      <c r="J70" s="334">
        <f t="shared" si="37"/>
        <v>0.001020371168</v>
      </c>
      <c r="K70" s="334">
        <f t="shared" si="37"/>
        <v>0.001219791336</v>
      </c>
      <c r="L70" s="334">
        <f t="shared" si="37"/>
        <v>0.001418837754</v>
      </c>
      <c r="M70" s="334">
        <f t="shared" si="37"/>
        <v>0.001617884628</v>
      </c>
      <c r="N70" s="334">
        <f t="shared" si="37"/>
        <v>0.001816931502</v>
      </c>
      <c r="O70" s="334">
        <f t="shared" si="37"/>
        <v>0.002015978375</v>
      </c>
      <c r="P70" s="334">
        <f t="shared" si="37"/>
        <v>0.002215025249</v>
      </c>
      <c r="Q70" s="334">
        <f t="shared" si="37"/>
        <v>0.002414541019</v>
      </c>
      <c r="R70" s="335">
        <f t="shared" si="37"/>
        <v>0</v>
      </c>
      <c r="S70" s="30"/>
      <c r="T70" s="30"/>
      <c r="U70" s="119"/>
      <c r="V70" s="30"/>
      <c r="W70" s="220"/>
      <c r="X70" s="220"/>
      <c r="Y70" s="220"/>
      <c r="Z70" s="220"/>
      <c r="AA70" s="220"/>
      <c r="AB70" s="220"/>
      <c r="AC70" s="220"/>
      <c r="AD70" s="220"/>
      <c r="AE70" s="220"/>
      <c r="AF70" s="220"/>
      <c r="AG70" s="220"/>
      <c r="AH70" s="220"/>
      <c r="AI70" s="220"/>
      <c r="AJ70" s="220"/>
      <c r="AK70" s="220"/>
      <c r="AL70" s="220"/>
      <c r="AM70" s="220"/>
      <c r="AN70" s="220"/>
      <c r="AO70" s="220"/>
    </row>
    <row r="71" ht="13.5" customHeight="1">
      <c r="A71" s="111">
        <f t="shared" si="7"/>
        <v>71</v>
      </c>
      <c r="B71" s="95"/>
      <c r="C71" s="95"/>
      <c r="D71" s="95"/>
      <c r="E71" s="336"/>
      <c r="F71" s="336"/>
      <c r="G71" s="336"/>
      <c r="H71" s="336"/>
      <c r="I71" s="336"/>
      <c r="J71" s="336"/>
      <c r="K71" s="336"/>
      <c r="L71" s="336"/>
      <c r="M71" s="336"/>
      <c r="N71" s="336"/>
      <c r="O71" s="336"/>
      <c r="P71" s="336"/>
      <c r="Q71" s="336"/>
      <c r="R71" s="336"/>
      <c r="S71" s="30"/>
      <c r="T71" s="30"/>
      <c r="U71" s="119"/>
      <c r="V71" s="30"/>
      <c r="W71" s="220"/>
      <c r="X71" s="220"/>
      <c r="Y71" s="220"/>
      <c r="Z71" s="220"/>
      <c r="AA71" s="220"/>
      <c r="AB71" s="220"/>
      <c r="AC71" s="220"/>
      <c r="AD71" s="220"/>
      <c r="AE71" s="220"/>
      <c r="AF71" s="220"/>
      <c r="AG71" s="220"/>
      <c r="AH71" s="220"/>
      <c r="AI71" s="220"/>
      <c r="AJ71" s="220"/>
      <c r="AK71" s="220"/>
      <c r="AL71" s="220"/>
      <c r="AM71" s="220"/>
      <c r="AN71" s="220"/>
      <c r="AO71" s="220"/>
    </row>
    <row r="72" ht="13.5" customHeight="1">
      <c r="A72" s="111">
        <f t="shared" si="7"/>
        <v>72</v>
      </c>
      <c r="B72" s="337" t="s">
        <v>316</v>
      </c>
      <c r="C72" s="337"/>
      <c r="D72" s="337"/>
      <c r="E72" s="107"/>
      <c r="F72" s="107"/>
      <c r="G72" s="107"/>
      <c r="H72" s="107"/>
      <c r="I72" s="107"/>
      <c r="J72" s="107"/>
      <c r="K72" s="107"/>
      <c r="L72" s="107"/>
      <c r="M72" s="107"/>
      <c r="N72" s="107"/>
      <c r="O72" s="107"/>
      <c r="P72" s="107"/>
      <c r="Q72" s="107"/>
      <c r="R72" s="107"/>
      <c r="S72" s="30"/>
      <c r="T72" s="30"/>
      <c r="U72" s="119"/>
      <c r="V72" s="30"/>
      <c r="W72" s="220"/>
      <c r="X72" s="220"/>
      <c r="Y72" s="220"/>
      <c r="Z72" s="220"/>
      <c r="AA72" s="220"/>
      <c r="AB72" s="220"/>
      <c r="AC72" s="220"/>
      <c r="AD72" s="220"/>
      <c r="AE72" s="220"/>
      <c r="AF72" s="220"/>
      <c r="AG72" s="220"/>
      <c r="AH72" s="220"/>
      <c r="AI72" s="220"/>
      <c r="AJ72" s="220"/>
      <c r="AK72" s="220"/>
      <c r="AL72" s="220"/>
      <c r="AM72" s="220"/>
      <c r="AN72" s="220"/>
      <c r="AO72" s="220"/>
    </row>
    <row r="73" ht="13.5" customHeight="1">
      <c r="A73" s="111">
        <f t="shared" si="7"/>
        <v>73</v>
      </c>
      <c r="B73" s="30"/>
      <c r="C73" s="30"/>
      <c r="D73" s="30"/>
      <c r="E73" s="30"/>
      <c r="F73" s="30"/>
      <c r="G73" s="30"/>
      <c r="H73" s="30"/>
      <c r="I73" s="30"/>
      <c r="J73" s="30"/>
      <c r="K73" s="30"/>
      <c r="L73" s="30"/>
      <c r="M73" s="30"/>
      <c r="N73" s="30"/>
      <c r="O73" s="30"/>
      <c r="P73" s="30"/>
      <c r="Q73" s="30"/>
      <c r="R73" s="30"/>
      <c r="S73" s="30"/>
      <c r="T73" s="30"/>
      <c r="U73" s="119"/>
      <c r="V73" s="30"/>
      <c r="W73" s="220"/>
      <c r="X73" s="220"/>
      <c r="Y73" s="220"/>
      <c r="Z73" s="220"/>
      <c r="AA73" s="220"/>
      <c r="AB73" s="220"/>
      <c r="AC73" s="220"/>
      <c r="AD73" s="220"/>
      <c r="AE73" s="220"/>
      <c r="AF73" s="220"/>
      <c r="AG73" s="220"/>
      <c r="AH73" s="220"/>
      <c r="AI73" s="220"/>
      <c r="AJ73" s="220"/>
      <c r="AK73" s="220"/>
      <c r="AL73" s="220"/>
      <c r="AM73" s="220"/>
      <c r="AN73" s="220"/>
      <c r="AO73" s="220"/>
    </row>
    <row r="74" ht="13.5" customHeight="1">
      <c r="A74" s="111">
        <f t="shared" si="7"/>
        <v>74</v>
      </c>
      <c r="B74" s="317" t="s">
        <v>264</v>
      </c>
      <c r="C74" s="317"/>
      <c r="D74" s="317"/>
      <c r="E74" s="338"/>
      <c r="F74" s="339"/>
      <c r="G74" s="339"/>
      <c r="H74" s="339"/>
      <c r="I74" s="339"/>
      <c r="J74" s="339"/>
      <c r="K74" s="339"/>
      <c r="L74" s="339"/>
      <c r="M74" s="339"/>
      <c r="N74" s="339"/>
      <c r="O74" s="339"/>
      <c r="P74" s="339"/>
      <c r="Q74" s="339"/>
      <c r="R74" s="339"/>
      <c r="S74" s="30"/>
      <c r="T74" s="30"/>
      <c r="U74" s="119"/>
      <c r="V74" s="30"/>
      <c r="W74" s="220"/>
      <c r="X74" s="220"/>
      <c r="Y74" s="220"/>
      <c r="Z74" s="220"/>
      <c r="AA74" s="220"/>
      <c r="AB74" s="220"/>
      <c r="AC74" s="220"/>
      <c r="AD74" s="220"/>
      <c r="AE74" s="220"/>
      <c r="AF74" s="220"/>
      <c r="AG74" s="220"/>
      <c r="AH74" s="220"/>
      <c r="AI74" s="220"/>
      <c r="AJ74" s="220"/>
      <c r="AK74" s="220"/>
      <c r="AL74" s="220"/>
      <c r="AM74" s="220"/>
      <c r="AN74" s="220"/>
      <c r="AO74" s="220"/>
    </row>
    <row r="75" ht="13.5" customHeight="1">
      <c r="A75" s="111">
        <f t="shared" si="7"/>
        <v>75</v>
      </c>
      <c r="B75" s="226" t="s">
        <v>265</v>
      </c>
      <c r="C75" s="226"/>
      <c r="D75" s="226"/>
      <c r="E75" s="340">
        <f t="shared" ref="E75:R75" si="38">IF(OR(E17=0,E$34=0),0,E17/E$34)</f>
        <v>0.9162738415</v>
      </c>
      <c r="F75" s="340">
        <f t="shared" si="38"/>
        <v>0.9162738415</v>
      </c>
      <c r="G75" s="340">
        <f t="shared" si="38"/>
        <v>0.9162738415</v>
      </c>
      <c r="H75" s="340">
        <f t="shared" si="38"/>
        <v>0.9162738415</v>
      </c>
      <c r="I75" s="340">
        <f t="shared" si="38"/>
        <v>0.9162738415</v>
      </c>
      <c r="J75" s="340">
        <f t="shared" si="38"/>
        <v>0.9162738415</v>
      </c>
      <c r="K75" s="340">
        <f t="shared" si="38"/>
        <v>0.9162738415</v>
      </c>
      <c r="L75" s="340">
        <f t="shared" si="38"/>
        <v>0.9162738415</v>
      </c>
      <c r="M75" s="340">
        <f t="shared" si="38"/>
        <v>0.9162738415</v>
      </c>
      <c r="N75" s="340">
        <f t="shared" si="38"/>
        <v>0.9162738415</v>
      </c>
      <c r="O75" s="340">
        <f t="shared" si="38"/>
        <v>0.9162738415</v>
      </c>
      <c r="P75" s="340">
        <f t="shared" si="38"/>
        <v>0.9162738415</v>
      </c>
      <c r="Q75" s="340">
        <f t="shared" si="38"/>
        <v>0.9162738415</v>
      </c>
      <c r="R75" s="340">
        <f t="shared" si="38"/>
        <v>0</v>
      </c>
      <c r="S75" s="30"/>
      <c r="T75" s="30"/>
      <c r="U75" s="119"/>
      <c r="V75" s="30"/>
      <c r="W75" s="220"/>
      <c r="X75" s="220"/>
      <c r="Y75" s="220"/>
      <c r="Z75" s="220"/>
      <c r="AA75" s="220"/>
      <c r="AB75" s="220"/>
      <c r="AC75" s="220"/>
      <c r="AD75" s="220"/>
      <c r="AE75" s="220"/>
      <c r="AF75" s="220"/>
      <c r="AG75" s="220"/>
      <c r="AH75" s="220"/>
      <c r="AI75" s="220"/>
      <c r="AJ75" s="220"/>
      <c r="AK75" s="220"/>
      <c r="AL75" s="220"/>
      <c r="AM75" s="220"/>
      <c r="AN75" s="220"/>
      <c r="AO75" s="220"/>
    </row>
    <row r="76" ht="13.5" customHeight="1">
      <c r="A76" s="111">
        <f t="shared" si="7"/>
        <v>76</v>
      </c>
      <c r="B76" s="226" t="str">
        <f>+B18</f>
        <v>CS Sponsorship Fee @ 0.0125</v>
      </c>
      <c r="C76" s="226"/>
      <c r="D76" s="226"/>
      <c r="E76" s="340">
        <f t="shared" ref="E76:R76" si="39">IF(OR(E18=0,E$34=0),0,E18/E$34)</f>
        <v>-0.0111055779</v>
      </c>
      <c r="F76" s="340">
        <f t="shared" si="39"/>
        <v>-0.0111055779</v>
      </c>
      <c r="G76" s="340">
        <f t="shared" si="39"/>
        <v>-0.0111055779</v>
      </c>
      <c r="H76" s="340">
        <f t="shared" si="39"/>
        <v>-0.0111055779</v>
      </c>
      <c r="I76" s="340">
        <f t="shared" si="39"/>
        <v>-0.0111055779</v>
      </c>
      <c r="J76" s="340">
        <f t="shared" si="39"/>
        <v>-0.0111055779</v>
      </c>
      <c r="K76" s="340">
        <f t="shared" si="39"/>
        <v>-0.0111055779</v>
      </c>
      <c r="L76" s="340">
        <f t="shared" si="39"/>
        <v>-0.0111055779</v>
      </c>
      <c r="M76" s="340">
        <f t="shared" si="39"/>
        <v>-0.0111055779</v>
      </c>
      <c r="N76" s="340">
        <f t="shared" si="39"/>
        <v>-0.0111055779</v>
      </c>
      <c r="O76" s="340">
        <f t="shared" si="39"/>
        <v>-0.0111055779</v>
      </c>
      <c r="P76" s="340">
        <f t="shared" si="39"/>
        <v>-0.0111055779</v>
      </c>
      <c r="Q76" s="340">
        <f t="shared" si="39"/>
        <v>-0.0111055779</v>
      </c>
      <c r="R76" s="340">
        <f t="shared" si="39"/>
        <v>0</v>
      </c>
      <c r="S76" s="30"/>
      <c r="T76" s="30"/>
      <c r="U76" s="119"/>
      <c r="V76" s="30"/>
      <c r="W76" s="220"/>
      <c r="X76" s="220"/>
      <c r="Y76" s="220"/>
      <c r="Z76" s="220"/>
      <c r="AA76" s="220"/>
      <c r="AB76" s="220"/>
      <c r="AC76" s="220"/>
      <c r="AD76" s="220"/>
      <c r="AE76" s="220"/>
      <c r="AF76" s="220"/>
      <c r="AG76" s="220"/>
      <c r="AH76" s="220"/>
      <c r="AI76" s="220"/>
      <c r="AJ76" s="220"/>
      <c r="AK76" s="220"/>
      <c r="AL76" s="220"/>
      <c r="AM76" s="220"/>
      <c r="AN76" s="220"/>
      <c r="AO76" s="220"/>
    </row>
    <row r="77" ht="13.5" customHeight="1">
      <c r="A77" s="111">
        <f t="shared" si="7"/>
        <v>77</v>
      </c>
      <c r="B77" s="226" t="s">
        <v>165</v>
      </c>
      <c r="C77" s="226"/>
      <c r="D77" s="226"/>
      <c r="E77" s="340">
        <f t="shared" ref="E77:R77" si="40">IF(OR(E19=0,E$34=0),0,E19/E$34)</f>
        <v>0</v>
      </c>
      <c r="F77" s="340">
        <f t="shared" si="40"/>
        <v>0</v>
      </c>
      <c r="G77" s="340">
        <f t="shared" si="40"/>
        <v>0</v>
      </c>
      <c r="H77" s="340">
        <f t="shared" si="40"/>
        <v>0</v>
      </c>
      <c r="I77" s="340">
        <f t="shared" si="40"/>
        <v>0</v>
      </c>
      <c r="J77" s="340">
        <f t="shared" si="40"/>
        <v>0</v>
      </c>
      <c r="K77" s="340">
        <f t="shared" si="40"/>
        <v>0</v>
      </c>
      <c r="L77" s="340">
        <f t="shared" si="40"/>
        <v>0</v>
      </c>
      <c r="M77" s="340">
        <f t="shared" si="40"/>
        <v>0</v>
      </c>
      <c r="N77" s="340">
        <f t="shared" si="40"/>
        <v>0</v>
      </c>
      <c r="O77" s="340">
        <f t="shared" si="40"/>
        <v>0</v>
      </c>
      <c r="P77" s="340">
        <f t="shared" si="40"/>
        <v>0</v>
      </c>
      <c r="Q77" s="340">
        <f t="shared" si="40"/>
        <v>0</v>
      </c>
      <c r="R77" s="340">
        <f t="shared" si="40"/>
        <v>0</v>
      </c>
      <c r="S77" s="30"/>
      <c r="T77" s="30"/>
      <c r="U77" s="119"/>
      <c r="V77" s="30"/>
      <c r="W77" s="220"/>
      <c r="X77" s="220"/>
      <c r="Y77" s="220"/>
      <c r="Z77" s="220"/>
      <c r="AA77" s="220"/>
      <c r="AB77" s="220"/>
      <c r="AC77" s="220"/>
      <c r="AD77" s="220"/>
      <c r="AE77" s="220"/>
      <c r="AF77" s="220"/>
      <c r="AG77" s="220"/>
      <c r="AH77" s="220"/>
      <c r="AI77" s="220"/>
      <c r="AJ77" s="220"/>
      <c r="AK77" s="220"/>
      <c r="AL77" s="220"/>
      <c r="AM77" s="220"/>
      <c r="AN77" s="220"/>
      <c r="AO77" s="220"/>
    </row>
    <row r="78" ht="13.5" customHeight="1">
      <c r="A78" s="111">
        <f t="shared" si="7"/>
        <v>78</v>
      </c>
      <c r="B78" s="226" t="s">
        <v>166</v>
      </c>
      <c r="C78" s="226"/>
      <c r="D78" s="226"/>
      <c r="E78" s="340">
        <f t="shared" ref="E78:R78" si="41">IF(OR(E20=0,E$34=0),0,E20/E$34)</f>
        <v>0</v>
      </c>
      <c r="F78" s="340">
        <f t="shared" si="41"/>
        <v>0</v>
      </c>
      <c r="G78" s="340">
        <f t="shared" si="41"/>
        <v>0</v>
      </c>
      <c r="H78" s="340">
        <f t="shared" si="41"/>
        <v>0</v>
      </c>
      <c r="I78" s="340">
        <f t="shared" si="41"/>
        <v>0</v>
      </c>
      <c r="J78" s="340">
        <f t="shared" si="41"/>
        <v>0</v>
      </c>
      <c r="K78" s="340">
        <f t="shared" si="41"/>
        <v>0</v>
      </c>
      <c r="L78" s="340">
        <f t="shared" si="41"/>
        <v>0</v>
      </c>
      <c r="M78" s="340">
        <f t="shared" si="41"/>
        <v>0</v>
      </c>
      <c r="N78" s="340">
        <f t="shared" si="41"/>
        <v>0</v>
      </c>
      <c r="O78" s="340">
        <f t="shared" si="41"/>
        <v>0</v>
      </c>
      <c r="P78" s="340">
        <f t="shared" si="41"/>
        <v>0</v>
      </c>
      <c r="Q78" s="340">
        <f t="shared" si="41"/>
        <v>0</v>
      </c>
      <c r="R78" s="340">
        <f t="shared" si="41"/>
        <v>0</v>
      </c>
      <c r="S78" s="30"/>
      <c r="T78" s="30"/>
      <c r="U78" s="119"/>
      <c r="V78" s="30"/>
      <c r="W78" s="220"/>
      <c r="X78" s="220"/>
      <c r="Y78" s="220"/>
      <c r="Z78" s="220"/>
      <c r="AA78" s="220"/>
      <c r="AB78" s="220"/>
      <c r="AC78" s="220"/>
      <c r="AD78" s="220"/>
      <c r="AE78" s="220"/>
      <c r="AF78" s="220"/>
      <c r="AG78" s="220"/>
      <c r="AH78" s="220"/>
      <c r="AI78" s="220"/>
      <c r="AJ78" s="220"/>
      <c r="AK78" s="220"/>
      <c r="AL78" s="220"/>
      <c r="AM78" s="220"/>
      <c r="AN78" s="220"/>
      <c r="AO78" s="220"/>
    </row>
    <row r="79" ht="13.5" customHeight="1">
      <c r="A79" s="111">
        <f t="shared" si="7"/>
        <v>79</v>
      </c>
      <c r="B79" s="226" t="s">
        <v>167</v>
      </c>
      <c r="C79" s="226"/>
      <c r="D79" s="226"/>
      <c r="E79" s="340">
        <f t="shared" ref="E79:R79" si="42">IF(OR(E22=0,E$34=0),0,E22/E$34)</f>
        <v>0</v>
      </c>
      <c r="F79" s="340">
        <f t="shared" si="42"/>
        <v>0</v>
      </c>
      <c r="G79" s="340">
        <f t="shared" si="42"/>
        <v>0</v>
      </c>
      <c r="H79" s="340">
        <f t="shared" si="42"/>
        <v>0</v>
      </c>
      <c r="I79" s="340">
        <f t="shared" si="42"/>
        <v>0</v>
      </c>
      <c r="J79" s="340">
        <f t="shared" si="42"/>
        <v>0</v>
      </c>
      <c r="K79" s="340">
        <f t="shared" si="42"/>
        <v>0</v>
      </c>
      <c r="L79" s="340">
        <f t="shared" si="42"/>
        <v>0</v>
      </c>
      <c r="M79" s="340">
        <f t="shared" si="42"/>
        <v>0</v>
      </c>
      <c r="N79" s="340">
        <f t="shared" si="42"/>
        <v>0</v>
      </c>
      <c r="O79" s="340">
        <f t="shared" si="42"/>
        <v>0</v>
      </c>
      <c r="P79" s="340">
        <f t="shared" si="42"/>
        <v>0</v>
      </c>
      <c r="Q79" s="340">
        <f t="shared" si="42"/>
        <v>0</v>
      </c>
      <c r="R79" s="340">
        <f t="shared" si="42"/>
        <v>0</v>
      </c>
      <c r="S79" s="30"/>
      <c r="T79" s="30"/>
      <c r="U79" s="119"/>
      <c r="V79" s="30"/>
      <c r="W79" s="220"/>
      <c r="X79" s="220"/>
      <c r="Y79" s="220"/>
      <c r="Z79" s="220"/>
      <c r="AA79" s="220"/>
      <c r="AB79" s="220"/>
      <c r="AC79" s="220"/>
      <c r="AD79" s="220"/>
      <c r="AE79" s="220"/>
      <c r="AF79" s="220"/>
      <c r="AG79" s="220"/>
      <c r="AH79" s="220"/>
      <c r="AI79" s="220"/>
      <c r="AJ79" s="220"/>
      <c r="AK79" s="220"/>
      <c r="AL79" s="220"/>
      <c r="AM79" s="220"/>
      <c r="AN79" s="220"/>
      <c r="AO79" s="220"/>
    </row>
    <row r="80" ht="13.5" customHeight="1">
      <c r="A80" s="111">
        <f t="shared" si="7"/>
        <v>80</v>
      </c>
      <c r="B80" s="226" t="s">
        <v>169</v>
      </c>
      <c r="C80" s="226"/>
      <c r="D80" s="226"/>
      <c r="E80" s="340">
        <f t="shared" ref="E80:R80" si="43">IF(OR(E23=0,E$34=0),0,E23/E$34)</f>
        <v>0</v>
      </c>
      <c r="F80" s="340">
        <f t="shared" si="43"/>
        <v>0</v>
      </c>
      <c r="G80" s="340">
        <f t="shared" si="43"/>
        <v>0</v>
      </c>
      <c r="H80" s="340">
        <f t="shared" si="43"/>
        <v>0</v>
      </c>
      <c r="I80" s="340">
        <f t="shared" si="43"/>
        <v>0</v>
      </c>
      <c r="J80" s="340">
        <f t="shared" si="43"/>
        <v>0</v>
      </c>
      <c r="K80" s="340">
        <f t="shared" si="43"/>
        <v>0</v>
      </c>
      <c r="L80" s="340">
        <f t="shared" si="43"/>
        <v>0</v>
      </c>
      <c r="M80" s="340">
        <f t="shared" si="43"/>
        <v>0</v>
      </c>
      <c r="N80" s="340">
        <f t="shared" si="43"/>
        <v>0</v>
      </c>
      <c r="O80" s="340">
        <f t="shared" si="43"/>
        <v>0</v>
      </c>
      <c r="P80" s="340">
        <f t="shared" si="43"/>
        <v>0</v>
      </c>
      <c r="Q80" s="340">
        <f t="shared" si="43"/>
        <v>0</v>
      </c>
      <c r="R80" s="340">
        <f t="shared" si="43"/>
        <v>0</v>
      </c>
      <c r="S80" s="30"/>
      <c r="T80" s="30"/>
      <c r="U80" s="119"/>
      <c r="V80" s="30"/>
      <c r="W80" s="220"/>
      <c r="X80" s="220"/>
      <c r="Y80" s="220"/>
      <c r="Z80" s="220"/>
      <c r="AA80" s="220"/>
      <c r="AB80" s="220"/>
      <c r="AC80" s="220"/>
      <c r="AD80" s="220"/>
      <c r="AE80" s="220"/>
      <c r="AF80" s="220"/>
      <c r="AG80" s="220"/>
      <c r="AH80" s="220"/>
      <c r="AI80" s="220"/>
      <c r="AJ80" s="220"/>
      <c r="AK80" s="220"/>
      <c r="AL80" s="220"/>
      <c r="AM80" s="220"/>
      <c r="AN80" s="220"/>
      <c r="AO80" s="220"/>
    </row>
    <row r="81" ht="13.5" customHeight="1">
      <c r="A81" s="111">
        <f t="shared" si="7"/>
        <v>81</v>
      </c>
      <c r="B81" s="226" t="s">
        <v>170</v>
      </c>
      <c r="C81" s="226"/>
      <c r="D81" s="226"/>
      <c r="E81" s="340">
        <f t="shared" ref="E81:R81" si="44">IF(OR(E24=0,E$34=0),0,E24/E$34)</f>
        <v>0</v>
      </c>
      <c r="F81" s="340">
        <f t="shared" si="44"/>
        <v>0</v>
      </c>
      <c r="G81" s="340">
        <f t="shared" si="44"/>
        <v>0</v>
      </c>
      <c r="H81" s="340">
        <f t="shared" si="44"/>
        <v>0</v>
      </c>
      <c r="I81" s="340">
        <f t="shared" si="44"/>
        <v>0</v>
      </c>
      <c r="J81" s="340">
        <f t="shared" si="44"/>
        <v>0</v>
      </c>
      <c r="K81" s="340">
        <f t="shared" si="44"/>
        <v>0</v>
      </c>
      <c r="L81" s="340">
        <f t="shared" si="44"/>
        <v>0</v>
      </c>
      <c r="M81" s="340">
        <f t="shared" si="44"/>
        <v>0</v>
      </c>
      <c r="N81" s="340">
        <f t="shared" si="44"/>
        <v>0</v>
      </c>
      <c r="O81" s="340">
        <f t="shared" si="44"/>
        <v>0</v>
      </c>
      <c r="P81" s="340">
        <f t="shared" si="44"/>
        <v>0</v>
      </c>
      <c r="Q81" s="340">
        <f t="shared" si="44"/>
        <v>0</v>
      </c>
      <c r="R81" s="340">
        <f t="shared" si="44"/>
        <v>0</v>
      </c>
      <c r="S81" s="30"/>
      <c r="T81" s="30"/>
      <c r="U81" s="119"/>
      <c r="V81" s="30"/>
      <c r="W81" s="220"/>
      <c r="X81" s="220"/>
      <c r="Y81" s="220"/>
      <c r="Z81" s="220"/>
      <c r="AA81" s="220"/>
      <c r="AB81" s="220"/>
      <c r="AC81" s="220"/>
      <c r="AD81" s="220"/>
      <c r="AE81" s="220"/>
      <c r="AF81" s="220"/>
      <c r="AG81" s="220"/>
      <c r="AH81" s="220"/>
      <c r="AI81" s="220"/>
      <c r="AJ81" s="220"/>
      <c r="AK81" s="220"/>
      <c r="AL81" s="220"/>
      <c r="AM81" s="220"/>
      <c r="AN81" s="220"/>
      <c r="AO81" s="220"/>
    </row>
    <row r="82" ht="13.5" customHeight="1">
      <c r="A82" s="111">
        <f t="shared" si="7"/>
        <v>82</v>
      </c>
      <c r="B82" s="226" t="s">
        <v>171</v>
      </c>
      <c r="C82" s="226"/>
      <c r="D82" s="226"/>
      <c r="E82" s="340">
        <f t="shared" ref="E82:R82" si="45">IF(OR(E25=0,E$34=0),0,E25/E$34)</f>
        <v>0.01337663151</v>
      </c>
      <c r="F82" s="340">
        <f t="shared" si="45"/>
        <v>0.01337663151</v>
      </c>
      <c r="G82" s="340">
        <f t="shared" si="45"/>
        <v>0.01337663151</v>
      </c>
      <c r="H82" s="340">
        <f t="shared" si="45"/>
        <v>0.01337663151</v>
      </c>
      <c r="I82" s="340">
        <f t="shared" si="45"/>
        <v>0.01337663151</v>
      </c>
      <c r="J82" s="340">
        <f t="shared" si="45"/>
        <v>0.01337663151</v>
      </c>
      <c r="K82" s="340">
        <f t="shared" si="45"/>
        <v>0.01337663151</v>
      </c>
      <c r="L82" s="340">
        <f t="shared" si="45"/>
        <v>0.01337663151</v>
      </c>
      <c r="M82" s="340">
        <f t="shared" si="45"/>
        <v>0.01337663151</v>
      </c>
      <c r="N82" s="340">
        <f t="shared" si="45"/>
        <v>0.01337663151</v>
      </c>
      <c r="O82" s="340">
        <f t="shared" si="45"/>
        <v>0.01337663151</v>
      </c>
      <c r="P82" s="340">
        <f t="shared" si="45"/>
        <v>0.01337663151</v>
      </c>
      <c r="Q82" s="340">
        <f t="shared" si="45"/>
        <v>0.01337663151</v>
      </c>
      <c r="R82" s="340">
        <f t="shared" si="45"/>
        <v>0</v>
      </c>
      <c r="S82" s="30"/>
      <c r="T82" s="30"/>
      <c r="U82" s="119"/>
      <c r="V82" s="30"/>
      <c r="W82" s="220"/>
      <c r="X82" s="220"/>
      <c r="Y82" s="220"/>
      <c r="Z82" s="220"/>
      <c r="AA82" s="220"/>
      <c r="AB82" s="220"/>
      <c r="AC82" s="220"/>
      <c r="AD82" s="220"/>
      <c r="AE82" s="220"/>
      <c r="AF82" s="220"/>
      <c r="AG82" s="220"/>
      <c r="AH82" s="220"/>
      <c r="AI82" s="220"/>
      <c r="AJ82" s="220"/>
      <c r="AK82" s="220"/>
      <c r="AL82" s="220"/>
      <c r="AM82" s="220"/>
      <c r="AN82" s="220"/>
      <c r="AO82" s="220"/>
    </row>
    <row r="83" ht="13.5" customHeight="1">
      <c r="A83" s="111">
        <f t="shared" si="7"/>
        <v>83</v>
      </c>
      <c r="B83" s="226" t="s">
        <v>317</v>
      </c>
      <c r="C83" s="226"/>
      <c r="D83" s="226"/>
      <c r="E83" s="340">
        <f t="shared" ref="E83:R83" si="46">IF(OR(E26=0,E$34=0),0,E26/E$34)</f>
        <v>0.04854976373</v>
      </c>
      <c r="F83" s="340">
        <f t="shared" si="46"/>
        <v>0.04854976373</v>
      </c>
      <c r="G83" s="340">
        <f t="shared" si="46"/>
        <v>0.04854976373</v>
      </c>
      <c r="H83" s="340">
        <f t="shared" si="46"/>
        <v>0.04854976373</v>
      </c>
      <c r="I83" s="340">
        <f t="shared" si="46"/>
        <v>0.04854976373</v>
      </c>
      <c r="J83" s="340">
        <f t="shared" si="46"/>
        <v>0.04854976373</v>
      </c>
      <c r="K83" s="340">
        <f t="shared" si="46"/>
        <v>0.04854976373</v>
      </c>
      <c r="L83" s="340">
        <f t="shared" si="46"/>
        <v>0.04854976373</v>
      </c>
      <c r="M83" s="340">
        <f t="shared" si="46"/>
        <v>0.04854976373</v>
      </c>
      <c r="N83" s="340">
        <f t="shared" si="46"/>
        <v>0.04854976373</v>
      </c>
      <c r="O83" s="340">
        <f t="shared" si="46"/>
        <v>0.04854976373</v>
      </c>
      <c r="P83" s="340">
        <f t="shared" si="46"/>
        <v>0.04854976373</v>
      </c>
      <c r="Q83" s="340">
        <f t="shared" si="46"/>
        <v>0.04854976373</v>
      </c>
      <c r="R83" s="340">
        <f t="shared" si="46"/>
        <v>0</v>
      </c>
      <c r="S83" s="30"/>
      <c r="T83" s="30"/>
      <c r="U83" s="119"/>
      <c r="V83" s="30"/>
      <c r="W83" s="220"/>
      <c r="X83" s="220"/>
      <c r="Y83" s="220"/>
      <c r="Z83" s="220"/>
      <c r="AA83" s="220"/>
      <c r="AB83" s="220"/>
      <c r="AC83" s="220"/>
      <c r="AD83" s="220"/>
      <c r="AE83" s="220"/>
      <c r="AF83" s="220"/>
      <c r="AG83" s="220"/>
      <c r="AH83" s="220"/>
      <c r="AI83" s="220"/>
      <c r="AJ83" s="220"/>
      <c r="AK83" s="220"/>
      <c r="AL83" s="220"/>
      <c r="AM83" s="220"/>
      <c r="AN83" s="220"/>
      <c r="AO83" s="220"/>
    </row>
    <row r="84" ht="13.5" customHeight="1">
      <c r="A84" s="111">
        <f t="shared" si="7"/>
        <v>84</v>
      </c>
      <c r="B84" s="226" t="s">
        <v>277</v>
      </c>
      <c r="C84" s="226"/>
      <c r="D84" s="226"/>
      <c r="E84" s="340">
        <f t="shared" ref="E84:R84" si="47">IF(OR(E27=0,E$34=0),0,E27/E$34)</f>
        <v>0</v>
      </c>
      <c r="F84" s="340">
        <f t="shared" si="47"/>
        <v>0</v>
      </c>
      <c r="G84" s="340">
        <f t="shared" si="47"/>
        <v>0</v>
      </c>
      <c r="H84" s="340">
        <f t="shared" si="47"/>
        <v>0</v>
      </c>
      <c r="I84" s="340">
        <f t="shared" si="47"/>
        <v>0</v>
      </c>
      <c r="J84" s="340">
        <f t="shared" si="47"/>
        <v>0</v>
      </c>
      <c r="K84" s="340">
        <f t="shared" si="47"/>
        <v>0</v>
      </c>
      <c r="L84" s="340">
        <f t="shared" si="47"/>
        <v>0</v>
      </c>
      <c r="M84" s="340">
        <f t="shared" si="47"/>
        <v>0</v>
      </c>
      <c r="N84" s="340">
        <f t="shared" si="47"/>
        <v>0</v>
      </c>
      <c r="O84" s="340">
        <f t="shared" si="47"/>
        <v>0</v>
      </c>
      <c r="P84" s="340">
        <f t="shared" si="47"/>
        <v>0</v>
      </c>
      <c r="Q84" s="340">
        <f t="shared" si="47"/>
        <v>0</v>
      </c>
      <c r="R84" s="340">
        <f t="shared" si="47"/>
        <v>0</v>
      </c>
      <c r="S84" s="30"/>
      <c r="T84" s="30"/>
      <c r="U84" s="119"/>
      <c r="V84" s="30"/>
      <c r="W84" s="220"/>
      <c r="X84" s="220"/>
      <c r="Y84" s="220"/>
      <c r="Z84" s="220"/>
      <c r="AA84" s="220"/>
      <c r="AB84" s="220"/>
      <c r="AC84" s="220"/>
      <c r="AD84" s="220"/>
      <c r="AE84" s="220"/>
      <c r="AF84" s="220"/>
      <c r="AG84" s="220"/>
      <c r="AH84" s="220"/>
      <c r="AI84" s="220"/>
      <c r="AJ84" s="220"/>
      <c r="AK84" s="220"/>
      <c r="AL84" s="220"/>
      <c r="AM84" s="220"/>
      <c r="AN84" s="220"/>
      <c r="AO84" s="220"/>
    </row>
    <row r="85" ht="13.5" customHeight="1">
      <c r="A85" s="111">
        <f t="shared" si="7"/>
        <v>85</v>
      </c>
      <c r="B85" s="226" t="s">
        <v>278</v>
      </c>
      <c r="C85" s="226"/>
      <c r="D85" s="226"/>
      <c r="E85" s="340">
        <f t="shared" ref="E85:R85" si="48">IF(OR(E28=0,E$34=0),0,E28/E$34)</f>
        <v>0</v>
      </c>
      <c r="F85" s="340">
        <f t="shared" si="48"/>
        <v>0</v>
      </c>
      <c r="G85" s="340">
        <f t="shared" si="48"/>
        <v>0</v>
      </c>
      <c r="H85" s="340">
        <f t="shared" si="48"/>
        <v>0</v>
      </c>
      <c r="I85" s="340">
        <f t="shared" si="48"/>
        <v>0</v>
      </c>
      <c r="J85" s="340">
        <f t="shared" si="48"/>
        <v>0</v>
      </c>
      <c r="K85" s="340">
        <f t="shared" si="48"/>
        <v>0</v>
      </c>
      <c r="L85" s="340">
        <f t="shared" si="48"/>
        <v>0</v>
      </c>
      <c r="M85" s="340">
        <f t="shared" si="48"/>
        <v>0</v>
      </c>
      <c r="N85" s="340">
        <f t="shared" si="48"/>
        <v>0</v>
      </c>
      <c r="O85" s="340">
        <f t="shared" si="48"/>
        <v>0</v>
      </c>
      <c r="P85" s="340">
        <f t="shared" si="48"/>
        <v>0</v>
      </c>
      <c r="Q85" s="340">
        <f t="shared" si="48"/>
        <v>0</v>
      </c>
      <c r="R85" s="340">
        <f t="shared" si="48"/>
        <v>0</v>
      </c>
      <c r="S85" s="30"/>
      <c r="T85" s="30"/>
      <c r="U85" s="119"/>
      <c r="V85" s="30"/>
      <c r="W85" s="220"/>
      <c r="X85" s="220"/>
      <c r="Y85" s="220"/>
      <c r="Z85" s="220"/>
      <c r="AA85" s="220"/>
      <c r="AB85" s="220"/>
      <c r="AC85" s="220"/>
      <c r="AD85" s="220"/>
      <c r="AE85" s="220"/>
      <c r="AF85" s="220"/>
      <c r="AG85" s="220"/>
      <c r="AH85" s="220"/>
      <c r="AI85" s="220"/>
      <c r="AJ85" s="220"/>
      <c r="AK85" s="220"/>
      <c r="AL85" s="220"/>
      <c r="AM85" s="220"/>
      <c r="AN85" s="220"/>
      <c r="AO85" s="220"/>
    </row>
    <row r="86" ht="13.5" customHeight="1">
      <c r="A86" s="111">
        <f t="shared" si="7"/>
        <v>86</v>
      </c>
      <c r="B86" s="226" t="s">
        <v>180</v>
      </c>
      <c r="C86" s="226"/>
      <c r="D86" s="226"/>
      <c r="E86" s="340">
        <f t="shared" ref="E86:R86" si="49">IF(OR(E29=0,E$34=0),0,E29/E$34)</f>
        <v>0</v>
      </c>
      <c r="F86" s="340">
        <f t="shared" si="49"/>
        <v>0</v>
      </c>
      <c r="G86" s="340">
        <f t="shared" si="49"/>
        <v>0</v>
      </c>
      <c r="H86" s="340">
        <f t="shared" si="49"/>
        <v>0</v>
      </c>
      <c r="I86" s="340">
        <f t="shared" si="49"/>
        <v>0</v>
      </c>
      <c r="J86" s="340">
        <f t="shared" si="49"/>
        <v>0</v>
      </c>
      <c r="K86" s="340">
        <f t="shared" si="49"/>
        <v>0</v>
      </c>
      <c r="L86" s="340">
        <f t="shared" si="49"/>
        <v>0</v>
      </c>
      <c r="M86" s="340">
        <f t="shared" si="49"/>
        <v>0</v>
      </c>
      <c r="N86" s="340">
        <f t="shared" si="49"/>
        <v>0</v>
      </c>
      <c r="O86" s="340">
        <f t="shared" si="49"/>
        <v>0</v>
      </c>
      <c r="P86" s="340">
        <f t="shared" si="49"/>
        <v>0</v>
      </c>
      <c r="Q86" s="340">
        <f t="shared" si="49"/>
        <v>0</v>
      </c>
      <c r="R86" s="340">
        <f t="shared" si="49"/>
        <v>0</v>
      </c>
      <c r="S86" s="30"/>
      <c r="T86" s="30"/>
      <c r="U86" s="119"/>
      <c r="V86" s="30"/>
      <c r="W86" s="220"/>
      <c r="X86" s="220"/>
      <c r="Y86" s="220"/>
      <c r="Z86" s="220"/>
      <c r="AA86" s="220"/>
      <c r="AB86" s="220"/>
      <c r="AC86" s="220"/>
      <c r="AD86" s="220"/>
      <c r="AE86" s="220"/>
      <c r="AF86" s="220"/>
      <c r="AG86" s="220"/>
      <c r="AH86" s="220"/>
      <c r="AI86" s="220"/>
      <c r="AJ86" s="220"/>
      <c r="AK86" s="220"/>
      <c r="AL86" s="220"/>
      <c r="AM86" s="220"/>
      <c r="AN86" s="220"/>
      <c r="AO86" s="220"/>
    </row>
    <row r="87" ht="13.5" customHeight="1">
      <c r="A87" s="111">
        <f t="shared" si="7"/>
        <v>87</v>
      </c>
      <c r="B87" s="226" t="s">
        <v>279</v>
      </c>
      <c r="C87" s="226"/>
      <c r="D87" s="226"/>
      <c r="E87" s="340">
        <f t="shared" ref="E87:R87" si="50">IF(OR(E30=0,E$34=0),0,E30/E$34)</f>
        <v>0.009583767488</v>
      </c>
      <c r="F87" s="340">
        <f t="shared" si="50"/>
        <v>0.009583767488</v>
      </c>
      <c r="G87" s="340">
        <f t="shared" si="50"/>
        <v>0.009583767488</v>
      </c>
      <c r="H87" s="340">
        <f t="shared" si="50"/>
        <v>0.009583767488</v>
      </c>
      <c r="I87" s="340">
        <f t="shared" si="50"/>
        <v>0.009583767488</v>
      </c>
      <c r="J87" s="340">
        <f t="shared" si="50"/>
        <v>0.009583767488</v>
      </c>
      <c r="K87" s="340">
        <f t="shared" si="50"/>
        <v>0.009583767488</v>
      </c>
      <c r="L87" s="340">
        <f t="shared" si="50"/>
        <v>0.009583767488</v>
      </c>
      <c r="M87" s="340">
        <f t="shared" si="50"/>
        <v>0.009583767488</v>
      </c>
      <c r="N87" s="340">
        <f t="shared" si="50"/>
        <v>0.009583767488</v>
      </c>
      <c r="O87" s="340">
        <f t="shared" si="50"/>
        <v>0.009583767488</v>
      </c>
      <c r="P87" s="340">
        <f t="shared" si="50"/>
        <v>0.009583767488</v>
      </c>
      <c r="Q87" s="340">
        <f t="shared" si="50"/>
        <v>0.009583767488</v>
      </c>
      <c r="R87" s="340">
        <f t="shared" si="50"/>
        <v>0</v>
      </c>
      <c r="S87" s="30"/>
      <c r="T87" s="30"/>
      <c r="U87" s="119"/>
      <c r="V87" s="30"/>
      <c r="W87" s="220"/>
      <c r="X87" s="220"/>
      <c r="Y87" s="220"/>
      <c r="Z87" s="220"/>
      <c r="AA87" s="220"/>
      <c r="AB87" s="220"/>
      <c r="AC87" s="220"/>
      <c r="AD87" s="220"/>
      <c r="AE87" s="220"/>
      <c r="AF87" s="220"/>
      <c r="AG87" s="220"/>
      <c r="AH87" s="220"/>
      <c r="AI87" s="220"/>
      <c r="AJ87" s="220"/>
      <c r="AK87" s="220"/>
      <c r="AL87" s="220"/>
      <c r="AM87" s="220"/>
      <c r="AN87" s="220"/>
      <c r="AO87" s="220"/>
    </row>
    <row r="88" ht="13.5" customHeight="1">
      <c r="A88" s="111">
        <f t="shared" si="7"/>
        <v>88</v>
      </c>
      <c r="B88" s="226" t="s">
        <v>179</v>
      </c>
      <c r="C88" s="226"/>
      <c r="D88" s="226"/>
      <c r="E88" s="340">
        <f t="shared" ref="E88:R88" si="51">IF(OR(E31=0,E$34=0),0,E31/E$34)</f>
        <v>0.02332157368</v>
      </c>
      <c r="F88" s="340">
        <f t="shared" si="51"/>
        <v>0.02332157368</v>
      </c>
      <c r="G88" s="340">
        <f t="shared" si="51"/>
        <v>0.02332157368</v>
      </c>
      <c r="H88" s="340">
        <f t="shared" si="51"/>
        <v>0.02332157368</v>
      </c>
      <c r="I88" s="340">
        <f t="shared" si="51"/>
        <v>0.02332157368</v>
      </c>
      <c r="J88" s="340">
        <f t="shared" si="51"/>
        <v>0.02332157368</v>
      </c>
      <c r="K88" s="340">
        <f t="shared" si="51"/>
        <v>0.02332157368</v>
      </c>
      <c r="L88" s="340">
        <f t="shared" si="51"/>
        <v>0.02332157368</v>
      </c>
      <c r="M88" s="340">
        <f t="shared" si="51"/>
        <v>0.02332157368</v>
      </c>
      <c r="N88" s="340">
        <f t="shared" si="51"/>
        <v>0.02332157368</v>
      </c>
      <c r="O88" s="340">
        <f t="shared" si="51"/>
        <v>0.02332157368</v>
      </c>
      <c r="P88" s="340">
        <f t="shared" si="51"/>
        <v>0.02332157368</v>
      </c>
      <c r="Q88" s="340">
        <f t="shared" si="51"/>
        <v>0.02332157368</v>
      </c>
      <c r="R88" s="340">
        <f t="shared" si="51"/>
        <v>0</v>
      </c>
      <c r="S88" s="30"/>
      <c r="T88" s="30"/>
      <c r="U88" s="119"/>
      <c r="V88" s="30"/>
      <c r="W88" s="220"/>
      <c r="X88" s="220"/>
      <c r="Y88" s="220"/>
      <c r="Z88" s="220"/>
      <c r="AA88" s="220"/>
      <c r="AB88" s="220"/>
      <c r="AC88" s="220"/>
      <c r="AD88" s="220"/>
      <c r="AE88" s="220"/>
      <c r="AF88" s="220"/>
      <c r="AG88" s="220"/>
      <c r="AH88" s="220"/>
      <c r="AI88" s="220"/>
      <c r="AJ88" s="220"/>
      <c r="AK88" s="220"/>
      <c r="AL88" s="220"/>
      <c r="AM88" s="220"/>
      <c r="AN88" s="220"/>
      <c r="AO88" s="220"/>
    </row>
    <row r="89" ht="13.5" customHeight="1">
      <c r="A89" s="111">
        <f t="shared" si="7"/>
        <v>89</v>
      </c>
      <c r="B89" s="226" t="s">
        <v>318</v>
      </c>
      <c r="C89" s="226"/>
      <c r="D89" s="226"/>
      <c r="E89" s="340">
        <f t="shared" ref="E89:R89" si="52">IF(OR(E32=0,E$34=0),0,E32/E$34)</f>
        <v>0</v>
      </c>
      <c r="F89" s="340">
        <f t="shared" si="52"/>
        <v>0</v>
      </c>
      <c r="G89" s="340">
        <f t="shared" si="52"/>
        <v>0</v>
      </c>
      <c r="H89" s="340">
        <f t="shared" si="52"/>
        <v>0</v>
      </c>
      <c r="I89" s="340">
        <f t="shared" si="52"/>
        <v>0</v>
      </c>
      <c r="J89" s="340">
        <f t="shared" si="52"/>
        <v>0</v>
      </c>
      <c r="K89" s="340">
        <f t="shared" si="52"/>
        <v>0</v>
      </c>
      <c r="L89" s="340">
        <f t="shared" si="52"/>
        <v>0</v>
      </c>
      <c r="M89" s="340">
        <f t="shared" si="52"/>
        <v>0</v>
      </c>
      <c r="N89" s="340">
        <f t="shared" si="52"/>
        <v>0</v>
      </c>
      <c r="O89" s="340">
        <f t="shared" si="52"/>
        <v>0</v>
      </c>
      <c r="P89" s="340">
        <f t="shared" si="52"/>
        <v>0</v>
      </c>
      <c r="Q89" s="340">
        <f t="shared" si="52"/>
        <v>0</v>
      </c>
      <c r="R89" s="340">
        <f t="shared" si="52"/>
        <v>0</v>
      </c>
      <c r="S89" s="30"/>
      <c r="T89" s="30"/>
      <c r="U89" s="119"/>
      <c r="V89" s="30"/>
      <c r="W89" s="220"/>
      <c r="X89" s="220"/>
      <c r="Y89" s="220"/>
      <c r="Z89" s="220"/>
      <c r="AA89" s="220"/>
      <c r="AB89" s="220"/>
      <c r="AC89" s="220"/>
      <c r="AD89" s="220"/>
      <c r="AE89" s="220"/>
      <c r="AF89" s="220"/>
      <c r="AG89" s="220"/>
      <c r="AH89" s="220"/>
      <c r="AI89" s="220"/>
      <c r="AJ89" s="220"/>
      <c r="AK89" s="220"/>
      <c r="AL89" s="220"/>
      <c r="AM89" s="220"/>
      <c r="AN89" s="220"/>
      <c r="AO89" s="220"/>
    </row>
    <row r="90" ht="13.5" customHeight="1">
      <c r="A90" s="111">
        <f t="shared" si="7"/>
        <v>90</v>
      </c>
      <c r="B90" s="226" t="s">
        <v>319</v>
      </c>
      <c r="C90" s="95"/>
      <c r="D90" s="95"/>
      <c r="E90" s="341">
        <f t="shared" ref="E90:R90" si="53">IF(OR(E33=0,E$34=0),0,E33/E$34)</f>
        <v>0</v>
      </c>
      <c r="F90" s="341">
        <f t="shared" si="53"/>
        <v>0</v>
      </c>
      <c r="G90" s="341">
        <f t="shared" si="53"/>
        <v>0</v>
      </c>
      <c r="H90" s="341">
        <f t="shared" si="53"/>
        <v>0</v>
      </c>
      <c r="I90" s="341">
        <f t="shared" si="53"/>
        <v>0</v>
      </c>
      <c r="J90" s="341">
        <f t="shared" si="53"/>
        <v>0</v>
      </c>
      <c r="K90" s="341">
        <f t="shared" si="53"/>
        <v>0</v>
      </c>
      <c r="L90" s="341">
        <f t="shared" si="53"/>
        <v>0</v>
      </c>
      <c r="M90" s="341">
        <f t="shared" si="53"/>
        <v>0</v>
      </c>
      <c r="N90" s="341">
        <f t="shared" si="53"/>
        <v>0</v>
      </c>
      <c r="O90" s="341">
        <f t="shared" si="53"/>
        <v>0</v>
      </c>
      <c r="P90" s="341">
        <f t="shared" si="53"/>
        <v>0</v>
      </c>
      <c r="Q90" s="341">
        <f t="shared" si="53"/>
        <v>0</v>
      </c>
      <c r="R90" s="341">
        <f t="shared" si="53"/>
        <v>0</v>
      </c>
      <c r="S90" s="30"/>
      <c r="T90" s="30"/>
      <c r="U90" s="119"/>
      <c r="V90" s="30"/>
      <c r="W90" s="220"/>
      <c r="X90" s="220"/>
      <c r="Y90" s="220"/>
      <c r="Z90" s="220"/>
      <c r="AA90" s="220"/>
      <c r="AB90" s="220"/>
      <c r="AC90" s="220"/>
      <c r="AD90" s="220"/>
      <c r="AE90" s="220"/>
      <c r="AF90" s="220"/>
      <c r="AG90" s="220"/>
      <c r="AH90" s="220"/>
      <c r="AI90" s="220"/>
      <c r="AJ90" s="220"/>
      <c r="AK90" s="220"/>
      <c r="AL90" s="220"/>
      <c r="AM90" s="220"/>
      <c r="AN90" s="220"/>
      <c r="AO90" s="220"/>
    </row>
    <row r="91" ht="13.5" customHeight="1">
      <c r="A91" s="111">
        <f t="shared" si="7"/>
        <v>91</v>
      </c>
      <c r="B91" s="226" t="s">
        <v>320</v>
      </c>
      <c r="C91" s="95"/>
      <c r="D91" s="95"/>
      <c r="E91" s="342">
        <f t="shared" ref="E91:R91" si="54">SUM(E75:E90)</f>
        <v>1</v>
      </c>
      <c r="F91" s="342">
        <f t="shared" si="54"/>
        <v>1</v>
      </c>
      <c r="G91" s="342">
        <f t="shared" si="54"/>
        <v>1</v>
      </c>
      <c r="H91" s="342">
        <f t="shared" si="54"/>
        <v>1</v>
      </c>
      <c r="I91" s="342">
        <f t="shared" si="54"/>
        <v>1</v>
      </c>
      <c r="J91" s="342">
        <f t="shared" si="54"/>
        <v>1</v>
      </c>
      <c r="K91" s="342">
        <f t="shared" si="54"/>
        <v>1</v>
      </c>
      <c r="L91" s="342">
        <f t="shared" si="54"/>
        <v>1</v>
      </c>
      <c r="M91" s="342">
        <f t="shared" si="54"/>
        <v>1</v>
      </c>
      <c r="N91" s="342">
        <f t="shared" si="54"/>
        <v>1</v>
      </c>
      <c r="O91" s="342">
        <f t="shared" si="54"/>
        <v>1</v>
      </c>
      <c r="P91" s="342">
        <f t="shared" si="54"/>
        <v>1</v>
      </c>
      <c r="Q91" s="342">
        <f t="shared" si="54"/>
        <v>1</v>
      </c>
      <c r="R91" s="342">
        <f t="shared" si="54"/>
        <v>0</v>
      </c>
      <c r="S91" s="30"/>
      <c r="T91" s="30"/>
      <c r="U91" s="119"/>
      <c r="V91" s="30"/>
      <c r="W91" s="220"/>
      <c r="X91" s="220"/>
      <c r="Y91" s="220"/>
      <c r="Z91" s="220"/>
      <c r="AA91" s="220"/>
      <c r="AB91" s="220"/>
      <c r="AC91" s="220"/>
      <c r="AD91" s="220"/>
      <c r="AE91" s="220"/>
      <c r="AF91" s="220"/>
      <c r="AG91" s="220"/>
      <c r="AH91" s="220"/>
      <c r="AI91" s="220"/>
      <c r="AJ91" s="220"/>
      <c r="AK91" s="220"/>
      <c r="AL91" s="220"/>
      <c r="AM91" s="220"/>
      <c r="AN91" s="220"/>
      <c r="AO91" s="220"/>
    </row>
    <row r="92" ht="13.5" customHeight="1">
      <c r="A92" s="111">
        <f t="shared" si="7"/>
        <v>92</v>
      </c>
      <c r="B92" s="95" t="s">
        <v>283</v>
      </c>
      <c r="C92" s="95"/>
      <c r="D92" s="95"/>
      <c r="E92" s="279"/>
      <c r="F92" s="314">
        <f t="shared" ref="F92:R92" si="55">IFERROR(F35/$E$34,0)</f>
        <v>0.08333333333</v>
      </c>
      <c r="G92" s="314">
        <f t="shared" si="55"/>
        <v>0.1666666667</v>
      </c>
      <c r="H92" s="314">
        <f t="shared" si="55"/>
        <v>0.25</v>
      </c>
      <c r="I92" s="314">
        <f t="shared" si="55"/>
        <v>0.3333333333</v>
      </c>
      <c r="J92" s="314">
        <f t="shared" si="55"/>
        <v>0.4166666667</v>
      </c>
      <c r="K92" s="314">
        <f t="shared" si="55"/>
        <v>0.5</v>
      </c>
      <c r="L92" s="314">
        <f t="shared" si="55"/>
        <v>0.5833333333</v>
      </c>
      <c r="M92" s="314">
        <f t="shared" si="55"/>
        <v>0.6666666667</v>
      </c>
      <c r="N92" s="314">
        <f t="shared" si="55"/>
        <v>0.75</v>
      </c>
      <c r="O92" s="314">
        <f t="shared" si="55"/>
        <v>0.8333333333</v>
      </c>
      <c r="P92" s="314">
        <f t="shared" si="55"/>
        <v>0.9166666667</v>
      </c>
      <c r="Q92" s="314">
        <f t="shared" si="55"/>
        <v>0.9166666667</v>
      </c>
      <c r="R92" s="314">
        <f t="shared" si="55"/>
        <v>0.9166666667</v>
      </c>
      <c r="S92" s="30"/>
      <c r="T92" s="30"/>
      <c r="U92" s="119"/>
      <c r="V92" s="30"/>
      <c r="W92" s="220"/>
      <c r="X92" s="220"/>
      <c r="Y92" s="220"/>
      <c r="Z92" s="220"/>
      <c r="AA92" s="220"/>
      <c r="AB92" s="220"/>
      <c r="AC92" s="220"/>
      <c r="AD92" s="220"/>
      <c r="AE92" s="220"/>
      <c r="AF92" s="220"/>
      <c r="AG92" s="220"/>
      <c r="AH92" s="220"/>
      <c r="AI92" s="220"/>
      <c r="AJ92" s="220"/>
      <c r="AK92" s="220"/>
      <c r="AL92" s="220"/>
      <c r="AM92" s="220"/>
      <c r="AN92" s="220"/>
      <c r="AO92" s="220"/>
    </row>
    <row r="93" ht="13.5" customHeight="1">
      <c r="A93" s="111">
        <f t="shared" si="7"/>
        <v>93</v>
      </c>
      <c r="B93" s="95"/>
      <c r="C93" s="95"/>
      <c r="D93" s="95"/>
      <c r="E93" s="279"/>
      <c r="F93" s="314"/>
      <c r="G93" s="314"/>
      <c r="H93" s="314"/>
      <c r="I93" s="314"/>
      <c r="J93" s="314"/>
      <c r="K93" s="314"/>
      <c r="L93" s="314"/>
      <c r="M93" s="314"/>
      <c r="N93" s="314"/>
      <c r="O93" s="314"/>
      <c r="P93" s="314"/>
      <c r="Q93" s="314"/>
      <c r="R93" s="314"/>
      <c r="S93" s="30"/>
      <c r="T93" s="30"/>
      <c r="U93" s="119"/>
      <c r="V93" s="30"/>
      <c r="W93" s="220"/>
      <c r="X93" s="220"/>
      <c r="Y93" s="220"/>
      <c r="Z93" s="220"/>
      <c r="AA93" s="220"/>
      <c r="AB93" s="220"/>
      <c r="AC93" s="220"/>
      <c r="AD93" s="220"/>
      <c r="AE93" s="220"/>
      <c r="AF93" s="220"/>
      <c r="AG93" s="220"/>
      <c r="AH93" s="220"/>
      <c r="AI93" s="220"/>
      <c r="AJ93" s="220"/>
      <c r="AK93" s="220"/>
      <c r="AL93" s="220"/>
      <c r="AM93" s="220"/>
      <c r="AN93" s="220"/>
      <c r="AO93" s="220"/>
    </row>
    <row r="94" ht="13.5" customHeight="1">
      <c r="A94" s="111">
        <f t="shared" si="7"/>
        <v>94</v>
      </c>
      <c r="B94" s="225" t="s">
        <v>321</v>
      </c>
      <c r="C94" s="95"/>
      <c r="D94" s="95"/>
      <c r="E94" s="279"/>
      <c r="F94" s="314"/>
      <c r="G94" s="314"/>
      <c r="H94" s="314"/>
      <c r="I94" s="314"/>
      <c r="J94" s="314"/>
      <c r="K94" s="314"/>
      <c r="L94" s="314"/>
      <c r="M94" s="314"/>
      <c r="N94" s="314"/>
      <c r="O94" s="314"/>
      <c r="P94" s="314"/>
      <c r="Q94" s="314"/>
      <c r="R94" s="314"/>
      <c r="S94" s="30"/>
      <c r="T94" s="30"/>
      <c r="U94" s="119"/>
      <c r="V94" s="30"/>
      <c r="W94" s="220"/>
      <c r="X94" s="220"/>
      <c r="Y94" s="220"/>
      <c r="Z94" s="220"/>
      <c r="AA94" s="220"/>
      <c r="AB94" s="220"/>
      <c r="AC94" s="220"/>
      <c r="AD94" s="220"/>
      <c r="AE94" s="220"/>
      <c r="AF94" s="220"/>
      <c r="AG94" s="220"/>
      <c r="AH94" s="220"/>
      <c r="AI94" s="220"/>
      <c r="AJ94" s="220"/>
      <c r="AK94" s="220"/>
      <c r="AL94" s="220"/>
      <c r="AM94" s="220"/>
      <c r="AN94" s="220"/>
      <c r="AO94" s="220"/>
    </row>
    <row r="95" ht="13.5" customHeight="1">
      <c r="A95" s="111">
        <f t="shared" si="7"/>
        <v>95</v>
      </c>
      <c r="B95" s="226"/>
      <c r="C95" s="226"/>
      <c r="D95" s="226"/>
      <c r="E95" s="285"/>
      <c r="F95" s="284"/>
      <c r="G95" s="285"/>
      <c r="H95" s="285"/>
      <c r="I95" s="285"/>
      <c r="J95" s="284"/>
      <c r="K95" s="285"/>
      <c r="L95" s="285"/>
      <c r="M95" s="285"/>
      <c r="N95" s="284"/>
      <c r="O95" s="285"/>
      <c r="P95" s="285"/>
      <c r="Q95" s="285"/>
      <c r="R95" s="285"/>
      <c r="S95" s="30"/>
      <c r="T95" s="30"/>
      <c r="U95" s="119"/>
      <c r="V95" s="30"/>
      <c r="W95" s="220"/>
      <c r="X95" s="220"/>
      <c r="Y95" s="220"/>
      <c r="Z95" s="220"/>
      <c r="AA95" s="220"/>
      <c r="AB95" s="220"/>
      <c r="AC95" s="220"/>
      <c r="AD95" s="220"/>
      <c r="AE95" s="220"/>
      <c r="AF95" s="220"/>
      <c r="AG95" s="220"/>
      <c r="AH95" s="220"/>
      <c r="AI95" s="220"/>
      <c r="AJ95" s="220"/>
      <c r="AK95" s="220"/>
      <c r="AL95" s="220"/>
      <c r="AM95" s="220"/>
      <c r="AN95" s="220"/>
      <c r="AO95" s="220"/>
    </row>
    <row r="96" ht="13.5" customHeight="1">
      <c r="A96" s="111">
        <f t="shared" si="7"/>
        <v>96</v>
      </c>
      <c r="B96" s="343" t="s">
        <v>191</v>
      </c>
      <c r="C96" s="343"/>
      <c r="D96" s="343"/>
      <c r="E96" s="344"/>
      <c r="F96" s="344"/>
      <c r="G96" s="344"/>
      <c r="H96" s="344"/>
      <c r="I96" s="344"/>
      <c r="J96" s="344"/>
      <c r="K96" s="344"/>
      <c r="L96" s="344"/>
      <c r="M96" s="344"/>
      <c r="N96" s="344"/>
      <c r="O96" s="344"/>
      <c r="P96" s="344"/>
      <c r="Q96" s="344"/>
      <c r="R96" s="344"/>
      <c r="S96" s="30"/>
      <c r="T96" s="30"/>
      <c r="U96" s="119"/>
      <c r="V96" s="30"/>
      <c r="W96" s="220"/>
      <c r="X96" s="220"/>
      <c r="Y96" s="220"/>
      <c r="Z96" s="220"/>
      <c r="AA96" s="220"/>
      <c r="AB96" s="220"/>
      <c r="AC96" s="220"/>
      <c r="AD96" s="220"/>
      <c r="AE96" s="220"/>
      <c r="AF96" s="220"/>
      <c r="AG96" s="220"/>
      <c r="AH96" s="220"/>
      <c r="AI96" s="220"/>
      <c r="AJ96" s="220"/>
      <c r="AK96" s="220"/>
      <c r="AL96" s="220"/>
      <c r="AM96" s="220"/>
      <c r="AN96" s="220"/>
      <c r="AO96" s="220"/>
    </row>
    <row r="97" ht="13.5" customHeight="1">
      <c r="A97" s="111">
        <f t="shared" si="7"/>
        <v>97</v>
      </c>
      <c r="B97" s="226" t="s">
        <v>322</v>
      </c>
      <c r="C97" s="226"/>
      <c r="D97" s="226"/>
      <c r="E97" s="345">
        <f t="shared" ref="E97:R97" si="56">IFERROR(E39/E$34,0)</f>
        <v>0.6806376447</v>
      </c>
      <c r="F97" s="345">
        <f t="shared" si="56"/>
        <v>0.6806376954</v>
      </c>
      <c r="G97" s="345">
        <f t="shared" si="56"/>
        <v>0.6806376401</v>
      </c>
      <c r="H97" s="345">
        <f t="shared" si="56"/>
        <v>0.6806376401</v>
      </c>
      <c r="I97" s="345">
        <f t="shared" si="56"/>
        <v>0.6806376401</v>
      </c>
      <c r="J97" s="345">
        <f t="shared" si="56"/>
        <v>0.6806376401</v>
      </c>
      <c r="K97" s="345">
        <f t="shared" si="56"/>
        <v>0.6806376401</v>
      </c>
      <c r="L97" s="345">
        <f t="shared" si="56"/>
        <v>0.6806376401</v>
      </c>
      <c r="M97" s="345">
        <f t="shared" si="56"/>
        <v>0.6806376401</v>
      </c>
      <c r="N97" s="345">
        <f t="shared" si="56"/>
        <v>0.6806376401</v>
      </c>
      <c r="O97" s="345">
        <f t="shared" si="56"/>
        <v>0.6806376401</v>
      </c>
      <c r="P97" s="345">
        <f t="shared" si="56"/>
        <v>0.6806376401</v>
      </c>
      <c r="Q97" s="345">
        <f t="shared" si="56"/>
        <v>0.6806376401</v>
      </c>
      <c r="R97" s="345">
        <f t="shared" si="56"/>
        <v>0</v>
      </c>
      <c r="S97" s="30"/>
      <c r="T97" s="30"/>
      <c r="U97" s="119"/>
      <c r="V97" s="30"/>
      <c r="W97" s="220"/>
      <c r="X97" s="220"/>
      <c r="Y97" s="220"/>
      <c r="Z97" s="220"/>
      <c r="AA97" s="220"/>
      <c r="AB97" s="220"/>
      <c r="AC97" s="220"/>
      <c r="AD97" s="220"/>
      <c r="AE97" s="220"/>
      <c r="AF97" s="220"/>
      <c r="AG97" s="220"/>
      <c r="AH97" s="220"/>
      <c r="AI97" s="220"/>
      <c r="AJ97" s="220"/>
      <c r="AK97" s="220"/>
      <c r="AL97" s="220"/>
      <c r="AM97" s="220"/>
      <c r="AN97" s="220"/>
      <c r="AO97" s="220"/>
    </row>
    <row r="98" ht="13.5" customHeight="1">
      <c r="A98" s="111">
        <f t="shared" si="7"/>
        <v>98</v>
      </c>
      <c r="B98" s="226" t="s">
        <v>323</v>
      </c>
      <c r="C98" s="226"/>
      <c r="D98" s="226"/>
      <c r="E98" s="340">
        <f t="shared" ref="E98:R98" si="57">IFERROR(#REF!/E$34,0)</f>
        <v>0</v>
      </c>
      <c r="F98" s="340">
        <f t="shared" si="57"/>
        <v>0</v>
      </c>
      <c r="G98" s="340">
        <f t="shared" si="57"/>
        <v>0</v>
      </c>
      <c r="H98" s="340">
        <f t="shared" si="57"/>
        <v>0</v>
      </c>
      <c r="I98" s="340">
        <f t="shared" si="57"/>
        <v>0</v>
      </c>
      <c r="J98" s="340">
        <f t="shared" si="57"/>
        <v>0</v>
      </c>
      <c r="K98" s="340">
        <f t="shared" si="57"/>
        <v>0</v>
      </c>
      <c r="L98" s="340">
        <f t="shared" si="57"/>
        <v>0</v>
      </c>
      <c r="M98" s="340">
        <f t="shared" si="57"/>
        <v>0</v>
      </c>
      <c r="N98" s="340">
        <f t="shared" si="57"/>
        <v>0</v>
      </c>
      <c r="O98" s="340">
        <f t="shared" si="57"/>
        <v>0</v>
      </c>
      <c r="P98" s="340">
        <f t="shared" si="57"/>
        <v>0</v>
      </c>
      <c r="Q98" s="340">
        <f t="shared" si="57"/>
        <v>0</v>
      </c>
      <c r="R98" s="340">
        <f t="shared" si="57"/>
        <v>0</v>
      </c>
      <c r="S98" s="30"/>
      <c r="T98" s="30"/>
      <c r="U98" s="119"/>
      <c r="V98" s="30"/>
      <c r="W98" s="220"/>
      <c r="X98" s="220"/>
      <c r="Y98" s="220"/>
      <c r="Z98" s="220"/>
      <c r="AA98" s="220"/>
      <c r="AB98" s="220"/>
      <c r="AC98" s="220"/>
      <c r="AD98" s="220"/>
      <c r="AE98" s="220"/>
      <c r="AF98" s="220"/>
      <c r="AG98" s="220"/>
      <c r="AH98" s="220"/>
      <c r="AI98" s="220"/>
      <c r="AJ98" s="220"/>
      <c r="AK98" s="220"/>
      <c r="AL98" s="220"/>
      <c r="AM98" s="220"/>
      <c r="AN98" s="220"/>
      <c r="AO98" s="220"/>
    </row>
    <row r="99" ht="13.5" customHeight="1">
      <c r="A99" s="111">
        <f t="shared" si="7"/>
        <v>99</v>
      </c>
      <c r="B99" s="226" t="s">
        <v>324</v>
      </c>
      <c r="C99" s="226"/>
      <c r="D99" s="226"/>
      <c r="E99" s="340">
        <f t="shared" ref="E99:R99" si="58">IFERROR(#REF!/E$34,0)</f>
        <v>0</v>
      </c>
      <c r="F99" s="340">
        <f t="shared" si="58"/>
        <v>0</v>
      </c>
      <c r="G99" s="340">
        <f t="shared" si="58"/>
        <v>0</v>
      </c>
      <c r="H99" s="340">
        <f t="shared" si="58"/>
        <v>0</v>
      </c>
      <c r="I99" s="340">
        <f t="shared" si="58"/>
        <v>0</v>
      </c>
      <c r="J99" s="340">
        <f t="shared" si="58"/>
        <v>0</v>
      </c>
      <c r="K99" s="340">
        <f t="shared" si="58"/>
        <v>0</v>
      </c>
      <c r="L99" s="340">
        <f t="shared" si="58"/>
        <v>0</v>
      </c>
      <c r="M99" s="340">
        <f t="shared" si="58"/>
        <v>0</v>
      </c>
      <c r="N99" s="340">
        <f t="shared" si="58"/>
        <v>0</v>
      </c>
      <c r="O99" s="340">
        <f t="shared" si="58"/>
        <v>0</v>
      </c>
      <c r="P99" s="340">
        <f t="shared" si="58"/>
        <v>0</v>
      </c>
      <c r="Q99" s="340">
        <f t="shared" si="58"/>
        <v>0</v>
      </c>
      <c r="R99" s="340">
        <f t="shared" si="58"/>
        <v>0</v>
      </c>
      <c r="S99" s="30"/>
      <c r="T99" s="30"/>
      <c r="U99" s="119"/>
      <c r="V99" s="30"/>
      <c r="W99" s="220"/>
      <c r="X99" s="220"/>
      <c r="Y99" s="220"/>
      <c r="Z99" s="220"/>
      <c r="AA99" s="220"/>
      <c r="AB99" s="220"/>
      <c r="AC99" s="220"/>
      <c r="AD99" s="220"/>
      <c r="AE99" s="220"/>
      <c r="AF99" s="220"/>
      <c r="AG99" s="220"/>
      <c r="AH99" s="220"/>
      <c r="AI99" s="220"/>
      <c r="AJ99" s="220"/>
      <c r="AK99" s="220"/>
      <c r="AL99" s="220"/>
      <c r="AM99" s="220"/>
      <c r="AN99" s="220"/>
      <c r="AO99" s="220"/>
    </row>
    <row r="100" ht="13.5" customHeight="1">
      <c r="A100" s="111">
        <f t="shared" si="7"/>
        <v>100</v>
      </c>
      <c r="B100" s="226" t="s">
        <v>325</v>
      </c>
      <c r="C100" s="226"/>
      <c r="D100" s="226"/>
      <c r="E100" s="340">
        <f t="shared" ref="E100:R100" si="59">IFERROR(#REF!/E$34,0)</f>
        <v>0</v>
      </c>
      <c r="F100" s="340">
        <f t="shared" si="59"/>
        <v>0</v>
      </c>
      <c r="G100" s="340">
        <f t="shared" si="59"/>
        <v>0</v>
      </c>
      <c r="H100" s="340">
        <f t="shared" si="59"/>
        <v>0</v>
      </c>
      <c r="I100" s="340">
        <f t="shared" si="59"/>
        <v>0</v>
      </c>
      <c r="J100" s="340">
        <f t="shared" si="59"/>
        <v>0</v>
      </c>
      <c r="K100" s="340">
        <f t="shared" si="59"/>
        <v>0</v>
      </c>
      <c r="L100" s="340">
        <f t="shared" si="59"/>
        <v>0</v>
      </c>
      <c r="M100" s="340">
        <f t="shared" si="59"/>
        <v>0</v>
      </c>
      <c r="N100" s="340">
        <f t="shared" si="59"/>
        <v>0</v>
      </c>
      <c r="O100" s="340">
        <f t="shared" si="59"/>
        <v>0</v>
      </c>
      <c r="P100" s="340">
        <f t="shared" si="59"/>
        <v>0</v>
      </c>
      <c r="Q100" s="340">
        <f t="shared" si="59"/>
        <v>0</v>
      </c>
      <c r="R100" s="340">
        <f t="shared" si="59"/>
        <v>0</v>
      </c>
      <c r="S100" s="30"/>
      <c r="T100" s="30"/>
      <c r="U100" s="119"/>
      <c r="V100" s="30"/>
      <c r="W100" s="220"/>
      <c r="X100" s="220"/>
      <c r="Y100" s="220"/>
      <c r="Z100" s="220"/>
      <c r="AA100" s="220"/>
      <c r="AB100" s="220"/>
      <c r="AC100" s="220"/>
      <c r="AD100" s="220"/>
      <c r="AE100" s="220"/>
      <c r="AF100" s="220"/>
      <c r="AG100" s="220"/>
      <c r="AH100" s="220"/>
      <c r="AI100" s="220"/>
      <c r="AJ100" s="220"/>
      <c r="AK100" s="220"/>
      <c r="AL100" s="220"/>
      <c r="AM100" s="220"/>
      <c r="AN100" s="220"/>
      <c r="AO100" s="220"/>
    </row>
    <row r="101" ht="13.5" customHeight="1">
      <c r="A101" s="111">
        <f t="shared" si="7"/>
        <v>101</v>
      </c>
      <c r="B101" s="226" t="s">
        <v>326</v>
      </c>
      <c r="C101" s="226"/>
      <c r="D101" s="226"/>
      <c r="E101" s="340">
        <f t="shared" ref="E101:R101" si="60">IFERROR(#REF!/E$34,0)</f>
        <v>0</v>
      </c>
      <c r="F101" s="340">
        <f t="shared" si="60"/>
        <v>0</v>
      </c>
      <c r="G101" s="340">
        <f t="shared" si="60"/>
        <v>0</v>
      </c>
      <c r="H101" s="340">
        <f t="shared" si="60"/>
        <v>0</v>
      </c>
      <c r="I101" s="340">
        <f t="shared" si="60"/>
        <v>0</v>
      </c>
      <c r="J101" s="340">
        <f t="shared" si="60"/>
        <v>0</v>
      </c>
      <c r="K101" s="340">
        <f t="shared" si="60"/>
        <v>0</v>
      </c>
      <c r="L101" s="340">
        <f t="shared" si="60"/>
        <v>0</v>
      </c>
      <c r="M101" s="340">
        <f t="shared" si="60"/>
        <v>0</v>
      </c>
      <c r="N101" s="340">
        <f t="shared" si="60"/>
        <v>0</v>
      </c>
      <c r="O101" s="340">
        <f t="shared" si="60"/>
        <v>0</v>
      </c>
      <c r="P101" s="340">
        <f t="shared" si="60"/>
        <v>0</v>
      </c>
      <c r="Q101" s="340">
        <f t="shared" si="60"/>
        <v>0</v>
      </c>
      <c r="R101" s="340">
        <f t="shared" si="60"/>
        <v>0</v>
      </c>
      <c r="S101" s="30"/>
      <c r="T101" s="30"/>
      <c r="U101" s="119"/>
      <c r="V101" s="30"/>
      <c r="W101" s="220"/>
      <c r="X101" s="220"/>
      <c r="Y101" s="220"/>
      <c r="Z101" s="220"/>
      <c r="AA101" s="220"/>
      <c r="AB101" s="220"/>
      <c r="AC101" s="220"/>
      <c r="AD101" s="220"/>
      <c r="AE101" s="220"/>
      <c r="AF101" s="220"/>
      <c r="AG101" s="220"/>
      <c r="AH101" s="220"/>
      <c r="AI101" s="220"/>
      <c r="AJ101" s="220"/>
      <c r="AK101" s="220"/>
      <c r="AL101" s="220"/>
      <c r="AM101" s="220"/>
      <c r="AN101" s="220"/>
      <c r="AO101" s="220"/>
    </row>
    <row r="102" ht="13.5" customHeight="1">
      <c r="A102" s="111">
        <f t="shared" si="7"/>
        <v>102</v>
      </c>
      <c r="B102" s="226" t="s">
        <v>289</v>
      </c>
      <c r="C102" s="226"/>
      <c r="D102" s="226"/>
      <c r="E102" s="340">
        <f t="shared" ref="E102:R102" si="61">IFERROR(E40/E$34,0)</f>
        <v>0.03113953603</v>
      </c>
      <c r="F102" s="340">
        <f t="shared" si="61"/>
        <v>0.03111845211</v>
      </c>
      <c r="G102" s="340">
        <f t="shared" si="61"/>
        <v>0.03114145275</v>
      </c>
      <c r="H102" s="340">
        <f t="shared" si="61"/>
        <v>0.03114145275</v>
      </c>
      <c r="I102" s="340">
        <f t="shared" si="61"/>
        <v>0.03114145275</v>
      </c>
      <c r="J102" s="340">
        <f t="shared" si="61"/>
        <v>0.03114145275</v>
      </c>
      <c r="K102" s="340">
        <f t="shared" si="61"/>
        <v>0.03114145275</v>
      </c>
      <c r="L102" s="340">
        <f t="shared" si="61"/>
        <v>0.03114145275</v>
      </c>
      <c r="M102" s="340">
        <f t="shared" si="61"/>
        <v>0.03114145275</v>
      </c>
      <c r="N102" s="340">
        <f t="shared" si="61"/>
        <v>0.03114145275</v>
      </c>
      <c r="O102" s="340">
        <f t="shared" si="61"/>
        <v>0.03114145275</v>
      </c>
      <c r="P102" s="340">
        <f t="shared" si="61"/>
        <v>0.03114145275</v>
      </c>
      <c r="Q102" s="340">
        <f t="shared" si="61"/>
        <v>0.03114145275</v>
      </c>
      <c r="R102" s="340">
        <f t="shared" si="61"/>
        <v>0</v>
      </c>
      <c r="S102" s="30"/>
      <c r="T102" s="30"/>
      <c r="U102" s="119"/>
      <c r="V102" s="30"/>
      <c r="W102" s="220"/>
      <c r="X102" s="220"/>
      <c r="Y102" s="220"/>
      <c r="Z102" s="220"/>
      <c r="AA102" s="220"/>
      <c r="AB102" s="220"/>
      <c r="AC102" s="220"/>
      <c r="AD102" s="220"/>
      <c r="AE102" s="220"/>
      <c r="AF102" s="220"/>
      <c r="AG102" s="220"/>
      <c r="AH102" s="220"/>
      <c r="AI102" s="220"/>
      <c r="AJ102" s="220"/>
      <c r="AK102" s="220"/>
      <c r="AL102" s="220"/>
      <c r="AM102" s="220"/>
      <c r="AN102" s="220"/>
      <c r="AO102" s="220"/>
    </row>
    <row r="103" ht="13.5" customHeight="1">
      <c r="A103" s="111">
        <f t="shared" si="7"/>
        <v>103</v>
      </c>
      <c r="B103" s="226" t="s">
        <v>327</v>
      </c>
      <c r="C103" s="226"/>
      <c r="D103" s="226"/>
      <c r="E103" s="340">
        <f t="shared" ref="E103:R103" si="62">IFERROR(E41/E$34,0)</f>
        <v>0.1177960248</v>
      </c>
      <c r="F103" s="340">
        <f t="shared" si="62"/>
        <v>0.1177960248</v>
      </c>
      <c r="G103" s="340">
        <f t="shared" si="62"/>
        <v>0.1177960248</v>
      </c>
      <c r="H103" s="340">
        <f t="shared" si="62"/>
        <v>0.1177960248</v>
      </c>
      <c r="I103" s="340">
        <f t="shared" si="62"/>
        <v>0.1177960248</v>
      </c>
      <c r="J103" s="340">
        <f t="shared" si="62"/>
        <v>0.1177960248</v>
      </c>
      <c r="K103" s="340">
        <f t="shared" si="62"/>
        <v>0.1177960248</v>
      </c>
      <c r="L103" s="340">
        <f t="shared" si="62"/>
        <v>0.1177960248</v>
      </c>
      <c r="M103" s="340">
        <f t="shared" si="62"/>
        <v>0.1177960248</v>
      </c>
      <c r="N103" s="340">
        <f t="shared" si="62"/>
        <v>0.1177960248</v>
      </c>
      <c r="O103" s="340">
        <f t="shared" si="62"/>
        <v>0.1177960248</v>
      </c>
      <c r="P103" s="340">
        <f t="shared" si="62"/>
        <v>0.1177960248</v>
      </c>
      <c r="Q103" s="340">
        <f t="shared" si="62"/>
        <v>0.1177960248</v>
      </c>
      <c r="R103" s="340">
        <f t="shared" si="62"/>
        <v>0</v>
      </c>
      <c r="S103" s="30"/>
      <c r="T103" s="30"/>
      <c r="U103" s="119"/>
      <c r="V103" s="30"/>
      <c r="W103" s="220"/>
      <c r="X103" s="220"/>
      <c r="Y103" s="220"/>
      <c r="Z103" s="220"/>
      <c r="AA103" s="220"/>
      <c r="AB103" s="220"/>
      <c r="AC103" s="220"/>
      <c r="AD103" s="220"/>
      <c r="AE103" s="220"/>
      <c r="AF103" s="220"/>
      <c r="AG103" s="220"/>
      <c r="AH103" s="220"/>
      <c r="AI103" s="220"/>
      <c r="AJ103" s="220"/>
      <c r="AK103" s="220"/>
      <c r="AL103" s="220"/>
      <c r="AM103" s="220"/>
      <c r="AN103" s="220"/>
      <c r="AO103" s="220"/>
    </row>
    <row r="104" ht="13.5" customHeight="1">
      <c r="A104" s="111">
        <f t="shared" si="7"/>
        <v>104</v>
      </c>
      <c r="B104" s="226" t="s">
        <v>328</v>
      </c>
      <c r="C104" s="226"/>
      <c r="D104" s="226"/>
      <c r="E104" s="340">
        <f t="shared" ref="E104:R104" si="63">IFERROR(#REF!/E$34,0)</f>
        <v>0</v>
      </c>
      <c r="F104" s="340">
        <f t="shared" si="63"/>
        <v>0</v>
      </c>
      <c r="G104" s="340">
        <f t="shared" si="63"/>
        <v>0</v>
      </c>
      <c r="H104" s="340">
        <f t="shared" si="63"/>
        <v>0</v>
      </c>
      <c r="I104" s="340">
        <f t="shared" si="63"/>
        <v>0</v>
      </c>
      <c r="J104" s="340">
        <f t="shared" si="63"/>
        <v>0</v>
      </c>
      <c r="K104" s="340">
        <f t="shared" si="63"/>
        <v>0</v>
      </c>
      <c r="L104" s="340">
        <f t="shared" si="63"/>
        <v>0</v>
      </c>
      <c r="M104" s="340">
        <f t="shared" si="63"/>
        <v>0</v>
      </c>
      <c r="N104" s="340">
        <f t="shared" si="63"/>
        <v>0</v>
      </c>
      <c r="O104" s="340">
        <f t="shared" si="63"/>
        <v>0</v>
      </c>
      <c r="P104" s="340">
        <f t="shared" si="63"/>
        <v>0</v>
      </c>
      <c r="Q104" s="340">
        <f t="shared" si="63"/>
        <v>0</v>
      </c>
      <c r="R104" s="340">
        <f t="shared" si="63"/>
        <v>0</v>
      </c>
      <c r="S104" s="30"/>
      <c r="T104" s="30"/>
      <c r="U104" s="119"/>
      <c r="V104" s="30"/>
      <c r="W104" s="220"/>
      <c r="X104" s="220"/>
      <c r="Y104" s="220"/>
      <c r="Z104" s="220"/>
      <c r="AA104" s="220"/>
      <c r="AB104" s="220"/>
      <c r="AC104" s="220"/>
      <c r="AD104" s="220"/>
      <c r="AE104" s="220"/>
      <c r="AF104" s="220"/>
      <c r="AG104" s="220"/>
      <c r="AH104" s="220"/>
      <c r="AI104" s="220"/>
      <c r="AJ104" s="220"/>
      <c r="AK104" s="220"/>
      <c r="AL104" s="220"/>
      <c r="AM104" s="220"/>
      <c r="AN104" s="220"/>
      <c r="AO104" s="220"/>
    </row>
    <row r="105" ht="13.5" customHeight="1">
      <c r="A105" s="111">
        <f t="shared" si="7"/>
        <v>105</v>
      </c>
      <c r="B105" s="226" t="s">
        <v>178</v>
      </c>
      <c r="C105" s="226"/>
      <c r="D105" s="226"/>
      <c r="E105" s="340">
        <f t="shared" ref="E105:R105" si="64">IFERROR(E42/E$34,0)</f>
        <v>0</v>
      </c>
      <c r="F105" s="340">
        <f t="shared" si="64"/>
        <v>0</v>
      </c>
      <c r="G105" s="340">
        <f t="shared" si="64"/>
        <v>0</v>
      </c>
      <c r="H105" s="340">
        <f t="shared" si="64"/>
        <v>0</v>
      </c>
      <c r="I105" s="340">
        <f t="shared" si="64"/>
        <v>0</v>
      </c>
      <c r="J105" s="340">
        <f t="shared" si="64"/>
        <v>0</v>
      </c>
      <c r="K105" s="340">
        <f t="shared" si="64"/>
        <v>0</v>
      </c>
      <c r="L105" s="340">
        <f t="shared" si="64"/>
        <v>0</v>
      </c>
      <c r="M105" s="340">
        <f t="shared" si="64"/>
        <v>0</v>
      </c>
      <c r="N105" s="340">
        <f t="shared" si="64"/>
        <v>0</v>
      </c>
      <c r="O105" s="340">
        <f t="shared" si="64"/>
        <v>0</v>
      </c>
      <c r="P105" s="340">
        <f t="shared" si="64"/>
        <v>0</v>
      </c>
      <c r="Q105" s="340">
        <f t="shared" si="64"/>
        <v>0</v>
      </c>
      <c r="R105" s="340">
        <f t="shared" si="64"/>
        <v>0</v>
      </c>
      <c r="S105" s="30"/>
      <c r="T105" s="30"/>
      <c r="U105" s="119"/>
      <c r="V105" s="30"/>
      <c r="W105" s="220"/>
      <c r="X105" s="220"/>
      <c r="Y105" s="220"/>
      <c r="Z105" s="220"/>
      <c r="AA105" s="220"/>
      <c r="AB105" s="220"/>
      <c r="AC105" s="220"/>
      <c r="AD105" s="220"/>
      <c r="AE105" s="220"/>
      <c r="AF105" s="220"/>
      <c r="AG105" s="220"/>
      <c r="AH105" s="220"/>
      <c r="AI105" s="220"/>
      <c r="AJ105" s="220"/>
      <c r="AK105" s="220"/>
      <c r="AL105" s="220"/>
      <c r="AM105" s="220"/>
      <c r="AN105" s="220"/>
      <c r="AO105" s="220"/>
    </row>
    <row r="106" ht="13.5" customHeight="1">
      <c r="A106" s="111">
        <f t="shared" si="7"/>
        <v>106</v>
      </c>
      <c r="B106" s="226" t="s">
        <v>294</v>
      </c>
      <c r="C106" s="226"/>
      <c r="D106" s="226"/>
      <c r="E106" s="340">
        <f t="shared" ref="E106:R106" si="65">IFERROR(E43/E$34,0)</f>
        <v>0</v>
      </c>
      <c r="F106" s="340">
        <f t="shared" si="65"/>
        <v>0</v>
      </c>
      <c r="G106" s="340">
        <f t="shared" si="65"/>
        <v>0</v>
      </c>
      <c r="H106" s="340">
        <f t="shared" si="65"/>
        <v>0</v>
      </c>
      <c r="I106" s="340">
        <f t="shared" si="65"/>
        <v>0</v>
      </c>
      <c r="J106" s="340">
        <f t="shared" si="65"/>
        <v>0</v>
      </c>
      <c r="K106" s="340">
        <f t="shared" si="65"/>
        <v>0</v>
      </c>
      <c r="L106" s="340">
        <f t="shared" si="65"/>
        <v>0</v>
      </c>
      <c r="M106" s="340">
        <f t="shared" si="65"/>
        <v>0</v>
      </c>
      <c r="N106" s="340">
        <f t="shared" si="65"/>
        <v>0</v>
      </c>
      <c r="O106" s="340">
        <f t="shared" si="65"/>
        <v>0</v>
      </c>
      <c r="P106" s="340">
        <f t="shared" si="65"/>
        <v>0</v>
      </c>
      <c r="Q106" s="340">
        <f t="shared" si="65"/>
        <v>0</v>
      </c>
      <c r="R106" s="340">
        <f t="shared" si="65"/>
        <v>0</v>
      </c>
      <c r="S106" s="30"/>
      <c r="T106" s="30"/>
      <c r="U106" s="119"/>
      <c r="V106" s="30"/>
      <c r="W106" s="220"/>
      <c r="X106" s="220"/>
      <c r="Y106" s="220"/>
      <c r="Z106" s="220"/>
      <c r="AA106" s="220"/>
      <c r="AB106" s="220"/>
      <c r="AC106" s="220"/>
      <c r="AD106" s="220"/>
      <c r="AE106" s="220"/>
      <c r="AF106" s="220"/>
      <c r="AG106" s="220"/>
      <c r="AH106" s="220"/>
      <c r="AI106" s="220"/>
      <c r="AJ106" s="220"/>
      <c r="AK106" s="220"/>
      <c r="AL106" s="220"/>
      <c r="AM106" s="220"/>
      <c r="AN106" s="220"/>
      <c r="AO106" s="220"/>
    </row>
    <row r="107" ht="13.5" customHeight="1">
      <c r="A107" s="111">
        <f t="shared" si="7"/>
        <v>107</v>
      </c>
      <c r="B107" s="30" t="s">
        <v>196</v>
      </c>
      <c r="C107" s="226"/>
      <c r="D107" s="226"/>
      <c r="E107" s="340">
        <f t="shared" ref="E107:R107" si="66">IFERROR(E45/E$34,0)</f>
        <v>0.001243816123</v>
      </c>
      <c r="F107" s="340">
        <f t="shared" si="66"/>
        <v>0.001243817263</v>
      </c>
      <c r="G107" s="340">
        <f t="shared" si="66"/>
        <v>0.001243816019</v>
      </c>
      <c r="H107" s="340">
        <f t="shared" si="66"/>
        <v>0.001243816019</v>
      </c>
      <c r="I107" s="340">
        <f t="shared" si="66"/>
        <v>0.001243816019</v>
      </c>
      <c r="J107" s="340">
        <f t="shared" si="66"/>
        <v>0.001243816019</v>
      </c>
      <c r="K107" s="340">
        <f t="shared" si="66"/>
        <v>0.001243816019</v>
      </c>
      <c r="L107" s="340">
        <f t="shared" si="66"/>
        <v>0.001243816019</v>
      </c>
      <c r="M107" s="340">
        <f t="shared" si="66"/>
        <v>0.001243816019</v>
      </c>
      <c r="N107" s="340">
        <f t="shared" si="66"/>
        <v>0.001243816019</v>
      </c>
      <c r="O107" s="340">
        <f t="shared" si="66"/>
        <v>0.001243816019</v>
      </c>
      <c r="P107" s="340">
        <f t="shared" si="66"/>
        <v>0.001243816019</v>
      </c>
      <c r="Q107" s="340">
        <f t="shared" si="66"/>
        <v>0.001243816019</v>
      </c>
      <c r="R107" s="340">
        <f t="shared" si="66"/>
        <v>0</v>
      </c>
      <c r="S107" s="30"/>
      <c r="T107" s="30"/>
      <c r="U107" s="119"/>
      <c r="V107" s="30"/>
      <c r="W107" s="220"/>
      <c r="X107" s="220"/>
      <c r="Y107" s="220"/>
      <c r="Z107" s="220"/>
      <c r="AA107" s="220"/>
      <c r="AB107" s="220"/>
      <c r="AC107" s="220"/>
      <c r="AD107" s="220"/>
      <c r="AE107" s="220"/>
      <c r="AF107" s="220"/>
      <c r="AG107" s="220"/>
      <c r="AH107" s="220"/>
      <c r="AI107" s="220"/>
      <c r="AJ107" s="220"/>
      <c r="AK107" s="220"/>
      <c r="AL107" s="220"/>
      <c r="AM107" s="220"/>
      <c r="AN107" s="220"/>
      <c r="AO107" s="220"/>
    </row>
    <row r="108" ht="13.5" customHeight="1">
      <c r="A108" s="111">
        <f t="shared" si="7"/>
        <v>108</v>
      </c>
      <c r="B108" s="226" t="s">
        <v>329</v>
      </c>
      <c r="C108" s="226"/>
      <c r="D108" s="226"/>
      <c r="E108" s="340">
        <f t="shared" ref="E108:R108" si="67">IFERROR(E46/E$34,0)</f>
        <v>0.12637804</v>
      </c>
      <c r="F108" s="340">
        <f t="shared" si="67"/>
        <v>0.126378053</v>
      </c>
      <c r="G108" s="340">
        <f t="shared" si="67"/>
        <v>0.1263778353</v>
      </c>
      <c r="H108" s="340">
        <f t="shared" si="67"/>
        <v>0.1263778353</v>
      </c>
      <c r="I108" s="340">
        <f t="shared" si="67"/>
        <v>0.1263778353</v>
      </c>
      <c r="J108" s="340">
        <f t="shared" si="67"/>
        <v>0.1263778353</v>
      </c>
      <c r="K108" s="340">
        <f t="shared" si="67"/>
        <v>0.1263778353</v>
      </c>
      <c r="L108" s="340">
        <f t="shared" si="67"/>
        <v>0.1263782085</v>
      </c>
      <c r="M108" s="340">
        <f t="shared" si="67"/>
        <v>0.1263782085</v>
      </c>
      <c r="N108" s="340">
        <f t="shared" si="67"/>
        <v>0.1263782085</v>
      </c>
      <c r="O108" s="340">
        <f t="shared" si="67"/>
        <v>0.1263782085</v>
      </c>
      <c r="P108" s="340">
        <f t="shared" si="67"/>
        <v>0.1263782085</v>
      </c>
      <c r="Q108" s="340">
        <f t="shared" si="67"/>
        <v>0.1263782085</v>
      </c>
      <c r="R108" s="340">
        <f t="shared" si="67"/>
        <v>0</v>
      </c>
      <c r="S108" s="30"/>
      <c r="T108" s="30"/>
      <c r="U108" s="119"/>
      <c r="V108" s="30"/>
      <c r="W108" s="220"/>
      <c r="X108" s="220"/>
      <c r="Y108" s="220"/>
      <c r="Z108" s="220"/>
      <c r="AA108" s="220"/>
      <c r="AB108" s="220"/>
      <c r="AC108" s="220"/>
      <c r="AD108" s="220"/>
      <c r="AE108" s="220"/>
      <c r="AF108" s="220"/>
      <c r="AG108" s="220"/>
      <c r="AH108" s="220"/>
      <c r="AI108" s="220"/>
      <c r="AJ108" s="220"/>
      <c r="AK108" s="220"/>
      <c r="AL108" s="220"/>
      <c r="AM108" s="220"/>
      <c r="AN108" s="220"/>
      <c r="AO108" s="220"/>
    </row>
    <row r="109" ht="13.5" customHeight="1">
      <c r="A109" s="111">
        <f t="shared" si="7"/>
        <v>109</v>
      </c>
      <c r="B109" s="226" t="s">
        <v>330</v>
      </c>
      <c r="C109" s="226"/>
      <c r="D109" s="226"/>
      <c r="E109" s="340">
        <f t="shared" ref="E109:R109" si="68">IFERROR(#REF!/E$34,0)</f>
        <v>0</v>
      </c>
      <c r="F109" s="340">
        <f t="shared" si="68"/>
        <v>0</v>
      </c>
      <c r="G109" s="340">
        <f t="shared" si="68"/>
        <v>0</v>
      </c>
      <c r="H109" s="340">
        <f t="shared" si="68"/>
        <v>0</v>
      </c>
      <c r="I109" s="340">
        <f t="shared" si="68"/>
        <v>0</v>
      </c>
      <c r="J109" s="340">
        <f t="shared" si="68"/>
        <v>0</v>
      </c>
      <c r="K109" s="340">
        <f t="shared" si="68"/>
        <v>0</v>
      </c>
      <c r="L109" s="340">
        <f t="shared" si="68"/>
        <v>0</v>
      </c>
      <c r="M109" s="340">
        <f t="shared" si="68"/>
        <v>0</v>
      </c>
      <c r="N109" s="340">
        <f t="shared" si="68"/>
        <v>0</v>
      </c>
      <c r="O109" s="340">
        <f t="shared" si="68"/>
        <v>0</v>
      </c>
      <c r="P109" s="340">
        <f t="shared" si="68"/>
        <v>0</v>
      </c>
      <c r="Q109" s="340">
        <f t="shared" si="68"/>
        <v>0</v>
      </c>
      <c r="R109" s="340">
        <f t="shared" si="68"/>
        <v>0</v>
      </c>
      <c r="S109" s="30"/>
      <c r="T109" s="30"/>
      <c r="U109" s="119"/>
      <c r="V109" s="30"/>
      <c r="W109" s="220"/>
      <c r="X109" s="220"/>
      <c r="Y109" s="220"/>
      <c r="Z109" s="220"/>
      <c r="AA109" s="220"/>
      <c r="AB109" s="220"/>
      <c r="AC109" s="220"/>
      <c r="AD109" s="220"/>
      <c r="AE109" s="220"/>
      <c r="AF109" s="220"/>
      <c r="AG109" s="220"/>
      <c r="AH109" s="220"/>
      <c r="AI109" s="220"/>
      <c r="AJ109" s="220"/>
      <c r="AK109" s="220"/>
      <c r="AL109" s="220"/>
      <c r="AM109" s="220"/>
      <c r="AN109" s="220"/>
      <c r="AO109" s="220"/>
    </row>
    <row r="110" ht="13.5" customHeight="1">
      <c r="A110" s="111">
        <f t="shared" si="7"/>
        <v>110</v>
      </c>
      <c r="B110" s="226" t="s">
        <v>331</v>
      </c>
      <c r="C110" s="226"/>
      <c r="D110" s="226"/>
      <c r="E110" s="340">
        <f t="shared" ref="E110:R110" si="69">IFERROR(#REF!/E$34,0)</f>
        <v>0</v>
      </c>
      <c r="F110" s="340">
        <f t="shared" si="69"/>
        <v>0</v>
      </c>
      <c r="G110" s="340">
        <f t="shared" si="69"/>
        <v>0</v>
      </c>
      <c r="H110" s="340">
        <f t="shared" si="69"/>
        <v>0</v>
      </c>
      <c r="I110" s="340">
        <f t="shared" si="69"/>
        <v>0</v>
      </c>
      <c r="J110" s="340">
        <f t="shared" si="69"/>
        <v>0</v>
      </c>
      <c r="K110" s="340">
        <f t="shared" si="69"/>
        <v>0</v>
      </c>
      <c r="L110" s="340">
        <f t="shared" si="69"/>
        <v>0</v>
      </c>
      <c r="M110" s="340">
        <f t="shared" si="69"/>
        <v>0</v>
      </c>
      <c r="N110" s="340">
        <f t="shared" si="69"/>
        <v>0</v>
      </c>
      <c r="O110" s="340">
        <f t="shared" si="69"/>
        <v>0</v>
      </c>
      <c r="P110" s="340">
        <f t="shared" si="69"/>
        <v>0</v>
      </c>
      <c r="Q110" s="340">
        <f t="shared" si="69"/>
        <v>0</v>
      </c>
      <c r="R110" s="340">
        <f t="shared" si="69"/>
        <v>0</v>
      </c>
      <c r="S110" s="30"/>
      <c r="T110" s="30"/>
      <c r="U110" s="119"/>
      <c r="V110" s="30"/>
      <c r="W110" s="220"/>
      <c r="X110" s="220"/>
      <c r="Y110" s="220"/>
      <c r="Z110" s="220"/>
      <c r="AA110" s="220"/>
      <c r="AB110" s="220"/>
      <c r="AC110" s="220"/>
      <c r="AD110" s="220"/>
      <c r="AE110" s="220"/>
      <c r="AF110" s="220"/>
      <c r="AG110" s="220"/>
      <c r="AH110" s="220"/>
      <c r="AI110" s="220"/>
      <c r="AJ110" s="220"/>
      <c r="AK110" s="220"/>
      <c r="AL110" s="220"/>
      <c r="AM110" s="220"/>
      <c r="AN110" s="220"/>
      <c r="AO110" s="220"/>
    </row>
    <row r="111" ht="13.5" customHeight="1">
      <c r="A111" s="111">
        <f t="shared" si="7"/>
        <v>111</v>
      </c>
      <c r="B111" s="226" t="s">
        <v>332</v>
      </c>
      <c r="C111" s="226"/>
      <c r="D111" s="226"/>
      <c r="E111" s="340">
        <f t="shared" ref="E111:R111" si="70">IFERROR(#REF!/E$34,0)</f>
        <v>0</v>
      </c>
      <c r="F111" s="340">
        <f t="shared" si="70"/>
        <v>0</v>
      </c>
      <c r="G111" s="340">
        <f t="shared" si="70"/>
        <v>0</v>
      </c>
      <c r="H111" s="340">
        <f t="shared" si="70"/>
        <v>0</v>
      </c>
      <c r="I111" s="340">
        <f t="shared" si="70"/>
        <v>0</v>
      </c>
      <c r="J111" s="340">
        <f t="shared" si="70"/>
        <v>0</v>
      </c>
      <c r="K111" s="340">
        <f t="shared" si="70"/>
        <v>0</v>
      </c>
      <c r="L111" s="340">
        <f t="shared" si="70"/>
        <v>0</v>
      </c>
      <c r="M111" s="340">
        <f t="shared" si="70"/>
        <v>0</v>
      </c>
      <c r="N111" s="340">
        <f t="shared" si="70"/>
        <v>0</v>
      </c>
      <c r="O111" s="340">
        <f t="shared" si="70"/>
        <v>0</v>
      </c>
      <c r="P111" s="340">
        <f t="shared" si="70"/>
        <v>0</v>
      </c>
      <c r="Q111" s="340">
        <f t="shared" si="70"/>
        <v>0</v>
      </c>
      <c r="R111" s="340">
        <f t="shared" si="70"/>
        <v>0</v>
      </c>
      <c r="S111" s="30"/>
      <c r="T111" s="30"/>
      <c r="U111" s="119"/>
      <c r="V111" s="30"/>
      <c r="W111" s="220"/>
      <c r="X111" s="220"/>
      <c r="Y111" s="220"/>
      <c r="Z111" s="220"/>
      <c r="AA111" s="220"/>
      <c r="AB111" s="220"/>
      <c r="AC111" s="220"/>
      <c r="AD111" s="220"/>
      <c r="AE111" s="220"/>
      <c r="AF111" s="220"/>
      <c r="AG111" s="220"/>
      <c r="AH111" s="220"/>
      <c r="AI111" s="220"/>
      <c r="AJ111" s="220"/>
      <c r="AK111" s="220"/>
      <c r="AL111" s="220"/>
      <c r="AM111" s="220"/>
      <c r="AN111" s="220"/>
      <c r="AO111" s="220"/>
    </row>
    <row r="112" ht="13.5" customHeight="1">
      <c r="A112" s="111">
        <f t="shared" si="7"/>
        <v>112</v>
      </c>
      <c r="B112" s="226" t="s">
        <v>333</v>
      </c>
      <c r="C112" s="226"/>
      <c r="D112" s="226"/>
      <c r="E112" s="340">
        <f t="shared" ref="E112:R112" si="71">IFERROR(#REF!/E$34,0)</f>
        <v>0</v>
      </c>
      <c r="F112" s="340">
        <f t="shared" si="71"/>
        <v>0</v>
      </c>
      <c r="G112" s="340">
        <f t="shared" si="71"/>
        <v>0</v>
      </c>
      <c r="H112" s="340">
        <f t="shared" si="71"/>
        <v>0</v>
      </c>
      <c r="I112" s="340">
        <f t="shared" si="71"/>
        <v>0</v>
      </c>
      <c r="J112" s="340">
        <f t="shared" si="71"/>
        <v>0</v>
      </c>
      <c r="K112" s="340">
        <f t="shared" si="71"/>
        <v>0</v>
      </c>
      <c r="L112" s="340">
        <f t="shared" si="71"/>
        <v>0</v>
      </c>
      <c r="M112" s="340">
        <f t="shared" si="71"/>
        <v>0</v>
      </c>
      <c r="N112" s="340">
        <f t="shared" si="71"/>
        <v>0</v>
      </c>
      <c r="O112" s="340">
        <f t="shared" si="71"/>
        <v>0</v>
      </c>
      <c r="P112" s="340">
        <f t="shared" si="71"/>
        <v>0</v>
      </c>
      <c r="Q112" s="340">
        <f t="shared" si="71"/>
        <v>0</v>
      </c>
      <c r="R112" s="340">
        <f t="shared" si="71"/>
        <v>0</v>
      </c>
      <c r="S112" s="30"/>
      <c r="T112" s="30"/>
      <c r="U112" s="119"/>
      <c r="V112" s="30"/>
      <c r="W112" s="220"/>
      <c r="X112" s="220"/>
      <c r="Y112" s="220"/>
      <c r="Z112" s="220"/>
      <c r="AA112" s="220"/>
      <c r="AB112" s="220"/>
      <c r="AC112" s="220"/>
      <c r="AD112" s="220"/>
      <c r="AE112" s="220"/>
      <c r="AF112" s="220"/>
      <c r="AG112" s="220"/>
      <c r="AH112" s="220"/>
      <c r="AI112" s="220"/>
      <c r="AJ112" s="220"/>
      <c r="AK112" s="220"/>
      <c r="AL112" s="220"/>
      <c r="AM112" s="220"/>
      <c r="AN112" s="220"/>
      <c r="AO112" s="220"/>
    </row>
    <row r="113" ht="13.5" customHeight="1">
      <c r="A113" s="111">
        <f t="shared" si="7"/>
        <v>113</v>
      </c>
      <c r="B113" s="226" t="s">
        <v>334</v>
      </c>
      <c r="C113" s="226"/>
      <c r="D113" s="226"/>
      <c r="E113" s="340">
        <f t="shared" ref="E113:R113" si="72">IFERROR(#REF!/E$34,0)</f>
        <v>0</v>
      </c>
      <c r="F113" s="340">
        <f t="shared" si="72"/>
        <v>0</v>
      </c>
      <c r="G113" s="340">
        <f t="shared" si="72"/>
        <v>0</v>
      </c>
      <c r="H113" s="340">
        <f t="shared" si="72"/>
        <v>0</v>
      </c>
      <c r="I113" s="340">
        <f t="shared" si="72"/>
        <v>0</v>
      </c>
      <c r="J113" s="340">
        <f t="shared" si="72"/>
        <v>0</v>
      </c>
      <c r="K113" s="340">
        <f t="shared" si="72"/>
        <v>0</v>
      </c>
      <c r="L113" s="340">
        <f t="shared" si="72"/>
        <v>0</v>
      </c>
      <c r="M113" s="340">
        <f t="shared" si="72"/>
        <v>0</v>
      </c>
      <c r="N113" s="340">
        <f t="shared" si="72"/>
        <v>0</v>
      </c>
      <c r="O113" s="340">
        <f t="shared" si="72"/>
        <v>0</v>
      </c>
      <c r="P113" s="340">
        <f t="shared" si="72"/>
        <v>0</v>
      </c>
      <c r="Q113" s="340">
        <f t="shared" si="72"/>
        <v>0</v>
      </c>
      <c r="R113" s="340">
        <f t="shared" si="72"/>
        <v>0</v>
      </c>
      <c r="S113" s="30"/>
      <c r="T113" s="30"/>
      <c r="U113" s="119"/>
      <c r="V113" s="30"/>
      <c r="W113" s="220"/>
      <c r="X113" s="220"/>
      <c r="Y113" s="220"/>
      <c r="Z113" s="220"/>
      <c r="AA113" s="220"/>
      <c r="AB113" s="220"/>
      <c r="AC113" s="220"/>
      <c r="AD113" s="220"/>
      <c r="AE113" s="220"/>
      <c r="AF113" s="220"/>
      <c r="AG113" s="220"/>
      <c r="AH113" s="220"/>
      <c r="AI113" s="220"/>
      <c r="AJ113" s="220"/>
      <c r="AK113" s="220"/>
      <c r="AL113" s="220"/>
      <c r="AM113" s="220"/>
      <c r="AN113" s="220"/>
      <c r="AO113" s="220"/>
    </row>
    <row r="114" ht="13.5" customHeight="1">
      <c r="A114" s="111">
        <f t="shared" si="7"/>
        <v>114</v>
      </c>
      <c r="B114" s="226" t="s">
        <v>297</v>
      </c>
      <c r="C114" s="226"/>
      <c r="D114" s="226"/>
      <c r="E114" s="340">
        <f t="shared" ref="E114:R114" si="73">IFERROR(E47/E$34,0)</f>
        <v>0</v>
      </c>
      <c r="F114" s="340">
        <f t="shared" si="73"/>
        <v>0</v>
      </c>
      <c r="G114" s="340">
        <f t="shared" si="73"/>
        <v>0</v>
      </c>
      <c r="H114" s="340">
        <f t="shared" si="73"/>
        <v>0</v>
      </c>
      <c r="I114" s="340">
        <f t="shared" si="73"/>
        <v>0</v>
      </c>
      <c r="J114" s="340">
        <f t="shared" si="73"/>
        <v>0</v>
      </c>
      <c r="K114" s="340">
        <f t="shared" si="73"/>
        <v>0</v>
      </c>
      <c r="L114" s="340">
        <f t="shared" si="73"/>
        <v>0</v>
      </c>
      <c r="M114" s="340">
        <f t="shared" si="73"/>
        <v>0</v>
      </c>
      <c r="N114" s="340">
        <f t="shared" si="73"/>
        <v>0</v>
      </c>
      <c r="O114" s="340">
        <f t="shared" si="73"/>
        <v>0</v>
      </c>
      <c r="P114" s="340">
        <f t="shared" si="73"/>
        <v>0</v>
      </c>
      <c r="Q114" s="340">
        <f t="shared" si="73"/>
        <v>0</v>
      </c>
      <c r="R114" s="340">
        <f t="shared" si="73"/>
        <v>0</v>
      </c>
      <c r="S114" s="30"/>
      <c r="T114" s="30"/>
      <c r="U114" s="119"/>
      <c r="V114" s="30"/>
      <c r="W114" s="220"/>
      <c r="X114" s="220"/>
      <c r="Y114" s="220"/>
      <c r="Z114" s="220"/>
      <c r="AA114" s="220"/>
      <c r="AB114" s="220"/>
      <c r="AC114" s="220"/>
      <c r="AD114" s="220"/>
      <c r="AE114" s="220"/>
      <c r="AF114" s="220"/>
      <c r="AG114" s="220"/>
      <c r="AH114" s="220"/>
      <c r="AI114" s="220"/>
      <c r="AJ114" s="220"/>
      <c r="AK114" s="220"/>
      <c r="AL114" s="220"/>
      <c r="AM114" s="220"/>
      <c r="AN114" s="220"/>
      <c r="AO114" s="220"/>
    </row>
    <row r="115" ht="13.5" customHeight="1">
      <c r="A115" s="111">
        <f t="shared" si="7"/>
        <v>115</v>
      </c>
      <c r="B115" s="226" t="s">
        <v>197</v>
      </c>
      <c r="C115" s="226"/>
      <c r="D115" s="226"/>
      <c r="E115" s="340">
        <f t="shared" ref="E115:R115" si="74">IFERROR(E48/E$34,0)</f>
        <v>0.02895217246</v>
      </c>
      <c r="F115" s="340">
        <f t="shared" si="74"/>
        <v>0.02895210121</v>
      </c>
      <c r="G115" s="340">
        <f t="shared" si="74"/>
        <v>0.02895217894</v>
      </c>
      <c r="H115" s="340">
        <f t="shared" si="74"/>
        <v>0.02895217894</v>
      </c>
      <c r="I115" s="340">
        <f t="shared" si="74"/>
        <v>0.02895217894</v>
      </c>
      <c r="J115" s="340">
        <f t="shared" si="74"/>
        <v>0.02895217894</v>
      </c>
      <c r="K115" s="340">
        <f t="shared" si="74"/>
        <v>0.02895217894</v>
      </c>
      <c r="L115" s="340">
        <f t="shared" si="74"/>
        <v>0.02895217894</v>
      </c>
      <c r="M115" s="340">
        <f t="shared" si="74"/>
        <v>0.02895217894</v>
      </c>
      <c r="N115" s="340">
        <f t="shared" si="74"/>
        <v>0.02895217894</v>
      </c>
      <c r="O115" s="340">
        <f t="shared" si="74"/>
        <v>0.02895217894</v>
      </c>
      <c r="P115" s="340">
        <f t="shared" si="74"/>
        <v>0.02895217894</v>
      </c>
      <c r="Q115" s="340">
        <f t="shared" si="74"/>
        <v>0.02895217894</v>
      </c>
      <c r="R115" s="340">
        <f t="shared" si="74"/>
        <v>0</v>
      </c>
      <c r="S115" s="30"/>
      <c r="T115" s="30"/>
      <c r="U115" s="119"/>
      <c r="V115" s="30"/>
      <c r="W115" s="220"/>
      <c r="X115" s="220"/>
      <c r="Y115" s="220"/>
      <c r="Z115" s="220"/>
      <c r="AA115" s="220"/>
      <c r="AB115" s="220"/>
      <c r="AC115" s="220"/>
      <c r="AD115" s="220"/>
      <c r="AE115" s="220"/>
      <c r="AF115" s="220"/>
      <c r="AG115" s="220"/>
      <c r="AH115" s="220"/>
      <c r="AI115" s="220"/>
      <c r="AJ115" s="220"/>
      <c r="AK115" s="220"/>
      <c r="AL115" s="220"/>
      <c r="AM115" s="220"/>
      <c r="AN115" s="220"/>
      <c r="AO115" s="220"/>
    </row>
    <row r="116" ht="13.5" customHeight="1">
      <c r="A116" s="111">
        <f t="shared" si="7"/>
        <v>116</v>
      </c>
      <c r="B116" s="226" t="s">
        <v>198</v>
      </c>
      <c r="C116" s="226"/>
      <c r="D116" s="226"/>
      <c r="E116" s="341">
        <f t="shared" ref="E116:R116" si="75">IFERROR(E50/E$34,0)</f>
        <v>0.009181547318</v>
      </c>
      <c r="F116" s="341">
        <f t="shared" si="75"/>
        <v>0.009181540306</v>
      </c>
      <c r="G116" s="341">
        <f t="shared" si="75"/>
        <v>0.009181547956</v>
      </c>
      <c r="H116" s="341">
        <f t="shared" si="75"/>
        <v>0.009181547956</v>
      </c>
      <c r="I116" s="341">
        <f t="shared" si="75"/>
        <v>0.009181547956</v>
      </c>
      <c r="J116" s="341">
        <f t="shared" si="75"/>
        <v>0.009181547956</v>
      </c>
      <c r="K116" s="341">
        <f t="shared" si="75"/>
        <v>0.009181547956</v>
      </c>
      <c r="L116" s="341">
        <f t="shared" si="75"/>
        <v>0.009181547956</v>
      </c>
      <c r="M116" s="341">
        <f t="shared" si="75"/>
        <v>0.009181547956</v>
      </c>
      <c r="N116" s="341">
        <f t="shared" si="75"/>
        <v>0.009181547956</v>
      </c>
      <c r="O116" s="341">
        <f t="shared" si="75"/>
        <v>0.009181547956</v>
      </c>
      <c r="P116" s="341">
        <f t="shared" si="75"/>
        <v>0.009181547956</v>
      </c>
      <c r="Q116" s="341">
        <f t="shared" si="75"/>
        <v>0.009181547956</v>
      </c>
      <c r="R116" s="341">
        <f t="shared" si="75"/>
        <v>0</v>
      </c>
      <c r="S116" s="30"/>
      <c r="T116" s="30"/>
      <c r="U116" s="119"/>
      <c r="V116" s="30"/>
      <c r="W116" s="220"/>
      <c r="X116" s="220"/>
      <c r="Y116" s="220"/>
      <c r="Z116" s="220"/>
      <c r="AA116" s="220"/>
      <c r="AB116" s="220"/>
      <c r="AC116" s="220"/>
      <c r="AD116" s="220"/>
      <c r="AE116" s="220"/>
      <c r="AF116" s="220"/>
      <c r="AG116" s="220"/>
      <c r="AH116" s="220"/>
      <c r="AI116" s="220"/>
      <c r="AJ116" s="220"/>
      <c r="AK116" s="220"/>
      <c r="AL116" s="220"/>
      <c r="AM116" s="220"/>
      <c r="AN116" s="220"/>
      <c r="AO116" s="220"/>
    </row>
    <row r="117" ht="13.5" customHeight="1">
      <c r="A117" s="111">
        <f t="shared" si="7"/>
        <v>117</v>
      </c>
      <c r="B117" s="95" t="s">
        <v>299</v>
      </c>
      <c r="C117" s="226"/>
      <c r="D117" s="95"/>
      <c r="E117" s="346">
        <f t="shared" ref="E117:R117" si="76">IFERROR(E48/E$34,0)</f>
        <v>0.02895217246</v>
      </c>
      <c r="F117" s="346">
        <f t="shared" si="76"/>
        <v>0.02895210121</v>
      </c>
      <c r="G117" s="346">
        <f t="shared" si="76"/>
        <v>0.02895217894</v>
      </c>
      <c r="H117" s="346">
        <f t="shared" si="76"/>
        <v>0.02895217894</v>
      </c>
      <c r="I117" s="346">
        <f t="shared" si="76"/>
        <v>0.02895217894</v>
      </c>
      <c r="J117" s="346">
        <f t="shared" si="76"/>
        <v>0.02895217894</v>
      </c>
      <c r="K117" s="346">
        <f t="shared" si="76"/>
        <v>0.02895217894</v>
      </c>
      <c r="L117" s="346">
        <f t="shared" si="76"/>
        <v>0.02895217894</v>
      </c>
      <c r="M117" s="346">
        <f t="shared" si="76"/>
        <v>0.02895217894</v>
      </c>
      <c r="N117" s="346">
        <f t="shared" si="76"/>
        <v>0.02895217894</v>
      </c>
      <c r="O117" s="346">
        <f t="shared" si="76"/>
        <v>0.02895217894</v>
      </c>
      <c r="P117" s="346">
        <f t="shared" si="76"/>
        <v>0.02895217894</v>
      </c>
      <c r="Q117" s="346">
        <f t="shared" si="76"/>
        <v>0.02895217894</v>
      </c>
      <c r="R117" s="346">
        <f t="shared" si="76"/>
        <v>0</v>
      </c>
      <c r="S117" s="30"/>
      <c r="T117" s="30"/>
      <c r="U117" s="119"/>
      <c r="V117" s="30"/>
      <c r="W117" s="220"/>
      <c r="X117" s="220"/>
      <c r="Y117" s="220"/>
      <c r="Z117" s="220"/>
      <c r="AA117" s="220"/>
      <c r="AB117" s="220"/>
      <c r="AC117" s="220"/>
      <c r="AD117" s="220"/>
      <c r="AE117" s="220"/>
      <c r="AF117" s="220"/>
      <c r="AG117" s="220"/>
      <c r="AH117" s="220"/>
      <c r="AI117" s="220"/>
      <c r="AJ117" s="220"/>
      <c r="AK117" s="220"/>
      <c r="AL117" s="220"/>
      <c r="AM117" s="220"/>
      <c r="AN117" s="220"/>
      <c r="AO117" s="220"/>
    </row>
    <row r="118" ht="13.5" customHeight="1">
      <c r="A118" s="111">
        <f t="shared" si="7"/>
        <v>118</v>
      </c>
      <c r="B118" s="95" t="s">
        <v>303</v>
      </c>
      <c r="C118" s="226"/>
      <c r="D118" s="95"/>
      <c r="E118" s="347"/>
      <c r="F118" s="345">
        <f t="shared" ref="F118:R118" si="77">IFERROR(F50/F$34,0)</f>
        <v>0.009181540306</v>
      </c>
      <c r="G118" s="345">
        <f t="shared" si="77"/>
        <v>0.009181547956</v>
      </c>
      <c r="H118" s="345">
        <f t="shared" si="77"/>
        <v>0.009181547956</v>
      </c>
      <c r="I118" s="345">
        <f t="shared" si="77"/>
        <v>0.009181547956</v>
      </c>
      <c r="J118" s="345">
        <f t="shared" si="77"/>
        <v>0.009181547956</v>
      </c>
      <c r="K118" s="345">
        <f t="shared" si="77"/>
        <v>0.009181547956</v>
      </c>
      <c r="L118" s="345">
        <f t="shared" si="77"/>
        <v>0.009181547956</v>
      </c>
      <c r="M118" s="345">
        <f t="shared" si="77"/>
        <v>0.009181547956</v>
      </c>
      <c r="N118" s="345">
        <f t="shared" si="77"/>
        <v>0.009181547956</v>
      </c>
      <c r="O118" s="345">
        <f t="shared" si="77"/>
        <v>0.009181547956</v>
      </c>
      <c r="P118" s="345">
        <f t="shared" si="77"/>
        <v>0.009181547956</v>
      </c>
      <c r="Q118" s="345">
        <f t="shared" si="77"/>
        <v>0.009181547956</v>
      </c>
      <c r="R118" s="345">
        <f t="shared" si="77"/>
        <v>0</v>
      </c>
      <c r="S118" s="30"/>
      <c r="T118" s="30"/>
      <c r="U118" s="119"/>
      <c r="V118" s="30"/>
      <c r="W118" s="220"/>
      <c r="X118" s="220"/>
      <c r="Y118" s="220"/>
      <c r="Z118" s="220"/>
      <c r="AA118" s="220"/>
      <c r="AB118" s="220"/>
      <c r="AC118" s="220"/>
      <c r="AD118" s="220"/>
      <c r="AE118" s="220"/>
      <c r="AF118" s="220"/>
      <c r="AG118" s="220"/>
      <c r="AH118" s="220"/>
      <c r="AI118" s="220"/>
      <c r="AJ118" s="220"/>
      <c r="AK118" s="220"/>
      <c r="AL118" s="220"/>
      <c r="AM118" s="220"/>
      <c r="AN118" s="220"/>
      <c r="AO118" s="220"/>
    </row>
    <row r="119" ht="13.5" customHeight="1">
      <c r="A119" s="111">
        <f t="shared" si="7"/>
        <v>119</v>
      </c>
      <c r="B119" s="208" t="s">
        <v>335</v>
      </c>
      <c r="C119" s="99"/>
      <c r="D119" s="99"/>
      <c r="E119" s="99"/>
      <c r="F119" s="99"/>
      <c r="G119" s="99"/>
      <c r="H119" s="99"/>
      <c r="I119" s="99"/>
      <c r="J119" s="99"/>
      <c r="K119" s="99"/>
      <c r="L119" s="99"/>
      <c r="M119" s="99"/>
      <c r="N119" s="99"/>
      <c r="O119" s="99"/>
      <c r="P119" s="99"/>
      <c r="Q119" s="99"/>
      <c r="R119" s="99"/>
      <c r="S119" s="30"/>
      <c r="T119" s="30"/>
      <c r="U119" s="119"/>
      <c r="V119" s="30"/>
      <c r="W119" s="220"/>
      <c r="X119" s="220"/>
      <c r="Y119" s="220"/>
      <c r="Z119" s="220"/>
      <c r="AA119" s="220"/>
      <c r="AB119" s="220"/>
      <c r="AC119" s="220"/>
      <c r="AD119" s="220"/>
      <c r="AE119" s="220"/>
      <c r="AF119" s="220"/>
      <c r="AG119" s="220"/>
      <c r="AH119" s="220"/>
      <c r="AI119" s="220"/>
      <c r="AJ119" s="220"/>
      <c r="AK119" s="220"/>
      <c r="AL119" s="220"/>
      <c r="AM119" s="220"/>
      <c r="AN119" s="220"/>
      <c r="AO119" s="220"/>
    </row>
    <row r="120" ht="13.5" customHeight="1">
      <c r="A120" s="111">
        <f t="shared" si="7"/>
        <v>120</v>
      </c>
      <c r="B120" s="226"/>
      <c r="C120" s="226"/>
      <c r="D120" s="226"/>
      <c r="E120" s="284"/>
      <c r="F120" s="284"/>
      <c r="G120" s="284"/>
      <c r="H120" s="284"/>
      <c r="I120" s="284"/>
      <c r="J120" s="284"/>
      <c r="K120" s="284"/>
      <c r="L120" s="284"/>
      <c r="M120" s="284"/>
      <c r="N120" s="284"/>
      <c r="O120" s="284"/>
      <c r="P120" s="284"/>
      <c r="Q120" s="284"/>
      <c r="R120" s="284"/>
      <c r="S120" s="30"/>
      <c r="T120" s="30"/>
      <c r="U120" s="119"/>
      <c r="V120" s="30"/>
      <c r="W120" s="220"/>
      <c r="X120" s="220"/>
      <c r="Y120" s="220"/>
      <c r="Z120" s="220"/>
      <c r="AA120" s="220"/>
      <c r="AB120" s="220"/>
      <c r="AC120" s="220"/>
      <c r="AD120" s="220"/>
      <c r="AE120" s="220"/>
      <c r="AF120" s="220"/>
      <c r="AG120" s="220"/>
      <c r="AH120" s="220"/>
      <c r="AI120" s="220"/>
      <c r="AJ120" s="220"/>
      <c r="AK120" s="220"/>
      <c r="AL120" s="220"/>
      <c r="AM120" s="220"/>
      <c r="AN120" s="220"/>
      <c r="AO120" s="220"/>
    </row>
    <row r="121" ht="13.5" customHeight="1">
      <c r="A121" s="111">
        <f t="shared" si="7"/>
        <v>121</v>
      </c>
      <c r="B121" s="226" t="s">
        <v>336</v>
      </c>
      <c r="C121" s="226"/>
      <c r="D121" s="226"/>
      <c r="E121" s="348">
        <f t="shared" ref="E121:R121" si="78">IF(OR(E67=0,E$34=0),0,MAX(E67,E68)/E$34)</f>
        <v>0</v>
      </c>
      <c r="F121" s="349">
        <f t="shared" si="78"/>
        <v>0</v>
      </c>
      <c r="G121" s="349">
        <f t="shared" si="78"/>
        <v>0</v>
      </c>
      <c r="H121" s="349">
        <f t="shared" si="78"/>
        <v>0</v>
      </c>
      <c r="I121" s="349">
        <f t="shared" si="78"/>
        <v>0</v>
      </c>
      <c r="J121" s="349">
        <f t="shared" si="78"/>
        <v>0</v>
      </c>
      <c r="K121" s="349">
        <f t="shared" si="78"/>
        <v>0</v>
      </c>
      <c r="L121" s="349">
        <f t="shared" si="78"/>
        <v>0</v>
      </c>
      <c r="M121" s="349">
        <f t="shared" si="78"/>
        <v>0</v>
      </c>
      <c r="N121" s="349">
        <f t="shared" si="78"/>
        <v>0</v>
      </c>
      <c r="O121" s="349">
        <f t="shared" si="78"/>
        <v>0</v>
      </c>
      <c r="P121" s="349">
        <f t="shared" si="78"/>
        <v>0</v>
      </c>
      <c r="Q121" s="349">
        <f t="shared" si="78"/>
        <v>0</v>
      </c>
      <c r="R121" s="349">
        <f t="shared" si="78"/>
        <v>0</v>
      </c>
      <c r="S121" s="30"/>
      <c r="T121" s="30"/>
      <c r="U121" s="119"/>
      <c r="V121" s="30"/>
      <c r="W121" s="220"/>
      <c r="X121" s="220"/>
      <c r="Y121" s="220"/>
      <c r="Z121" s="220"/>
      <c r="AA121" s="220"/>
      <c r="AB121" s="220"/>
      <c r="AC121" s="220"/>
      <c r="AD121" s="220"/>
      <c r="AE121" s="220"/>
      <c r="AF121" s="220"/>
      <c r="AG121" s="220"/>
      <c r="AH121" s="220"/>
      <c r="AI121" s="220"/>
      <c r="AJ121" s="220"/>
      <c r="AK121" s="220"/>
      <c r="AL121" s="220"/>
      <c r="AM121" s="220"/>
      <c r="AN121" s="220"/>
      <c r="AO121" s="220"/>
    </row>
    <row r="122" ht="13.5" customHeight="1">
      <c r="A122" s="111">
        <f t="shared" si="7"/>
        <v>122</v>
      </c>
      <c r="B122" s="226"/>
      <c r="C122" s="226"/>
      <c r="D122" s="226"/>
      <c r="E122" s="347"/>
      <c r="F122" s="347"/>
      <c r="G122" s="347"/>
      <c r="H122" s="347"/>
      <c r="I122" s="347"/>
      <c r="J122" s="347"/>
      <c r="K122" s="347"/>
      <c r="L122" s="347"/>
      <c r="M122" s="347"/>
      <c r="N122" s="347"/>
      <c r="O122" s="347"/>
      <c r="P122" s="347"/>
      <c r="Q122" s="347"/>
      <c r="R122" s="347"/>
      <c r="S122" s="30"/>
      <c r="T122" s="30"/>
      <c r="U122" s="119"/>
      <c r="V122" s="30"/>
      <c r="W122" s="220"/>
      <c r="X122" s="220"/>
      <c r="Y122" s="220"/>
      <c r="Z122" s="220"/>
      <c r="AA122" s="220"/>
      <c r="AB122" s="220"/>
      <c r="AC122" s="220"/>
      <c r="AD122" s="220"/>
      <c r="AE122" s="220"/>
      <c r="AF122" s="220"/>
      <c r="AG122" s="220"/>
      <c r="AH122" s="220"/>
      <c r="AI122" s="220"/>
      <c r="AJ122" s="220"/>
      <c r="AK122" s="220"/>
      <c r="AL122" s="220"/>
      <c r="AM122" s="220"/>
      <c r="AN122" s="220"/>
      <c r="AO122" s="220"/>
    </row>
    <row r="123" ht="13.5" customHeight="1">
      <c r="A123" s="111">
        <f t="shared" si="7"/>
        <v>123</v>
      </c>
      <c r="B123" s="226" t="s">
        <v>337</v>
      </c>
      <c r="C123" s="226"/>
      <c r="D123" s="226"/>
      <c r="E123" s="350"/>
      <c r="F123" s="351">
        <v>2065290.0</v>
      </c>
      <c r="G123" s="263">
        <f t="shared" ref="G123:P123" si="79">F125</f>
        <v>2065290</v>
      </c>
      <c r="H123" s="263">
        <f t="shared" si="79"/>
        <v>2065290</v>
      </c>
      <c r="I123" s="263">
        <f t="shared" si="79"/>
        <v>2065290</v>
      </c>
      <c r="J123" s="263">
        <f t="shared" si="79"/>
        <v>2065290</v>
      </c>
      <c r="K123" s="263">
        <f t="shared" si="79"/>
        <v>2065290</v>
      </c>
      <c r="L123" s="263">
        <f t="shared" si="79"/>
        <v>2065290</v>
      </c>
      <c r="M123" s="263">
        <f t="shared" si="79"/>
        <v>2065290</v>
      </c>
      <c r="N123" s="263">
        <f t="shared" si="79"/>
        <v>2065290</v>
      </c>
      <c r="O123" s="263">
        <f t="shared" si="79"/>
        <v>2065290</v>
      </c>
      <c r="P123" s="263">
        <f t="shared" si="79"/>
        <v>2065290</v>
      </c>
      <c r="Q123" s="263">
        <f t="shared" ref="Q123:R123" si="80">O125</f>
        <v>2065290</v>
      </c>
      <c r="R123" s="263">
        <f t="shared" si="80"/>
        <v>2065290</v>
      </c>
      <c r="S123" s="30"/>
      <c r="T123" s="30"/>
      <c r="U123" s="119"/>
      <c r="V123" s="30"/>
      <c r="W123" s="220"/>
      <c r="X123" s="220"/>
      <c r="Y123" s="220"/>
      <c r="Z123" s="220"/>
      <c r="AA123" s="220"/>
      <c r="AB123" s="220"/>
      <c r="AC123" s="220"/>
      <c r="AD123" s="220"/>
      <c r="AE123" s="220"/>
      <c r="AF123" s="220"/>
      <c r="AG123" s="220"/>
      <c r="AH123" s="220"/>
      <c r="AI123" s="220"/>
      <c r="AJ123" s="220"/>
      <c r="AK123" s="220"/>
      <c r="AL123" s="220"/>
      <c r="AM123" s="220"/>
      <c r="AN123" s="220"/>
      <c r="AO123" s="220"/>
    </row>
    <row r="124" ht="13.5" customHeight="1">
      <c r="A124" s="111">
        <f t="shared" si="7"/>
        <v>124</v>
      </c>
      <c r="B124" s="226"/>
      <c r="C124" s="226"/>
      <c r="D124" s="226"/>
      <c r="E124" s="352"/>
      <c r="F124" s="352"/>
      <c r="G124" s="269"/>
      <c r="H124" s="269"/>
      <c r="I124" s="269"/>
      <c r="J124" s="269"/>
      <c r="K124" s="269"/>
      <c r="L124" s="269"/>
      <c r="M124" s="269"/>
      <c r="N124" s="269"/>
      <c r="O124" s="269"/>
      <c r="P124" s="269"/>
      <c r="Q124" s="269"/>
      <c r="R124" s="269"/>
      <c r="S124" s="30"/>
      <c r="T124" s="30"/>
      <c r="U124" s="119"/>
      <c r="V124" s="30"/>
      <c r="W124" s="220"/>
      <c r="X124" s="220"/>
      <c r="Y124" s="220"/>
      <c r="Z124" s="220"/>
      <c r="AA124" s="220"/>
      <c r="AB124" s="220"/>
      <c r="AC124" s="220"/>
      <c r="AD124" s="220"/>
      <c r="AE124" s="220"/>
      <c r="AF124" s="220"/>
      <c r="AG124" s="220"/>
      <c r="AH124" s="220"/>
      <c r="AI124" s="220"/>
      <c r="AJ124" s="220"/>
      <c r="AK124" s="220"/>
      <c r="AL124" s="220"/>
      <c r="AM124" s="220"/>
      <c r="AN124" s="220"/>
      <c r="AO124" s="220"/>
    </row>
    <row r="125" ht="13.5" customHeight="1">
      <c r="A125" s="111">
        <f t="shared" si="7"/>
        <v>125</v>
      </c>
      <c r="B125" s="95" t="s">
        <v>338</v>
      </c>
      <c r="C125" s="95"/>
      <c r="D125" s="95"/>
      <c r="E125" s="353">
        <f t="shared" ref="E125:R125" si="81">SUM(E123,E121)</f>
        <v>0</v>
      </c>
      <c r="F125" s="354">
        <f t="shared" si="81"/>
        <v>2065290</v>
      </c>
      <c r="G125" s="354">
        <f t="shared" si="81"/>
        <v>2065290</v>
      </c>
      <c r="H125" s="354">
        <f t="shared" si="81"/>
        <v>2065290</v>
      </c>
      <c r="I125" s="354">
        <f t="shared" si="81"/>
        <v>2065290</v>
      </c>
      <c r="J125" s="354">
        <f t="shared" si="81"/>
        <v>2065290</v>
      </c>
      <c r="K125" s="354">
        <f t="shared" si="81"/>
        <v>2065290</v>
      </c>
      <c r="L125" s="354">
        <f t="shared" si="81"/>
        <v>2065290</v>
      </c>
      <c r="M125" s="354">
        <f t="shared" si="81"/>
        <v>2065290</v>
      </c>
      <c r="N125" s="354">
        <f t="shared" si="81"/>
        <v>2065290</v>
      </c>
      <c r="O125" s="354">
        <f t="shared" si="81"/>
        <v>2065290</v>
      </c>
      <c r="P125" s="354">
        <f t="shared" si="81"/>
        <v>2065290</v>
      </c>
      <c r="Q125" s="354">
        <f t="shared" si="81"/>
        <v>2065290</v>
      </c>
      <c r="R125" s="354">
        <f t="shared" si="81"/>
        <v>2065290</v>
      </c>
      <c r="S125" s="30"/>
      <c r="T125" s="30"/>
      <c r="U125" s="119"/>
      <c r="V125" s="30"/>
      <c r="W125" s="220"/>
      <c r="X125" s="220"/>
      <c r="Y125" s="220"/>
      <c r="Z125" s="220"/>
      <c r="AA125" s="220"/>
      <c r="AB125" s="220"/>
      <c r="AC125" s="220"/>
      <c r="AD125" s="220"/>
      <c r="AE125" s="220"/>
      <c r="AF125" s="220"/>
      <c r="AG125" s="220"/>
      <c r="AH125" s="220"/>
      <c r="AI125" s="220"/>
      <c r="AJ125" s="220"/>
      <c r="AK125" s="220"/>
      <c r="AL125" s="220"/>
      <c r="AM125" s="220"/>
      <c r="AN125" s="220"/>
      <c r="AO125" s="220"/>
    </row>
    <row r="126" ht="13.5" customHeight="1">
      <c r="A126" s="111">
        <f t="shared" si="7"/>
        <v>126</v>
      </c>
      <c r="B126" s="30"/>
      <c r="C126" s="30"/>
      <c r="D126" s="30"/>
      <c r="E126" s="30"/>
      <c r="F126" s="30"/>
      <c r="G126" s="30"/>
      <c r="H126" s="30"/>
      <c r="I126" s="30"/>
      <c r="J126" s="30"/>
      <c r="K126" s="30"/>
      <c r="L126" s="30"/>
      <c r="M126" s="30"/>
      <c r="N126" s="30"/>
      <c r="O126" s="30"/>
      <c r="P126" s="30"/>
      <c r="Q126" s="30"/>
      <c r="R126" s="30"/>
      <c r="S126" s="30"/>
      <c r="T126" s="30"/>
      <c r="U126" s="119"/>
      <c r="V126" s="30"/>
      <c r="W126" s="220"/>
      <c r="X126" s="220"/>
      <c r="Y126" s="220"/>
      <c r="Z126" s="220"/>
      <c r="AA126" s="220"/>
      <c r="AB126" s="220"/>
      <c r="AC126" s="220"/>
      <c r="AD126" s="220"/>
      <c r="AE126" s="220"/>
      <c r="AF126" s="220"/>
      <c r="AG126" s="220"/>
      <c r="AH126" s="220"/>
      <c r="AI126" s="220"/>
      <c r="AJ126" s="220"/>
      <c r="AK126" s="220"/>
      <c r="AL126" s="220"/>
      <c r="AM126" s="220"/>
      <c r="AN126" s="220"/>
      <c r="AO126" s="220"/>
    </row>
    <row r="127" ht="13.5" customHeight="1">
      <c r="A127" s="111">
        <f t="shared" si="7"/>
        <v>127</v>
      </c>
      <c r="B127" s="30" t="s">
        <v>339</v>
      </c>
      <c r="C127" s="30"/>
      <c r="D127" s="30"/>
      <c r="E127" s="30"/>
      <c r="F127" s="355">
        <f t="shared" ref="F127:R127" si="82">IFERROR(#REF!/F39,0)</f>
        <v>0</v>
      </c>
      <c r="G127" s="355">
        <f t="shared" si="82"/>
        <v>0</v>
      </c>
      <c r="H127" s="355">
        <f t="shared" si="82"/>
        <v>0</v>
      </c>
      <c r="I127" s="355">
        <f t="shared" si="82"/>
        <v>0</v>
      </c>
      <c r="J127" s="355">
        <f t="shared" si="82"/>
        <v>0</v>
      </c>
      <c r="K127" s="355">
        <f t="shared" si="82"/>
        <v>0</v>
      </c>
      <c r="L127" s="355">
        <f t="shared" si="82"/>
        <v>0</v>
      </c>
      <c r="M127" s="355">
        <f t="shared" si="82"/>
        <v>0</v>
      </c>
      <c r="N127" s="355">
        <f t="shared" si="82"/>
        <v>0</v>
      </c>
      <c r="O127" s="355">
        <f t="shared" si="82"/>
        <v>0</v>
      </c>
      <c r="P127" s="355">
        <f t="shared" si="82"/>
        <v>0</v>
      </c>
      <c r="Q127" s="355">
        <f t="shared" si="82"/>
        <v>0</v>
      </c>
      <c r="R127" s="355">
        <f t="shared" si="82"/>
        <v>0</v>
      </c>
      <c r="S127" s="30"/>
      <c r="T127" s="30"/>
      <c r="U127" s="119"/>
      <c r="V127" s="30"/>
      <c r="W127" s="220"/>
      <c r="X127" s="220"/>
      <c r="Y127" s="220"/>
      <c r="Z127" s="220"/>
      <c r="AA127" s="220"/>
      <c r="AB127" s="220"/>
      <c r="AC127" s="220"/>
      <c r="AD127" s="220"/>
      <c r="AE127" s="220"/>
      <c r="AF127" s="220"/>
      <c r="AG127" s="220"/>
      <c r="AH127" s="220"/>
      <c r="AI127" s="220"/>
      <c r="AJ127" s="220"/>
      <c r="AK127" s="220"/>
      <c r="AL127" s="220"/>
      <c r="AM127" s="220"/>
      <c r="AN127" s="220"/>
      <c r="AO127" s="220"/>
    </row>
    <row r="128" ht="13.5" customHeight="1">
      <c r="A128" s="111">
        <f t="shared" si="7"/>
        <v>128</v>
      </c>
      <c r="B128" s="356" t="s">
        <v>340</v>
      </c>
      <c r="C128" s="30"/>
      <c r="D128" s="30"/>
      <c r="E128" s="30"/>
      <c r="F128" s="220">
        <f>Statistics!$G$21</f>
        <v>50</v>
      </c>
      <c r="G128" s="220">
        <f>Statistics!$G$21</f>
        <v>50</v>
      </c>
      <c r="H128" s="220">
        <f>Statistics!$G$21</f>
        <v>50</v>
      </c>
      <c r="I128" s="220">
        <f>Statistics!$G$21</f>
        <v>50</v>
      </c>
      <c r="J128" s="220">
        <f>Statistics!$G$21</f>
        <v>50</v>
      </c>
      <c r="K128" s="220">
        <f>Statistics!$G$21</f>
        <v>50</v>
      </c>
      <c r="L128" s="220">
        <f>Statistics!$G$21</f>
        <v>50</v>
      </c>
      <c r="M128" s="220">
        <f>Statistics!$G$21</f>
        <v>50</v>
      </c>
      <c r="N128" s="220">
        <f>Statistics!$G$21</f>
        <v>50</v>
      </c>
      <c r="O128" s="220">
        <f>Statistics!$G$21</f>
        <v>50</v>
      </c>
      <c r="P128" s="220">
        <f>Statistics!$G$21</f>
        <v>50</v>
      </c>
      <c r="Q128" s="220">
        <f>Statistics!$G$21</f>
        <v>50</v>
      </c>
      <c r="R128" s="220">
        <f>Statistics!$G$21</f>
        <v>50</v>
      </c>
      <c r="S128" s="30"/>
      <c r="T128" s="30"/>
      <c r="U128" s="119"/>
      <c r="V128" s="30"/>
      <c r="W128" s="220"/>
      <c r="X128" s="220"/>
      <c r="Y128" s="220"/>
      <c r="Z128" s="220"/>
      <c r="AA128" s="220"/>
      <c r="AB128" s="220"/>
      <c r="AC128" s="220"/>
      <c r="AD128" s="220"/>
      <c r="AE128" s="220"/>
      <c r="AF128" s="220"/>
      <c r="AG128" s="220"/>
      <c r="AH128" s="220"/>
      <c r="AI128" s="220"/>
      <c r="AJ128" s="220"/>
      <c r="AK128" s="220"/>
      <c r="AL128" s="220"/>
      <c r="AM128" s="220"/>
      <c r="AN128" s="220"/>
      <c r="AO128" s="220"/>
    </row>
    <row r="129" ht="13.5" customHeight="1">
      <c r="A129" s="111">
        <f t="shared" si="7"/>
        <v>129</v>
      </c>
      <c r="B129" s="30" t="s">
        <v>341</v>
      </c>
      <c r="C129" s="30"/>
      <c r="D129" s="30"/>
      <c r="E129" s="30"/>
      <c r="F129" s="140">
        <f>IFERROR(#REF!/Statistics!$H$21,0)</f>
        <v>0</v>
      </c>
      <c r="G129" s="140">
        <f>IFERROR(#REF!/Statistics!$H$21,0)</f>
        <v>0</v>
      </c>
      <c r="H129" s="140">
        <f>IFERROR(#REF!/Statistics!$H$21,0)</f>
        <v>0</v>
      </c>
      <c r="I129" s="140">
        <f>IFERROR(#REF!/Statistics!$H$21,0)</f>
        <v>0</v>
      </c>
      <c r="J129" s="140">
        <f>IFERROR(#REF!/Statistics!$H$21,0)</f>
        <v>0</v>
      </c>
      <c r="K129" s="140">
        <f>IFERROR(#REF!/Statistics!$H$21,0)</f>
        <v>0</v>
      </c>
      <c r="L129" s="140">
        <f>IFERROR(#REF!/Statistics!$H$21,0)</f>
        <v>0</v>
      </c>
      <c r="M129" s="140">
        <f>IFERROR(#REF!/Statistics!$H$21,0)</f>
        <v>0</v>
      </c>
      <c r="N129" s="140">
        <f>IFERROR(#REF!/Statistics!$H$21,0)</f>
        <v>0</v>
      </c>
      <c r="O129" s="140">
        <f>IFERROR(#REF!/Statistics!$H$21,0)</f>
        <v>0</v>
      </c>
      <c r="P129" s="140">
        <f>IFERROR(#REF!/Statistics!$H$21,0)</f>
        <v>0</v>
      </c>
      <c r="Q129" s="140">
        <f>IFERROR(#REF!/Statistics!$H$21,0)</f>
        <v>0</v>
      </c>
      <c r="R129" s="140">
        <f>IFERROR(#REF!/Statistics!$H$21,0)</f>
        <v>0</v>
      </c>
      <c r="S129" s="30"/>
      <c r="T129" s="30"/>
      <c r="U129" s="119"/>
      <c r="V129" s="30"/>
      <c r="W129" s="220"/>
      <c r="X129" s="220"/>
      <c r="Y129" s="220"/>
      <c r="Z129" s="220"/>
      <c r="AA129" s="220"/>
      <c r="AB129" s="220"/>
      <c r="AC129" s="220"/>
      <c r="AD129" s="220"/>
      <c r="AE129" s="220"/>
      <c r="AF129" s="220"/>
      <c r="AG129" s="220"/>
      <c r="AH129" s="220"/>
      <c r="AI129" s="220"/>
      <c r="AJ129" s="220"/>
      <c r="AK129" s="220"/>
      <c r="AL129" s="220"/>
      <c r="AM129" s="220"/>
      <c r="AN129" s="220"/>
      <c r="AO129" s="220"/>
    </row>
    <row r="130" ht="13.5" customHeight="1">
      <c r="A130" s="111">
        <f t="shared" si="7"/>
        <v>130</v>
      </c>
      <c r="B130" s="30" t="s">
        <v>342</v>
      </c>
      <c r="C130" s="30"/>
      <c r="D130" s="30"/>
      <c r="E130" s="30"/>
      <c r="F130" s="140">
        <f>IFERROR(F39/Statistics!$H$21,0)</f>
        <v>7296.223925</v>
      </c>
      <c r="G130" s="140">
        <f>IFERROR(G39/Statistics!$H$21,0)</f>
        <v>7296.223332</v>
      </c>
      <c r="H130" s="140">
        <f>IFERROR(H39/Statistics!$H$21,0)</f>
        <v>7296.223332</v>
      </c>
      <c r="I130" s="140">
        <f>IFERROR(I39/Statistics!$H$21,0)</f>
        <v>7296.223332</v>
      </c>
      <c r="J130" s="140">
        <f>IFERROR(J39/Statistics!$H$21,0)</f>
        <v>7296.223332</v>
      </c>
      <c r="K130" s="140">
        <f>IFERROR(K39/Statistics!$H$21,0)</f>
        <v>7296.223332</v>
      </c>
      <c r="L130" s="140">
        <f>IFERROR(L39/Statistics!$H$21,0)</f>
        <v>7296.223332</v>
      </c>
      <c r="M130" s="140">
        <f>IFERROR(M39/Statistics!$H$21,0)</f>
        <v>7296.223332</v>
      </c>
      <c r="N130" s="140">
        <f>IFERROR(N39/Statistics!$H$21,0)</f>
        <v>7296.223332</v>
      </c>
      <c r="O130" s="140">
        <f>IFERROR(O39/Statistics!$H$21,0)</f>
        <v>7296.223332</v>
      </c>
      <c r="P130" s="140">
        <f>IFERROR(P39/Statistics!$H$21,0)</f>
        <v>7296.223332</v>
      </c>
      <c r="Q130" s="140">
        <f>IFERROR(Q39/Statistics!$H$21,0)</f>
        <v>7296.223332</v>
      </c>
      <c r="R130" s="140">
        <f>IFERROR(R39/Statistics!$H$21,0)</f>
        <v>0</v>
      </c>
      <c r="S130" s="30"/>
      <c r="T130" s="30"/>
      <c r="U130" s="119"/>
      <c r="V130" s="30"/>
      <c r="W130" s="220"/>
      <c r="X130" s="220"/>
      <c r="Y130" s="220"/>
      <c r="Z130" s="220"/>
      <c r="AA130" s="220"/>
      <c r="AB130" s="220"/>
      <c r="AC130" s="220"/>
      <c r="AD130" s="220"/>
      <c r="AE130" s="220"/>
      <c r="AF130" s="220"/>
      <c r="AG130" s="220"/>
      <c r="AH130" s="220"/>
      <c r="AI130" s="220"/>
      <c r="AJ130" s="220"/>
      <c r="AK130" s="220"/>
      <c r="AL130" s="220"/>
      <c r="AM130" s="220"/>
      <c r="AN130" s="220"/>
      <c r="AO130" s="22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row>
    <row r="132" ht="13.5" customHeight="1">
      <c r="A132" s="67"/>
      <c r="B132" s="67"/>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row>
  </sheetData>
  <conditionalFormatting sqref="D1">
    <cfRule type="expression" dxfId="2" priority="1" stopIfTrue="1">
      <formula>MOD(ROW(),2)=0</formula>
    </cfRule>
  </conditionalFormatting>
  <conditionalFormatting sqref="E63:E66">
    <cfRule type="cellIs" dxfId="3" priority="2" stopIfTrue="1" operator="equal">
      <formula>0</formula>
    </cfRule>
  </conditionalFormatting>
  <conditionalFormatting sqref="E65:R65">
    <cfRule type="cellIs" dxfId="3" priority="3" stopIfTrue="1" operator="equal">
      <formula>0</formula>
    </cfRule>
  </conditionalFormatting>
  <conditionalFormatting sqref="E67:R68">
    <cfRule type="cellIs" dxfId="3" priority="4" stopIfTrue="1" operator="equal">
      <formula>0</formula>
    </cfRule>
  </conditionalFormatting>
  <conditionalFormatting sqref="E75:R91">
    <cfRule type="cellIs" dxfId="3" priority="5" stopIfTrue="1" operator="equal">
      <formula>0</formula>
    </cfRule>
  </conditionalFormatting>
  <conditionalFormatting sqref="E97:R118">
    <cfRule type="cellIs" dxfId="3" priority="6" stopIfTrue="1" operator="equal">
      <formula>0</formula>
    </cfRule>
  </conditionalFormatting>
  <conditionalFormatting sqref="E121:R125">
    <cfRule type="cellIs" dxfId="3" priority="7" stopIfTrue="1" operator="equal">
      <formula>0</formula>
    </cfRule>
  </conditionalFormatting>
  <conditionalFormatting sqref="F127:R130">
    <cfRule type="cellIs" dxfId="3" priority="8" stopIfTrue="1" operator="equal">
      <formula>0</formula>
    </cfRule>
  </conditionalFormatting>
  <printOptions/>
  <pageMargins bottom="0.45" footer="0.0" header="0.0" left="0.25" right="0.25" top="0.5"/>
  <pageSetup paperSize="5" orientation="landscape"/>
  <headerFooter>
    <oddHeader>&amp;L &amp;C &amp;R </oddHeader>
    <oddFooter>&amp;L&amp;D  at &amp;T Mike 702.486.8879&amp;C&amp;F  &amp;A&amp;RPage &amp;P of </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5.0"/>
    <col customWidth="1" min="2" max="2" width="32.43"/>
    <col customWidth="1" min="3" max="3" width="16.71"/>
    <col customWidth="1" hidden="1" min="4" max="4" width="3.29"/>
    <col customWidth="1" hidden="1" min="5" max="5" width="8.71"/>
    <col customWidth="1" min="6" max="6" width="12.43"/>
    <col customWidth="1" min="7" max="7" width="12.0"/>
    <col customWidth="1" min="8" max="8" width="12.43"/>
    <col customWidth="1" min="9" max="9" width="12.29"/>
    <col customWidth="1" min="10" max="10" width="13.71"/>
    <col customWidth="1" min="11" max="12" width="14.29"/>
    <col customWidth="1" min="13" max="26" width="8.71"/>
  </cols>
  <sheetData>
    <row r="1" ht="12.75" customHeight="1">
      <c r="A1" s="217" t="s">
        <v>343</v>
      </c>
      <c r="B1" s="93"/>
      <c r="C1" s="69" t="s">
        <v>3</v>
      </c>
      <c r="D1" s="94"/>
      <c r="E1" s="357"/>
      <c r="F1" s="30"/>
      <c r="G1" s="30"/>
      <c r="H1" s="30"/>
      <c r="I1" s="30"/>
      <c r="J1" s="30"/>
      <c r="K1" s="95"/>
      <c r="L1" s="69"/>
      <c r="M1" s="357"/>
      <c r="N1" s="357"/>
      <c r="O1" s="357"/>
      <c r="P1" s="357"/>
      <c r="Q1" s="357"/>
      <c r="R1" s="357"/>
      <c r="S1" s="357"/>
      <c r="T1" s="357"/>
      <c r="U1" s="357"/>
      <c r="V1" s="357"/>
      <c r="W1" s="357"/>
      <c r="X1" s="357"/>
      <c r="Y1" s="357"/>
      <c r="Z1" s="357"/>
    </row>
    <row r="2" ht="12.75" customHeight="1">
      <c r="A2" s="96" t="s">
        <v>344</v>
      </c>
      <c r="B2" s="97"/>
      <c r="C2" s="63"/>
      <c r="D2" s="63"/>
      <c r="E2" s="30"/>
      <c r="F2" s="30"/>
      <c r="G2" s="63"/>
      <c r="H2" s="30"/>
      <c r="I2" s="30"/>
      <c r="J2" s="30"/>
      <c r="K2" s="30"/>
      <c r="L2" s="30"/>
      <c r="M2" s="357"/>
      <c r="N2" s="357"/>
      <c r="O2" s="357"/>
      <c r="P2" s="357"/>
      <c r="Q2" s="357"/>
      <c r="R2" s="357"/>
      <c r="S2" s="357"/>
      <c r="T2" s="357"/>
      <c r="U2" s="357"/>
      <c r="V2" s="357"/>
      <c r="W2" s="357"/>
      <c r="X2" s="357"/>
      <c r="Y2" s="357"/>
      <c r="Z2" s="357"/>
    </row>
    <row r="3" ht="12.75" customHeight="1">
      <c r="A3" s="95" t="s">
        <v>2</v>
      </c>
      <c r="B3" s="30"/>
      <c r="C3" s="30"/>
      <c r="D3" s="30"/>
      <c r="E3" s="30"/>
      <c r="F3" s="30"/>
      <c r="G3" s="30"/>
      <c r="H3" s="30"/>
      <c r="I3" s="30"/>
      <c r="J3" s="30"/>
      <c r="K3" s="30"/>
      <c r="L3" s="30"/>
      <c r="M3" s="357"/>
      <c r="N3" s="357"/>
      <c r="O3" s="357"/>
      <c r="P3" s="357"/>
      <c r="Q3" s="357"/>
      <c r="R3" s="357"/>
      <c r="S3" s="357"/>
      <c r="T3" s="357"/>
      <c r="U3" s="357"/>
      <c r="V3" s="357"/>
      <c r="W3" s="357"/>
      <c r="X3" s="357"/>
      <c r="Y3" s="357"/>
      <c r="Z3" s="357"/>
    </row>
    <row r="4" ht="12.75" customHeight="1">
      <c r="A4" s="98" t="s">
        <v>345</v>
      </c>
      <c r="B4" s="30"/>
      <c r="C4" s="30"/>
      <c r="D4" s="30"/>
      <c r="E4" s="30"/>
      <c r="F4" s="30"/>
      <c r="G4" s="30"/>
      <c r="H4" s="30"/>
      <c r="I4" s="30"/>
      <c r="J4" s="30"/>
      <c r="K4" s="30"/>
      <c r="L4" s="30"/>
      <c r="M4" s="357"/>
      <c r="N4" s="357"/>
      <c r="O4" s="357"/>
      <c r="P4" s="357"/>
      <c r="Q4" s="357"/>
      <c r="R4" s="357"/>
      <c r="S4" s="357"/>
      <c r="T4" s="357"/>
      <c r="U4" s="357"/>
      <c r="V4" s="357"/>
      <c r="W4" s="357"/>
      <c r="X4" s="357"/>
      <c r="Y4" s="357"/>
      <c r="Z4" s="357"/>
    </row>
    <row r="5" ht="12.75" customHeight="1">
      <c r="A5" s="30"/>
      <c r="B5" s="30"/>
      <c r="C5" s="30"/>
      <c r="D5" s="30"/>
      <c r="E5" s="30"/>
      <c r="F5" s="30"/>
      <c r="G5" s="30"/>
      <c r="H5" s="30"/>
      <c r="I5" s="30"/>
      <c r="J5" s="30"/>
      <c r="K5" s="30"/>
      <c r="L5" s="30"/>
      <c r="M5" s="357"/>
      <c r="N5" s="357"/>
      <c r="O5" s="357"/>
      <c r="P5" s="357"/>
      <c r="Q5" s="357"/>
      <c r="R5" s="357"/>
      <c r="S5" s="357"/>
      <c r="T5" s="357"/>
      <c r="U5" s="357"/>
      <c r="V5" s="357"/>
      <c r="W5" s="357"/>
      <c r="X5" s="357"/>
      <c r="Y5" s="357"/>
      <c r="Z5" s="357"/>
    </row>
    <row r="6" ht="12.75" customHeight="1">
      <c r="A6" s="30"/>
      <c r="B6" s="63"/>
      <c r="C6" s="99"/>
      <c r="D6" s="99"/>
      <c r="E6" s="99"/>
      <c r="F6" s="358" t="s">
        <v>346</v>
      </c>
      <c r="G6" s="101">
        <v>1.0</v>
      </c>
      <c r="H6" s="101">
        <v>2.0</v>
      </c>
      <c r="I6" s="101">
        <v>3.0</v>
      </c>
      <c r="J6" s="101">
        <v>4.0</v>
      </c>
      <c r="K6" s="101">
        <v>5.0</v>
      </c>
      <c r="L6" s="102">
        <v>6.0</v>
      </c>
      <c r="M6" s="5"/>
      <c r="N6" s="5"/>
      <c r="O6" s="5"/>
      <c r="P6" s="5"/>
      <c r="Q6" s="357"/>
      <c r="R6" s="357"/>
      <c r="S6" s="357"/>
      <c r="T6" s="357"/>
      <c r="U6" s="357"/>
      <c r="V6" s="357"/>
      <c r="W6" s="357"/>
      <c r="X6" s="357"/>
      <c r="Y6" s="357"/>
      <c r="Z6" s="357"/>
    </row>
    <row r="7" ht="12.75" customHeight="1">
      <c r="A7" s="30"/>
      <c r="B7" s="63"/>
      <c r="C7" s="99" t="s">
        <v>151</v>
      </c>
      <c r="D7" s="99"/>
      <c r="E7" s="99"/>
      <c r="F7" s="359">
        <f>+Summary!F7</f>
        <v>2024</v>
      </c>
      <c r="G7" s="105">
        <f>+Summary!G7</f>
        <v>2025</v>
      </c>
      <c r="H7" s="105">
        <f>+Summary!H7</f>
        <v>2026</v>
      </c>
      <c r="I7" s="105">
        <f>+Summary!I7</f>
        <v>2027</v>
      </c>
      <c r="J7" s="105">
        <f>+Summary!J7</f>
        <v>2028</v>
      </c>
      <c r="K7" s="105">
        <f>+Summary!K7</f>
        <v>2029</v>
      </c>
      <c r="L7" s="106">
        <f>+Summary!L7</f>
        <v>2030</v>
      </c>
      <c r="M7" s="5"/>
      <c r="N7" s="5"/>
      <c r="O7" s="5"/>
      <c r="P7" s="5"/>
      <c r="Q7" s="357"/>
      <c r="R7" s="357"/>
      <c r="S7" s="357"/>
      <c r="T7" s="357"/>
      <c r="U7" s="357"/>
      <c r="V7" s="357"/>
      <c r="W7" s="357"/>
      <c r="X7" s="357"/>
      <c r="Y7" s="357"/>
      <c r="Z7" s="357"/>
    </row>
    <row r="8" ht="12.75" customHeight="1">
      <c r="A8" s="30"/>
      <c r="B8" s="36"/>
      <c r="C8" s="81"/>
      <c r="D8" s="81"/>
      <c r="E8" s="360"/>
      <c r="F8" s="361">
        <f>+Summary!F8</f>
        <v>2025</v>
      </c>
      <c r="G8" s="108">
        <f>+Summary!G8</f>
        <v>2026</v>
      </c>
      <c r="H8" s="108">
        <f>+Summary!H8</f>
        <v>2027</v>
      </c>
      <c r="I8" s="108">
        <f>+Summary!I8</f>
        <v>2028</v>
      </c>
      <c r="J8" s="108">
        <f>+Summary!J8</f>
        <v>2029</v>
      </c>
      <c r="K8" s="108">
        <f>+Summary!K8</f>
        <v>2030</v>
      </c>
      <c r="L8" s="109">
        <f>+Summary!L8</f>
        <v>2031</v>
      </c>
      <c r="M8" s="5"/>
      <c r="N8" s="5"/>
      <c r="O8" s="5"/>
      <c r="P8" s="5"/>
      <c r="Q8" s="357"/>
      <c r="R8" s="357"/>
      <c r="S8" s="357"/>
      <c r="T8" s="357"/>
      <c r="U8" s="357"/>
      <c r="V8" s="357"/>
      <c r="W8" s="357"/>
      <c r="X8" s="357"/>
      <c r="Y8" s="357"/>
      <c r="Z8" s="357"/>
    </row>
    <row r="9" ht="12.75" customHeight="1">
      <c r="A9" s="111">
        <f t="shared" ref="A9:A126" si="1">ROW()</f>
        <v>9</v>
      </c>
      <c r="B9" s="112" t="s">
        <v>347</v>
      </c>
      <c r="C9" s="362">
        <v>800.0</v>
      </c>
      <c r="D9" s="114"/>
      <c r="E9" s="99"/>
      <c r="F9" s="363">
        <v>610.0</v>
      </c>
      <c r="G9" s="363">
        <v>610.0</v>
      </c>
      <c r="H9" s="363">
        <v>610.0</v>
      </c>
      <c r="I9" s="363">
        <v>650.0</v>
      </c>
      <c r="J9" s="363">
        <v>650.0</v>
      </c>
      <c r="K9" s="363">
        <v>650.0</v>
      </c>
      <c r="L9" s="363">
        <v>700.0</v>
      </c>
      <c r="M9" s="5"/>
      <c r="N9" s="5"/>
      <c r="O9" s="5"/>
      <c r="P9" s="5"/>
      <c r="Q9" s="357"/>
      <c r="R9" s="357"/>
      <c r="S9" s="357"/>
      <c r="T9" s="357"/>
      <c r="U9" s="357"/>
      <c r="V9" s="357"/>
      <c r="W9" s="357"/>
      <c r="X9" s="357"/>
      <c r="Y9" s="357"/>
      <c r="Z9" s="357"/>
    </row>
    <row r="10" ht="12.75" customHeight="1">
      <c r="A10" s="111">
        <f t="shared" si="1"/>
        <v>10</v>
      </c>
      <c r="B10" s="117" t="s">
        <v>155</v>
      </c>
      <c r="C10" s="362">
        <v>50.0</v>
      </c>
      <c r="D10" s="114"/>
      <c r="E10" s="99"/>
      <c r="F10" s="364">
        <v>47.0</v>
      </c>
      <c r="G10" s="364">
        <v>47.0</v>
      </c>
      <c r="H10" s="364">
        <v>47.0</v>
      </c>
      <c r="I10" s="364">
        <v>50.0</v>
      </c>
      <c r="J10" s="364">
        <v>50.0</v>
      </c>
      <c r="K10" s="364">
        <v>50.0</v>
      </c>
      <c r="L10" s="364">
        <v>52.0</v>
      </c>
      <c r="M10" s="5"/>
      <c r="N10" s="5"/>
      <c r="O10" s="5"/>
      <c r="P10" s="5"/>
      <c r="Q10" s="357"/>
      <c r="R10" s="357"/>
      <c r="S10" s="357"/>
      <c r="T10" s="357"/>
      <c r="U10" s="357"/>
      <c r="V10" s="357"/>
      <c r="W10" s="357"/>
      <c r="X10" s="357"/>
      <c r="Y10" s="357"/>
      <c r="Z10" s="357"/>
    </row>
    <row r="11" ht="12.75" customHeight="1">
      <c r="A11" s="111">
        <f t="shared" si="1"/>
        <v>11</v>
      </c>
      <c r="B11" s="117" t="s">
        <v>156</v>
      </c>
      <c r="C11" s="113"/>
      <c r="D11" s="114"/>
      <c r="E11" s="99"/>
      <c r="F11" s="115">
        <f>Facilities!F93</f>
        <v>58401</v>
      </c>
      <c r="G11" s="365">
        <v>58401.0</v>
      </c>
      <c r="H11" s="365">
        <v>58401.0</v>
      </c>
      <c r="I11" s="365">
        <v>58401.0</v>
      </c>
      <c r="J11" s="365">
        <v>58401.0</v>
      </c>
      <c r="K11" s="365">
        <v>58401.0</v>
      </c>
      <c r="L11" s="365">
        <v>58401.0</v>
      </c>
      <c r="M11" s="5"/>
      <c r="N11" s="5"/>
      <c r="O11" s="5"/>
      <c r="P11" s="5"/>
      <c r="Q11" s="357"/>
      <c r="R11" s="357"/>
      <c r="S11" s="357"/>
      <c r="T11" s="357"/>
      <c r="U11" s="357"/>
      <c r="V11" s="357"/>
      <c r="W11" s="357"/>
      <c r="X11" s="357"/>
      <c r="Y11" s="357"/>
      <c r="Z11" s="357"/>
    </row>
    <row r="12" ht="12.75" customHeight="1">
      <c r="A12" s="111">
        <f t="shared" si="1"/>
        <v>12</v>
      </c>
      <c r="B12" s="117" t="s">
        <v>348</v>
      </c>
      <c r="C12" s="113"/>
      <c r="D12" s="114"/>
      <c r="E12" s="99"/>
      <c r="F12" s="366">
        <f t="shared" ref="F12:L12" si="2">IFERROR(F11/F9,0)</f>
        <v>95.73934426</v>
      </c>
      <c r="G12" s="367">
        <f t="shared" si="2"/>
        <v>95.73934426</v>
      </c>
      <c r="H12" s="367">
        <f t="shared" si="2"/>
        <v>95.73934426</v>
      </c>
      <c r="I12" s="367">
        <f t="shared" si="2"/>
        <v>89.84769231</v>
      </c>
      <c r="J12" s="367">
        <f t="shared" si="2"/>
        <v>89.84769231</v>
      </c>
      <c r="K12" s="367">
        <f t="shared" si="2"/>
        <v>89.84769231</v>
      </c>
      <c r="L12" s="367">
        <f t="shared" si="2"/>
        <v>83.43</v>
      </c>
      <c r="M12" s="5"/>
      <c r="N12" s="5"/>
      <c r="O12" s="5"/>
      <c r="P12" s="5"/>
      <c r="Q12" s="357"/>
      <c r="R12" s="357"/>
      <c r="S12" s="357"/>
      <c r="T12" s="357"/>
      <c r="U12" s="357"/>
      <c r="V12" s="357"/>
      <c r="W12" s="357"/>
      <c r="X12" s="357"/>
      <c r="Y12" s="357"/>
      <c r="Z12" s="357"/>
    </row>
    <row r="13" ht="12.75" customHeight="1">
      <c r="A13" s="111">
        <f t="shared" si="1"/>
        <v>13</v>
      </c>
      <c r="B13" s="164"/>
      <c r="C13" s="165"/>
      <c r="D13" s="165"/>
      <c r="E13" s="165"/>
      <c r="F13" s="198"/>
      <c r="G13" s="198"/>
      <c r="H13" s="198"/>
      <c r="I13" s="198"/>
      <c r="J13" s="198"/>
      <c r="K13" s="198"/>
      <c r="L13" s="198"/>
      <c r="M13" s="5"/>
      <c r="N13" s="5"/>
      <c r="O13" s="5"/>
      <c r="P13" s="5"/>
      <c r="Q13" s="357"/>
      <c r="R13" s="357"/>
      <c r="S13" s="357"/>
      <c r="T13" s="357"/>
      <c r="U13" s="357"/>
      <c r="V13" s="357"/>
      <c r="W13" s="357"/>
      <c r="X13" s="357"/>
      <c r="Y13" s="357"/>
      <c r="Z13" s="357"/>
    </row>
    <row r="14" ht="12.75" customHeight="1">
      <c r="A14" s="111">
        <f t="shared" si="1"/>
        <v>14</v>
      </c>
      <c r="B14" s="368" t="s">
        <v>349</v>
      </c>
      <c r="C14" s="369"/>
      <c r="D14" s="369"/>
      <c r="E14" s="369"/>
      <c r="F14" s="370">
        <f>Summary!F6</f>
        <v>0</v>
      </c>
      <c r="G14" s="370">
        <f>Summary!G6</f>
        <v>1</v>
      </c>
      <c r="H14" s="370">
        <f>Summary!H6</f>
        <v>2</v>
      </c>
      <c r="I14" s="370">
        <f>Summary!I6</f>
        <v>3</v>
      </c>
      <c r="J14" s="370">
        <f>Summary!J6</f>
        <v>4</v>
      </c>
      <c r="K14" s="370">
        <f>Summary!K6</f>
        <v>5</v>
      </c>
      <c r="L14" s="370">
        <f>Summary!L6</f>
        <v>6</v>
      </c>
      <c r="M14" s="357"/>
      <c r="N14" s="357"/>
      <c r="O14" s="357"/>
      <c r="P14" s="357"/>
      <c r="Q14" s="357"/>
      <c r="R14" s="357"/>
      <c r="S14" s="357"/>
      <c r="T14" s="357"/>
      <c r="U14" s="357"/>
      <c r="V14" s="357"/>
      <c r="W14" s="357"/>
      <c r="X14" s="357"/>
      <c r="Y14" s="357"/>
      <c r="Z14" s="357"/>
    </row>
    <row r="15" ht="12.75" customHeight="1">
      <c r="A15" s="111">
        <f t="shared" si="1"/>
        <v>15</v>
      </c>
      <c r="B15" s="371" t="s">
        <v>350</v>
      </c>
      <c r="C15" s="371"/>
      <c r="D15" s="371"/>
      <c r="E15" s="371"/>
      <c r="F15" s="372"/>
      <c r="G15" s="373">
        <f>IFERROR(+Summary!G55/G43,0)</f>
        <v>22.24141049</v>
      </c>
      <c r="H15" s="373">
        <f>IFERROR(+Summary!H55/H43,0)</f>
        <v>22.6702413</v>
      </c>
      <c r="I15" s="373">
        <f>IFERROR(+Summary!I55/I43,0)</f>
        <v>40.32377172</v>
      </c>
      <c r="J15" s="373">
        <f>IFERROR(+Summary!J55/J43,0)</f>
        <v>35.42882019</v>
      </c>
      <c r="K15" s="373">
        <f>IFERROR(+Summary!K55/K43,0)</f>
        <v>27.59270124</v>
      </c>
      <c r="L15" s="373">
        <f>IFERROR(+Summary!L55/L43,0)</f>
        <v>23.8766786</v>
      </c>
      <c r="M15" s="357"/>
      <c r="N15" s="357"/>
      <c r="O15" s="357"/>
      <c r="P15" s="357"/>
      <c r="Q15" s="357"/>
      <c r="R15" s="357"/>
      <c r="S15" s="357"/>
      <c r="T15" s="357"/>
      <c r="U15" s="357"/>
      <c r="V15" s="357"/>
      <c r="W15" s="357"/>
      <c r="X15" s="357"/>
      <c r="Y15" s="357"/>
      <c r="Z15" s="357"/>
    </row>
    <row r="16" ht="12.75" customHeight="1">
      <c r="A16" s="111">
        <f t="shared" si="1"/>
        <v>16</v>
      </c>
      <c r="B16" s="30" t="s">
        <v>351</v>
      </c>
      <c r="C16" s="30"/>
      <c r="D16" s="30"/>
      <c r="E16" s="30"/>
      <c r="F16" s="374"/>
      <c r="G16" s="375">
        <f t="shared" ref="G16:L16" si="3">IFERROR(+G15/G20,0)</f>
        <v>0.03519210521</v>
      </c>
      <c r="H16" s="375">
        <f t="shared" si="3"/>
        <v>0.03514766093</v>
      </c>
      <c r="I16" s="375">
        <f t="shared" si="3"/>
        <v>0.06045542987</v>
      </c>
      <c r="J16" s="375">
        <f t="shared" si="3"/>
        <v>0.05264312063</v>
      </c>
      <c r="K16" s="375">
        <f t="shared" si="3"/>
        <v>0.04081760538</v>
      </c>
      <c r="L16" s="375">
        <f t="shared" si="3"/>
        <v>0.03485646511</v>
      </c>
      <c r="M16" s="357"/>
      <c r="N16" s="357"/>
      <c r="O16" s="357"/>
      <c r="P16" s="357"/>
      <c r="Q16" s="357"/>
      <c r="R16" s="357"/>
      <c r="S16" s="357"/>
      <c r="T16" s="357"/>
      <c r="U16" s="357"/>
      <c r="V16" s="357"/>
      <c r="W16" s="357"/>
      <c r="X16" s="357"/>
      <c r="Y16" s="357"/>
      <c r="Z16" s="357"/>
    </row>
    <row r="17" ht="12.75" customHeight="1">
      <c r="A17" s="111">
        <f t="shared" si="1"/>
        <v>17</v>
      </c>
      <c r="B17" s="371" t="s">
        <v>352</v>
      </c>
      <c r="C17" s="376"/>
      <c r="D17" s="376"/>
      <c r="E17" s="376"/>
      <c r="F17" s="377">
        <f>Summary!F55+E17</f>
        <v>26180.0113</v>
      </c>
      <c r="G17" s="377">
        <f>Summary!G55+F17</f>
        <v>265208.9426</v>
      </c>
      <c r="H17" s="377">
        <f>+G17+Summary!H55</f>
        <v>508338.3442</v>
      </c>
      <c r="I17" s="377">
        <f>H17+Summary!I55</f>
        <v>939950.0273</v>
      </c>
      <c r="J17" s="377">
        <f>I17+Summary!J55</f>
        <v>1318830.247</v>
      </c>
      <c r="K17" s="377">
        <f>J17+Summary!K55</f>
        <v>1614188.495</v>
      </c>
      <c r="L17" s="377">
        <f>K17+Summary!L55</f>
        <v>1869434.156</v>
      </c>
      <c r="M17" s="357"/>
      <c r="N17" s="357"/>
      <c r="O17" s="357"/>
      <c r="P17" s="357"/>
      <c r="Q17" s="357"/>
      <c r="R17" s="357"/>
      <c r="S17" s="357"/>
      <c r="T17" s="357"/>
      <c r="U17" s="357"/>
      <c r="V17" s="357"/>
      <c r="W17" s="357"/>
      <c r="X17" s="357"/>
      <c r="Y17" s="357"/>
      <c r="Z17" s="357"/>
    </row>
    <row r="18" ht="12.75" customHeight="1">
      <c r="A18" s="111">
        <f t="shared" si="1"/>
        <v>18</v>
      </c>
      <c r="B18" s="30" t="s">
        <v>353</v>
      </c>
      <c r="C18" s="204"/>
      <c r="D18" s="204"/>
      <c r="E18" s="204"/>
      <c r="F18" s="378"/>
      <c r="G18" s="379">
        <f>IFERROR(+G17/Summary!G52,0)</f>
        <v>0.0404708283</v>
      </c>
      <c r="H18" s="379">
        <f>IFERROR(+H17/Summary!H52,0)</f>
        <v>0.0761642137</v>
      </c>
      <c r="I18" s="379">
        <f>IFERROR(+I17/Summary!I52,0)</f>
        <v>0.1401294765</v>
      </c>
      <c r="J18" s="379">
        <f>IFERROR(+J17/Summary!J52,0)</f>
        <v>0.1934260574</v>
      </c>
      <c r="K18" s="379">
        <f>IFERROR(+K17/Summary!K52,0)</f>
        <v>0.2325688083</v>
      </c>
      <c r="L18" s="379">
        <f>IFERROR(+L17/Summary!L52,0)</f>
        <v>0.2645106978</v>
      </c>
      <c r="M18" s="357"/>
      <c r="N18" s="357"/>
      <c r="O18" s="357"/>
      <c r="P18" s="357"/>
      <c r="Q18" s="357"/>
      <c r="R18" s="357"/>
      <c r="S18" s="357"/>
      <c r="T18" s="357"/>
      <c r="U18" s="357"/>
      <c r="V18" s="357"/>
      <c r="W18" s="357"/>
      <c r="X18" s="357"/>
      <c r="Y18" s="357"/>
      <c r="Z18" s="357"/>
    </row>
    <row r="19" ht="12.75" customHeight="1">
      <c r="A19" s="111">
        <f t="shared" si="1"/>
        <v>19</v>
      </c>
      <c r="B19" s="30"/>
      <c r="C19" s="30"/>
      <c r="D19" s="30"/>
      <c r="E19" s="30"/>
      <c r="F19" s="211"/>
      <c r="G19" s="211"/>
      <c r="H19" s="211"/>
      <c r="I19" s="211"/>
      <c r="J19" s="211"/>
      <c r="K19" s="211"/>
      <c r="L19" s="211"/>
      <c r="M19" s="357"/>
      <c r="N19" s="357"/>
      <c r="O19" s="357"/>
      <c r="P19" s="357"/>
      <c r="Q19" s="357"/>
      <c r="R19" s="357"/>
      <c r="S19" s="357"/>
      <c r="T19" s="357"/>
      <c r="U19" s="357"/>
      <c r="V19" s="357"/>
      <c r="W19" s="357"/>
      <c r="X19" s="357"/>
      <c r="Y19" s="357"/>
      <c r="Z19" s="357"/>
    </row>
    <row r="20" ht="12.75" customHeight="1">
      <c r="A20" s="111">
        <f t="shared" si="1"/>
        <v>20</v>
      </c>
      <c r="B20" s="380" t="s">
        <v>347</v>
      </c>
      <c r="C20" s="381">
        <f t="shared" ref="C20:C22" si="4">MAX(F20:L20)</f>
        <v>685</v>
      </c>
      <c r="D20" s="382"/>
      <c r="E20" s="383"/>
      <c r="F20" s="384">
        <f>' Enrol &amp; Rev'!F36</f>
        <v>607</v>
      </c>
      <c r="G20" s="384">
        <f>' Enrol &amp; Rev'!G36</f>
        <v>632</v>
      </c>
      <c r="H20" s="384">
        <f>' Enrol &amp; Rev'!H36</f>
        <v>645</v>
      </c>
      <c r="I20" s="384">
        <f>' Enrol &amp; Rev'!I36</f>
        <v>667</v>
      </c>
      <c r="J20" s="384">
        <f>' Enrol &amp; Rev'!J36</f>
        <v>673</v>
      </c>
      <c r="K20" s="384">
        <f>' Enrol &amp; Rev'!K36</f>
        <v>676</v>
      </c>
      <c r="L20" s="384">
        <f>' Enrol &amp; Rev'!L36</f>
        <v>685</v>
      </c>
      <c r="M20" s="357"/>
      <c r="N20" s="357"/>
      <c r="O20" s="357"/>
      <c r="P20" s="357"/>
      <c r="Q20" s="357"/>
      <c r="R20" s="357"/>
      <c r="S20" s="357"/>
      <c r="T20" s="357"/>
      <c r="U20" s="357"/>
      <c r="V20" s="357"/>
      <c r="W20" s="357"/>
      <c r="X20" s="357"/>
      <c r="Y20" s="357"/>
      <c r="Z20" s="357"/>
    </row>
    <row r="21" ht="12.75" customHeight="1">
      <c r="A21" s="111">
        <f t="shared" si="1"/>
        <v>21</v>
      </c>
      <c r="B21" s="385" t="s">
        <v>155</v>
      </c>
      <c r="C21" s="386">
        <f t="shared" si="4"/>
        <v>50</v>
      </c>
      <c r="D21" s="387"/>
      <c r="E21" s="388"/>
      <c r="F21" s="389">
        <f>Staff!G27</f>
        <v>49.5</v>
      </c>
      <c r="G21" s="389">
        <f>Staff!H27</f>
        <v>50</v>
      </c>
      <c r="H21" s="389">
        <f>Staff!I27</f>
        <v>50</v>
      </c>
      <c r="I21" s="389">
        <f>Staff!J27</f>
        <v>49</v>
      </c>
      <c r="J21" s="389">
        <f>Staff!K27</f>
        <v>49</v>
      </c>
      <c r="K21" s="389">
        <f>Staff!L27</f>
        <v>49</v>
      </c>
      <c r="L21" s="389">
        <f>Staff!M27</f>
        <v>49</v>
      </c>
      <c r="M21" s="357"/>
      <c r="N21" s="357"/>
      <c r="O21" s="357"/>
      <c r="P21" s="357"/>
      <c r="Q21" s="357"/>
      <c r="R21" s="357"/>
      <c r="S21" s="357"/>
      <c r="T21" s="357"/>
      <c r="U21" s="357"/>
      <c r="V21" s="357"/>
      <c r="W21" s="357"/>
      <c r="X21" s="357"/>
      <c r="Y21" s="357"/>
      <c r="Z21" s="357"/>
    </row>
    <row r="22" ht="12.75" customHeight="1">
      <c r="A22" s="111">
        <f t="shared" si="1"/>
        <v>22</v>
      </c>
      <c r="B22" s="112" t="s">
        <v>354</v>
      </c>
      <c r="C22" s="390">
        <f t="shared" si="4"/>
        <v>734</v>
      </c>
      <c r="D22" s="382"/>
      <c r="E22" s="383"/>
      <c r="F22" s="384">
        <f t="shared" ref="F22:L22" si="5">SUM(F20:F21)</f>
        <v>656.5</v>
      </c>
      <c r="G22" s="384">
        <f t="shared" si="5"/>
        <v>682</v>
      </c>
      <c r="H22" s="384">
        <f t="shared" si="5"/>
        <v>695</v>
      </c>
      <c r="I22" s="384">
        <f t="shared" si="5"/>
        <v>716</v>
      </c>
      <c r="J22" s="384">
        <f t="shared" si="5"/>
        <v>722</v>
      </c>
      <c r="K22" s="384">
        <f t="shared" si="5"/>
        <v>725</v>
      </c>
      <c r="L22" s="384">
        <f t="shared" si="5"/>
        <v>734</v>
      </c>
      <c r="M22" s="357"/>
      <c r="N22" s="357"/>
      <c r="O22" s="357"/>
      <c r="P22" s="357"/>
      <c r="Q22" s="357"/>
      <c r="R22" s="357"/>
      <c r="S22" s="357"/>
      <c r="T22" s="357"/>
      <c r="U22" s="357"/>
      <c r="V22" s="357"/>
      <c r="W22" s="357"/>
      <c r="X22" s="357"/>
      <c r="Y22" s="357"/>
      <c r="Z22" s="357"/>
    </row>
    <row r="23" ht="12.75" customHeight="1">
      <c r="A23" s="111">
        <f t="shared" si="1"/>
        <v>23</v>
      </c>
      <c r="B23" s="391" t="s">
        <v>355</v>
      </c>
      <c r="C23" s="390"/>
      <c r="D23" s="131"/>
      <c r="E23" s="388"/>
      <c r="F23" s="115"/>
      <c r="G23" s="115"/>
      <c r="H23" s="379">
        <f t="shared" ref="H23:L23" si="6">IFERROR(+H20/G20-1,0)</f>
        <v>0.02056962025</v>
      </c>
      <c r="I23" s="379">
        <f t="shared" si="6"/>
        <v>0.03410852713</v>
      </c>
      <c r="J23" s="379">
        <f t="shared" si="6"/>
        <v>0.008995502249</v>
      </c>
      <c r="K23" s="379">
        <f t="shared" si="6"/>
        <v>0.004457652303</v>
      </c>
      <c r="L23" s="379">
        <f t="shared" si="6"/>
        <v>0.01331360947</v>
      </c>
      <c r="M23" s="357"/>
      <c r="N23" s="357"/>
      <c r="O23" s="357"/>
      <c r="P23" s="357"/>
      <c r="Q23" s="357"/>
      <c r="R23" s="357"/>
      <c r="S23" s="357"/>
      <c r="T23" s="357"/>
      <c r="U23" s="357"/>
      <c r="V23" s="357"/>
      <c r="W23" s="357"/>
      <c r="X23" s="357"/>
      <c r="Y23" s="357"/>
      <c r="Z23" s="357"/>
    </row>
    <row r="24" ht="12.75" customHeight="1">
      <c r="A24" s="111">
        <f t="shared" si="1"/>
        <v>24</v>
      </c>
      <c r="B24" s="117" t="s">
        <v>356</v>
      </c>
      <c r="C24" s="390">
        <f t="shared" ref="C24:C26" si="7">MAX(F24:L24)</f>
        <v>2</v>
      </c>
      <c r="D24" s="387"/>
      <c r="E24" s="388"/>
      <c r="F24" s="115">
        <f>+Staff!G106</f>
        <v>2</v>
      </c>
      <c r="G24" s="115">
        <f>+Staff!H106</f>
        <v>2</v>
      </c>
      <c r="H24" s="115">
        <f>+Staff!I106</f>
        <v>2</v>
      </c>
      <c r="I24" s="115">
        <f>+Staff!J106</f>
        <v>2</v>
      </c>
      <c r="J24" s="115">
        <f>+Staff!K106</f>
        <v>2</v>
      </c>
      <c r="K24" s="115">
        <f>+Staff!L106</f>
        <v>2</v>
      </c>
      <c r="L24" s="115">
        <f>+Staff!M106</f>
        <v>2</v>
      </c>
      <c r="M24" s="357"/>
      <c r="N24" s="357"/>
      <c r="O24" s="357"/>
      <c r="P24" s="357"/>
      <c r="Q24" s="357"/>
      <c r="R24" s="357"/>
      <c r="S24" s="357"/>
      <c r="T24" s="357"/>
      <c r="U24" s="357"/>
      <c r="V24" s="357"/>
      <c r="W24" s="357"/>
      <c r="X24" s="357"/>
      <c r="Y24" s="357"/>
      <c r="Z24" s="357"/>
    </row>
    <row r="25" ht="12.75" customHeight="1">
      <c r="A25" s="111">
        <f t="shared" si="1"/>
        <v>25</v>
      </c>
      <c r="B25" s="117" t="s">
        <v>357</v>
      </c>
      <c r="C25" s="390">
        <f t="shared" si="7"/>
        <v>1</v>
      </c>
      <c r="D25" s="387"/>
      <c r="E25" s="388"/>
      <c r="F25" s="115">
        <f>+Staff!G120</f>
        <v>1</v>
      </c>
      <c r="G25" s="115">
        <f>+Staff!H120</f>
        <v>1</v>
      </c>
      <c r="H25" s="115">
        <f>+Staff!I120</f>
        <v>1</v>
      </c>
      <c r="I25" s="115">
        <f>+Staff!J120</f>
        <v>1</v>
      </c>
      <c r="J25" s="115">
        <f>+Staff!K120</f>
        <v>1</v>
      </c>
      <c r="K25" s="115">
        <f>+Staff!L120</f>
        <v>1</v>
      </c>
      <c r="L25" s="115">
        <f>+Staff!M120</f>
        <v>1</v>
      </c>
      <c r="M25" s="357"/>
      <c r="N25" s="357"/>
      <c r="O25" s="357"/>
      <c r="P25" s="357"/>
      <c r="Q25" s="357"/>
      <c r="R25" s="357"/>
      <c r="S25" s="357"/>
      <c r="T25" s="357"/>
      <c r="U25" s="357"/>
      <c r="V25" s="357"/>
      <c r="W25" s="357"/>
      <c r="X25" s="357"/>
      <c r="Y25" s="357"/>
      <c r="Z25" s="357"/>
    </row>
    <row r="26" ht="12.75" customHeight="1">
      <c r="A26" s="111">
        <f t="shared" si="1"/>
        <v>26</v>
      </c>
      <c r="B26" s="117" t="s">
        <v>358</v>
      </c>
      <c r="C26" s="390">
        <f t="shared" si="7"/>
        <v>31</v>
      </c>
      <c r="D26" s="387"/>
      <c r="E26" s="388"/>
      <c r="F26" s="115">
        <f>+Staff!G238</f>
        <v>30.5</v>
      </c>
      <c r="G26" s="115">
        <f>+Staff!H238</f>
        <v>31</v>
      </c>
      <c r="H26" s="115">
        <f>+Staff!I238</f>
        <v>31</v>
      </c>
      <c r="I26" s="115">
        <f>+Staff!J238</f>
        <v>30</v>
      </c>
      <c r="J26" s="115">
        <f>+Staff!K238</f>
        <v>30</v>
      </c>
      <c r="K26" s="115">
        <f>+Staff!L238</f>
        <v>30</v>
      </c>
      <c r="L26" s="115">
        <f>+Staff!M238</f>
        <v>30</v>
      </c>
      <c r="M26" s="357"/>
      <c r="N26" s="357"/>
      <c r="O26" s="357"/>
      <c r="P26" s="357"/>
      <c r="Q26" s="357"/>
      <c r="R26" s="357"/>
      <c r="S26" s="357"/>
      <c r="T26" s="357"/>
      <c r="U26" s="357"/>
      <c r="V26" s="357"/>
      <c r="W26" s="357"/>
      <c r="X26" s="357"/>
      <c r="Y26" s="357"/>
      <c r="Z26" s="357"/>
    </row>
    <row r="27" ht="12.75" customHeight="1">
      <c r="A27" s="111">
        <f t="shared" si="1"/>
        <v>27</v>
      </c>
      <c r="B27" s="392" t="s">
        <v>359</v>
      </c>
      <c r="C27" s="393">
        <f t="shared" ref="C27:C35" si="9">MAX(G27:L27)</f>
        <v>34</v>
      </c>
      <c r="D27" s="382"/>
      <c r="E27" s="394"/>
      <c r="F27" s="384">
        <f t="shared" ref="F27:L27" si="8">SUM(F24:F26)</f>
        <v>33.5</v>
      </c>
      <c r="G27" s="384">
        <f t="shared" si="8"/>
        <v>34</v>
      </c>
      <c r="H27" s="384">
        <f t="shared" si="8"/>
        <v>34</v>
      </c>
      <c r="I27" s="384">
        <f t="shared" si="8"/>
        <v>33</v>
      </c>
      <c r="J27" s="384">
        <f t="shared" si="8"/>
        <v>33</v>
      </c>
      <c r="K27" s="384">
        <f t="shared" si="8"/>
        <v>33</v>
      </c>
      <c r="L27" s="384">
        <f t="shared" si="8"/>
        <v>33</v>
      </c>
      <c r="M27" s="357"/>
      <c r="N27" s="357"/>
      <c r="O27" s="357"/>
      <c r="P27" s="357"/>
      <c r="Q27" s="357"/>
      <c r="R27" s="357"/>
      <c r="S27" s="357"/>
      <c r="T27" s="357"/>
      <c r="U27" s="357"/>
      <c r="V27" s="357"/>
      <c r="W27" s="357"/>
      <c r="X27" s="357"/>
      <c r="Y27" s="357"/>
      <c r="Z27" s="357"/>
    </row>
    <row r="28" ht="12.75" customHeight="1">
      <c r="A28" s="111">
        <f t="shared" si="1"/>
        <v>28</v>
      </c>
      <c r="B28" s="380" t="s">
        <v>360</v>
      </c>
      <c r="C28" s="390">
        <f t="shared" si="9"/>
        <v>20.75757576</v>
      </c>
      <c r="D28" s="382"/>
      <c r="E28" s="383"/>
      <c r="F28" s="372">
        <f t="shared" ref="F28:L28" si="10">IFERROR(+F20/F27,0)</f>
        <v>18.11940299</v>
      </c>
      <c r="G28" s="372">
        <f t="shared" si="10"/>
        <v>18.58823529</v>
      </c>
      <c r="H28" s="372">
        <f t="shared" si="10"/>
        <v>18.97058824</v>
      </c>
      <c r="I28" s="372">
        <f t="shared" si="10"/>
        <v>20.21212121</v>
      </c>
      <c r="J28" s="372">
        <f t="shared" si="10"/>
        <v>20.39393939</v>
      </c>
      <c r="K28" s="372">
        <f t="shared" si="10"/>
        <v>20.48484848</v>
      </c>
      <c r="L28" s="372">
        <f t="shared" si="10"/>
        <v>20.75757576</v>
      </c>
      <c r="M28" s="357"/>
      <c r="N28" s="357"/>
      <c r="O28" s="357"/>
      <c r="P28" s="357"/>
      <c r="Q28" s="357"/>
      <c r="R28" s="357"/>
      <c r="S28" s="357"/>
      <c r="T28" s="357"/>
      <c r="U28" s="357"/>
      <c r="V28" s="357"/>
      <c r="W28" s="357"/>
      <c r="X28" s="357"/>
      <c r="Y28" s="357"/>
      <c r="Z28" s="357"/>
    </row>
    <row r="29" ht="12.75" customHeight="1">
      <c r="A29" s="111">
        <f t="shared" si="1"/>
        <v>29</v>
      </c>
      <c r="B29" s="385" t="s">
        <v>361</v>
      </c>
      <c r="C29" s="390">
        <f t="shared" si="9"/>
        <v>0</v>
      </c>
      <c r="D29" s="131"/>
      <c r="E29" s="388"/>
      <c r="F29" s="395">
        <f>' Enrol &amp; Rev'!F21</f>
        <v>0</v>
      </c>
      <c r="G29" s="395">
        <f>' Enrol &amp; Rev'!G21</f>
        <v>0</v>
      </c>
      <c r="H29" s="395">
        <f>' Enrol &amp; Rev'!H21</f>
        <v>0</v>
      </c>
      <c r="I29" s="395">
        <f>' Enrol &amp; Rev'!I21</f>
        <v>0</v>
      </c>
      <c r="J29" s="395">
        <f>' Enrol &amp; Rev'!J21</f>
        <v>0</v>
      </c>
      <c r="K29" s="395">
        <f>' Enrol &amp; Rev'!K21</f>
        <v>0</v>
      </c>
      <c r="L29" s="395">
        <f>' Enrol &amp; Rev'!L21</f>
        <v>0</v>
      </c>
      <c r="M29" s="357"/>
      <c r="N29" s="357"/>
      <c r="O29" s="357"/>
      <c r="P29" s="357"/>
      <c r="Q29" s="357"/>
      <c r="R29" s="357"/>
      <c r="S29" s="357"/>
      <c r="T29" s="357"/>
      <c r="U29" s="357"/>
      <c r="V29" s="357"/>
      <c r="W29" s="357"/>
      <c r="X29" s="357"/>
      <c r="Y29" s="357"/>
      <c r="Z29" s="357"/>
    </row>
    <row r="30" ht="12.75" customHeight="1">
      <c r="A30" s="111">
        <f t="shared" si="1"/>
        <v>30</v>
      </c>
      <c r="B30" s="117" t="s">
        <v>362</v>
      </c>
      <c r="C30" s="390">
        <f t="shared" si="9"/>
        <v>3</v>
      </c>
      <c r="D30" s="387"/>
      <c r="E30" s="388"/>
      <c r="F30" s="115">
        <f>+Staff!G86</f>
        <v>3</v>
      </c>
      <c r="G30" s="115">
        <f>+Staff!H86</f>
        <v>3</v>
      </c>
      <c r="H30" s="115">
        <f>+Staff!I86</f>
        <v>3</v>
      </c>
      <c r="I30" s="115">
        <f>+Staff!J86</f>
        <v>3</v>
      </c>
      <c r="J30" s="115">
        <f>+Staff!K86</f>
        <v>3</v>
      </c>
      <c r="K30" s="115">
        <f>+Staff!L86</f>
        <v>3</v>
      </c>
      <c r="L30" s="115">
        <f>+Staff!M86</f>
        <v>3</v>
      </c>
      <c r="M30" s="357"/>
      <c r="N30" s="357"/>
      <c r="O30" s="357"/>
      <c r="P30" s="357"/>
      <c r="Q30" s="357"/>
      <c r="R30" s="357"/>
      <c r="S30" s="357"/>
      <c r="T30" s="357"/>
      <c r="U30" s="357"/>
      <c r="V30" s="357"/>
      <c r="W30" s="357"/>
      <c r="X30" s="357"/>
      <c r="Y30" s="357"/>
      <c r="Z30" s="357"/>
    </row>
    <row r="31" ht="12.75" customHeight="1">
      <c r="A31" s="111">
        <f t="shared" si="1"/>
        <v>31</v>
      </c>
      <c r="B31" s="112" t="s">
        <v>363</v>
      </c>
      <c r="C31" s="381">
        <f t="shared" si="9"/>
        <v>228.3333333</v>
      </c>
      <c r="D31" s="382"/>
      <c r="E31" s="383"/>
      <c r="F31" s="384">
        <f>IFERROR(F20/F30,0)</f>
        <v>202.3333333</v>
      </c>
      <c r="G31" s="384">
        <f t="shared" ref="G31:L31" si="11">IFERROR(+G20/G30,0)</f>
        <v>210.6666667</v>
      </c>
      <c r="H31" s="384">
        <f t="shared" si="11"/>
        <v>215</v>
      </c>
      <c r="I31" s="384">
        <f t="shared" si="11"/>
        <v>222.3333333</v>
      </c>
      <c r="J31" s="384">
        <f t="shared" si="11"/>
        <v>224.3333333</v>
      </c>
      <c r="K31" s="384">
        <f t="shared" si="11"/>
        <v>225.3333333</v>
      </c>
      <c r="L31" s="384">
        <f t="shared" si="11"/>
        <v>228.3333333</v>
      </c>
      <c r="M31" s="357"/>
      <c r="N31" s="357"/>
      <c r="O31" s="357"/>
      <c r="P31" s="357"/>
      <c r="Q31" s="357"/>
      <c r="R31" s="357"/>
      <c r="S31" s="357"/>
      <c r="T31" s="357"/>
      <c r="U31" s="357"/>
      <c r="V31" s="357"/>
      <c r="W31" s="357"/>
      <c r="X31" s="357"/>
      <c r="Y31" s="357"/>
      <c r="Z31" s="357"/>
    </row>
    <row r="32" ht="12.75" customHeight="1">
      <c r="A32" s="111">
        <f t="shared" si="1"/>
        <v>32</v>
      </c>
      <c r="B32" s="117" t="s">
        <v>364</v>
      </c>
      <c r="C32" s="390">
        <f t="shared" si="9"/>
        <v>11.33333333</v>
      </c>
      <c r="D32" s="387"/>
      <c r="E32" s="388"/>
      <c r="F32" s="115">
        <f>IFERROR(F27/F30,0)</f>
        <v>11.16666667</v>
      </c>
      <c r="G32" s="115">
        <f t="shared" ref="G32:L32" si="12">IFERROR(+G27/G30,0)</f>
        <v>11.33333333</v>
      </c>
      <c r="H32" s="115">
        <f t="shared" si="12"/>
        <v>11.33333333</v>
      </c>
      <c r="I32" s="115">
        <f t="shared" si="12"/>
        <v>11</v>
      </c>
      <c r="J32" s="115">
        <f t="shared" si="12"/>
        <v>11</v>
      </c>
      <c r="K32" s="115">
        <f t="shared" si="12"/>
        <v>11</v>
      </c>
      <c r="L32" s="115">
        <f t="shared" si="12"/>
        <v>11</v>
      </c>
      <c r="M32" s="357"/>
      <c r="N32" s="357"/>
      <c r="O32" s="357"/>
      <c r="P32" s="357"/>
      <c r="Q32" s="357"/>
      <c r="R32" s="357"/>
      <c r="S32" s="357"/>
      <c r="T32" s="357"/>
      <c r="U32" s="357"/>
      <c r="V32" s="357"/>
      <c r="W32" s="357"/>
      <c r="X32" s="357"/>
      <c r="Y32" s="357"/>
      <c r="Z32" s="357"/>
    </row>
    <row r="33" ht="12.75" customHeight="1">
      <c r="A33" s="111">
        <f t="shared" si="1"/>
        <v>33</v>
      </c>
      <c r="B33" s="117" t="s">
        <v>365</v>
      </c>
      <c r="C33" s="386">
        <f t="shared" si="9"/>
        <v>7</v>
      </c>
      <c r="D33" s="387"/>
      <c r="E33" s="388"/>
      <c r="F33" s="115">
        <f>+Staff!G94</f>
        <v>7</v>
      </c>
      <c r="G33" s="115">
        <f>+Staff!H94</f>
        <v>7</v>
      </c>
      <c r="H33" s="115">
        <f>+Staff!I94</f>
        <v>7</v>
      </c>
      <c r="I33" s="115">
        <f>+Staff!J94</f>
        <v>7</v>
      </c>
      <c r="J33" s="115">
        <f>+Staff!K94</f>
        <v>7</v>
      </c>
      <c r="K33" s="115">
        <f>+Staff!L94</f>
        <v>7</v>
      </c>
      <c r="L33" s="115">
        <f>+Staff!M94</f>
        <v>7</v>
      </c>
      <c r="M33" s="357"/>
      <c r="N33" s="357"/>
      <c r="O33" s="357"/>
      <c r="P33" s="357"/>
      <c r="Q33" s="357"/>
      <c r="R33" s="357"/>
      <c r="S33" s="357"/>
      <c r="T33" s="357"/>
      <c r="U33" s="357"/>
      <c r="V33" s="357"/>
      <c r="W33" s="357"/>
      <c r="X33" s="357"/>
      <c r="Y33" s="357"/>
      <c r="Z33" s="357"/>
    </row>
    <row r="34" ht="12.75" customHeight="1">
      <c r="A34" s="111">
        <f t="shared" si="1"/>
        <v>34</v>
      </c>
      <c r="B34" s="112" t="s">
        <v>366</v>
      </c>
      <c r="C34" s="390">
        <f t="shared" si="9"/>
        <v>97.85714286</v>
      </c>
      <c r="D34" s="382"/>
      <c r="E34" s="383"/>
      <c r="F34" s="384">
        <f t="shared" ref="F34:L34" si="13">IFERROR(+F20/F33,0)</f>
        <v>86.71428571</v>
      </c>
      <c r="G34" s="384">
        <f t="shared" si="13"/>
        <v>90.28571429</v>
      </c>
      <c r="H34" s="384">
        <f t="shared" si="13"/>
        <v>92.14285714</v>
      </c>
      <c r="I34" s="384">
        <f t="shared" si="13"/>
        <v>95.28571429</v>
      </c>
      <c r="J34" s="384">
        <f t="shared" si="13"/>
        <v>96.14285714</v>
      </c>
      <c r="K34" s="384">
        <f t="shared" si="13"/>
        <v>96.57142857</v>
      </c>
      <c r="L34" s="384">
        <f t="shared" si="13"/>
        <v>97.85714286</v>
      </c>
      <c r="M34" s="357"/>
      <c r="N34" s="357"/>
      <c r="O34" s="357"/>
      <c r="P34" s="357"/>
      <c r="Q34" s="357"/>
      <c r="R34" s="357"/>
      <c r="S34" s="357"/>
      <c r="T34" s="357"/>
      <c r="U34" s="357"/>
      <c r="V34" s="357"/>
      <c r="W34" s="357"/>
      <c r="X34" s="357"/>
      <c r="Y34" s="357"/>
      <c r="Z34" s="357"/>
    </row>
    <row r="35" ht="12.75" customHeight="1">
      <c r="A35" s="111">
        <f t="shared" si="1"/>
        <v>35</v>
      </c>
      <c r="B35" s="117" t="s">
        <v>367</v>
      </c>
      <c r="C35" s="390">
        <f t="shared" si="9"/>
        <v>4.857142857</v>
      </c>
      <c r="D35" s="387"/>
      <c r="E35" s="388"/>
      <c r="F35" s="395">
        <f t="shared" ref="F35:L35" si="14">IFERROR(+F27/F33,0)</f>
        <v>4.785714286</v>
      </c>
      <c r="G35" s="115">
        <f t="shared" si="14"/>
        <v>4.857142857</v>
      </c>
      <c r="H35" s="115">
        <f t="shared" si="14"/>
        <v>4.857142857</v>
      </c>
      <c r="I35" s="115">
        <f t="shared" si="14"/>
        <v>4.714285714</v>
      </c>
      <c r="J35" s="115">
        <f t="shared" si="14"/>
        <v>4.714285714</v>
      </c>
      <c r="K35" s="115">
        <f t="shared" si="14"/>
        <v>4.714285714</v>
      </c>
      <c r="L35" s="115">
        <f t="shared" si="14"/>
        <v>4.714285714</v>
      </c>
      <c r="M35" s="357"/>
      <c r="N35" s="357"/>
      <c r="O35" s="357"/>
      <c r="P35" s="357"/>
      <c r="Q35" s="357"/>
      <c r="R35" s="357"/>
      <c r="S35" s="357"/>
      <c r="T35" s="357"/>
      <c r="U35" s="357"/>
      <c r="V35" s="357"/>
      <c r="W35" s="357"/>
      <c r="X35" s="357"/>
      <c r="Y35" s="357"/>
      <c r="Z35" s="357"/>
    </row>
    <row r="36" ht="12.75" customHeight="1">
      <c r="A36" s="111">
        <f t="shared" si="1"/>
        <v>36</v>
      </c>
      <c r="B36" s="117" t="s">
        <v>368</v>
      </c>
      <c r="C36" s="396">
        <f t="shared" ref="C36:C41" si="15">AVERAGE(G36:L36)</f>
        <v>128193</v>
      </c>
      <c r="D36" s="396"/>
      <c r="E36" s="174"/>
      <c r="F36" s="142">
        <f>IFERROR(+Staff!G249/F30,0)</f>
        <v>128193</v>
      </c>
      <c r="G36" s="142">
        <f>IFERROR(+Staff!H249/G30,0)</f>
        <v>128193</v>
      </c>
      <c r="H36" s="142">
        <f>IFERROR(+Staff!I249/H30,0)</f>
        <v>128193</v>
      </c>
      <c r="I36" s="142">
        <f>IFERROR(+Staff!J249/I30,0)</f>
        <v>128193</v>
      </c>
      <c r="J36" s="142">
        <f>IFERROR(+Staff!K249/J30,0)</f>
        <v>128193</v>
      </c>
      <c r="K36" s="142">
        <f>IFERROR(+Staff!L249/K30,0)</f>
        <v>128193</v>
      </c>
      <c r="L36" s="142">
        <f>IFERROR(+Staff!M249/L30,0)</f>
        <v>128193</v>
      </c>
      <c r="M36" s="357"/>
      <c r="N36" s="357"/>
      <c r="O36" s="357"/>
      <c r="P36" s="357"/>
      <c r="Q36" s="357"/>
      <c r="R36" s="357"/>
      <c r="S36" s="357"/>
      <c r="T36" s="357"/>
      <c r="U36" s="357"/>
      <c r="V36" s="357"/>
      <c r="W36" s="357"/>
      <c r="X36" s="357"/>
      <c r="Y36" s="357"/>
      <c r="Z36" s="357"/>
    </row>
    <row r="37" ht="12.75" customHeight="1">
      <c r="A37" s="111">
        <f t="shared" si="1"/>
        <v>37</v>
      </c>
      <c r="B37" s="117" t="s">
        <v>369</v>
      </c>
      <c r="C37" s="396">
        <f t="shared" si="15"/>
        <v>32481.96</v>
      </c>
      <c r="D37" s="396"/>
      <c r="E37" s="388"/>
      <c r="F37" s="115">
        <f>IFERROR(+Staff!G256/F33,0)</f>
        <v>32481.96</v>
      </c>
      <c r="G37" s="115">
        <f>IFERROR(+Staff!H256/G33,0)</f>
        <v>32481.96</v>
      </c>
      <c r="H37" s="115">
        <f>IFERROR(+Staff!I256/H33,0)</f>
        <v>32481.96</v>
      </c>
      <c r="I37" s="115">
        <f>IFERROR(+Staff!J256/I33,0)</f>
        <v>32481.96</v>
      </c>
      <c r="J37" s="115">
        <f>IFERROR(+Staff!K256/J33,0)</f>
        <v>32481.96</v>
      </c>
      <c r="K37" s="115">
        <f>IFERROR(+Staff!L256/K33,0)</f>
        <v>32481.96</v>
      </c>
      <c r="L37" s="115">
        <f>IFERROR(+Staff!M256/L33,0)</f>
        <v>32481.96</v>
      </c>
      <c r="M37" s="357"/>
      <c r="N37" s="357"/>
      <c r="O37" s="357"/>
      <c r="P37" s="357"/>
      <c r="Q37" s="357"/>
      <c r="R37" s="357"/>
      <c r="S37" s="357"/>
      <c r="T37" s="357"/>
      <c r="U37" s="357"/>
      <c r="V37" s="357"/>
      <c r="W37" s="357"/>
      <c r="X37" s="357"/>
      <c r="Y37" s="357"/>
      <c r="Z37" s="357"/>
    </row>
    <row r="38" ht="12.75" customHeight="1">
      <c r="A38" s="111">
        <f t="shared" si="1"/>
        <v>38</v>
      </c>
      <c r="B38" s="117" t="s">
        <v>370</v>
      </c>
      <c r="C38" s="396">
        <f t="shared" si="15"/>
        <v>72206.5</v>
      </c>
      <c r="D38" s="396"/>
      <c r="E38" s="388"/>
      <c r="F38" s="115">
        <f>IFERROR(+Staff!G271/F24,0)</f>
        <v>72206.5</v>
      </c>
      <c r="G38" s="115">
        <f>IFERROR(+Staff!H271/G24,0)</f>
        <v>72206.5</v>
      </c>
      <c r="H38" s="115">
        <f>IFERROR(+Staff!I271/H24,0)</f>
        <v>72206.5</v>
      </c>
      <c r="I38" s="115">
        <f>IFERROR(+Staff!J271/I24,0)</f>
        <v>72206.5</v>
      </c>
      <c r="J38" s="115">
        <f>IFERROR(+Staff!K271/J24,0)</f>
        <v>72206.5</v>
      </c>
      <c r="K38" s="115">
        <f>IFERROR(+Staff!L271/K24,0)</f>
        <v>72206.5</v>
      </c>
      <c r="L38" s="115">
        <f>IFERROR(+Staff!M271/L24,0)</f>
        <v>72206.5</v>
      </c>
      <c r="M38" s="357"/>
      <c r="N38" s="357"/>
      <c r="O38" s="357"/>
      <c r="P38" s="357"/>
      <c r="Q38" s="357"/>
      <c r="R38" s="357"/>
      <c r="S38" s="357"/>
      <c r="T38" s="357"/>
      <c r="U38" s="357"/>
      <c r="V38" s="357"/>
      <c r="W38" s="357"/>
      <c r="X38" s="357"/>
      <c r="Y38" s="357"/>
      <c r="Z38" s="357"/>
    </row>
    <row r="39" ht="12.75" customHeight="1">
      <c r="A39" s="111">
        <f t="shared" si="1"/>
        <v>39</v>
      </c>
      <c r="B39" s="117" t="s">
        <v>371</v>
      </c>
      <c r="C39" s="396">
        <f t="shared" si="15"/>
        <v>58929</v>
      </c>
      <c r="D39" s="396"/>
      <c r="E39" s="388"/>
      <c r="F39" s="115">
        <f>IFERROR(Staff!G283/F25,0)</f>
        <v>58929</v>
      </c>
      <c r="G39" s="115">
        <f>IFERROR(Staff!H283/G25,0)</f>
        <v>58929</v>
      </c>
      <c r="H39" s="115">
        <f>IFERROR(Staff!I283/H25,0)</f>
        <v>58929</v>
      </c>
      <c r="I39" s="115">
        <f>IFERROR(Staff!J283/I25,0)</f>
        <v>58929</v>
      </c>
      <c r="J39" s="115">
        <f>IFERROR(Staff!K283/J25,0)</f>
        <v>58929</v>
      </c>
      <c r="K39" s="115">
        <f>IFERROR(Staff!L283/K25,0)</f>
        <v>58929</v>
      </c>
      <c r="L39" s="115">
        <f>IFERROR(Staff!M283/L25,0)</f>
        <v>58929</v>
      </c>
      <c r="M39" s="357"/>
      <c r="N39" s="357"/>
      <c r="O39" s="357"/>
      <c r="P39" s="357"/>
      <c r="Q39" s="357"/>
      <c r="R39" s="357"/>
      <c r="S39" s="357"/>
      <c r="T39" s="357"/>
      <c r="U39" s="357"/>
      <c r="V39" s="357"/>
      <c r="W39" s="357"/>
      <c r="X39" s="357"/>
      <c r="Y39" s="357"/>
      <c r="Z39" s="357"/>
    </row>
    <row r="40" ht="12.75" customHeight="1">
      <c r="A40" s="111">
        <f t="shared" si="1"/>
        <v>40</v>
      </c>
      <c r="B40" s="117" t="s">
        <v>372</v>
      </c>
      <c r="C40" s="396">
        <f t="shared" si="15"/>
        <v>60651.51254</v>
      </c>
      <c r="D40" s="396"/>
      <c r="E40" s="388"/>
      <c r="F40" s="115">
        <f>IFERROR(Staff!G394/F26,0)</f>
        <v>61103.93443</v>
      </c>
      <c r="G40" s="115">
        <f>IFERROR(Staff!H394/G26,0)</f>
        <v>60886.87097</v>
      </c>
      <c r="H40" s="115">
        <f>IFERROR(Staff!I394/H26,0)</f>
        <v>60886.87097</v>
      </c>
      <c r="I40" s="115">
        <f>IFERROR(Staff!J394/I26,0)</f>
        <v>60533.83333</v>
      </c>
      <c r="J40" s="115">
        <f>IFERROR(Staff!K394/J26,0)</f>
        <v>60533.83333</v>
      </c>
      <c r="K40" s="115">
        <f>IFERROR(Staff!L394/K26,0)</f>
        <v>60533.83333</v>
      </c>
      <c r="L40" s="115">
        <f>IFERROR(Staff!M394/L26,0)</f>
        <v>60533.83333</v>
      </c>
      <c r="M40" s="357"/>
      <c r="N40" s="357"/>
      <c r="O40" s="357"/>
      <c r="P40" s="357"/>
      <c r="Q40" s="357"/>
      <c r="R40" s="357"/>
      <c r="S40" s="357"/>
      <c r="T40" s="357"/>
      <c r="U40" s="357"/>
      <c r="V40" s="357"/>
      <c r="W40" s="357"/>
      <c r="X40" s="357"/>
      <c r="Y40" s="357"/>
      <c r="Z40" s="357"/>
    </row>
    <row r="41" ht="12.75" customHeight="1">
      <c r="A41" s="111">
        <f t="shared" si="1"/>
        <v>41</v>
      </c>
      <c r="B41" s="117" t="s">
        <v>373</v>
      </c>
      <c r="C41" s="396">
        <f t="shared" si="15"/>
        <v>0</v>
      </c>
      <c r="D41" s="396"/>
      <c r="E41" s="388"/>
      <c r="F41" s="115">
        <f>IFERROR(+Summary!F18/F27,0)</f>
        <v>0</v>
      </c>
      <c r="G41" s="115">
        <f>IFERROR(+Summary!G18/G27,0)</f>
        <v>0</v>
      </c>
      <c r="H41" s="115">
        <f>IFERROR(+Summary!H18/H27,0)</f>
        <v>0</v>
      </c>
      <c r="I41" s="115">
        <f>IFERROR(+Summary!I18/I27,0)</f>
        <v>0</v>
      </c>
      <c r="J41" s="115">
        <f>IFERROR(+Summary!J18/J27,0)</f>
        <v>0</v>
      </c>
      <c r="K41" s="115">
        <f>IFERROR(+Summary!K18/K27,0)</f>
        <v>0</v>
      </c>
      <c r="L41" s="115">
        <f>IFERROR(+Summary!L18/L27,0)</f>
        <v>0</v>
      </c>
      <c r="M41" s="357"/>
      <c r="N41" s="357"/>
      <c r="O41" s="357"/>
      <c r="P41" s="357"/>
      <c r="Q41" s="357"/>
      <c r="R41" s="357"/>
      <c r="S41" s="357"/>
      <c r="T41" s="357"/>
      <c r="U41" s="357"/>
      <c r="V41" s="357"/>
      <c r="W41" s="357"/>
      <c r="X41" s="357"/>
      <c r="Y41" s="357"/>
      <c r="Z41" s="357"/>
    </row>
    <row r="42" ht="12.75" customHeight="1">
      <c r="A42" s="111">
        <f t="shared" si="1"/>
        <v>42</v>
      </c>
      <c r="B42" s="117"/>
      <c r="C42" s="397"/>
      <c r="D42" s="397"/>
      <c r="E42" s="388"/>
      <c r="F42" s="115"/>
      <c r="G42" s="115"/>
      <c r="H42" s="115"/>
      <c r="I42" s="115"/>
      <c r="J42" s="115"/>
      <c r="K42" s="115"/>
      <c r="L42" s="115"/>
      <c r="M42" s="357"/>
      <c r="N42" s="357"/>
      <c r="O42" s="357"/>
      <c r="P42" s="357"/>
      <c r="Q42" s="357"/>
      <c r="R42" s="357"/>
      <c r="S42" s="357"/>
      <c r="T42" s="357"/>
      <c r="U42" s="357"/>
      <c r="V42" s="357"/>
      <c r="W42" s="357"/>
      <c r="X42" s="357"/>
      <c r="Y42" s="357"/>
      <c r="Z42" s="357"/>
    </row>
    <row r="43" ht="12.75" customHeight="1">
      <c r="A43" s="111">
        <f t="shared" si="1"/>
        <v>43</v>
      </c>
      <c r="B43" s="117" t="s">
        <v>374</v>
      </c>
      <c r="C43" s="396">
        <f t="shared" ref="C43:C45" si="16">AVERAGE(G43:L43)</f>
        <v>10710.63148</v>
      </c>
      <c r="D43" s="396"/>
      <c r="E43" s="398"/>
      <c r="F43" s="399">
        <f>IFERROR(Summary!F35/F20,0)</f>
        <v>10596.06735</v>
      </c>
      <c r="G43" s="399">
        <f>IFERROR(Summary!G35/G20,0)</f>
        <v>10747.02216</v>
      </c>
      <c r="H43" s="399">
        <f>IFERROR(Summary!H35/H20,0)</f>
        <v>10724.60581</v>
      </c>
      <c r="I43" s="399">
        <f>IFERROR(Summary!I35/I20,0)</f>
        <v>10703.65357</v>
      </c>
      <c r="J43" s="399">
        <f>IFERROR(Summary!J35/J20,0)</f>
        <v>10694.12465</v>
      </c>
      <c r="K43" s="399">
        <f>IFERROR(Summary!K35/K20,0)</f>
        <v>10704.21652</v>
      </c>
      <c r="L43" s="399">
        <f>IFERROR(Summary!L35/L20,0)</f>
        <v>10690.16614</v>
      </c>
      <c r="M43" s="357"/>
      <c r="N43" s="357"/>
      <c r="O43" s="357"/>
      <c r="P43" s="357"/>
      <c r="Q43" s="357"/>
      <c r="R43" s="357"/>
      <c r="S43" s="357"/>
      <c r="T43" s="357"/>
      <c r="U43" s="357"/>
      <c r="V43" s="357"/>
      <c r="W43" s="357"/>
      <c r="X43" s="357"/>
      <c r="Y43" s="357"/>
      <c r="Z43" s="357"/>
    </row>
    <row r="44" ht="12.75" customHeight="1">
      <c r="A44" s="111">
        <f t="shared" si="1"/>
        <v>44</v>
      </c>
      <c r="B44" s="117" t="s">
        <v>375</v>
      </c>
      <c r="C44" s="396">
        <f t="shared" si="16"/>
        <v>10248.17096</v>
      </c>
      <c r="D44" s="396"/>
      <c r="E44" s="398"/>
      <c r="F44" s="133">
        <f>IFERROR(Summary!F52/F20,0)</f>
        <v>10552.93718</v>
      </c>
      <c r="G44" s="133">
        <f>IFERROR(Summary!G52/G20,0)</f>
        <v>10368.81182</v>
      </c>
      <c r="H44" s="133">
        <f>IFERROR(Summary!H52/H20,0)</f>
        <v>10347.661</v>
      </c>
      <c r="I44" s="133">
        <f>IFERROR(Summary!I52/I20,0)</f>
        <v>10056.55959</v>
      </c>
      <c r="J44" s="133">
        <f>IFERROR(Summary!J52/J20,0)</f>
        <v>10131.15256</v>
      </c>
      <c r="K44" s="133">
        <f>IFERROR(Summary!K52/K20,0)</f>
        <v>10267.29604</v>
      </c>
      <c r="L44" s="133">
        <f>IFERROR(Summary!L52/L20,0)</f>
        <v>10317.54474</v>
      </c>
      <c r="M44" s="357"/>
      <c r="N44" s="357"/>
      <c r="O44" s="357"/>
      <c r="P44" s="357"/>
      <c r="Q44" s="357"/>
      <c r="R44" s="357"/>
      <c r="S44" s="357"/>
      <c r="T44" s="357"/>
      <c r="U44" s="357"/>
      <c r="V44" s="357"/>
      <c r="W44" s="357"/>
      <c r="X44" s="357"/>
      <c r="Y44" s="357"/>
      <c r="Z44" s="357"/>
    </row>
    <row r="45" ht="12.75" customHeight="1">
      <c r="A45" s="111">
        <f t="shared" si="1"/>
        <v>45</v>
      </c>
      <c r="B45" s="400" t="s">
        <v>376</v>
      </c>
      <c r="C45" s="401">
        <f t="shared" si="16"/>
        <v>462.4605173</v>
      </c>
      <c r="D45" s="401"/>
      <c r="E45" s="402"/>
      <c r="F45" s="403">
        <f t="shared" ref="F45:L45" si="17">+F43-F44</f>
        <v>43.13016689</v>
      </c>
      <c r="G45" s="404">
        <f t="shared" si="17"/>
        <v>378.2103344</v>
      </c>
      <c r="H45" s="404">
        <f t="shared" si="17"/>
        <v>376.9448086</v>
      </c>
      <c r="I45" s="404">
        <f t="shared" si="17"/>
        <v>647.0939777</v>
      </c>
      <c r="J45" s="404">
        <f t="shared" si="17"/>
        <v>562.972094</v>
      </c>
      <c r="K45" s="404">
        <f t="shared" si="17"/>
        <v>436.9204859</v>
      </c>
      <c r="L45" s="403">
        <f t="shared" si="17"/>
        <v>372.6214032</v>
      </c>
      <c r="M45" s="357"/>
      <c r="N45" s="357"/>
      <c r="O45" s="357"/>
      <c r="P45" s="357"/>
      <c r="Q45" s="357"/>
      <c r="R45" s="357"/>
      <c r="S45" s="357"/>
      <c r="T45" s="357"/>
      <c r="U45" s="357"/>
      <c r="V45" s="357"/>
      <c r="W45" s="357"/>
      <c r="X45" s="357"/>
      <c r="Y45" s="357"/>
      <c r="Z45" s="357"/>
    </row>
    <row r="46" ht="12.75" customHeight="1">
      <c r="A46" s="111">
        <f t="shared" si="1"/>
        <v>46</v>
      </c>
      <c r="B46" s="117" t="s">
        <v>377</v>
      </c>
      <c r="C46" s="390">
        <f>MAX(G46:L46)</f>
        <v>58401</v>
      </c>
      <c r="D46" s="387"/>
      <c r="E46" s="388"/>
      <c r="F46" s="133">
        <f>Facilities!F93</f>
        <v>58401</v>
      </c>
      <c r="G46" s="133">
        <f>Facilities!G93</f>
        <v>58401</v>
      </c>
      <c r="H46" s="133">
        <f>Facilities!H93</f>
        <v>58401</v>
      </c>
      <c r="I46" s="133">
        <f>Facilities!I93</f>
        <v>58401</v>
      </c>
      <c r="J46" s="133">
        <f>Facilities!J93</f>
        <v>58401</v>
      </c>
      <c r="K46" s="133">
        <f>Facilities!K93</f>
        <v>58401</v>
      </c>
      <c r="L46" s="133">
        <f>Facilities!L93</f>
        <v>58401</v>
      </c>
      <c r="M46" s="357"/>
      <c r="N46" s="357"/>
      <c r="O46" s="357"/>
      <c r="P46" s="357"/>
      <c r="Q46" s="357"/>
      <c r="R46" s="357"/>
      <c r="S46" s="357"/>
      <c r="T46" s="357"/>
      <c r="U46" s="357"/>
      <c r="V46" s="357"/>
      <c r="W46" s="357"/>
      <c r="X46" s="357"/>
      <c r="Y46" s="357"/>
      <c r="Z46" s="357"/>
    </row>
    <row r="47" ht="12.75" customHeight="1">
      <c r="A47" s="111">
        <f t="shared" si="1"/>
        <v>47</v>
      </c>
      <c r="B47" s="117" t="s">
        <v>378</v>
      </c>
      <c r="C47" s="405">
        <f t="shared" ref="C47:C48" si="19">MIN(G47:L47)</f>
        <v>85.25693431</v>
      </c>
      <c r="D47" s="405"/>
      <c r="E47" s="388"/>
      <c r="F47" s="133">
        <f t="shared" ref="F47:L47" si="18">IFERROR(F46/F20,0)</f>
        <v>96.21252059</v>
      </c>
      <c r="G47" s="133">
        <f t="shared" si="18"/>
        <v>92.40664557</v>
      </c>
      <c r="H47" s="133">
        <f t="shared" si="18"/>
        <v>90.54418605</v>
      </c>
      <c r="I47" s="133">
        <f t="shared" si="18"/>
        <v>87.55772114</v>
      </c>
      <c r="J47" s="133">
        <f t="shared" si="18"/>
        <v>86.77711738</v>
      </c>
      <c r="K47" s="133">
        <f t="shared" si="18"/>
        <v>86.39201183</v>
      </c>
      <c r="L47" s="133">
        <f t="shared" si="18"/>
        <v>85.25693431</v>
      </c>
      <c r="M47" s="357"/>
      <c r="N47" s="357"/>
      <c r="O47" s="357"/>
      <c r="P47" s="357"/>
      <c r="Q47" s="357"/>
      <c r="R47" s="357"/>
      <c r="S47" s="357"/>
      <c r="T47" s="357"/>
      <c r="U47" s="357"/>
      <c r="V47" s="357"/>
      <c r="W47" s="357"/>
      <c r="X47" s="357"/>
      <c r="Y47" s="357"/>
      <c r="Z47" s="357"/>
    </row>
    <row r="48" ht="12.75" customHeight="1">
      <c r="A48" s="111">
        <f t="shared" si="1"/>
        <v>48</v>
      </c>
      <c r="B48" s="117" t="s">
        <v>379</v>
      </c>
      <c r="C48" s="405">
        <f t="shared" si="19"/>
        <v>79.5653951</v>
      </c>
      <c r="D48" s="405"/>
      <c r="E48" s="388"/>
      <c r="F48" s="133">
        <f t="shared" ref="F48:L48" si="20">IFERROR(+F46/F22,0)</f>
        <v>88.9581112</v>
      </c>
      <c r="G48" s="133">
        <f t="shared" si="20"/>
        <v>85.63196481</v>
      </c>
      <c r="H48" s="133">
        <f t="shared" si="20"/>
        <v>84.03021583</v>
      </c>
      <c r="I48" s="133">
        <f t="shared" si="20"/>
        <v>81.56564246</v>
      </c>
      <c r="J48" s="133">
        <f t="shared" si="20"/>
        <v>80.88781163</v>
      </c>
      <c r="K48" s="133">
        <f t="shared" si="20"/>
        <v>80.55310345</v>
      </c>
      <c r="L48" s="133">
        <f t="shared" si="20"/>
        <v>79.5653951</v>
      </c>
      <c r="M48" s="357"/>
      <c r="N48" s="357"/>
      <c r="O48" s="357"/>
      <c r="P48" s="357"/>
      <c r="Q48" s="357"/>
      <c r="R48" s="357"/>
      <c r="S48" s="357"/>
      <c r="T48" s="357"/>
      <c r="U48" s="357"/>
      <c r="V48" s="357"/>
      <c r="W48" s="357"/>
      <c r="X48" s="357"/>
      <c r="Y48" s="357"/>
      <c r="Z48" s="357"/>
    </row>
    <row r="49" ht="12.75" customHeight="1">
      <c r="A49" s="111">
        <f t="shared" si="1"/>
        <v>49</v>
      </c>
      <c r="B49" s="117" t="s">
        <v>380</v>
      </c>
      <c r="C49" s="396">
        <f>AVERAGE(G49:L49)</f>
        <v>93.04651942</v>
      </c>
      <c r="D49" s="405"/>
      <c r="E49" s="388"/>
      <c r="F49" s="133">
        <f>+Summary!F28/Summary!F9</f>
        <v>101.5502471</v>
      </c>
      <c r="G49" s="133">
        <f>+Summary!G28/Summary!G9</f>
        <v>97.53322785</v>
      </c>
      <c r="H49" s="133">
        <f>+Summary!H28/Summary!H9</f>
        <v>95.56744186</v>
      </c>
      <c r="I49" s="133">
        <f>+Summary!I28/Summary!I9</f>
        <v>92.41529235</v>
      </c>
      <c r="J49" s="133">
        <f>+Summary!J28/Summary!J9</f>
        <v>91.59138187</v>
      </c>
      <c r="K49" s="133">
        <f>+Summary!K28/Summary!K9</f>
        <v>91.18491124</v>
      </c>
      <c r="L49" s="133">
        <f>+Summary!L28/Summary!L9</f>
        <v>89.98686131</v>
      </c>
      <c r="M49" s="357"/>
      <c r="N49" s="357"/>
      <c r="O49" s="357"/>
      <c r="P49" s="357"/>
      <c r="Q49" s="357"/>
      <c r="R49" s="357"/>
      <c r="S49" s="357"/>
      <c r="T49" s="357"/>
      <c r="U49" s="357"/>
      <c r="V49" s="357"/>
      <c r="W49" s="357"/>
      <c r="X49" s="357"/>
      <c r="Y49" s="357"/>
      <c r="Z49" s="357"/>
    </row>
    <row r="50" ht="12.75" customHeight="1">
      <c r="A50" s="111">
        <f t="shared" si="1"/>
        <v>50</v>
      </c>
      <c r="B50" s="30"/>
      <c r="C50" s="30"/>
      <c r="D50" s="30"/>
      <c r="E50" s="30"/>
      <c r="F50" s="211"/>
      <c r="G50" s="211"/>
      <c r="H50" s="211"/>
      <c r="I50" s="211"/>
      <c r="J50" s="211"/>
      <c r="K50" s="211"/>
      <c r="L50" s="211"/>
      <c r="M50" s="357"/>
      <c r="N50" s="357"/>
      <c r="O50" s="357"/>
      <c r="P50" s="357"/>
      <c r="Q50" s="357"/>
      <c r="R50" s="357"/>
      <c r="S50" s="357"/>
      <c r="T50" s="357"/>
      <c r="U50" s="357"/>
      <c r="V50" s="357"/>
      <c r="W50" s="357"/>
      <c r="X50" s="357"/>
      <c r="Y50" s="357"/>
      <c r="Z50" s="357"/>
    </row>
    <row r="51" ht="12.75" customHeight="1">
      <c r="A51" s="111">
        <f t="shared" si="1"/>
        <v>51</v>
      </c>
      <c r="B51" s="406" t="s">
        <v>381</v>
      </c>
      <c r="C51" s="407"/>
      <c r="D51" s="407"/>
      <c r="E51" s="407"/>
      <c r="F51" s="408">
        <f>Summary!F$6</f>
        <v>0</v>
      </c>
      <c r="G51" s="408">
        <f>Summary!G$6</f>
        <v>1</v>
      </c>
      <c r="H51" s="408">
        <f>Summary!H$6</f>
        <v>2</v>
      </c>
      <c r="I51" s="408">
        <f>Summary!I$6</f>
        <v>3</v>
      </c>
      <c r="J51" s="408">
        <f>Summary!J$6</f>
        <v>4</v>
      </c>
      <c r="K51" s="408">
        <f>Summary!K$6</f>
        <v>5</v>
      </c>
      <c r="L51" s="408">
        <f>Summary!L$6</f>
        <v>6</v>
      </c>
      <c r="M51" s="357"/>
      <c r="N51" s="357"/>
      <c r="O51" s="357"/>
      <c r="P51" s="357"/>
      <c r="Q51" s="357"/>
      <c r="R51" s="357"/>
      <c r="S51" s="357"/>
      <c r="T51" s="357"/>
      <c r="U51" s="357"/>
      <c r="V51" s="357"/>
      <c r="W51" s="357"/>
      <c r="X51" s="357"/>
      <c r="Y51" s="357"/>
      <c r="Z51" s="357"/>
    </row>
    <row r="52" ht="12.75" customHeight="1">
      <c r="A52" s="111">
        <f t="shared" si="1"/>
        <v>52</v>
      </c>
      <c r="B52" s="409" t="s">
        <v>382</v>
      </c>
      <c r="C52" s="410"/>
      <c r="D52" s="410"/>
      <c r="E52" s="410"/>
      <c r="F52" s="411"/>
      <c r="G52" s="411"/>
      <c r="H52" s="411"/>
      <c r="I52" s="411"/>
      <c r="J52" s="411"/>
      <c r="K52" s="411"/>
      <c r="L52" s="411"/>
      <c r="M52" s="357"/>
      <c r="N52" s="357"/>
      <c r="O52" s="357"/>
      <c r="P52" s="357"/>
      <c r="Q52" s="357"/>
      <c r="R52" s="357"/>
      <c r="S52" s="357"/>
      <c r="T52" s="357"/>
      <c r="U52" s="357"/>
      <c r="V52" s="357"/>
      <c r="W52" s="357"/>
      <c r="X52" s="357"/>
      <c r="Y52" s="357"/>
      <c r="Z52" s="357"/>
    </row>
    <row r="53" ht="12.75" customHeight="1">
      <c r="A53" s="111">
        <f t="shared" si="1"/>
        <v>53</v>
      </c>
      <c r="B53" s="30" t="str">
        <f>+Summary!B15</f>
        <v>State &amp; Local Revenue w/o St SpEd</v>
      </c>
      <c r="C53" s="128">
        <f>IFERROR(Summary!C15/Summary!C$35,)</f>
        <v>0.9400734939</v>
      </c>
      <c r="D53" s="128"/>
      <c r="E53" s="128"/>
      <c r="F53" s="412">
        <f>IF(Summary!F15&gt;0,Summary!F15/Summary!F$35,0)</f>
        <v>0.9369925389</v>
      </c>
      <c r="G53" s="412">
        <f>IF(Summary!G15&gt;0,Summary!G15/Summary!G$35,0)</f>
        <v>0.9394571233</v>
      </c>
      <c r="H53" s="412">
        <f>IF(Summary!H15&gt;0,Summary!H15/Summary!H$35,0)</f>
        <v>0.9404922069</v>
      </c>
      <c r="I53" s="412">
        <f>IF(Summary!I15&gt;0,Summary!I15/Summary!I$35,0)</f>
        <v>0.9408413562</v>
      </c>
      <c r="J53" s="412">
        <f>IF(Summary!J15&gt;0,Summary!J15/Summary!J$35,0)</f>
        <v>0.9412893978</v>
      </c>
      <c r="K53" s="412">
        <f>IF(Summary!K15&gt;0,Summary!K15/Summary!K$35,0)</f>
        <v>0.9402095913</v>
      </c>
      <c r="L53" s="412">
        <f>IF(Summary!L15&gt;0,Summary!L15/Summary!L$35,0)</f>
        <v>0.9408776059</v>
      </c>
      <c r="M53" s="357"/>
      <c r="N53" s="357"/>
      <c r="O53" s="357"/>
      <c r="P53" s="357"/>
      <c r="Q53" s="357"/>
      <c r="R53" s="357"/>
      <c r="S53" s="357"/>
      <c r="T53" s="357"/>
      <c r="U53" s="357"/>
      <c r="V53" s="357"/>
      <c r="W53" s="357"/>
      <c r="X53" s="357"/>
      <c r="Y53" s="357"/>
      <c r="Z53" s="357"/>
    </row>
    <row r="54" ht="12.75" customHeight="1">
      <c r="A54" s="111">
        <f t="shared" si="1"/>
        <v>54</v>
      </c>
      <c r="B54" s="30" t="str">
        <f>+Summary!B16</f>
        <v>CS Sponsorship Fee (Infl' Adj'd)</v>
      </c>
      <c r="C54" s="132">
        <f>IFERROR(Summary!C16/Summary!C$35,0)</f>
        <v>-0.01100279975</v>
      </c>
      <c r="D54" s="128"/>
      <c r="E54" s="128"/>
      <c r="F54" s="412">
        <f>IF(Summary!F16&gt;0,Summary!F16/Summary!F$35,0)</f>
        <v>0</v>
      </c>
      <c r="G54" s="412">
        <f>IF(Summary!G16&gt;0,Summary!G16/Summary!G$35,0)</f>
        <v>0</v>
      </c>
      <c r="H54" s="412">
        <f>IF(Summary!H16&gt;0,Summary!H16/Summary!H$35,0)</f>
        <v>0</v>
      </c>
      <c r="I54" s="412">
        <f>IF(Summary!I16&gt;0,Summary!I16/Summary!I$35,0)</f>
        <v>0</v>
      </c>
      <c r="J54" s="412">
        <f>IF(Summary!J16&gt;0,Summary!J16/Summary!J$35,0)</f>
        <v>0</v>
      </c>
      <c r="K54" s="412">
        <f>IF(Summary!K16&gt;0,Summary!K16/Summary!K$35,0)</f>
        <v>0</v>
      </c>
      <c r="L54" s="412">
        <f>IF(Summary!L16&gt;0,Summary!L16/Summary!L$35,0)</f>
        <v>0</v>
      </c>
      <c r="M54" s="357"/>
      <c r="N54" s="357"/>
      <c r="O54" s="357"/>
      <c r="P54" s="357"/>
      <c r="Q54" s="357"/>
      <c r="R54" s="357"/>
      <c r="S54" s="357"/>
      <c r="T54" s="357"/>
      <c r="U54" s="357"/>
      <c r="V54" s="357"/>
      <c r="W54" s="357"/>
      <c r="X54" s="357"/>
      <c r="Y54" s="357"/>
      <c r="Z54" s="357"/>
    </row>
    <row r="55" ht="12.75" customHeight="1">
      <c r="A55" s="111">
        <f t="shared" si="1"/>
        <v>55</v>
      </c>
      <c r="B55" s="30" t="str">
        <f>+Summary!B17</f>
        <v>Title I</v>
      </c>
      <c r="C55" s="128">
        <f>IFERROR(Summary!C17/Summary!C$35,)</f>
        <v>0</v>
      </c>
      <c r="D55" s="128"/>
      <c r="E55" s="128"/>
      <c r="F55" s="412">
        <f>IF(Summary!F17&gt;0,Summary!F17/Summary!F$35,0)</f>
        <v>0</v>
      </c>
      <c r="G55" s="412">
        <f>IF(Summary!G17&gt;0,Summary!G17/Summary!G$35,0)</f>
        <v>0</v>
      </c>
      <c r="H55" s="412">
        <f>IF(Summary!H17&gt;0,Summary!H17/Summary!H$35,0)</f>
        <v>0</v>
      </c>
      <c r="I55" s="412">
        <f>IF(Summary!I17&gt;0,Summary!I17/Summary!I$35,0)</f>
        <v>0</v>
      </c>
      <c r="J55" s="412">
        <f>IF(Summary!J17&gt;0,Summary!J17/Summary!J$35,0)</f>
        <v>0</v>
      </c>
      <c r="K55" s="412">
        <f>IF(Summary!K17&gt;0,Summary!K17/Summary!K$35,0)</f>
        <v>0</v>
      </c>
      <c r="L55" s="412">
        <f>IF(Summary!L17&gt;0,Summary!L17/Summary!L$35,0)</f>
        <v>0</v>
      </c>
      <c r="M55" s="357"/>
      <c r="N55" s="357"/>
      <c r="O55" s="357"/>
      <c r="P55" s="357"/>
      <c r="Q55" s="357"/>
      <c r="R55" s="357"/>
      <c r="S55" s="357"/>
      <c r="T55" s="357"/>
      <c r="U55" s="357"/>
      <c r="V55" s="357"/>
      <c r="W55" s="357"/>
      <c r="X55" s="357"/>
      <c r="Y55" s="357"/>
      <c r="Z55" s="357"/>
    </row>
    <row r="56" ht="12.75" customHeight="1">
      <c r="A56" s="111">
        <f t="shared" si="1"/>
        <v>56</v>
      </c>
      <c r="B56" s="30" t="str">
        <f>+Summary!B18</f>
        <v>Title IIA</v>
      </c>
      <c r="C56" s="128">
        <f>IFERROR(Summary!C18/Summary!C$35,)</f>
        <v>0</v>
      </c>
      <c r="D56" s="128"/>
      <c r="E56" s="128"/>
      <c r="F56" s="412">
        <f>IF(Summary!F18&gt;0,Summary!F18/Summary!F$35,0)</f>
        <v>0</v>
      </c>
      <c r="G56" s="412">
        <f>IF(Summary!G18&gt;0,Summary!G18/Summary!G$35,0)</f>
        <v>0</v>
      </c>
      <c r="H56" s="412">
        <f>IF(Summary!H18&gt;0,Summary!H18/Summary!H$35,0)</f>
        <v>0</v>
      </c>
      <c r="I56" s="412">
        <f>IF(Summary!I18&gt;0,Summary!I18/Summary!I$35,0)</f>
        <v>0</v>
      </c>
      <c r="J56" s="412">
        <f>IF(Summary!J18&gt;0,Summary!J18/Summary!J$35,0)</f>
        <v>0</v>
      </c>
      <c r="K56" s="412">
        <f>IF(Summary!K18&gt;0,Summary!K18/Summary!K$35,0)</f>
        <v>0</v>
      </c>
      <c r="L56" s="412">
        <f>IF(Summary!L18&gt;0,Summary!L18/Summary!L$35,0)</f>
        <v>0</v>
      </c>
      <c r="M56" s="357"/>
      <c r="N56" s="357"/>
      <c r="O56" s="357"/>
      <c r="P56" s="357"/>
      <c r="Q56" s="357"/>
      <c r="R56" s="357"/>
      <c r="S56" s="357"/>
      <c r="T56" s="357"/>
      <c r="U56" s="357"/>
      <c r="V56" s="357"/>
      <c r="W56" s="357"/>
      <c r="X56" s="357"/>
      <c r="Y56" s="357"/>
      <c r="Z56" s="357"/>
    </row>
    <row r="57" ht="12.75" customHeight="1">
      <c r="A57" s="111">
        <f t="shared" si="1"/>
        <v>57</v>
      </c>
      <c r="B57" s="30" t="str">
        <f>+Summary!B19</f>
        <v>Title III</v>
      </c>
      <c r="C57" s="128">
        <f>IFERROR(Summary!C19/Summary!C$35,)</f>
        <v>0</v>
      </c>
      <c r="D57" s="128"/>
      <c r="E57" s="128"/>
      <c r="F57" s="412">
        <f>IF(Summary!F19&gt;0,Summary!F19/Summary!F$35,0)</f>
        <v>0</v>
      </c>
      <c r="G57" s="412">
        <f>IF(Summary!G19&gt;0,Summary!G19/Summary!G$35,0)</f>
        <v>0</v>
      </c>
      <c r="H57" s="412">
        <f>IF(Summary!H19&gt;0,Summary!H19/Summary!H$35,0)</f>
        <v>0</v>
      </c>
      <c r="I57" s="412">
        <f>IF(Summary!I19&gt;0,Summary!I19/Summary!I$35,0)</f>
        <v>0</v>
      </c>
      <c r="J57" s="412">
        <f>IF(Summary!J19&gt;0,Summary!J19/Summary!J$35,0)</f>
        <v>0</v>
      </c>
      <c r="K57" s="412">
        <f>IF(Summary!K19&gt;0,Summary!K19/Summary!K$35,0)</f>
        <v>0</v>
      </c>
      <c r="L57" s="412">
        <f>IF(Summary!L19&gt;0,Summary!L19/Summary!L$35,0)</f>
        <v>0</v>
      </c>
      <c r="M57" s="357"/>
      <c r="N57" s="357"/>
      <c r="O57" s="357"/>
      <c r="P57" s="357"/>
      <c r="Q57" s="357"/>
      <c r="R57" s="357"/>
      <c r="S57" s="357"/>
      <c r="T57" s="357"/>
      <c r="U57" s="357"/>
      <c r="V57" s="357"/>
      <c r="W57" s="357"/>
      <c r="X57" s="357"/>
      <c r="Y57" s="357"/>
      <c r="Z57" s="357"/>
    </row>
    <row r="58" ht="12.75" customHeight="1">
      <c r="A58" s="111">
        <f t="shared" si="1"/>
        <v>58</v>
      </c>
      <c r="B58" s="30" t="str">
        <f>+Summary!B20</f>
        <v>Title IV</v>
      </c>
      <c r="C58" s="128">
        <f>IFERROR(Summary!C20/Summary!C$35,)</f>
        <v>0</v>
      </c>
      <c r="D58" s="128"/>
      <c r="E58" s="128"/>
      <c r="F58" s="412">
        <f>IF(Summary!F20&gt;0,Summary!F20/Summary!F$35,0)</f>
        <v>0</v>
      </c>
      <c r="G58" s="412">
        <f>IF(Summary!G20&gt;0,Summary!G20/Summary!G$35,0)</f>
        <v>0</v>
      </c>
      <c r="H58" s="412">
        <f>IF(Summary!H20&gt;0,Summary!H20/Summary!H$35,0)</f>
        <v>0</v>
      </c>
      <c r="I58" s="412">
        <f>IF(Summary!I20&gt;0,Summary!I20/Summary!I$35,0)</f>
        <v>0</v>
      </c>
      <c r="J58" s="412">
        <f>IF(Summary!J20&gt;0,Summary!J20/Summary!J$35,0)</f>
        <v>0</v>
      </c>
      <c r="K58" s="412">
        <f>IF(Summary!K20&gt;0,Summary!K20/Summary!K$35,0)</f>
        <v>0</v>
      </c>
      <c r="L58" s="412">
        <f>IF(Summary!L20&gt;0,Summary!L20/Summary!L$35,0)</f>
        <v>0</v>
      </c>
      <c r="M58" s="357"/>
      <c r="N58" s="357"/>
      <c r="O58" s="357"/>
      <c r="P58" s="357"/>
      <c r="Q58" s="357"/>
      <c r="R58" s="357"/>
      <c r="S58" s="357"/>
      <c r="T58" s="357"/>
      <c r="U58" s="357"/>
      <c r="V58" s="357"/>
      <c r="W58" s="357"/>
      <c r="X58" s="357"/>
      <c r="Y58" s="357"/>
      <c r="Z58" s="357"/>
    </row>
    <row r="59" ht="12.75" customHeight="1">
      <c r="A59" s="111">
        <f t="shared" si="1"/>
        <v>59</v>
      </c>
      <c r="B59" s="30" t="str">
        <f>+Summary!B21</f>
        <v>Federal Breakfast Program</v>
      </c>
      <c r="C59" s="128">
        <f>IFERROR(Summary!C21/Summary!C$35,)</f>
        <v>0</v>
      </c>
      <c r="D59" s="128"/>
      <c r="E59" s="128"/>
      <c r="F59" s="412">
        <f>IF(Summary!F21&gt;0,Summary!F21/Summary!F$35,0)</f>
        <v>0</v>
      </c>
      <c r="G59" s="412">
        <f>IF(Summary!G21&gt;0,Summary!G21/Summary!G$35,0)</f>
        <v>0</v>
      </c>
      <c r="H59" s="412">
        <f>IF(Summary!H21&gt;0,Summary!H21/Summary!H$35,0)</f>
        <v>0</v>
      </c>
      <c r="I59" s="412">
        <f>IF(Summary!I21&gt;0,Summary!I21/Summary!I$35,0)</f>
        <v>0</v>
      </c>
      <c r="J59" s="412">
        <f>IF(Summary!J21&gt;0,Summary!J21/Summary!J$35,0)</f>
        <v>0</v>
      </c>
      <c r="K59" s="412">
        <f>IF(Summary!K21&gt;0,Summary!K21/Summary!K$35,0)</f>
        <v>0</v>
      </c>
      <c r="L59" s="412">
        <f>IF(Summary!L21&gt;0,Summary!L21/Summary!L$35,0)</f>
        <v>0</v>
      </c>
      <c r="M59" s="357"/>
      <c r="N59" s="357"/>
      <c r="O59" s="357"/>
      <c r="P59" s="357"/>
      <c r="Q59" s="357"/>
      <c r="R59" s="357"/>
      <c r="S59" s="357"/>
      <c r="T59" s="357"/>
      <c r="U59" s="357"/>
      <c r="V59" s="357"/>
      <c r="W59" s="357"/>
      <c r="X59" s="357"/>
      <c r="Y59" s="357"/>
      <c r="Z59" s="357"/>
    </row>
    <row r="60" ht="12.75" customHeight="1">
      <c r="A60" s="111">
        <f t="shared" si="1"/>
        <v>60</v>
      </c>
      <c r="B60" s="30" t="str">
        <f>+Summary!B22</f>
        <v>Federal Lunch Program</v>
      </c>
      <c r="C60" s="128">
        <f>IFERROR(Summary!C22/Summary!C$35,)</f>
        <v>0</v>
      </c>
      <c r="D60" s="128"/>
      <c r="E60" s="128"/>
      <c r="F60" s="412">
        <f>IF(Summary!F22&gt;0,Summary!F22/Summary!F$35,0)</f>
        <v>0</v>
      </c>
      <c r="G60" s="412">
        <f>IF(Summary!G22&gt;0,Summary!G22/Summary!G$35,0)</f>
        <v>0</v>
      </c>
      <c r="H60" s="412">
        <f>IF(Summary!H22&gt;0,Summary!H22/Summary!H$35,0)</f>
        <v>0</v>
      </c>
      <c r="I60" s="412">
        <f>IF(Summary!I22&gt;0,Summary!I22/Summary!I$35,0)</f>
        <v>0</v>
      </c>
      <c r="J60" s="412">
        <f>IF(Summary!J22&gt;0,Summary!J22/Summary!J$35,0)</f>
        <v>0</v>
      </c>
      <c r="K60" s="412">
        <f>IF(Summary!K22&gt;0,Summary!K22/Summary!K$35,0)</f>
        <v>0</v>
      </c>
      <c r="L60" s="412">
        <f>IF(Summary!L22&gt;0,Summary!L22/Summary!L$35,0)</f>
        <v>0</v>
      </c>
      <c r="M60" s="357"/>
      <c r="N60" s="357"/>
      <c r="O60" s="357"/>
      <c r="P60" s="357"/>
      <c r="Q60" s="357"/>
      <c r="R60" s="357"/>
      <c r="S60" s="357"/>
      <c r="T60" s="357"/>
      <c r="U60" s="357"/>
      <c r="V60" s="357"/>
      <c r="W60" s="357"/>
      <c r="X60" s="357"/>
      <c r="Y60" s="357"/>
      <c r="Z60" s="357"/>
    </row>
    <row r="61" ht="12.75" customHeight="1">
      <c r="A61" s="111">
        <f t="shared" si="1"/>
        <v>61</v>
      </c>
      <c r="B61" s="30" t="str">
        <f>+Summary!B23</f>
        <v>IDEA</v>
      </c>
      <c r="C61" s="128">
        <f>IFERROR(Summary!C23/Summary!C$35,)</f>
        <v>0.01394095627</v>
      </c>
      <c r="D61" s="128"/>
      <c r="E61" s="128"/>
      <c r="F61" s="412">
        <f>IF(Summary!F23&gt;0,Summary!F23/Summary!F$35,0)</f>
        <v>0.01337662516</v>
      </c>
      <c r="G61" s="412">
        <f>IF(Summary!G23&gt;0,Summary!G23/Summary!G$35,0)</f>
        <v>0.01397796504</v>
      </c>
      <c r="H61" s="412">
        <f>IF(Summary!H23&gt;0,Summary!H23/Summary!H$35,0)</f>
        <v>0.01400718149</v>
      </c>
      <c r="I61" s="412">
        <f>IF(Summary!I23&gt;0,Summary!I23/Summary!I$35,0)</f>
        <v>0.01403460034</v>
      </c>
      <c r="J61" s="412">
        <f>IF(Summary!J23&gt;0,Summary!J23/Summary!J$35,0)</f>
        <v>0.01404710576</v>
      </c>
      <c r="K61" s="412">
        <f>IF(Summary!K23&gt;0,Summary!K23/Summary!K$35,0)</f>
        <v>0.01403386223</v>
      </c>
      <c r="L61" s="412">
        <f>IF(Summary!L23&gt;0,Summary!L23/Summary!L$35,0)</f>
        <v>0.01405230733</v>
      </c>
      <c r="M61" s="357"/>
      <c r="N61" s="357"/>
      <c r="O61" s="357"/>
      <c r="P61" s="357"/>
      <c r="Q61" s="357"/>
      <c r="R61" s="357"/>
      <c r="S61" s="357"/>
      <c r="T61" s="357"/>
      <c r="U61" s="357"/>
      <c r="V61" s="357"/>
      <c r="W61" s="357"/>
      <c r="X61" s="357"/>
      <c r="Y61" s="357"/>
      <c r="Z61" s="357"/>
    </row>
    <row r="62" ht="12.75" customHeight="1">
      <c r="A62" s="111">
        <f t="shared" si="1"/>
        <v>62</v>
      </c>
      <c r="B62" s="30" t="str">
        <f>+Summary!B24</f>
        <v>State Special Education Funding</v>
      </c>
      <c r="C62" s="128">
        <f>IFERROR(Summary!C24/Summary!C$35,)</f>
        <v>0.02555291068</v>
      </c>
      <c r="D62" s="128"/>
      <c r="E62" s="128"/>
      <c r="F62" s="412">
        <f>IF(Summary!F24&gt;0,Summary!F24/Summary!F$35,0)</f>
        <v>0.02783102966</v>
      </c>
      <c r="G62" s="412">
        <f>IF(Summary!G24&gt;0,Summary!G24/Summary!G$35,0)</f>
        <v>0.02635466211</v>
      </c>
      <c r="H62" s="412">
        <f>IF(Summary!H24&gt;0,Summary!H24/Summary!H$35,0)</f>
        <v>0.02587745858</v>
      </c>
      <c r="I62" s="412">
        <f>IF(Summary!I24&gt;0,Summary!I24/Summary!I$35,0)</f>
        <v>0.02507291318</v>
      </c>
      <c r="J62" s="412">
        <f>IF(Summary!J24&gt;0,Summary!J24/Summary!J$35,0)</f>
        <v>0.02487152237</v>
      </c>
      <c r="K62" s="412">
        <f>IF(Summary!K24&gt;0,Summary!K24/Summary!K$35,0)</f>
        <v>0.02473780113</v>
      </c>
      <c r="L62" s="412">
        <f>IF(Summary!L24&gt;0,Summary!L24/Summary!L$35,0)</f>
        <v>0.02444486531</v>
      </c>
      <c r="M62" s="357"/>
      <c r="N62" s="357"/>
      <c r="O62" s="357"/>
      <c r="P62" s="357"/>
      <c r="Q62" s="357"/>
      <c r="R62" s="357"/>
      <c r="S62" s="357"/>
      <c r="T62" s="357"/>
      <c r="U62" s="357"/>
      <c r="V62" s="357"/>
      <c r="W62" s="357"/>
      <c r="X62" s="357"/>
      <c r="Y62" s="357"/>
      <c r="Z62" s="357"/>
    </row>
    <row r="63" ht="12.75" customHeight="1">
      <c r="A63" s="111">
        <f t="shared" si="1"/>
        <v>63</v>
      </c>
      <c r="B63" s="30" t="str">
        <f>+Summary!B25</f>
        <v>"Replication &amp; Expansion" start-up funds</v>
      </c>
      <c r="C63" s="128">
        <f>IFERROR(Summary!C25/Summary!C$35,)</f>
        <v>0</v>
      </c>
      <c r="D63" s="128"/>
      <c r="E63" s="128"/>
      <c r="F63" s="412">
        <f>IF(Summary!F25&gt;0,Summary!F25/Summary!F$35,0)</f>
        <v>0</v>
      </c>
      <c r="G63" s="412">
        <f>IF(Summary!G25&gt;0,Summary!G25/Summary!G$35,0)</f>
        <v>0</v>
      </c>
      <c r="H63" s="412">
        <f>IF(Summary!H25&gt;0,Summary!H25/Summary!H$35,0)</f>
        <v>0</v>
      </c>
      <c r="I63" s="412">
        <f>IF(Summary!I25&gt;0,Summary!I25/Summary!I$35,0)</f>
        <v>0</v>
      </c>
      <c r="J63" s="412">
        <f>IF(Summary!J25&gt;0,Summary!J25/Summary!J$35,0)</f>
        <v>0</v>
      </c>
      <c r="K63" s="412">
        <f>IF(Summary!K25&gt;0,Summary!K25/Summary!K$35,0)</f>
        <v>0</v>
      </c>
      <c r="L63" s="412">
        <f>IF(Summary!L25&gt;0,Summary!L25/Summary!L$35,0)</f>
        <v>0</v>
      </c>
      <c r="M63" s="357"/>
      <c r="N63" s="357"/>
      <c r="O63" s="357"/>
      <c r="P63" s="357"/>
      <c r="Q63" s="357"/>
      <c r="R63" s="357"/>
      <c r="S63" s="357"/>
      <c r="T63" s="357"/>
      <c r="U63" s="357"/>
      <c r="V63" s="357"/>
      <c r="W63" s="357"/>
      <c r="X63" s="357"/>
      <c r="Y63" s="357"/>
      <c r="Z63" s="357"/>
    </row>
    <row r="64" ht="12.75" customHeight="1">
      <c r="A64" s="111">
        <f t="shared" si="1"/>
        <v>64</v>
      </c>
      <c r="B64" s="30" t="str">
        <f>+Summary!B26</f>
        <v>Charter School Program (CSP) Grant (w/letter)</v>
      </c>
      <c r="C64" s="128">
        <f>IFERROR(Summary!C26/Summary!C$35,)</f>
        <v>0</v>
      </c>
      <c r="D64" s="128"/>
      <c r="E64" s="128"/>
      <c r="F64" s="412">
        <f>IF(Summary!F26&gt;0,Summary!F26/Summary!F$35,0)</f>
        <v>0</v>
      </c>
      <c r="G64" s="412">
        <f>IF(Summary!G26&gt;0,Summary!G26/Summary!G$35,0)</f>
        <v>0</v>
      </c>
      <c r="H64" s="412">
        <f>IF(Summary!H26&gt;0,Summary!H26/Summary!H$35,0)</f>
        <v>0</v>
      </c>
      <c r="I64" s="412">
        <f>IF(Summary!I26&gt;0,Summary!I26/Summary!I$35,0)</f>
        <v>0</v>
      </c>
      <c r="J64" s="412">
        <f>IF(Summary!J26&gt;0,Summary!J26/Summary!J$35,0)</f>
        <v>0</v>
      </c>
      <c r="K64" s="412">
        <f>IF(Summary!K26&gt;0,Summary!K26/Summary!K$35,0)</f>
        <v>0</v>
      </c>
      <c r="L64" s="412">
        <f>IF(Summary!L26&gt;0,Summary!L26/Summary!L$35,0)</f>
        <v>0</v>
      </c>
      <c r="M64" s="357"/>
      <c r="N64" s="357"/>
      <c r="O64" s="357"/>
      <c r="P64" s="357"/>
      <c r="Q64" s="357"/>
      <c r="R64" s="357"/>
      <c r="S64" s="357"/>
      <c r="T64" s="357"/>
      <c r="U64" s="357"/>
      <c r="V64" s="357"/>
      <c r="W64" s="357"/>
      <c r="X64" s="357"/>
      <c r="Y64" s="357"/>
      <c r="Z64" s="357"/>
    </row>
    <row r="65" ht="12.75" customHeight="1">
      <c r="A65" s="111">
        <f t="shared" si="1"/>
        <v>65</v>
      </c>
      <c r="B65" s="30" t="str">
        <f>+Summary!B27</f>
        <v>Other start-up funds (incl' SEA grants)</v>
      </c>
      <c r="C65" s="128">
        <f>IFERROR(Summary!C27/Summary!C$35,)</f>
        <v>0</v>
      </c>
      <c r="D65" s="128"/>
      <c r="E65" s="128"/>
      <c r="F65" s="412">
        <f>IF(Summary!F27&gt;0,Summary!F27/Summary!F$35,0)</f>
        <v>0</v>
      </c>
      <c r="G65" s="412">
        <f>IF(Summary!G27&gt;0,Summary!G27/Summary!G$35,0)</f>
        <v>0</v>
      </c>
      <c r="H65" s="412">
        <f>IF(Summary!H27&gt;0,Summary!H27/Summary!H$35,0)</f>
        <v>0</v>
      </c>
      <c r="I65" s="412">
        <f>IF(Summary!I27&gt;0,Summary!I27/Summary!I$35,0)</f>
        <v>0</v>
      </c>
      <c r="J65" s="412">
        <f>IF(Summary!J27&gt;0,Summary!J27/Summary!J$35,0)</f>
        <v>0</v>
      </c>
      <c r="K65" s="412">
        <f>IF(Summary!K27&gt;0,Summary!K27/Summary!K$35,0)</f>
        <v>0</v>
      </c>
      <c r="L65" s="412">
        <f>IF(Summary!L27&gt;0,Summary!L27/Summary!L$35,0)</f>
        <v>0</v>
      </c>
      <c r="M65" s="357"/>
      <c r="N65" s="357"/>
      <c r="O65" s="357"/>
      <c r="P65" s="357"/>
      <c r="Q65" s="357"/>
      <c r="R65" s="357"/>
      <c r="S65" s="357"/>
      <c r="T65" s="357"/>
      <c r="U65" s="357"/>
      <c r="V65" s="357"/>
      <c r="W65" s="357"/>
      <c r="X65" s="357"/>
      <c r="Y65" s="357"/>
      <c r="Z65" s="357"/>
    </row>
    <row r="66" ht="12.75" customHeight="1">
      <c r="A66" s="111">
        <f t="shared" si="1"/>
        <v>66</v>
      </c>
      <c r="B66" s="30" t="str">
        <f>+Summary!B28</f>
        <v>Student fees (Net)</v>
      </c>
      <c r="C66" s="128">
        <f>IFERROR(Summary!C28/Summary!C$35,)</f>
        <v>0.008799284862</v>
      </c>
      <c r="D66" s="128"/>
      <c r="E66" s="128"/>
      <c r="F66" s="412">
        <f>IF(Summary!F28&gt;0,Summary!F28/Summary!F$35,0)</f>
        <v>0.009583767617</v>
      </c>
      <c r="G66" s="412">
        <f>IF(Summary!G28&gt;0,Summary!G28/Summary!G$35,0)</f>
        <v>0.009075372361</v>
      </c>
      <c r="H66" s="412">
        <f>IF(Summary!H28&gt;0,Summary!H28/Summary!H$35,0)</f>
        <v>0.008911044709</v>
      </c>
      <c r="I66" s="412">
        <f>IF(Summary!I28&gt;0,Summary!I28/Summary!I$35,0)</f>
        <v>0.008633995089</v>
      </c>
      <c r="J66" s="412">
        <f>IF(Summary!J28&gt;0,Summary!J28/Summary!J$35,0)</f>
        <v>0.008564645062</v>
      </c>
      <c r="K66" s="412">
        <f>IF(Summary!K28&gt;0,Summary!K28/Summary!K$35,0)</f>
        <v>0.008518597419</v>
      </c>
      <c r="L66" s="412">
        <f>IF(Summary!L28&gt;0,Summary!L28/Summary!L$35,0)</f>
        <v>0.008417723365</v>
      </c>
      <c r="M66" s="357"/>
      <c r="N66" s="357"/>
      <c r="O66" s="357"/>
      <c r="P66" s="357"/>
      <c r="Q66" s="357"/>
      <c r="R66" s="357"/>
      <c r="S66" s="357"/>
      <c r="T66" s="357"/>
      <c r="U66" s="357"/>
      <c r="V66" s="357"/>
      <c r="W66" s="357"/>
      <c r="X66" s="357"/>
      <c r="Y66" s="357"/>
      <c r="Z66" s="357"/>
    </row>
    <row r="67" ht="12.75" customHeight="1">
      <c r="A67" s="111">
        <f t="shared" si="1"/>
        <v>67</v>
      </c>
      <c r="B67" s="30" t="str">
        <f>+Summary!B29</f>
        <v>Food Services</v>
      </c>
      <c r="C67" s="128">
        <f>IFERROR(Summary!C29/Summary!C$35,)</f>
        <v>0</v>
      </c>
      <c r="D67" s="128"/>
      <c r="E67" s="128"/>
      <c r="F67" s="412">
        <f>IF(Summary!F29&gt;0,Summary!F29/Summary!F$35,0)</f>
        <v>0</v>
      </c>
      <c r="G67" s="412">
        <f>IF(Summary!G29&gt;0,Summary!G29/Summary!G$35,0)</f>
        <v>0</v>
      </c>
      <c r="H67" s="412">
        <f>IF(Summary!H29&gt;0,Summary!H29/Summary!H$35,0)</f>
        <v>0</v>
      </c>
      <c r="I67" s="412">
        <f>IF(Summary!I29&gt;0,Summary!I29/Summary!I$35,0)</f>
        <v>0</v>
      </c>
      <c r="J67" s="412">
        <f>IF(Summary!J29&gt;0,Summary!J29/Summary!J$35,0)</f>
        <v>0</v>
      </c>
      <c r="K67" s="412">
        <f>IF(Summary!K29&gt;0,Summary!K29/Summary!K$35,0)</f>
        <v>0</v>
      </c>
      <c r="L67" s="412">
        <f>IF(Summary!L29&gt;0,Summary!L29/Summary!L$35,0)</f>
        <v>0</v>
      </c>
      <c r="M67" s="357"/>
      <c r="N67" s="357"/>
      <c r="O67" s="357"/>
      <c r="P67" s="357"/>
      <c r="Q67" s="357"/>
      <c r="R67" s="357"/>
      <c r="S67" s="357"/>
      <c r="T67" s="357"/>
      <c r="U67" s="357"/>
      <c r="V67" s="357"/>
      <c r="W67" s="357"/>
      <c r="X67" s="357"/>
      <c r="Y67" s="357"/>
      <c r="Z67" s="357"/>
    </row>
    <row r="68" ht="12.75" customHeight="1">
      <c r="A68" s="111">
        <f t="shared" si="1"/>
        <v>68</v>
      </c>
      <c r="B68" s="30" t="str">
        <f>+Summary!B30</f>
        <v>Transportation</v>
      </c>
      <c r="C68" s="128">
        <f>IFERROR(Summary!C30/Summary!C$35,)</f>
        <v>0</v>
      </c>
      <c r="D68" s="128"/>
      <c r="E68" s="128"/>
      <c r="F68" s="412">
        <f>IF(Summary!F30&gt;0,Summary!F30/Summary!F$35,0)</f>
        <v>0</v>
      </c>
      <c r="G68" s="412">
        <f>IF(Summary!G30&gt;0,Summary!G30/Summary!G$35,0)</f>
        <v>0</v>
      </c>
      <c r="H68" s="412">
        <f>IF(Summary!H30&gt;0,Summary!H30/Summary!H$35,0)</f>
        <v>0</v>
      </c>
      <c r="I68" s="412">
        <f>IF(Summary!I30&gt;0,Summary!I30/Summary!I$35,0)</f>
        <v>0</v>
      </c>
      <c r="J68" s="412">
        <f>IF(Summary!J30&gt;0,Summary!J30/Summary!J$35,0)</f>
        <v>0</v>
      </c>
      <c r="K68" s="412">
        <f>IF(Summary!K30&gt;0,Summary!K30/Summary!K$35,0)</f>
        <v>0</v>
      </c>
      <c r="L68" s="412">
        <f>IF(Summary!L30&gt;0,Summary!L30/Summary!L$35,0)</f>
        <v>0</v>
      </c>
      <c r="M68" s="357"/>
      <c r="N68" s="357"/>
      <c r="O68" s="357"/>
      <c r="P68" s="357"/>
      <c r="Q68" s="357"/>
      <c r="R68" s="357"/>
      <c r="S68" s="357"/>
      <c r="T68" s="357"/>
      <c r="U68" s="357"/>
      <c r="V68" s="357"/>
      <c r="W68" s="357"/>
      <c r="X68" s="357"/>
      <c r="Y68" s="357"/>
      <c r="Z68" s="357"/>
    </row>
    <row r="69" ht="12.75" customHeight="1">
      <c r="A69" s="111">
        <f t="shared" si="1"/>
        <v>69</v>
      </c>
      <c r="B69" s="30" t="str">
        <f>+Summary!B31</f>
        <v>Investment Income</v>
      </c>
      <c r="C69" s="128">
        <f>IFERROR(Summary!C31/Summary!C$35,)</f>
        <v>0.02263615404</v>
      </c>
      <c r="D69" s="128"/>
      <c r="E69" s="128"/>
      <c r="F69" s="412">
        <f>IF(Summary!F31&gt;0,Summary!F31/Summary!F$35,0)</f>
        <v>0.02332157399</v>
      </c>
      <c r="G69" s="412">
        <f>IF(Summary!G31&gt;0,Summary!G31/Summary!G$35,0)</f>
        <v>0.02208442196</v>
      </c>
      <c r="H69" s="412">
        <f>IF(Summary!H31&gt;0,Summary!H31/Summary!H$35,0)</f>
        <v>0.02168453961</v>
      </c>
      <c r="I69" s="412">
        <f>IF(Summary!I31&gt;0,Summary!I31/Summary!I$35,0)</f>
        <v>0.02241104483</v>
      </c>
      <c r="J69" s="412">
        <f>IF(Summary!J31&gt;0,Summary!J31/Summary!J$35,0)</f>
        <v>0.0222310347</v>
      </c>
      <c r="K69" s="412">
        <f>IF(Summary!K31&gt;0,Summary!K31/Summary!K$35,0)</f>
        <v>0.02349347936</v>
      </c>
      <c r="L69" s="412">
        <f>IF(Summary!L31&gt;0,Summary!L31/Summary!L$35,0)</f>
        <v>0.02321527834</v>
      </c>
      <c r="M69" s="357"/>
      <c r="N69" s="357"/>
      <c r="O69" s="357"/>
      <c r="P69" s="357"/>
      <c r="Q69" s="357"/>
      <c r="R69" s="357"/>
      <c r="S69" s="357"/>
      <c r="T69" s="357"/>
      <c r="U69" s="357"/>
      <c r="V69" s="357"/>
      <c r="W69" s="357"/>
      <c r="X69" s="357"/>
      <c r="Y69" s="357"/>
      <c r="Z69" s="357"/>
    </row>
    <row r="70" ht="12.75" customHeight="1">
      <c r="A70" s="111">
        <f t="shared" si="1"/>
        <v>70</v>
      </c>
      <c r="B70" s="30" t="str">
        <f>+Summary!B32</f>
        <v>School level fundraising</v>
      </c>
      <c r="C70" s="128">
        <f>IFERROR(Summary!C32/Summary!C$35,)</f>
        <v>0</v>
      </c>
      <c r="D70" s="128"/>
      <c r="E70" s="128"/>
      <c r="F70" s="412">
        <f>IF(Summary!F32&gt;0,Summary!F32/Summary!F$35,0)</f>
        <v>0</v>
      </c>
      <c r="G70" s="412">
        <f>IF(Summary!G32&gt;0,Summary!G32/Summary!G$35,0)</f>
        <v>0</v>
      </c>
      <c r="H70" s="412">
        <f>IF(Summary!H32&gt;0,Summary!H32/Summary!H$35,0)</f>
        <v>0</v>
      </c>
      <c r="I70" s="412">
        <f>IF(Summary!I32&gt;0,Summary!I32/Summary!I$35,0)</f>
        <v>0</v>
      </c>
      <c r="J70" s="412">
        <f>IF(Summary!J32&gt;0,Summary!J32/Summary!J$35,0)</f>
        <v>0</v>
      </c>
      <c r="K70" s="412">
        <f>IF(Summary!K32&gt;0,Summary!K32/Summary!K$35,0)</f>
        <v>0</v>
      </c>
      <c r="L70" s="412">
        <f>IF(Summary!L32&gt;0,Summary!L32/Summary!L$35,0)</f>
        <v>0</v>
      </c>
      <c r="M70" s="357"/>
      <c r="N70" s="357"/>
      <c r="O70" s="357"/>
      <c r="P70" s="357"/>
      <c r="Q70" s="357"/>
      <c r="R70" s="357"/>
      <c r="S70" s="357"/>
      <c r="T70" s="357"/>
      <c r="U70" s="357"/>
      <c r="V70" s="357"/>
      <c r="W70" s="357"/>
      <c r="X70" s="357"/>
      <c r="Y70" s="357"/>
      <c r="Z70" s="357"/>
    </row>
    <row r="71" ht="12.75" customHeight="1">
      <c r="A71" s="111">
        <f t="shared" si="1"/>
        <v>71</v>
      </c>
      <c r="B71" s="30" t="str">
        <f>+Summary!B33</f>
        <v>Private fundraising (foundations, corporate)</v>
      </c>
      <c r="C71" s="128">
        <f>IFERROR(Summary!C33/Summary!C$35,)</f>
        <v>0</v>
      </c>
      <c r="D71" s="128"/>
      <c r="E71" s="128"/>
      <c r="F71" s="412">
        <f>IF(Summary!F33&gt;0,Summary!F33/Summary!F$35,0)</f>
        <v>0</v>
      </c>
      <c r="G71" s="412">
        <f>IF(Summary!G33&gt;0,Summary!G33/Summary!G$35,0)</f>
        <v>0</v>
      </c>
      <c r="H71" s="412">
        <f>IF(Summary!H33&gt;0,Summary!H33/Summary!H$35,0)</f>
        <v>0</v>
      </c>
      <c r="I71" s="412">
        <f>IF(Summary!I33&gt;0,Summary!I33/Summary!I$35,0)</f>
        <v>0</v>
      </c>
      <c r="J71" s="412">
        <f>IF(Summary!J33&gt;0,Summary!J33/Summary!J$35,0)</f>
        <v>0</v>
      </c>
      <c r="K71" s="412">
        <f>IF(Summary!K33&gt;0,Summary!K33/Summary!K$35,0)</f>
        <v>0</v>
      </c>
      <c r="L71" s="412">
        <f>IF(Summary!L33&gt;0,Summary!L33/Summary!L$35,0)</f>
        <v>0</v>
      </c>
      <c r="M71" s="357"/>
      <c r="N71" s="357"/>
      <c r="O71" s="357"/>
      <c r="P71" s="357"/>
      <c r="Q71" s="357"/>
      <c r="R71" s="357"/>
      <c r="S71" s="357"/>
      <c r="T71" s="357"/>
      <c r="U71" s="357"/>
      <c r="V71" s="357"/>
      <c r="W71" s="357"/>
      <c r="X71" s="357"/>
      <c r="Y71" s="357"/>
      <c r="Z71" s="357"/>
    </row>
    <row r="72" ht="12.75" customHeight="1">
      <c r="A72" s="111">
        <f t="shared" si="1"/>
        <v>72</v>
      </c>
      <c r="B72" s="30" t="str">
        <f>+Summary!B34</f>
        <v>Private fundraising (individuals)</v>
      </c>
      <c r="C72" s="128">
        <f>IFERROR(Summary!C34/Summary!C$35,)</f>
        <v>0</v>
      </c>
      <c r="D72" s="128"/>
      <c r="E72" s="128"/>
      <c r="F72" s="412">
        <f>IF(Summary!F34&gt;0,Summary!F34/Summary!F$35,0)</f>
        <v>0</v>
      </c>
      <c r="G72" s="412">
        <f>IF(Summary!G34&gt;0,Summary!G34/Summary!G$35,0)</f>
        <v>0</v>
      </c>
      <c r="H72" s="412">
        <f>IF(Summary!H34&gt;0,Summary!H34/Summary!H$35,0)</f>
        <v>0</v>
      </c>
      <c r="I72" s="412">
        <f>IF(Summary!I34&gt;0,Summary!I34/Summary!I$35,0)</f>
        <v>0</v>
      </c>
      <c r="J72" s="412">
        <f>IF(Summary!J34&gt;0,Summary!J34/Summary!J$35,0)</f>
        <v>0</v>
      </c>
      <c r="K72" s="412">
        <f>IF(Summary!K34&gt;0,Summary!K34/Summary!K$35,0)</f>
        <v>0</v>
      </c>
      <c r="L72" s="412">
        <f>IF(Summary!L34&gt;0,Summary!L34/Summary!L$35,0)</f>
        <v>0</v>
      </c>
      <c r="M72" s="357"/>
      <c r="N72" s="357"/>
      <c r="O72" s="357"/>
      <c r="P72" s="357"/>
      <c r="Q72" s="357"/>
      <c r="R72" s="357"/>
      <c r="S72" s="357"/>
      <c r="T72" s="357"/>
      <c r="U72" s="357"/>
      <c r="V72" s="357"/>
      <c r="W72" s="357"/>
      <c r="X72" s="357"/>
      <c r="Y72" s="357"/>
      <c r="Z72" s="357"/>
    </row>
    <row r="73" ht="12.75" customHeight="1">
      <c r="A73" s="111">
        <f t="shared" si="1"/>
        <v>73</v>
      </c>
      <c r="B73" s="135" t="s">
        <v>184</v>
      </c>
      <c r="C73" s="137">
        <f>IFERROR(Summary!C35/Summary!C$35,0)</f>
        <v>1</v>
      </c>
      <c r="D73" s="137"/>
      <c r="E73" s="137"/>
      <c r="F73" s="413">
        <f>IF(Summary!F35&gt;0,Summary!F35/Summary!F$35,0)</f>
        <v>1</v>
      </c>
      <c r="G73" s="413">
        <f>IF(Summary!G35&gt;0,Summary!G35/Summary!G$35,0)</f>
        <v>1</v>
      </c>
      <c r="H73" s="413">
        <f>IF(Summary!H35&gt;0,Summary!H35/Summary!H$35,0)</f>
        <v>1</v>
      </c>
      <c r="I73" s="413">
        <f>IF(Summary!I35&gt;0,Summary!I35/Summary!I$35,0)</f>
        <v>1</v>
      </c>
      <c r="J73" s="413">
        <f>IF(Summary!J35&gt;0,Summary!J35/Summary!J$35,0)</f>
        <v>1</v>
      </c>
      <c r="K73" s="413">
        <f>IF(Summary!K35&gt;0,Summary!K35/Summary!K$35,0)</f>
        <v>1</v>
      </c>
      <c r="L73" s="413">
        <f>IF(Summary!L35&gt;0,Summary!L35/Summary!L$35,0)</f>
        <v>1</v>
      </c>
      <c r="M73" s="357"/>
      <c r="N73" s="357"/>
      <c r="O73" s="357"/>
      <c r="P73" s="357"/>
      <c r="Q73" s="357"/>
      <c r="R73" s="357"/>
      <c r="S73" s="357"/>
      <c r="T73" s="357"/>
      <c r="U73" s="357"/>
      <c r="V73" s="357"/>
      <c r="W73" s="357"/>
      <c r="X73" s="357"/>
      <c r="Y73" s="357"/>
      <c r="Z73" s="357"/>
    </row>
    <row r="74" ht="12.75" customHeight="1">
      <c r="A74" s="111">
        <f t="shared" si="1"/>
        <v>74</v>
      </c>
      <c r="B74" s="30"/>
      <c r="C74" s="141"/>
      <c r="D74" s="141"/>
      <c r="E74" s="141"/>
      <c r="F74" s="143"/>
      <c r="G74" s="143"/>
      <c r="H74" s="143"/>
      <c r="I74" s="143"/>
      <c r="J74" s="143"/>
      <c r="K74" s="143"/>
      <c r="L74" s="143"/>
      <c r="M74" s="357"/>
      <c r="N74" s="357"/>
      <c r="O74" s="357"/>
      <c r="P74" s="357"/>
      <c r="Q74" s="357"/>
      <c r="R74" s="357"/>
      <c r="S74" s="357"/>
      <c r="T74" s="357"/>
      <c r="U74" s="357"/>
      <c r="V74" s="357"/>
      <c r="W74" s="357"/>
      <c r="X74" s="357"/>
      <c r="Y74" s="357"/>
      <c r="Z74" s="357"/>
    </row>
    <row r="75" ht="12.75" customHeight="1">
      <c r="A75" s="111">
        <f t="shared" si="1"/>
        <v>75</v>
      </c>
      <c r="B75" s="414" t="s">
        <v>191</v>
      </c>
      <c r="C75" s="415"/>
      <c r="D75" s="415"/>
      <c r="E75" s="415"/>
      <c r="F75" s="416">
        <f>Summary!F$6</f>
        <v>0</v>
      </c>
      <c r="G75" s="416">
        <f>Summary!G$6</f>
        <v>1</v>
      </c>
      <c r="H75" s="416">
        <f>Summary!H$6</f>
        <v>2</v>
      </c>
      <c r="I75" s="416">
        <f>Summary!I$6</f>
        <v>3</v>
      </c>
      <c r="J75" s="416">
        <f>Summary!J$6</f>
        <v>4</v>
      </c>
      <c r="K75" s="416">
        <f>Summary!K$6</f>
        <v>5</v>
      </c>
      <c r="L75" s="416">
        <f>Summary!L$6</f>
        <v>6</v>
      </c>
      <c r="M75" s="357"/>
      <c r="N75" s="357"/>
      <c r="O75" s="357"/>
      <c r="P75" s="357"/>
      <c r="Q75" s="357"/>
      <c r="R75" s="357"/>
      <c r="S75" s="357"/>
      <c r="T75" s="357"/>
      <c r="U75" s="357"/>
      <c r="V75" s="357"/>
      <c r="W75" s="357"/>
      <c r="X75" s="357"/>
      <c r="Y75" s="357"/>
      <c r="Z75" s="357"/>
    </row>
    <row r="76" ht="12.75" customHeight="1">
      <c r="A76" s="111">
        <f t="shared" si="1"/>
        <v>76</v>
      </c>
      <c r="B76" s="63" t="s">
        <v>192</v>
      </c>
      <c r="C76" s="155">
        <f>IFERROR(Summary!C44/Summary!C$35,0)</f>
        <v>0.6571544332</v>
      </c>
      <c r="D76" s="155"/>
      <c r="E76" s="155"/>
      <c r="F76" s="417">
        <f>IFERROR(Summary!F44/Summary!F$35,0)</f>
        <v>0.6806377046</v>
      </c>
      <c r="G76" s="417">
        <f>IFERROR(Summary!G44/Summary!G$35,0)</f>
        <v>0.6614250178</v>
      </c>
      <c r="H76" s="417">
        <f>IFERROR(Summary!H44/Summary!H$35,0)</f>
        <v>0.6617094086</v>
      </c>
      <c r="I76" s="417">
        <f>IFERROR(Summary!I44/Summary!I$35,0)</f>
        <v>0.6391637833</v>
      </c>
      <c r="J76" s="417">
        <f>IFERROR(Summary!J44/Summary!J$35,0)</f>
        <v>0.6460106251</v>
      </c>
      <c r="K76" s="417">
        <f>IFERROR(Summary!K44/Summary!K$35,0)</f>
        <v>0.6546920112</v>
      </c>
      <c r="L76" s="417">
        <f>IFERROR(Summary!L44/Summary!L$35,0)</f>
        <v>0.6591903253</v>
      </c>
      <c r="M76" s="357"/>
      <c r="N76" s="357"/>
      <c r="O76" s="357"/>
      <c r="P76" s="357"/>
      <c r="Q76" s="357"/>
      <c r="R76" s="357"/>
      <c r="S76" s="357"/>
      <c r="T76" s="357"/>
      <c r="U76" s="357"/>
      <c r="V76" s="357"/>
      <c r="W76" s="357"/>
      <c r="X76" s="357"/>
      <c r="Y76" s="357"/>
      <c r="Z76" s="357"/>
    </row>
    <row r="77" ht="12.75" customHeight="1">
      <c r="A77" s="111">
        <f t="shared" si="1"/>
        <v>77</v>
      </c>
      <c r="B77" s="63" t="s">
        <v>193</v>
      </c>
      <c r="C77" s="155">
        <f>IFERROR(Summary!C45/Summary!C$35,0)</f>
        <v>0.116033413</v>
      </c>
      <c r="D77" s="155"/>
      <c r="E77" s="155"/>
      <c r="F77" s="417">
        <f>IFERROR(Summary!F45/Summary!F$35,0)</f>
        <v>0.1263780547</v>
      </c>
      <c r="G77" s="417">
        <f>IFERROR(Summary!G45/Summary!G$35,0)</f>
        <v>0.119674106</v>
      </c>
      <c r="H77" s="417">
        <f>IFERROR(Summary!H45/Summary!H$35,0)</f>
        <v>0.1175071685</v>
      </c>
      <c r="I77" s="417">
        <f>IFERROR(Summary!I45/Summary!I$35,0)</f>
        <v>0.1138538015</v>
      </c>
      <c r="J77" s="417">
        <f>IFERROR(Summary!J45/Summary!J$35,0)</f>
        <v>0.1129393043</v>
      </c>
      <c r="K77" s="417">
        <f>IFERROR(Summary!K45/Summary!K$35,0)</f>
        <v>0.1123320884</v>
      </c>
      <c r="L77" s="417">
        <f>IFERROR(Summary!L45/Summary!L$35,0)</f>
        <v>0.1110018937</v>
      </c>
      <c r="M77" s="357"/>
      <c r="N77" s="357"/>
      <c r="O77" s="357"/>
      <c r="P77" s="357"/>
      <c r="Q77" s="357"/>
      <c r="R77" s="357"/>
      <c r="S77" s="357"/>
      <c r="T77" s="357"/>
      <c r="U77" s="357"/>
      <c r="V77" s="357"/>
      <c r="W77" s="357"/>
      <c r="X77" s="357"/>
      <c r="Y77" s="357"/>
      <c r="Z77" s="357"/>
    </row>
    <row r="78" ht="12.75" customHeight="1">
      <c r="A78" s="111">
        <f t="shared" si="1"/>
        <v>78</v>
      </c>
      <c r="B78" s="63" t="s">
        <v>194</v>
      </c>
      <c r="C78" s="155">
        <f>IFERROR(Summary!C46/Summary!C$35,0)</f>
        <v>0.1497995069</v>
      </c>
      <c r="D78" s="155"/>
      <c r="E78" s="155"/>
      <c r="F78" s="417">
        <f>IFERROR(Summary!F46/Summary!F$35,0)</f>
        <v>0.148914479</v>
      </c>
      <c r="G78" s="417">
        <f>IFERROR(Summary!G46/Summary!G$35,0)</f>
        <v>0.1453180615</v>
      </c>
      <c r="H78" s="417">
        <f>IFERROR(Summary!H46/Summary!H$35,0)</f>
        <v>0.1470031313</v>
      </c>
      <c r="I78" s="417">
        <f>IFERROR(Summary!I46/Summary!I$35,0)</f>
        <v>0.1467542127</v>
      </c>
      <c r="J78" s="417">
        <f>IFERROR(Summary!J46/Summary!J$35,0)</f>
        <v>0.1499587652</v>
      </c>
      <c r="K78" s="417">
        <f>IFERROR(Summary!K46/Summary!K$35,0)</f>
        <v>0.1536356316</v>
      </c>
      <c r="L78" s="417">
        <f>IFERROR(Summary!L46/Summary!L$35,0)</f>
        <v>0.1563969057</v>
      </c>
      <c r="M78" s="357"/>
      <c r="N78" s="357"/>
      <c r="O78" s="357"/>
      <c r="P78" s="357"/>
      <c r="Q78" s="357"/>
      <c r="R78" s="357"/>
      <c r="S78" s="357"/>
      <c r="T78" s="357"/>
      <c r="U78" s="357"/>
      <c r="V78" s="357"/>
      <c r="W78" s="357"/>
      <c r="X78" s="357"/>
      <c r="Y78" s="357"/>
      <c r="Z78" s="357"/>
    </row>
    <row r="79" ht="12.75" customHeight="1">
      <c r="A79" s="111">
        <f t="shared" si="1"/>
        <v>79</v>
      </c>
      <c r="B79" s="63" t="s">
        <v>383</v>
      </c>
      <c r="C79" s="155">
        <f>IFERROR(Summary!C47/Summary!C$35,0)</f>
        <v>0</v>
      </c>
      <c r="D79" s="155"/>
      <c r="E79" s="155"/>
      <c r="F79" s="417">
        <f>IFERROR(Summary!F47/Summary!F$35,0)</f>
        <v>0</v>
      </c>
      <c r="G79" s="417">
        <f>IFERROR(Summary!G47/Summary!G$35,0)</f>
        <v>0</v>
      </c>
      <c r="H79" s="417">
        <f>IFERROR(Summary!H47/Summary!H$35,0)</f>
        <v>0</v>
      </c>
      <c r="I79" s="417">
        <f>IFERROR(Summary!I47/Summary!I$35,0)</f>
        <v>0</v>
      </c>
      <c r="J79" s="417">
        <f>IFERROR(Summary!J47/Summary!J$35,0)</f>
        <v>0</v>
      </c>
      <c r="K79" s="417">
        <f>IFERROR(Summary!K47/Summary!K$35,0)</f>
        <v>0</v>
      </c>
      <c r="L79" s="417">
        <f>IFERROR(Summary!L47/Summary!L$35,0)</f>
        <v>0</v>
      </c>
      <c r="M79" s="357"/>
      <c r="N79" s="357"/>
      <c r="O79" s="357"/>
      <c r="P79" s="357"/>
      <c r="Q79" s="357"/>
      <c r="R79" s="357"/>
      <c r="S79" s="357"/>
      <c r="T79" s="357"/>
      <c r="U79" s="357"/>
      <c r="V79" s="357"/>
      <c r="W79" s="357"/>
      <c r="X79" s="357"/>
      <c r="Y79" s="357"/>
      <c r="Z79" s="357"/>
    </row>
    <row r="80" ht="12.75" customHeight="1">
      <c r="A80" s="111">
        <f t="shared" si="1"/>
        <v>80</v>
      </c>
      <c r="B80" s="30" t="s">
        <v>196</v>
      </c>
      <c r="C80" s="155">
        <f>IFERROR(Summary!C48/Summary!C$35,0)</f>
        <v>0.00142750521</v>
      </c>
      <c r="D80" s="128"/>
      <c r="E80" s="128"/>
      <c r="F80" s="412">
        <f>IFERROR(Summary!F48/Summary!F$35,0)</f>
        <v>0.00186572592</v>
      </c>
      <c r="G80" s="412">
        <f>IFERROR(Summary!G48/Summary!G$35,0)</f>
        <v>0.001177835838</v>
      </c>
      <c r="H80" s="412">
        <f>IFERROR(Summary!H48/Summary!H$35,0)</f>
        <v>0.001445635974</v>
      </c>
      <c r="I80" s="412">
        <f>IFERROR(Summary!I48/Summary!I$35,0)</f>
        <v>0.001400690302</v>
      </c>
      <c r="J80" s="412">
        <f>IFERROR(Summary!J48/Summary!J$35,0)</f>
        <v>0.001389439669</v>
      </c>
      <c r="K80" s="412">
        <f>IFERROR(Summary!K48/Summary!K$35,0)</f>
        <v>0.001381969374</v>
      </c>
      <c r="L80" s="412">
        <f>IFERROR(Summary!L48/Summary!L$35,0)</f>
        <v>0.001365604608</v>
      </c>
      <c r="M80" s="357"/>
      <c r="N80" s="357"/>
      <c r="O80" s="357"/>
      <c r="P80" s="357"/>
      <c r="Q80" s="357"/>
      <c r="R80" s="357"/>
      <c r="S80" s="357"/>
      <c r="T80" s="357"/>
      <c r="U80" s="357"/>
      <c r="V80" s="357"/>
      <c r="W80" s="357"/>
      <c r="X80" s="357"/>
      <c r="Y80" s="357"/>
      <c r="Z80" s="357"/>
    </row>
    <row r="81" ht="12.75" customHeight="1">
      <c r="A81" s="111">
        <f t="shared" si="1"/>
        <v>81</v>
      </c>
      <c r="B81" s="30" t="s">
        <v>197</v>
      </c>
      <c r="C81" s="155">
        <f>IFERROR(Summary!C49/Summary!C$35,0)</f>
        <v>0.02850891659</v>
      </c>
      <c r="D81" s="128"/>
      <c r="E81" s="128"/>
      <c r="F81" s="412">
        <f>IFERROR(Summary!F49/Summary!F$35,0)</f>
        <v>0.0289521016</v>
      </c>
      <c r="G81" s="412">
        <f>IFERROR(Summary!G49/Summary!G$35,0)</f>
        <v>0.02834450166</v>
      </c>
      <c r="H81" s="412">
        <f>IFERROR(Summary!H49/Summary!H$35,0)</f>
        <v>0.0283050464</v>
      </c>
      <c r="I81" s="412">
        <f>IFERROR(Summary!I49/Summary!I$35,0)</f>
        <v>0.02959416288</v>
      </c>
      <c r="J81" s="412">
        <f>IFERROR(Summary!J49/Summary!J$35,0)</f>
        <v>0.02817718344</v>
      </c>
      <c r="K81" s="412">
        <f>IFERROR(Summary!K49/Summary!K$35,0)</f>
        <v>0.02813020773</v>
      </c>
      <c r="L81" s="412">
        <f>IFERROR(Summary!L49/Summary!L$35,0)</f>
        <v>0.02810694233</v>
      </c>
      <c r="M81" s="357"/>
      <c r="N81" s="357"/>
      <c r="O81" s="357"/>
      <c r="P81" s="357"/>
      <c r="Q81" s="357"/>
      <c r="R81" s="357"/>
      <c r="S81" s="357"/>
      <c r="T81" s="357"/>
      <c r="U81" s="357"/>
      <c r="V81" s="357"/>
      <c r="W81" s="357"/>
      <c r="X81" s="357"/>
      <c r="Y81" s="357"/>
      <c r="Z81" s="357"/>
    </row>
    <row r="82" ht="12.75" customHeight="1">
      <c r="A82" s="111">
        <f t="shared" si="1"/>
        <v>82</v>
      </c>
      <c r="B82" s="30" t="s">
        <v>178</v>
      </c>
      <c r="C82" s="155">
        <f>IFERROR(Summary!C50/Summary!C$35,0)</f>
        <v>0</v>
      </c>
      <c r="D82" s="128"/>
      <c r="E82" s="128"/>
      <c r="F82" s="412">
        <f>IFERROR(Summary!F50/Summary!F$35,0)</f>
        <v>0</v>
      </c>
      <c r="G82" s="412">
        <f>IFERROR(Summary!G50/Summary!G$35,0)</f>
        <v>0</v>
      </c>
      <c r="H82" s="412">
        <f>IFERROR(Summary!H50/Summary!H$35,0)</f>
        <v>0</v>
      </c>
      <c r="I82" s="412">
        <f>IFERROR(Summary!I50/Summary!I$35,0)</f>
        <v>0</v>
      </c>
      <c r="J82" s="412">
        <f>IFERROR(Summary!J50/Summary!J$35,0)</f>
        <v>0</v>
      </c>
      <c r="K82" s="412">
        <f>IFERROR(Summary!K50/Summary!K$35,0)</f>
        <v>0</v>
      </c>
      <c r="L82" s="412">
        <f>IFERROR(Summary!L50/Summary!L$35,0)</f>
        <v>0</v>
      </c>
      <c r="M82" s="357"/>
      <c r="N82" s="357"/>
      <c r="O82" s="357"/>
      <c r="P82" s="357"/>
      <c r="Q82" s="357"/>
      <c r="R82" s="357"/>
      <c r="S82" s="357"/>
      <c r="T82" s="357"/>
      <c r="U82" s="357"/>
      <c r="V82" s="357"/>
      <c r="W82" s="357"/>
      <c r="X82" s="357"/>
      <c r="Y82" s="357"/>
      <c r="Z82" s="357"/>
    </row>
    <row r="83" ht="12.75" customHeight="1">
      <c r="A83" s="111">
        <f t="shared" si="1"/>
        <v>83</v>
      </c>
      <c r="B83" s="30" t="s">
        <v>198</v>
      </c>
      <c r="C83" s="155">
        <f>IFERROR(Summary!C51/Summary!C$35,0)</f>
        <v>0.008952982292</v>
      </c>
      <c r="D83" s="128"/>
      <c r="E83" s="128"/>
      <c r="F83" s="412">
        <f>IFERROR(Summary!F51/Summary!F$35,0)</f>
        <v>0.009181540431</v>
      </c>
      <c r="G83" s="412">
        <f>IFERROR(Summary!G51/Summary!G$35,0)</f>
        <v>0.008868371983</v>
      </c>
      <c r="H83" s="412">
        <f>IFERROR(Summary!H51/Summary!H$35,0)</f>
        <v>0.008881948333</v>
      </c>
      <c r="I83" s="412">
        <f>IFERROR(Summary!I51/Summary!I$35,0)</f>
        <v>0.008777919404</v>
      </c>
      <c r="J83" s="412">
        <f>IFERROR(Summary!J51/Summary!J$35,0)</f>
        <v>0.008881561613</v>
      </c>
      <c r="K83" s="412">
        <f>IFERROR(Summary!K51/Summary!K$35,0)</f>
        <v>0.009010486277</v>
      </c>
      <c r="L83" s="412">
        <f>IFERROR(Summary!L51/Summary!L$35,0)</f>
        <v>0.009081863207</v>
      </c>
      <c r="M83" s="357"/>
      <c r="N83" s="357"/>
      <c r="O83" s="357"/>
      <c r="P83" s="357"/>
      <c r="Q83" s="357"/>
      <c r="R83" s="357"/>
      <c r="S83" s="357"/>
      <c r="T83" s="357"/>
      <c r="U83" s="357"/>
      <c r="V83" s="357"/>
      <c r="W83" s="357"/>
      <c r="X83" s="357"/>
      <c r="Y83" s="357"/>
      <c r="Z83" s="357"/>
    </row>
    <row r="84" ht="12.75" customHeight="1">
      <c r="A84" s="111">
        <f t="shared" si="1"/>
        <v>84</v>
      </c>
      <c r="B84" s="30" t="s">
        <v>384</v>
      </c>
      <c r="C84" s="418">
        <v>0.0</v>
      </c>
      <c r="D84" s="128"/>
      <c r="E84" s="128"/>
      <c r="F84" s="419">
        <v>0.0</v>
      </c>
      <c r="G84" s="419">
        <v>0.0</v>
      </c>
      <c r="H84" s="419">
        <v>0.0</v>
      </c>
      <c r="I84" s="419">
        <v>0.0</v>
      </c>
      <c r="J84" s="419">
        <v>0.0</v>
      </c>
      <c r="K84" s="419">
        <v>0.0</v>
      </c>
      <c r="L84" s="419">
        <v>0.0</v>
      </c>
      <c r="M84" s="357"/>
      <c r="N84" s="357"/>
      <c r="O84" s="357"/>
      <c r="P84" s="357"/>
      <c r="Q84" s="357"/>
      <c r="R84" s="357"/>
      <c r="S84" s="357"/>
      <c r="T84" s="357"/>
      <c r="U84" s="357"/>
      <c r="V84" s="357"/>
      <c r="W84" s="357"/>
      <c r="X84" s="357"/>
      <c r="Y84" s="357"/>
      <c r="Z84" s="357"/>
    </row>
    <row r="85" ht="12.75" customHeight="1">
      <c r="A85" s="111">
        <f t="shared" si="1"/>
        <v>85</v>
      </c>
      <c r="B85" s="420" t="s">
        <v>199</v>
      </c>
      <c r="C85" s="137">
        <f>IFERROR(Summary!C52/Summary!C$35,0)</f>
        <v>0.9618767572</v>
      </c>
      <c r="D85" s="137"/>
      <c r="E85" s="137"/>
      <c r="F85" s="413">
        <f>IFERROR(Summary!F52/Summary!F$35,0)</f>
        <v>0.9959296062</v>
      </c>
      <c r="G85" s="413">
        <f>IFERROR(Summary!G52/Summary!G$35,0)</f>
        <v>0.9648078948</v>
      </c>
      <c r="H85" s="413">
        <f>IFERROR(Summary!H52/Summary!H$35,0)</f>
        <v>0.9648523391</v>
      </c>
      <c r="I85" s="413">
        <f>IFERROR(Summary!I52/Summary!I$35,0)</f>
        <v>0.9395445701</v>
      </c>
      <c r="J85" s="413">
        <f>IFERROR(Summary!J52/Summary!J$35,0)</f>
        <v>0.9473568794</v>
      </c>
      <c r="K85" s="413">
        <f>IFERROR(Summary!K52/Summary!K$35,0)</f>
        <v>0.9591823946</v>
      </c>
      <c r="L85" s="413">
        <f>IFERROR(Summary!L52/Summary!L$35,0)</f>
        <v>0.9651435349</v>
      </c>
      <c r="M85" s="357"/>
      <c r="N85" s="357"/>
      <c r="O85" s="357"/>
      <c r="P85" s="357"/>
      <c r="Q85" s="357"/>
      <c r="R85" s="357"/>
      <c r="S85" s="357"/>
      <c r="T85" s="357"/>
      <c r="U85" s="357"/>
      <c r="V85" s="357"/>
      <c r="W85" s="357"/>
      <c r="X85" s="357"/>
      <c r="Y85" s="357"/>
      <c r="Z85" s="357"/>
    </row>
    <row r="86" ht="12.75" customHeight="1">
      <c r="A86" s="111">
        <f t="shared" si="1"/>
        <v>86</v>
      </c>
      <c r="B86" s="421" t="s">
        <v>385</v>
      </c>
      <c r="C86" s="169">
        <f>IFERROR(Summary!C55/Summary!C$35,0)</f>
        <v>0.03812324281</v>
      </c>
      <c r="D86" s="169"/>
      <c r="E86" s="169"/>
      <c r="F86" s="422">
        <f>IFERROR(Summary!F55/Summary!F$35,0)</f>
        <v>0.004070393805</v>
      </c>
      <c r="G86" s="422">
        <f>IFERROR(Summary!G55/Summary!G$35,0)</f>
        <v>0.03519210521</v>
      </c>
      <c r="H86" s="422">
        <f>IFERROR(Summary!H55/Summary!H$35,0)</f>
        <v>0.03514766093</v>
      </c>
      <c r="I86" s="422">
        <f>IFERROR(Summary!I55/Summary!I$35,0)</f>
        <v>0.06045542987</v>
      </c>
      <c r="J86" s="422">
        <f>IFERROR(Summary!J55/Summary!J$35,0)</f>
        <v>0.05264312063</v>
      </c>
      <c r="K86" s="422">
        <f>IFERROR(Summary!K55/Summary!K$35,0)</f>
        <v>0.04081760538</v>
      </c>
      <c r="L86" s="422">
        <f>IFERROR(Summary!L55/Summary!L$35,0)</f>
        <v>0.03485646511</v>
      </c>
      <c r="M86" s="357"/>
      <c r="N86" s="357"/>
      <c r="O86" s="357"/>
      <c r="P86" s="357"/>
      <c r="Q86" s="357"/>
      <c r="R86" s="357"/>
      <c r="S86" s="357"/>
      <c r="T86" s="357"/>
      <c r="U86" s="357"/>
      <c r="V86" s="357"/>
      <c r="W86" s="357"/>
      <c r="X86" s="357"/>
      <c r="Y86" s="357"/>
      <c r="Z86" s="357"/>
    </row>
    <row r="87" ht="12.75" customHeight="1">
      <c r="A87" s="111">
        <f t="shared" si="1"/>
        <v>87</v>
      </c>
      <c r="B87" s="164" t="s">
        <v>203</v>
      </c>
      <c r="C87" s="423"/>
      <c r="D87" s="423"/>
      <c r="E87" s="423"/>
      <c r="F87" s="144" t="str">
        <f>+Summary!F56</f>
        <v/>
      </c>
      <c r="G87" s="144">
        <f>+Summary!G56</f>
        <v>378.2103344</v>
      </c>
      <c r="H87" s="144">
        <f>+Summary!H56</f>
        <v>376.9448086</v>
      </c>
      <c r="I87" s="144">
        <f>+Summary!I56</f>
        <v>647.0939777</v>
      </c>
      <c r="J87" s="144">
        <f>+Summary!J56</f>
        <v>562.972094</v>
      </c>
      <c r="K87" s="144">
        <f>+Summary!K56</f>
        <v>436.9204859</v>
      </c>
      <c r="L87" s="144">
        <f>+Summary!L56</f>
        <v>372.6214032</v>
      </c>
      <c r="M87" s="357"/>
      <c r="N87" s="357"/>
      <c r="O87" s="357"/>
      <c r="P87" s="357"/>
      <c r="Q87" s="357"/>
      <c r="R87" s="357"/>
      <c r="S87" s="357"/>
      <c r="T87" s="357"/>
      <c r="U87" s="357"/>
      <c r="V87" s="357"/>
      <c r="W87" s="357"/>
      <c r="X87" s="357"/>
      <c r="Y87" s="357"/>
      <c r="Z87" s="357"/>
    </row>
    <row r="88" ht="12.75" customHeight="1">
      <c r="A88" s="111">
        <f t="shared" si="1"/>
        <v>88</v>
      </c>
      <c r="B88" s="30"/>
      <c r="C88" s="140"/>
      <c r="D88" s="140"/>
      <c r="E88" s="140"/>
      <c r="F88" s="142"/>
      <c r="G88" s="142"/>
      <c r="H88" s="142"/>
      <c r="I88" s="142"/>
      <c r="J88" s="142"/>
      <c r="K88" s="142"/>
      <c r="L88" s="142"/>
      <c r="M88" s="357"/>
      <c r="N88" s="357"/>
      <c r="O88" s="357"/>
      <c r="P88" s="357"/>
      <c r="Q88" s="357"/>
      <c r="R88" s="357"/>
      <c r="S88" s="357"/>
      <c r="T88" s="357"/>
      <c r="U88" s="357"/>
      <c r="V88" s="357"/>
      <c r="W88" s="357"/>
      <c r="X88" s="357"/>
      <c r="Y88" s="357"/>
      <c r="Z88" s="357"/>
    </row>
    <row r="89" ht="12.75" customHeight="1">
      <c r="A89" s="111">
        <f t="shared" si="1"/>
        <v>89</v>
      </c>
      <c r="B89" s="30" t="s">
        <v>386</v>
      </c>
      <c r="C89" s="174" t="str">
        <f>+C17</f>
        <v/>
      </c>
      <c r="D89" s="174"/>
      <c r="E89" s="174"/>
      <c r="F89" s="142">
        <f t="shared" ref="F89:L89" si="21">+F17</f>
        <v>26180.0113</v>
      </c>
      <c r="G89" s="142">
        <f t="shared" si="21"/>
        <v>265208.9426</v>
      </c>
      <c r="H89" s="142">
        <f t="shared" si="21"/>
        <v>508338.3442</v>
      </c>
      <c r="I89" s="142">
        <f t="shared" si="21"/>
        <v>939950.0273</v>
      </c>
      <c r="J89" s="142">
        <f t="shared" si="21"/>
        <v>1318830.247</v>
      </c>
      <c r="K89" s="142">
        <f t="shared" si="21"/>
        <v>1614188.495</v>
      </c>
      <c r="L89" s="142">
        <f t="shared" si="21"/>
        <v>1869434.156</v>
      </c>
      <c r="M89" s="357"/>
      <c r="N89" s="357"/>
      <c r="O89" s="357"/>
      <c r="P89" s="357"/>
      <c r="Q89" s="357"/>
      <c r="R89" s="357"/>
      <c r="S89" s="357"/>
      <c r="T89" s="357"/>
      <c r="U89" s="357"/>
      <c r="V89" s="357"/>
      <c r="W89" s="357"/>
      <c r="X89" s="357"/>
      <c r="Y89" s="357"/>
      <c r="Z89" s="357"/>
    </row>
    <row r="90" ht="12.75" customHeight="1">
      <c r="A90" s="111">
        <f t="shared" si="1"/>
        <v>90</v>
      </c>
      <c r="B90" s="30"/>
      <c r="C90" s="30"/>
      <c r="D90" s="30"/>
      <c r="E90" s="30"/>
      <c r="F90" s="211"/>
      <c r="G90" s="211"/>
      <c r="H90" s="211"/>
      <c r="I90" s="211"/>
      <c r="J90" s="211"/>
      <c r="K90" s="211"/>
      <c r="L90" s="211"/>
      <c r="M90" s="357"/>
      <c r="N90" s="357"/>
      <c r="O90" s="357"/>
      <c r="P90" s="357"/>
      <c r="Q90" s="357"/>
      <c r="R90" s="357"/>
      <c r="S90" s="357"/>
      <c r="T90" s="357"/>
      <c r="U90" s="357"/>
      <c r="V90" s="357"/>
      <c r="W90" s="357"/>
      <c r="X90" s="357"/>
      <c r="Y90" s="357"/>
      <c r="Z90" s="357"/>
    </row>
    <row r="91" ht="12.75" customHeight="1">
      <c r="A91" s="111">
        <f t="shared" si="1"/>
        <v>91</v>
      </c>
      <c r="B91" s="406" t="s">
        <v>387</v>
      </c>
      <c r="C91" s="407"/>
      <c r="D91" s="407"/>
      <c r="E91" s="407"/>
      <c r="F91" s="408">
        <f>Summary!F6</f>
        <v>0</v>
      </c>
      <c r="G91" s="424">
        <f>Summary!G6</f>
        <v>1</v>
      </c>
      <c r="H91" s="424">
        <f>Summary!H6</f>
        <v>2</v>
      </c>
      <c r="I91" s="424">
        <f>Summary!I6</f>
        <v>3</v>
      </c>
      <c r="J91" s="424">
        <f>Summary!J6</f>
        <v>4</v>
      </c>
      <c r="K91" s="424">
        <f>Summary!K6</f>
        <v>5</v>
      </c>
      <c r="L91" s="424">
        <f>Summary!L6</f>
        <v>6</v>
      </c>
      <c r="M91" s="357"/>
      <c r="N91" s="357"/>
      <c r="O91" s="357"/>
      <c r="P91" s="357"/>
      <c r="Q91" s="357"/>
      <c r="R91" s="357"/>
      <c r="S91" s="357"/>
      <c r="T91" s="357"/>
      <c r="U91" s="357"/>
      <c r="V91" s="357"/>
      <c r="W91" s="357"/>
      <c r="X91" s="357"/>
      <c r="Y91" s="357"/>
      <c r="Z91" s="357"/>
    </row>
    <row r="92" ht="12.75" customHeight="1">
      <c r="A92" s="111">
        <f t="shared" si="1"/>
        <v>92</v>
      </c>
      <c r="B92" s="425" t="s">
        <v>388</v>
      </c>
      <c r="C92" s="426" t="s">
        <v>389</v>
      </c>
      <c r="D92" s="427"/>
      <c r="E92" s="427"/>
      <c r="F92" s="428"/>
      <c r="G92" s="428"/>
      <c r="H92" s="428"/>
      <c r="I92" s="428"/>
      <c r="J92" s="428"/>
      <c r="K92" s="428"/>
      <c r="L92" s="428"/>
      <c r="M92" s="357"/>
      <c r="N92" s="357"/>
      <c r="O92" s="357"/>
      <c r="P92" s="357"/>
      <c r="Q92" s="357"/>
      <c r="R92" s="357"/>
      <c r="S92" s="357"/>
      <c r="T92" s="357"/>
      <c r="U92" s="357"/>
      <c r="V92" s="357"/>
      <c r="W92" s="357"/>
      <c r="X92" s="357"/>
      <c r="Y92" s="357"/>
      <c r="Z92" s="357"/>
    </row>
    <row r="93" ht="12.75" customHeight="1">
      <c r="A93" s="111">
        <f t="shared" si="1"/>
        <v>93</v>
      </c>
      <c r="B93" s="30" t="str">
        <f t="shared" ref="B93:B94" si="22">+B53</f>
        <v>State &amp; Local Revenue w/o St SpEd</v>
      </c>
      <c r="C93" s="153">
        <f t="shared" ref="C93:C108" si="23">AVERAGE(G93:L93)</f>
        <v>10073.63763</v>
      </c>
      <c r="D93" s="130"/>
      <c r="E93" s="128"/>
      <c r="F93" s="399"/>
      <c r="G93" s="399">
        <f>IFERROR(Summary!G15/G$20,0)</f>
        <v>10096.36652</v>
      </c>
      <c r="H93" s="399">
        <f>IFERROR(Summary!H15/H$20,0)</f>
        <v>10086.40819</v>
      </c>
      <c r="I93" s="399">
        <f>IFERROR(Summary!I15/I$20,0)</f>
        <v>10070.43994</v>
      </c>
      <c r="J93" s="399">
        <f>IFERROR(Summary!J15/J$20,0)</f>
        <v>10066.26615</v>
      </c>
      <c r="K93" s="399">
        <f>IFERROR(Summary!K15/K$20,0)</f>
        <v>10064.20704</v>
      </c>
      <c r="L93" s="399">
        <f>IFERROR(Summary!L15/L$20,0)</f>
        <v>10058.13793</v>
      </c>
      <c r="M93" s="357"/>
      <c r="N93" s="357"/>
      <c r="O93" s="357"/>
      <c r="P93" s="357"/>
      <c r="Q93" s="357"/>
      <c r="R93" s="357"/>
      <c r="S93" s="357"/>
      <c r="T93" s="357"/>
      <c r="U93" s="357"/>
      <c r="V93" s="357"/>
      <c r="W93" s="357"/>
      <c r="X93" s="357"/>
      <c r="Y93" s="357"/>
      <c r="Z93" s="357"/>
    </row>
    <row r="94" ht="12.75" customHeight="1">
      <c r="A94" s="111">
        <f t="shared" si="1"/>
        <v>94</v>
      </c>
      <c r="B94" s="30" t="str">
        <f t="shared" si="22"/>
        <v>CS Sponsorship Fee (Infl' Adj'd)</v>
      </c>
      <c r="C94" s="131">
        <f t="shared" si="23"/>
        <v>-117.675</v>
      </c>
      <c r="D94" s="131"/>
      <c r="E94" s="128"/>
      <c r="F94" s="133"/>
      <c r="G94" s="133">
        <f>IFERROR(Summary!G16/G$20,0)</f>
        <v>-117.675</v>
      </c>
      <c r="H94" s="133">
        <f>IFERROR(Summary!H16/H$20,0)</f>
        <v>-117.675</v>
      </c>
      <c r="I94" s="133">
        <f>IFERROR(Summary!I16/I$20,0)</f>
        <v>-117.675</v>
      </c>
      <c r="J94" s="133">
        <f>IFERROR(Summary!J16/J$20,0)</f>
        <v>-117.675</v>
      </c>
      <c r="K94" s="133">
        <f>IFERROR(Summary!K16/K$20,0)</f>
        <v>-117.675</v>
      </c>
      <c r="L94" s="133">
        <f>IFERROR(Summary!L16/L$20,0)</f>
        <v>-117.675</v>
      </c>
      <c r="M94" s="357"/>
      <c r="N94" s="357"/>
      <c r="O94" s="357"/>
      <c r="P94" s="357"/>
      <c r="Q94" s="357"/>
      <c r="R94" s="357"/>
      <c r="S94" s="357"/>
      <c r="T94" s="357"/>
      <c r="U94" s="357"/>
      <c r="V94" s="357"/>
      <c r="W94" s="357"/>
      <c r="X94" s="357"/>
      <c r="Y94" s="357"/>
      <c r="Z94" s="357"/>
    </row>
    <row r="95" ht="12.75" customHeight="1">
      <c r="A95" s="111">
        <f t="shared" si="1"/>
        <v>95</v>
      </c>
      <c r="B95" s="30" t="s">
        <v>172</v>
      </c>
      <c r="C95" s="131">
        <f t="shared" si="23"/>
        <v>270.2048447</v>
      </c>
      <c r="D95" s="131"/>
      <c r="E95" s="128"/>
      <c r="F95" s="133"/>
      <c r="G95" s="133">
        <f>IFERROR(Summary!G24/G$20,0)</f>
        <v>283.2341377</v>
      </c>
      <c r="H95" s="133">
        <f>IFERROR(Summary!H24/H$20,0)</f>
        <v>277.5255426</v>
      </c>
      <c r="I95" s="133">
        <f>IFERROR(Summary!I24/I$20,0)</f>
        <v>268.3717766</v>
      </c>
      <c r="J95" s="133">
        <f>IFERROR(Summary!J24/J$20,0)</f>
        <v>265.9791605</v>
      </c>
      <c r="K95" s="133">
        <f>IFERROR(Summary!K24/K$20,0)</f>
        <v>264.7987796</v>
      </c>
      <c r="L95" s="133">
        <f>IFERROR(Summary!L24/L$20,0)</f>
        <v>261.3196715</v>
      </c>
      <c r="M95" s="357"/>
      <c r="N95" s="357"/>
      <c r="O95" s="357"/>
      <c r="P95" s="357"/>
      <c r="Q95" s="357"/>
      <c r="R95" s="357"/>
      <c r="S95" s="357"/>
      <c r="T95" s="357"/>
      <c r="U95" s="357"/>
      <c r="V95" s="357"/>
      <c r="W95" s="357"/>
      <c r="X95" s="357"/>
      <c r="Y95" s="357"/>
      <c r="Z95" s="357"/>
    </row>
    <row r="96" ht="12.75" customHeight="1">
      <c r="A96" s="111">
        <f t="shared" si="1"/>
        <v>96</v>
      </c>
      <c r="B96" s="30" t="s">
        <v>165</v>
      </c>
      <c r="C96" s="131">
        <f t="shared" si="23"/>
        <v>0</v>
      </c>
      <c r="D96" s="131"/>
      <c r="E96" s="128"/>
      <c r="F96" s="133"/>
      <c r="G96" s="133">
        <f>IFERROR(Summary!G17/G$20,0)</f>
        <v>0</v>
      </c>
      <c r="H96" s="133">
        <f>IFERROR(Summary!H17/H$20,0)</f>
        <v>0</v>
      </c>
      <c r="I96" s="133">
        <f>IFERROR(Summary!I17/I$20,0)</f>
        <v>0</v>
      </c>
      <c r="J96" s="133">
        <f>IFERROR(Summary!J17/J$20,0)</f>
        <v>0</v>
      </c>
      <c r="K96" s="133">
        <f>IFERROR(Summary!K17/K$20,0)</f>
        <v>0</v>
      </c>
      <c r="L96" s="133">
        <f>IFERROR(Summary!L17/L$20,0)</f>
        <v>0</v>
      </c>
      <c r="M96" s="357"/>
      <c r="N96" s="357"/>
      <c r="O96" s="357"/>
      <c r="P96" s="357"/>
      <c r="Q96" s="357"/>
      <c r="R96" s="357"/>
      <c r="S96" s="357"/>
      <c r="T96" s="357"/>
      <c r="U96" s="357"/>
      <c r="V96" s="357"/>
      <c r="W96" s="357"/>
      <c r="X96" s="357"/>
      <c r="Y96" s="357"/>
      <c r="Z96" s="357"/>
    </row>
    <row r="97" ht="12.75" customHeight="1">
      <c r="A97" s="111">
        <f t="shared" si="1"/>
        <v>97</v>
      </c>
      <c r="B97" s="30" t="s">
        <v>166</v>
      </c>
      <c r="C97" s="131">
        <f t="shared" si="23"/>
        <v>0</v>
      </c>
      <c r="D97" s="131"/>
      <c r="E97" s="128"/>
      <c r="F97" s="133"/>
      <c r="G97" s="133">
        <f>IFERROR(Summary!G18/G$20,0)</f>
        <v>0</v>
      </c>
      <c r="H97" s="133">
        <f>IFERROR(Summary!H18/H$20,0)</f>
        <v>0</v>
      </c>
      <c r="I97" s="133">
        <f>IFERROR(Summary!I18/I$20,0)</f>
        <v>0</v>
      </c>
      <c r="J97" s="133">
        <f>IFERROR(Summary!J18/J$20,0)</f>
        <v>0</v>
      </c>
      <c r="K97" s="133">
        <f>IFERROR(Summary!K18/K$20,0)</f>
        <v>0</v>
      </c>
      <c r="L97" s="133">
        <f>IFERROR(Summary!L18/L$20,0)</f>
        <v>0</v>
      </c>
      <c r="M97" s="357"/>
      <c r="N97" s="357"/>
      <c r="O97" s="357"/>
      <c r="P97" s="357"/>
      <c r="Q97" s="357"/>
      <c r="R97" s="357"/>
      <c r="S97" s="357"/>
      <c r="T97" s="357"/>
      <c r="U97" s="357"/>
      <c r="V97" s="357"/>
      <c r="W97" s="357"/>
      <c r="X97" s="357"/>
      <c r="Y97" s="357"/>
      <c r="Z97" s="357"/>
    </row>
    <row r="98" ht="12.75" customHeight="1">
      <c r="A98" s="111">
        <f t="shared" si="1"/>
        <v>98</v>
      </c>
      <c r="B98" s="30" t="s">
        <v>167</v>
      </c>
      <c r="C98" s="131">
        <f t="shared" si="23"/>
        <v>0</v>
      </c>
      <c r="D98" s="131"/>
      <c r="E98" s="128"/>
      <c r="F98" s="133"/>
      <c r="G98" s="133">
        <f>IFERROR(Summary!G19/G$20,0)</f>
        <v>0</v>
      </c>
      <c r="H98" s="133">
        <f>IFERROR(Summary!H19/H$20,0)</f>
        <v>0</v>
      </c>
      <c r="I98" s="133">
        <f>IFERROR(Summary!I19/I$20,0)</f>
        <v>0</v>
      </c>
      <c r="J98" s="133">
        <f>IFERROR(Summary!J19/J$20,0)</f>
        <v>0</v>
      </c>
      <c r="K98" s="133">
        <f>IFERROR(Summary!K19/K$20,0)</f>
        <v>0</v>
      </c>
      <c r="L98" s="133">
        <f>IFERROR(Summary!L19/L$20,0)</f>
        <v>0</v>
      </c>
      <c r="M98" s="357"/>
      <c r="N98" s="357"/>
      <c r="O98" s="357"/>
      <c r="P98" s="357"/>
      <c r="Q98" s="357"/>
      <c r="R98" s="357"/>
      <c r="S98" s="357"/>
      <c r="T98" s="357"/>
      <c r="U98" s="357"/>
      <c r="V98" s="357"/>
      <c r="W98" s="357"/>
      <c r="X98" s="357"/>
      <c r="Y98" s="357"/>
      <c r="Z98" s="357"/>
    </row>
    <row r="99" ht="12.75" customHeight="1">
      <c r="A99" s="111">
        <f t="shared" si="1"/>
        <v>99</v>
      </c>
      <c r="B99" s="30" t="s">
        <v>169</v>
      </c>
      <c r="C99" s="131">
        <f t="shared" si="23"/>
        <v>0</v>
      </c>
      <c r="D99" s="131"/>
      <c r="E99" s="128"/>
      <c r="F99" s="133"/>
      <c r="G99" s="133">
        <f>IFERROR(Summary!G21/G$20,0)</f>
        <v>0</v>
      </c>
      <c r="H99" s="133">
        <f>IFERROR(Summary!H21/H$20,0)</f>
        <v>0</v>
      </c>
      <c r="I99" s="133">
        <f>IFERROR(Summary!I21/I$20,0)</f>
        <v>0</v>
      </c>
      <c r="J99" s="133">
        <f>IFERROR(Summary!J21/J$20,0)</f>
        <v>0</v>
      </c>
      <c r="K99" s="133">
        <f>IFERROR(Summary!K21/K$20,0)</f>
        <v>0</v>
      </c>
      <c r="L99" s="133">
        <f>IFERROR(Summary!L21/L$20,0)</f>
        <v>0</v>
      </c>
      <c r="M99" s="357"/>
      <c r="N99" s="357"/>
      <c r="O99" s="357"/>
      <c r="P99" s="357"/>
      <c r="Q99" s="357"/>
      <c r="R99" s="357"/>
      <c r="S99" s="357"/>
      <c r="T99" s="357"/>
      <c r="U99" s="357"/>
      <c r="V99" s="357"/>
      <c r="W99" s="357"/>
      <c r="X99" s="357"/>
      <c r="Y99" s="357"/>
      <c r="Z99" s="357"/>
    </row>
    <row r="100" ht="12.75" customHeight="1">
      <c r="A100" s="111">
        <f t="shared" si="1"/>
        <v>100</v>
      </c>
      <c r="B100" s="30" t="s">
        <v>170</v>
      </c>
      <c r="C100" s="131">
        <f t="shared" si="23"/>
        <v>0</v>
      </c>
      <c r="D100" s="131"/>
      <c r="E100" s="128"/>
      <c r="F100" s="133"/>
      <c r="G100" s="133">
        <f>IFERROR(Summary!G22/G$20,0)</f>
        <v>0</v>
      </c>
      <c r="H100" s="133">
        <f>IFERROR(Summary!H22/H$20,0)</f>
        <v>0</v>
      </c>
      <c r="I100" s="133">
        <f>IFERROR(Summary!I22/I$20,0)</f>
        <v>0</v>
      </c>
      <c r="J100" s="133">
        <f>IFERROR(Summary!J22/J$20,0)</f>
        <v>0</v>
      </c>
      <c r="K100" s="133">
        <f>IFERROR(Summary!K22/K$20,0)</f>
        <v>0</v>
      </c>
      <c r="L100" s="133">
        <f>IFERROR(Summary!L22/L$20,0)</f>
        <v>0</v>
      </c>
      <c r="M100" s="357"/>
      <c r="N100" s="357"/>
      <c r="O100" s="357"/>
      <c r="P100" s="357"/>
      <c r="Q100" s="357"/>
      <c r="R100" s="357"/>
      <c r="S100" s="357"/>
      <c r="T100" s="357"/>
      <c r="U100" s="357"/>
      <c r="V100" s="357"/>
      <c r="W100" s="357"/>
      <c r="X100" s="357"/>
      <c r="Y100" s="357"/>
      <c r="Z100" s="357"/>
    </row>
    <row r="101" ht="12.75" customHeight="1">
      <c r="A101" s="111">
        <f t="shared" si="1"/>
        <v>101</v>
      </c>
      <c r="B101" s="30" t="s">
        <v>171</v>
      </c>
      <c r="C101" s="131">
        <f t="shared" si="23"/>
        <v>150.2215</v>
      </c>
      <c r="D101" s="131"/>
      <c r="E101" s="128"/>
      <c r="F101" s="133"/>
      <c r="G101" s="133">
        <f>IFERROR(Summary!G23/G$20,0)</f>
        <v>150.2215</v>
      </c>
      <c r="H101" s="133">
        <f>IFERROR(Summary!H23/H$20,0)</f>
        <v>150.2215</v>
      </c>
      <c r="I101" s="133">
        <f>IFERROR(Summary!I23/I$20,0)</f>
        <v>150.2215</v>
      </c>
      <c r="J101" s="133">
        <f>IFERROR(Summary!J23/J$20,0)</f>
        <v>150.2215</v>
      </c>
      <c r="K101" s="133">
        <f>IFERROR(Summary!K23/K$20,0)</f>
        <v>150.2215</v>
      </c>
      <c r="L101" s="133">
        <f>IFERROR(Summary!L23/L$20,0)</f>
        <v>150.2215</v>
      </c>
      <c r="M101" s="357"/>
      <c r="N101" s="357"/>
      <c r="O101" s="357"/>
      <c r="P101" s="357"/>
      <c r="Q101" s="357"/>
      <c r="R101" s="357"/>
      <c r="S101" s="357"/>
      <c r="T101" s="357"/>
      <c r="U101" s="357"/>
      <c r="V101" s="357"/>
      <c r="W101" s="357"/>
      <c r="X101" s="357"/>
      <c r="Y101" s="357"/>
      <c r="Z101" s="357"/>
    </row>
    <row r="102" ht="12.75" customHeight="1">
      <c r="A102" s="111">
        <f t="shared" si="1"/>
        <v>102</v>
      </c>
      <c r="B102" s="30" t="s">
        <v>178</v>
      </c>
      <c r="C102" s="131">
        <f t="shared" si="23"/>
        <v>0</v>
      </c>
      <c r="D102" s="131"/>
      <c r="E102" s="128"/>
      <c r="F102" s="133"/>
      <c r="G102" s="133">
        <f>IFERROR(Summary!G30/G$20,0)</f>
        <v>0</v>
      </c>
      <c r="H102" s="133">
        <f>IFERROR(Summary!H30/H$20,0)</f>
        <v>0</v>
      </c>
      <c r="I102" s="133">
        <f>IFERROR(Summary!I30/I$20,0)</f>
        <v>0</v>
      </c>
      <c r="J102" s="133">
        <f>IFERROR(Summary!J30/J$20,0)</f>
        <v>0</v>
      </c>
      <c r="K102" s="133">
        <f>IFERROR(Summary!K30/K$20,0)</f>
        <v>0</v>
      </c>
      <c r="L102" s="133">
        <f>IFERROR(Summary!L30/L$20,0)</f>
        <v>0</v>
      </c>
      <c r="M102" s="357"/>
      <c r="N102" s="357"/>
      <c r="O102" s="357"/>
      <c r="P102" s="357"/>
      <c r="Q102" s="357"/>
      <c r="R102" s="357"/>
      <c r="S102" s="357"/>
      <c r="T102" s="357"/>
      <c r="U102" s="357"/>
      <c r="V102" s="357"/>
      <c r="W102" s="357"/>
      <c r="X102" s="357"/>
      <c r="Y102" s="357"/>
      <c r="Z102" s="357"/>
    </row>
    <row r="103" ht="12.75" customHeight="1">
      <c r="A103" s="111">
        <f t="shared" si="1"/>
        <v>103</v>
      </c>
      <c r="B103" s="30" t="s">
        <v>390</v>
      </c>
      <c r="C103" s="131">
        <f t="shared" si="23"/>
        <v>0</v>
      </c>
      <c r="D103" s="131"/>
      <c r="E103" s="128"/>
      <c r="F103" s="133"/>
      <c r="G103" s="133">
        <f>IFERROR(Summary!G25/G$20,0)</f>
        <v>0</v>
      </c>
      <c r="H103" s="133">
        <f>IFERROR(Summary!H25/H$20,0)</f>
        <v>0</v>
      </c>
      <c r="I103" s="133">
        <f>IFERROR(Summary!I25/I$20,0)</f>
        <v>0</v>
      </c>
      <c r="J103" s="133">
        <f>IFERROR(Summary!J25/J$20,0)</f>
        <v>0</v>
      </c>
      <c r="K103" s="133">
        <f>IFERROR(Summary!K25/K$20,0)</f>
        <v>0</v>
      </c>
      <c r="L103" s="133">
        <f>IFERROR(Summary!L25/L$20,0)</f>
        <v>0</v>
      </c>
      <c r="M103" s="357"/>
      <c r="N103" s="357"/>
      <c r="O103" s="357"/>
      <c r="P103" s="357"/>
      <c r="Q103" s="357"/>
      <c r="R103" s="357"/>
      <c r="S103" s="357"/>
      <c r="T103" s="357"/>
      <c r="U103" s="357"/>
      <c r="V103" s="357"/>
      <c r="W103" s="357"/>
      <c r="X103" s="357"/>
      <c r="Y103" s="357"/>
      <c r="Z103" s="357"/>
    </row>
    <row r="104" ht="12.75" customHeight="1">
      <c r="A104" s="111">
        <f t="shared" si="1"/>
        <v>104</v>
      </c>
      <c r="B104" s="30" t="s">
        <v>391</v>
      </c>
      <c r="C104" s="131">
        <f t="shared" si="23"/>
        <v>0</v>
      </c>
      <c r="D104" s="131"/>
      <c r="E104" s="128"/>
      <c r="F104" s="133"/>
      <c r="G104" s="133">
        <f>IFERROR(Summary!G27/G$20,0)</f>
        <v>0</v>
      </c>
      <c r="H104" s="133">
        <f>IFERROR(Summary!H27/H$20,0)</f>
        <v>0</v>
      </c>
      <c r="I104" s="133">
        <f>IFERROR(Summary!I27/I$20,0)</f>
        <v>0</v>
      </c>
      <c r="J104" s="133">
        <f>IFERROR(Summary!J27/J$20,0)</f>
        <v>0</v>
      </c>
      <c r="K104" s="133">
        <f>IFERROR(Summary!K27/K$20,0)</f>
        <v>0</v>
      </c>
      <c r="L104" s="133">
        <f>IFERROR(Summary!L27/L$20,0)</f>
        <v>0</v>
      </c>
      <c r="M104" s="357"/>
      <c r="N104" s="357"/>
      <c r="O104" s="357"/>
      <c r="P104" s="357"/>
      <c r="Q104" s="357"/>
      <c r="R104" s="357"/>
      <c r="S104" s="357"/>
      <c r="T104" s="357"/>
      <c r="U104" s="357"/>
      <c r="V104" s="357"/>
      <c r="W104" s="357"/>
      <c r="X104" s="357"/>
      <c r="Y104" s="357"/>
      <c r="Z104" s="357"/>
    </row>
    <row r="105" ht="12.75" customHeight="1">
      <c r="A105" s="111">
        <f t="shared" si="1"/>
        <v>105</v>
      </c>
      <c r="B105" s="30" t="s">
        <v>392</v>
      </c>
      <c r="C105" s="131">
        <f t="shared" si="23"/>
        <v>93.04651942</v>
      </c>
      <c r="D105" s="131"/>
      <c r="E105" s="128"/>
      <c r="F105" s="133"/>
      <c r="G105" s="133">
        <f>IFERROR(Summary!G28/G$20,0)</f>
        <v>97.53322785</v>
      </c>
      <c r="H105" s="133">
        <f>IFERROR(Summary!H28/H$20,0)</f>
        <v>95.56744186</v>
      </c>
      <c r="I105" s="133">
        <f>IFERROR(Summary!I28/I$20,0)</f>
        <v>92.41529235</v>
      </c>
      <c r="J105" s="133">
        <f>IFERROR(Summary!J28/J$20,0)</f>
        <v>91.59138187</v>
      </c>
      <c r="K105" s="133">
        <f>IFERROR(Summary!K28/K$20,0)</f>
        <v>91.18491124</v>
      </c>
      <c r="L105" s="133">
        <f>IFERROR(Summary!L28/L$20,0)</f>
        <v>89.98686131</v>
      </c>
      <c r="M105" s="357"/>
      <c r="N105" s="357"/>
      <c r="O105" s="357"/>
      <c r="P105" s="357"/>
      <c r="Q105" s="357"/>
      <c r="R105" s="357"/>
      <c r="S105" s="357"/>
      <c r="T105" s="357"/>
      <c r="U105" s="357"/>
      <c r="V105" s="357"/>
      <c r="W105" s="357"/>
      <c r="X105" s="357"/>
      <c r="Y105" s="357"/>
      <c r="Z105" s="357"/>
    </row>
    <row r="106" ht="12.75" customHeight="1">
      <c r="A106" s="111">
        <f t="shared" si="1"/>
        <v>106</v>
      </c>
      <c r="B106" s="30" t="s">
        <v>179</v>
      </c>
      <c r="C106" s="131">
        <f t="shared" si="23"/>
        <v>241.1959834</v>
      </c>
      <c r="D106" s="131"/>
      <c r="E106" s="128"/>
      <c r="F106" s="133"/>
      <c r="G106" s="133">
        <f>IFERROR(Summary!G31/G$20,0)</f>
        <v>237.3417722</v>
      </c>
      <c r="H106" s="133">
        <f>IFERROR(Summary!H31/H$20,0)</f>
        <v>232.5581395</v>
      </c>
      <c r="I106" s="133">
        <f>IFERROR(Summary!I31/I$20,0)</f>
        <v>239.88006</v>
      </c>
      <c r="J106" s="133">
        <f>IFERROR(Summary!J31/J$20,0)</f>
        <v>237.7414562</v>
      </c>
      <c r="K106" s="133">
        <f>IFERROR(Summary!K31/K$20,0)</f>
        <v>251.4792899</v>
      </c>
      <c r="L106" s="133">
        <f>IFERROR(Summary!L31/L$20,0)</f>
        <v>248.1751825</v>
      </c>
      <c r="M106" s="357"/>
      <c r="N106" s="357"/>
      <c r="O106" s="357"/>
      <c r="P106" s="357"/>
      <c r="Q106" s="357"/>
      <c r="R106" s="357"/>
      <c r="S106" s="357"/>
      <c r="T106" s="357"/>
      <c r="U106" s="357"/>
      <c r="V106" s="357"/>
      <c r="W106" s="357"/>
      <c r="X106" s="357"/>
      <c r="Y106" s="357"/>
      <c r="Z106" s="357"/>
    </row>
    <row r="107" ht="12.75" customHeight="1">
      <c r="A107" s="111">
        <f t="shared" si="1"/>
        <v>107</v>
      </c>
      <c r="B107" s="30" t="s">
        <v>180</v>
      </c>
      <c r="C107" s="131">
        <f t="shared" si="23"/>
        <v>0</v>
      </c>
      <c r="D107" s="131"/>
      <c r="E107" s="128"/>
      <c r="F107" s="133"/>
      <c r="G107" s="133">
        <f>IFERROR(Summary!G32/G$20,0)</f>
        <v>0</v>
      </c>
      <c r="H107" s="133">
        <f>IFERROR(Summary!H32/H$20,0)</f>
        <v>0</v>
      </c>
      <c r="I107" s="133">
        <f>IFERROR(Summary!I32/I$20,0)</f>
        <v>0</v>
      </c>
      <c r="J107" s="133">
        <f>IFERROR(Summary!J32/J$20,0)</f>
        <v>0</v>
      </c>
      <c r="K107" s="133">
        <f>IFERROR(Summary!K32/K$20,0)</f>
        <v>0</v>
      </c>
      <c r="L107" s="133">
        <f>IFERROR(Summary!L32/L$20,0)</f>
        <v>0</v>
      </c>
      <c r="M107" s="357"/>
      <c r="N107" s="357"/>
      <c r="O107" s="357"/>
      <c r="P107" s="357"/>
      <c r="Q107" s="357"/>
      <c r="R107" s="357"/>
      <c r="S107" s="357"/>
      <c r="T107" s="357"/>
      <c r="U107" s="357"/>
      <c r="V107" s="357"/>
      <c r="W107" s="357"/>
      <c r="X107" s="357"/>
      <c r="Y107" s="357"/>
      <c r="Z107" s="357"/>
    </row>
    <row r="108" ht="12.75" customHeight="1">
      <c r="A108" s="111">
        <f t="shared" si="1"/>
        <v>108</v>
      </c>
      <c r="B108" s="30" t="s">
        <v>181</v>
      </c>
      <c r="C108" s="131">
        <f t="shared" si="23"/>
        <v>0</v>
      </c>
      <c r="D108" s="131"/>
      <c r="E108" s="128"/>
      <c r="F108" s="133"/>
      <c r="G108" s="133">
        <f>IFERROR(Summary!G33/G$20,0)</f>
        <v>0</v>
      </c>
      <c r="H108" s="133">
        <f>IFERROR(Summary!H33/H$20,0)</f>
        <v>0</v>
      </c>
      <c r="I108" s="133">
        <f>IFERROR(Summary!I33/I$20,0)</f>
        <v>0</v>
      </c>
      <c r="J108" s="133">
        <f>IFERROR(Summary!J33/J$20,0)</f>
        <v>0</v>
      </c>
      <c r="K108" s="133">
        <f>IFERROR(Summary!K33/K$20,0)</f>
        <v>0</v>
      </c>
      <c r="L108" s="133">
        <f>IFERROR(Summary!L33/L$20,0)</f>
        <v>0</v>
      </c>
      <c r="M108" s="357"/>
      <c r="N108" s="357"/>
      <c r="O108" s="357"/>
      <c r="P108" s="357"/>
      <c r="Q108" s="357"/>
      <c r="R108" s="357"/>
      <c r="S108" s="357"/>
      <c r="T108" s="357"/>
      <c r="U108" s="357"/>
      <c r="V108" s="357"/>
      <c r="W108" s="357"/>
      <c r="X108" s="357"/>
      <c r="Y108" s="357"/>
      <c r="Z108" s="357"/>
    </row>
    <row r="109" ht="12.75" customHeight="1">
      <c r="A109" s="111">
        <f t="shared" si="1"/>
        <v>109</v>
      </c>
      <c r="B109" s="30" t="s">
        <v>183</v>
      </c>
      <c r="C109" s="429">
        <v>0.0</v>
      </c>
      <c r="D109" s="131"/>
      <c r="E109" s="128"/>
      <c r="F109" s="133"/>
      <c r="G109" s="430">
        <v>0.0</v>
      </c>
      <c r="H109" s="430">
        <v>0.0</v>
      </c>
      <c r="I109" s="430">
        <v>0.0</v>
      </c>
      <c r="J109" s="430">
        <v>0.0</v>
      </c>
      <c r="K109" s="430">
        <v>0.0</v>
      </c>
      <c r="L109" s="430">
        <v>0.0</v>
      </c>
      <c r="M109" s="357"/>
      <c r="N109" s="357"/>
      <c r="O109" s="357"/>
      <c r="P109" s="357"/>
      <c r="Q109" s="357"/>
      <c r="R109" s="357"/>
      <c r="S109" s="357"/>
      <c r="T109" s="357"/>
      <c r="U109" s="357"/>
      <c r="V109" s="357"/>
      <c r="W109" s="357"/>
      <c r="X109" s="357"/>
      <c r="Y109" s="357"/>
      <c r="Z109" s="357"/>
    </row>
    <row r="110" ht="12.75" customHeight="1">
      <c r="A110" s="111">
        <f t="shared" si="1"/>
        <v>110</v>
      </c>
      <c r="B110" s="63" t="s">
        <v>393</v>
      </c>
      <c r="C110" s="136">
        <f>AVERAGE(G110:L110)</f>
        <v>10710.63148</v>
      </c>
      <c r="D110" s="136"/>
      <c r="E110" s="136"/>
      <c r="F110" s="138"/>
      <c r="G110" s="138">
        <f t="shared" ref="G110:L110" si="24">SUM(G93:G109)</f>
        <v>10747.02216</v>
      </c>
      <c r="H110" s="138">
        <f t="shared" si="24"/>
        <v>10724.60581</v>
      </c>
      <c r="I110" s="138">
        <f t="shared" si="24"/>
        <v>10703.65357</v>
      </c>
      <c r="J110" s="138">
        <f t="shared" si="24"/>
        <v>10694.12465</v>
      </c>
      <c r="K110" s="138">
        <f t="shared" si="24"/>
        <v>10704.21652</v>
      </c>
      <c r="L110" s="138">
        <f t="shared" si="24"/>
        <v>10690.16614</v>
      </c>
      <c r="M110" s="357"/>
      <c r="N110" s="357"/>
      <c r="O110" s="357"/>
      <c r="P110" s="357"/>
      <c r="Q110" s="357"/>
      <c r="R110" s="357"/>
      <c r="S110" s="357"/>
      <c r="T110" s="357"/>
      <c r="U110" s="357"/>
      <c r="V110" s="357"/>
      <c r="W110" s="357"/>
      <c r="X110" s="357"/>
      <c r="Y110" s="357"/>
      <c r="Z110" s="357"/>
    </row>
    <row r="111" ht="12.75" customHeight="1">
      <c r="A111" s="111">
        <f t="shared" si="1"/>
        <v>111</v>
      </c>
      <c r="B111" s="30"/>
      <c r="C111" s="141"/>
      <c r="D111" s="141"/>
      <c r="E111" s="141"/>
      <c r="F111" s="211"/>
      <c r="G111" s="211"/>
      <c r="H111" s="211"/>
      <c r="I111" s="211"/>
      <c r="J111" s="211"/>
      <c r="K111" s="211"/>
      <c r="L111" s="211"/>
      <c r="M111" s="357"/>
      <c r="N111" s="357"/>
      <c r="O111" s="357"/>
      <c r="P111" s="357"/>
      <c r="Q111" s="357"/>
      <c r="R111" s="357"/>
      <c r="S111" s="357"/>
      <c r="T111" s="357"/>
      <c r="U111" s="357"/>
      <c r="V111" s="357"/>
      <c r="W111" s="357"/>
      <c r="X111" s="357"/>
      <c r="Y111" s="357"/>
      <c r="Z111" s="357"/>
    </row>
    <row r="112" ht="12.75" customHeight="1">
      <c r="A112" s="111">
        <f t="shared" si="1"/>
        <v>112</v>
      </c>
      <c r="B112" s="414" t="s">
        <v>394</v>
      </c>
      <c r="C112" s="415"/>
      <c r="D112" s="415"/>
      <c r="E112" s="415"/>
      <c r="F112" s="416">
        <f>Summary!F$6</f>
        <v>0</v>
      </c>
      <c r="G112" s="416">
        <f>Summary!G$6</f>
        <v>1</v>
      </c>
      <c r="H112" s="416">
        <f>Summary!H$6</f>
        <v>2</v>
      </c>
      <c r="I112" s="416">
        <f>Summary!I$6</f>
        <v>3</v>
      </c>
      <c r="J112" s="416">
        <f>Summary!J$6</f>
        <v>4</v>
      </c>
      <c r="K112" s="416">
        <f>Summary!K$6</f>
        <v>5</v>
      </c>
      <c r="L112" s="416">
        <f>Summary!L$6</f>
        <v>6</v>
      </c>
      <c r="M112" s="357"/>
      <c r="N112" s="357"/>
      <c r="O112" s="357"/>
      <c r="P112" s="357"/>
      <c r="Q112" s="357"/>
      <c r="R112" s="357"/>
      <c r="S112" s="357"/>
      <c r="T112" s="357"/>
      <c r="U112" s="357"/>
      <c r="V112" s="357"/>
      <c r="W112" s="357"/>
      <c r="X112" s="357"/>
      <c r="Y112" s="357"/>
      <c r="Z112" s="357"/>
    </row>
    <row r="113" ht="12.75" customHeight="1">
      <c r="A113" s="111">
        <f t="shared" si="1"/>
        <v>113</v>
      </c>
      <c r="B113" s="30" t="s">
        <v>192</v>
      </c>
      <c r="C113" s="127">
        <f t="shared" ref="C113:C120" si="25">AVERAGE(G113:L113)</f>
        <v>7001.607815</v>
      </c>
      <c r="D113" s="153"/>
      <c r="E113" s="128"/>
      <c r="F113" s="133"/>
      <c r="G113" s="133">
        <f>IFERROR(Summary!G44/G$20,0)</f>
        <v>7108.349321</v>
      </c>
      <c r="H113" s="133">
        <f>IFERROR(Summary!H44/H$20,0)</f>
        <v>7096.572568</v>
      </c>
      <c r="I113" s="133">
        <f>IFERROR(Summary!I44/I$20,0)</f>
        <v>6841.38771</v>
      </c>
      <c r="J113" s="133">
        <f>IFERROR(Summary!J44/J$20,0)</f>
        <v>6908.51815</v>
      </c>
      <c r="K113" s="133">
        <f>IFERROR(Summary!K44/K$20,0)</f>
        <v>7007.965043</v>
      </c>
      <c r="L113" s="133">
        <f>IFERROR(Summary!L44/L$20,0)</f>
        <v>7046.854097</v>
      </c>
      <c r="M113" s="357"/>
      <c r="N113" s="357"/>
      <c r="O113" s="357"/>
      <c r="P113" s="357"/>
      <c r="Q113" s="357"/>
      <c r="R113" s="357"/>
      <c r="S113" s="357"/>
      <c r="T113" s="357"/>
      <c r="U113" s="357"/>
      <c r="V113" s="357"/>
      <c r="W113" s="357"/>
      <c r="X113" s="357"/>
      <c r="Y113" s="357"/>
      <c r="Z113" s="357"/>
    </row>
    <row r="114" ht="12.75" customHeight="1">
      <c r="A114" s="111">
        <f t="shared" si="1"/>
        <v>114</v>
      </c>
      <c r="B114" s="30" t="s">
        <v>193</v>
      </c>
      <c r="C114" s="131">
        <f t="shared" si="25"/>
        <v>1226.975444</v>
      </c>
      <c r="D114" s="131"/>
      <c r="E114" s="128"/>
      <c r="F114" s="133"/>
      <c r="G114" s="133">
        <f>IFERROR(Summary!G45/G$20,0)</f>
        <v>1286.140269</v>
      </c>
      <c r="H114" s="133">
        <f>IFERROR(Summary!H45/H$20,0)</f>
        <v>1260.218062</v>
      </c>
      <c r="I114" s="133">
        <f>IFERROR(Summary!I45/I$20,0)</f>
        <v>1218.651649</v>
      </c>
      <c r="J114" s="133">
        <f>IFERROR(Summary!J45/J$20,0)</f>
        <v>1207.786999</v>
      </c>
      <c r="K114" s="133">
        <f>IFERROR(Summary!K45/K$20,0)</f>
        <v>1202.426997</v>
      </c>
      <c r="L114" s="133">
        <f>IFERROR(Summary!L45/L$20,0)</f>
        <v>1186.628686</v>
      </c>
      <c r="M114" s="357"/>
      <c r="N114" s="357"/>
      <c r="O114" s="357"/>
      <c r="P114" s="357"/>
      <c r="Q114" s="357"/>
      <c r="R114" s="357"/>
      <c r="S114" s="357"/>
      <c r="T114" s="357"/>
      <c r="U114" s="357"/>
      <c r="V114" s="357"/>
      <c r="W114" s="357"/>
      <c r="X114" s="357"/>
      <c r="Y114" s="357"/>
      <c r="Z114" s="357"/>
    </row>
    <row r="115" ht="12.75" customHeight="1">
      <c r="A115" s="111">
        <f t="shared" si="1"/>
        <v>115</v>
      </c>
      <c r="B115" s="30" t="s">
        <v>194</v>
      </c>
      <c r="C115" s="131">
        <f t="shared" si="25"/>
        <v>1604.871503</v>
      </c>
      <c r="D115" s="131"/>
      <c r="E115" s="128"/>
      <c r="F115" s="133"/>
      <c r="G115" s="133">
        <f>IFERROR(Summary!G46/G$20,0)</f>
        <v>1561.736427</v>
      </c>
      <c r="H115" s="133">
        <f>IFERROR(Summary!H46/H$20,0)</f>
        <v>1576.550636</v>
      </c>
      <c r="I115" s="133">
        <f>IFERROR(Summary!I46/I$20,0)</f>
        <v>1570.806252</v>
      </c>
      <c r="J115" s="133">
        <f>IFERROR(Summary!J46/J$20,0)</f>
        <v>1603.677728</v>
      </c>
      <c r="K115" s="133">
        <f>IFERROR(Summary!K46/K$20,0)</f>
        <v>1644.549066</v>
      </c>
      <c r="L115" s="133">
        <f>IFERROR(Summary!L46/L$20,0)</f>
        <v>1671.908906</v>
      </c>
      <c r="M115" s="357"/>
      <c r="N115" s="357"/>
      <c r="O115" s="357"/>
      <c r="P115" s="357"/>
      <c r="Q115" s="357"/>
      <c r="R115" s="357"/>
      <c r="S115" s="357"/>
      <c r="T115" s="357"/>
      <c r="U115" s="357"/>
      <c r="V115" s="357"/>
      <c r="W115" s="357"/>
      <c r="X115" s="357"/>
      <c r="Y115" s="357"/>
      <c r="Z115" s="357"/>
    </row>
    <row r="116" ht="12.75" customHeight="1">
      <c r="A116" s="111">
        <f t="shared" si="1"/>
        <v>116</v>
      </c>
      <c r="B116" s="30" t="s">
        <v>383</v>
      </c>
      <c r="C116" s="131">
        <f t="shared" si="25"/>
        <v>0</v>
      </c>
      <c r="D116" s="131"/>
      <c r="E116" s="128"/>
      <c r="F116" s="133"/>
      <c r="G116" s="133">
        <f>IFERROR(Summary!G47/G$20,0)</f>
        <v>0</v>
      </c>
      <c r="H116" s="133">
        <f>IFERROR(Summary!H47/H$20,0)</f>
        <v>0</v>
      </c>
      <c r="I116" s="133">
        <f>IFERROR(Summary!I47/I$20,0)</f>
        <v>0</v>
      </c>
      <c r="J116" s="133">
        <f>IFERROR(Summary!J47/J$20,0)</f>
        <v>0</v>
      </c>
      <c r="K116" s="133">
        <f>IFERROR(Summary!K47/K$20,0)</f>
        <v>0</v>
      </c>
      <c r="L116" s="133">
        <f>IFERROR(Summary!L47/L$20,0)</f>
        <v>0</v>
      </c>
      <c r="M116" s="357"/>
      <c r="N116" s="357"/>
      <c r="O116" s="357"/>
      <c r="P116" s="357"/>
      <c r="Q116" s="357"/>
      <c r="R116" s="357"/>
      <c r="S116" s="357"/>
      <c r="T116" s="357"/>
      <c r="U116" s="357"/>
      <c r="V116" s="357"/>
      <c r="W116" s="357"/>
      <c r="X116" s="357"/>
      <c r="Y116" s="357"/>
      <c r="Z116" s="357"/>
    </row>
    <row r="117" ht="12.75" customHeight="1">
      <c r="A117" s="111">
        <f t="shared" si="1"/>
        <v>117</v>
      </c>
      <c r="B117" s="30" t="s">
        <v>196</v>
      </c>
      <c r="C117" s="131">
        <f t="shared" si="25"/>
        <v>14.56748135</v>
      </c>
      <c r="D117" s="131"/>
      <c r="E117" s="128"/>
      <c r="F117" s="133"/>
      <c r="G117" s="133">
        <f>IFERROR(Summary!G48/G$20,0)</f>
        <v>12.65822785</v>
      </c>
      <c r="H117" s="133">
        <f>IFERROR(Summary!H48/H$20,0)</f>
        <v>15.50387597</v>
      </c>
      <c r="I117" s="133">
        <f>IFERROR(Summary!I48/I$20,0)</f>
        <v>14.99250375</v>
      </c>
      <c r="J117" s="133">
        <f>IFERROR(Summary!J48/J$20,0)</f>
        <v>14.85884101</v>
      </c>
      <c r="K117" s="133">
        <f>IFERROR(Summary!K48/K$20,0)</f>
        <v>14.79289941</v>
      </c>
      <c r="L117" s="133">
        <f>IFERROR(Summary!L48/L$20,0)</f>
        <v>14.59854015</v>
      </c>
      <c r="M117" s="357"/>
      <c r="N117" s="357"/>
      <c r="O117" s="357"/>
      <c r="P117" s="357"/>
      <c r="Q117" s="357"/>
      <c r="R117" s="357"/>
      <c r="S117" s="357"/>
      <c r="T117" s="357"/>
      <c r="U117" s="357"/>
      <c r="V117" s="357"/>
      <c r="W117" s="357"/>
      <c r="X117" s="357"/>
      <c r="Y117" s="357"/>
      <c r="Z117" s="357"/>
    </row>
    <row r="118" ht="12.75" customHeight="1">
      <c r="A118" s="111">
        <f t="shared" si="1"/>
        <v>118</v>
      </c>
      <c r="B118" s="30" t="s">
        <v>197</v>
      </c>
      <c r="C118" s="131">
        <f t="shared" si="25"/>
        <v>304.6425249</v>
      </c>
      <c r="D118" s="131"/>
      <c r="E118" s="128"/>
      <c r="F118" s="133"/>
      <c r="G118" s="133">
        <f>IFERROR(Summary!G49/G$20,0)</f>
        <v>304.6189873</v>
      </c>
      <c r="H118" s="133">
        <f>IFERROR(Summary!H49/H$20,0)</f>
        <v>303.5604651</v>
      </c>
      <c r="I118" s="133">
        <f>IFERROR(Summary!I49/I$20,0)</f>
        <v>316.7656672</v>
      </c>
      <c r="J118" s="133">
        <f>IFERROR(Summary!J49/J$20,0)</f>
        <v>301.330312</v>
      </c>
      <c r="K118" s="133">
        <f>IFERROR(Summary!K49/K$20,0)</f>
        <v>301.1118343</v>
      </c>
      <c r="L118" s="133">
        <f>IFERROR(Summary!L49/L$20,0)</f>
        <v>300.4678832</v>
      </c>
      <c r="M118" s="357"/>
      <c r="N118" s="357"/>
      <c r="O118" s="357"/>
      <c r="P118" s="357"/>
      <c r="Q118" s="357"/>
      <c r="R118" s="357"/>
      <c r="S118" s="357"/>
      <c r="T118" s="357"/>
      <c r="U118" s="357"/>
      <c r="V118" s="357"/>
      <c r="W118" s="357"/>
      <c r="X118" s="357"/>
      <c r="Y118" s="357"/>
      <c r="Z118" s="357"/>
    </row>
    <row r="119" ht="12.75" customHeight="1">
      <c r="A119" s="111">
        <f t="shared" si="1"/>
        <v>119</v>
      </c>
      <c r="B119" s="30" t="s">
        <v>178</v>
      </c>
      <c r="C119" s="131">
        <f t="shared" si="25"/>
        <v>0</v>
      </c>
      <c r="D119" s="131"/>
      <c r="E119" s="128"/>
      <c r="F119" s="133"/>
      <c r="G119" s="133">
        <f>IFERROR(Summary!G50/G$20,0)</f>
        <v>0</v>
      </c>
      <c r="H119" s="133">
        <f>IFERROR(Summary!H50/H$20,0)</f>
        <v>0</v>
      </c>
      <c r="I119" s="133">
        <f>IFERROR(Summary!I50/I$20,0)</f>
        <v>0</v>
      </c>
      <c r="J119" s="133">
        <f>IFERROR(Summary!J50/J$20,0)</f>
        <v>0</v>
      </c>
      <c r="K119" s="133">
        <f>IFERROR(Summary!K50/K$20,0)</f>
        <v>0</v>
      </c>
      <c r="L119" s="133">
        <f>IFERROR(Summary!L50/L$20,0)</f>
        <v>0</v>
      </c>
      <c r="M119" s="357"/>
      <c r="N119" s="357"/>
      <c r="O119" s="357"/>
      <c r="P119" s="357"/>
      <c r="Q119" s="357"/>
      <c r="R119" s="357"/>
      <c r="S119" s="357"/>
      <c r="T119" s="357"/>
      <c r="U119" s="357"/>
      <c r="V119" s="357"/>
      <c r="W119" s="357"/>
      <c r="X119" s="357"/>
      <c r="Y119" s="357"/>
      <c r="Z119" s="357"/>
    </row>
    <row r="120" ht="12.75" customHeight="1">
      <c r="A120" s="111">
        <f t="shared" si="1"/>
        <v>120</v>
      </c>
      <c r="B120" s="30" t="s">
        <v>198</v>
      </c>
      <c r="C120" s="131">
        <f t="shared" si="25"/>
        <v>95.50619048</v>
      </c>
      <c r="D120" s="131"/>
      <c r="E120" s="128"/>
      <c r="F120" s="133"/>
      <c r="G120" s="133">
        <f>IFERROR(Summary!G51/G$20,0)</f>
        <v>95.30859019</v>
      </c>
      <c r="H120" s="133">
        <f>IFERROR(Summary!H51/H$20,0)</f>
        <v>95.2553947</v>
      </c>
      <c r="I120" s="133">
        <f>IFERROR(Summary!I51/I$20,0)</f>
        <v>93.95580835</v>
      </c>
      <c r="J120" s="133">
        <f>IFERROR(Summary!J51/J$20,0)</f>
        <v>94.98052698</v>
      </c>
      <c r="K120" s="133">
        <f>IFERROR(Summary!K51/K$20,0)</f>
        <v>96.45019608</v>
      </c>
      <c r="L120" s="133">
        <f>IFERROR(Summary!L51/L$20,0)</f>
        <v>97.08662657</v>
      </c>
      <c r="M120" s="357"/>
      <c r="N120" s="357"/>
      <c r="O120" s="357"/>
      <c r="P120" s="357"/>
      <c r="Q120" s="357"/>
      <c r="R120" s="357"/>
      <c r="S120" s="357"/>
      <c r="T120" s="357"/>
      <c r="U120" s="357"/>
      <c r="V120" s="357"/>
      <c r="W120" s="357"/>
      <c r="X120" s="357"/>
      <c r="Y120" s="357"/>
      <c r="Z120" s="357"/>
    </row>
    <row r="121" ht="12.75" customHeight="1">
      <c r="A121" s="111">
        <f t="shared" si="1"/>
        <v>121</v>
      </c>
      <c r="B121" s="30" t="s">
        <v>384</v>
      </c>
      <c r="C121" s="429">
        <v>0.0</v>
      </c>
      <c r="D121" s="131"/>
      <c r="E121" s="128"/>
      <c r="F121" s="133"/>
      <c r="G121" s="430">
        <v>0.0</v>
      </c>
      <c r="H121" s="430">
        <v>0.0</v>
      </c>
      <c r="I121" s="430">
        <v>0.0</v>
      </c>
      <c r="J121" s="430">
        <v>0.0</v>
      </c>
      <c r="K121" s="430">
        <v>0.0</v>
      </c>
      <c r="L121" s="430">
        <v>0.0</v>
      </c>
      <c r="M121" s="357"/>
      <c r="N121" s="357"/>
      <c r="O121" s="357"/>
      <c r="P121" s="357"/>
      <c r="Q121" s="357"/>
      <c r="R121" s="357"/>
      <c r="S121" s="357"/>
      <c r="T121" s="357"/>
      <c r="U121" s="357"/>
      <c r="V121" s="357"/>
      <c r="W121" s="357"/>
      <c r="X121" s="357"/>
      <c r="Y121" s="357"/>
      <c r="Z121" s="357"/>
    </row>
    <row r="122" ht="12.75" customHeight="1">
      <c r="A122" s="111">
        <f t="shared" si="1"/>
        <v>122</v>
      </c>
      <c r="B122" s="63" t="s">
        <v>395</v>
      </c>
      <c r="C122" s="136">
        <f>AVERAGE(G122:L122)</f>
        <v>10248.17096</v>
      </c>
      <c r="D122" s="136"/>
      <c r="E122" s="136"/>
      <c r="F122" s="138"/>
      <c r="G122" s="138">
        <f t="shared" ref="G122:L122" si="26">SUM(G113:G121)</f>
        <v>10368.81182</v>
      </c>
      <c r="H122" s="138">
        <f t="shared" si="26"/>
        <v>10347.661</v>
      </c>
      <c r="I122" s="138">
        <f t="shared" si="26"/>
        <v>10056.55959</v>
      </c>
      <c r="J122" s="138">
        <f t="shared" si="26"/>
        <v>10131.15256</v>
      </c>
      <c r="K122" s="138">
        <f t="shared" si="26"/>
        <v>10267.29604</v>
      </c>
      <c r="L122" s="138">
        <f t="shared" si="26"/>
        <v>10317.54474</v>
      </c>
      <c r="M122" s="357"/>
      <c r="N122" s="357"/>
      <c r="O122" s="357"/>
      <c r="P122" s="357"/>
      <c r="Q122" s="357"/>
      <c r="R122" s="357"/>
      <c r="S122" s="357"/>
      <c r="T122" s="357"/>
      <c r="U122" s="357"/>
      <c r="V122" s="357"/>
      <c r="W122" s="357"/>
      <c r="X122" s="357"/>
      <c r="Y122" s="357"/>
      <c r="Z122" s="357"/>
    </row>
    <row r="123" ht="12.75" customHeight="1">
      <c r="A123" s="111">
        <f t="shared" si="1"/>
        <v>123</v>
      </c>
      <c r="B123" s="63"/>
      <c r="C123" s="154"/>
      <c r="D123" s="154"/>
      <c r="E123" s="155"/>
      <c r="F123" s="156"/>
      <c r="G123" s="156"/>
      <c r="H123" s="156"/>
      <c r="I123" s="156"/>
      <c r="J123" s="156"/>
      <c r="K123" s="156"/>
      <c r="L123" s="156"/>
      <c r="M123" s="357"/>
      <c r="N123" s="357"/>
      <c r="O123" s="357"/>
      <c r="P123" s="357"/>
      <c r="Q123" s="357"/>
      <c r="R123" s="357"/>
      <c r="S123" s="357"/>
      <c r="T123" s="357"/>
      <c r="U123" s="357"/>
      <c r="V123" s="357"/>
      <c r="W123" s="357"/>
      <c r="X123" s="357"/>
      <c r="Y123" s="357"/>
      <c r="Z123" s="357"/>
    </row>
    <row r="124" ht="12.75" customHeight="1">
      <c r="A124" s="111">
        <f t="shared" si="1"/>
        <v>124</v>
      </c>
      <c r="B124" s="421" t="s">
        <v>396</v>
      </c>
      <c r="C124" s="431">
        <f>C110-C122</f>
        <v>462.4605173</v>
      </c>
      <c r="D124" s="432"/>
      <c r="E124" s="432"/>
      <c r="F124" s="433"/>
      <c r="G124" s="434">
        <f t="shared" ref="G124:L124" si="27">G110-G122</f>
        <v>378.2103344</v>
      </c>
      <c r="H124" s="434">
        <f t="shared" si="27"/>
        <v>376.9448086</v>
      </c>
      <c r="I124" s="434">
        <f t="shared" si="27"/>
        <v>647.0939777</v>
      </c>
      <c r="J124" s="434">
        <f t="shared" si="27"/>
        <v>562.972094</v>
      </c>
      <c r="K124" s="434">
        <f t="shared" si="27"/>
        <v>436.9204859</v>
      </c>
      <c r="L124" s="434">
        <f t="shared" si="27"/>
        <v>372.6214032</v>
      </c>
      <c r="M124" s="357"/>
      <c r="N124" s="357"/>
      <c r="O124" s="357"/>
      <c r="P124" s="357"/>
      <c r="Q124" s="357"/>
      <c r="R124" s="357"/>
      <c r="S124" s="357"/>
      <c r="T124" s="357"/>
      <c r="U124" s="357"/>
      <c r="V124" s="357"/>
      <c r="W124" s="357"/>
      <c r="X124" s="357"/>
      <c r="Y124" s="357"/>
      <c r="Z124" s="357"/>
    </row>
    <row r="125" ht="12.75" customHeight="1">
      <c r="A125" s="111">
        <f t="shared" si="1"/>
        <v>125</v>
      </c>
      <c r="B125" s="164" t="s">
        <v>397</v>
      </c>
      <c r="C125" s="165"/>
      <c r="D125" s="165"/>
      <c r="E125" s="165"/>
      <c r="F125" s="435"/>
      <c r="G125" s="144">
        <f t="shared" ref="G125:L125" si="28">G124/G20</f>
        <v>0.5984340734</v>
      </c>
      <c r="H125" s="144">
        <f t="shared" si="28"/>
        <v>0.584410556</v>
      </c>
      <c r="I125" s="144">
        <f t="shared" si="28"/>
        <v>0.9701558886</v>
      </c>
      <c r="J125" s="144">
        <f t="shared" si="28"/>
        <v>0.8365112838</v>
      </c>
      <c r="K125" s="144">
        <f t="shared" si="28"/>
        <v>0.6463320798</v>
      </c>
      <c r="L125" s="144">
        <f t="shared" si="28"/>
        <v>0.5439728514</v>
      </c>
      <c r="M125" s="357"/>
      <c r="N125" s="357"/>
      <c r="O125" s="357"/>
      <c r="P125" s="357"/>
      <c r="Q125" s="357"/>
      <c r="R125" s="357"/>
      <c r="S125" s="357"/>
      <c r="T125" s="357"/>
      <c r="U125" s="357"/>
      <c r="V125" s="357"/>
      <c r="W125" s="357"/>
      <c r="X125" s="357"/>
      <c r="Y125" s="357"/>
      <c r="Z125" s="357"/>
    </row>
    <row r="126" ht="12.75" customHeight="1">
      <c r="A126" s="111">
        <f t="shared" si="1"/>
        <v>126</v>
      </c>
      <c r="B126" s="436" t="s">
        <v>398</v>
      </c>
      <c r="C126" s="215"/>
      <c r="D126" s="215"/>
      <c r="E126" s="215"/>
      <c r="F126" s="216"/>
      <c r="G126" s="437">
        <f t="shared" ref="G126:L126" si="29">IFERROR(+G124/G110,0)</f>
        <v>0.03519210521</v>
      </c>
      <c r="H126" s="437">
        <f t="shared" si="29"/>
        <v>0.03514766093</v>
      </c>
      <c r="I126" s="437">
        <f t="shared" si="29"/>
        <v>0.06045542987</v>
      </c>
      <c r="J126" s="437">
        <f t="shared" si="29"/>
        <v>0.05264312063</v>
      </c>
      <c r="K126" s="437">
        <f t="shared" si="29"/>
        <v>0.04081760538</v>
      </c>
      <c r="L126" s="437">
        <f t="shared" si="29"/>
        <v>0.03485646511</v>
      </c>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conditionalFormatting sqref="C1">
    <cfRule type="expression" dxfId="2" priority="1" stopIfTrue="1">
      <formula>MOD(ROW(),2)=0</formula>
    </cfRule>
  </conditionalFormatting>
  <conditionalFormatting sqref="C53:C72">
    <cfRule type="cellIs" dxfId="1" priority="2" stopIfTrue="1" operator="equal">
      <formula>0</formula>
    </cfRule>
  </conditionalFormatting>
  <conditionalFormatting sqref="C76:C84">
    <cfRule type="cellIs" dxfId="1" priority="3" stopIfTrue="1" operator="equal">
      <formula>0</formula>
    </cfRule>
  </conditionalFormatting>
  <conditionalFormatting sqref="C93:C110">
    <cfRule type="cellIs" dxfId="1" priority="4" stopIfTrue="1" operator="equal">
      <formula>0</formula>
    </cfRule>
  </conditionalFormatting>
  <conditionalFormatting sqref="C113:C121">
    <cfRule type="cellIs" dxfId="1" priority="5" stopIfTrue="1" operator="equal">
      <formula>0</formula>
    </cfRule>
  </conditionalFormatting>
  <conditionalFormatting sqref="F53:L72">
    <cfRule type="cellIs" dxfId="1" priority="6" stopIfTrue="1" operator="equal">
      <formula>0</formula>
    </cfRule>
  </conditionalFormatting>
  <conditionalFormatting sqref="F76:L84">
    <cfRule type="cellIs" dxfId="1" priority="7" stopIfTrue="1" operator="equal">
      <formula>0</formula>
    </cfRule>
  </conditionalFormatting>
  <conditionalFormatting sqref="G93:L109">
    <cfRule type="cellIs" dxfId="1" priority="8" stopIfTrue="1" operator="equal">
      <formula>0</formula>
    </cfRule>
  </conditionalFormatting>
  <conditionalFormatting sqref="G113:L121">
    <cfRule type="cellIs" dxfId="1" priority="9" stopIfTrue="1" operator="equal">
      <formula>0</formula>
    </cfRule>
  </conditionalFormatting>
  <conditionalFormatting sqref="L1">
    <cfRule type="expression" dxfId="2" priority="10" stopIfTrue="1">
      <formula>MOD(ROW(),2)=0</formula>
    </cfRule>
  </conditionalFormatting>
  <printOptions/>
  <pageMargins bottom="0.44999999999999996" footer="0.0" header="0.0" left="0.25" right="0.25" top="0.5"/>
  <pageSetup orientation="landscape"/>
  <headerFooter>
    <oddHeader>&amp;L &amp;C &amp;R </oddHeader>
    <oddFooter>&amp;L&amp;D  at &amp;T Mike 702.486.8879&amp;C&amp;F  &amp;A&amp;RPage &amp;P of </oddFooter>
  </headerFooter>
  <rowBreaks count="2" manualBreakCount="2">
    <brk id="49" man="1"/>
    <brk id="90" man="1"/>
  </row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4.43" defaultRowHeight="15.0"/>
  <cols>
    <col customWidth="1" min="1" max="1" width="6.71"/>
    <col customWidth="1" min="2" max="2" width="21.0"/>
    <col customWidth="1" min="3" max="3" width="17.29"/>
    <col customWidth="1" min="4" max="4" width="11.43"/>
    <col customWidth="1" min="5" max="6" width="11.0"/>
    <col customWidth="1" min="7" max="7" width="11.43"/>
    <col customWidth="1" min="8" max="8" width="14.71"/>
    <col customWidth="1" min="9" max="10" width="9.71"/>
    <col customWidth="1" min="11" max="11" width="1.71"/>
    <col customWidth="1" min="12" max="12" width="61.29"/>
    <col customWidth="1" min="13" max="14" width="4.43"/>
    <col customWidth="1" min="15" max="15" width="7.29"/>
    <col customWidth="1" min="16" max="19" width="4.43"/>
    <col customWidth="1" min="20" max="26" width="8.71"/>
  </cols>
  <sheetData>
    <row r="1" ht="13.5" customHeight="1">
      <c r="A1" s="438" t="s">
        <v>399</v>
      </c>
      <c r="B1" s="218"/>
      <c r="C1" s="218"/>
      <c r="D1" s="219" t="s">
        <v>3</v>
      </c>
      <c r="E1" s="36" t="s">
        <v>400</v>
      </c>
      <c r="F1" s="36"/>
      <c r="G1" s="36"/>
      <c r="H1" s="34"/>
      <c r="I1" s="34"/>
      <c r="J1" s="30"/>
      <c r="K1" s="30"/>
      <c r="L1" s="5"/>
      <c r="M1" s="5"/>
      <c r="N1" s="5"/>
      <c r="O1" s="5"/>
      <c r="P1" s="5"/>
      <c r="Q1" s="63"/>
      <c r="R1" s="30"/>
      <c r="S1" s="30"/>
      <c r="T1" s="30"/>
      <c r="U1" s="30"/>
      <c r="V1" s="30"/>
      <c r="W1" s="30"/>
      <c r="X1" s="30"/>
      <c r="Y1" s="30"/>
      <c r="Z1" s="30"/>
    </row>
    <row r="2" ht="13.5" customHeight="1">
      <c r="A2" s="96" t="str">
        <f>SchoolName</f>
        <v>Explore Knowledge Academy</v>
      </c>
      <c r="B2" s="97"/>
      <c r="C2" s="97"/>
      <c r="D2" s="30"/>
      <c r="E2" s="30" t="s">
        <v>401</v>
      </c>
      <c r="F2" s="439" t="str">
        <f>+Facilities!G2</f>
        <v>Test</v>
      </c>
      <c r="G2" s="440"/>
      <c r="H2" s="440"/>
      <c r="I2" s="440"/>
      <c r="J2" s="440"/>
      <c r="K2" s="441"/>
      <c r="L2" s="36" t="s">
        <v>85</v>
      </c>
      <c r="M2" s="5"/>
      <c r="N2" s="5"/>
      <c r="O2" s="5"/>
      <c r="P2" s="5"/>
      <c r="Q2" s="5"/>
      <c r="R2" s="5"/>
      <c r="S2" s="5"/>
      <c r="T2" s="5"/>
      <c r="U2" s="5"/>
      <c r="V2" s="5"/>
      <c r="W2" s="30"/>
      <c r="X2" s="30"/>
      <c r="Y2" s="30"/>
      <c r="Z2" s="30"/>
    </row>
    <row r="3" ht="13.5" customHeight="1">
      <c r="A3" s="95" t="s">
        <v>134</v>
      </c>
      <c r="B3" s="30"/>
      <c r="C3" s="30"/>
      <c r="D3" s="30"/>
      <c r="E3" s="30" t="s">
        <v>145</v>
      </c>
      <c r="F3" s="442" t="str">
        <f>+Facilities!G3</f>
        <v>Site 2</v>
      </c>
      <c r="G3" s="443"/>
      <c r="H3" s="443"/>
      <c r="I3" s="443"/>
      <c r="J3" s="443"/>
      <c r="K3" s="441"/>
      <c r="L3" s="116"/>
      <c r="M3" s="5"/>
      <c r="N3" s="5"/>
      <c r="O3" s="5"/>
      <c r="P3" s="5"/>
      <c r="Q3" s="5"/>
      <c r="R3" s="5"/>
      <c r="S3" s="5"/>
      <c r="T3" s="5"/>
      <c r="U3" s="5"/>
      <c r="V3" s="5"/>
      <c r="W3" s="30"/>
      <c r="X3" s="30"/>
      <c r="Y3" s="30"/>
      <c r="Z3" s="30"/>
    </row>
    <row r="4" ht="13.5" customHeight="1">
      <c r="A4" s="222" t="s">
        <v>135</v>
      </c>
      <c r="B4" s="30"/>
      <c r="C4" s="30"/>
      <c r="D4" s="30"/>
      <c r="E4" s="30"/>
      <c r="F4" s="67" t="s">
        <v>402</v>
      </c>
      <c r="G4" s="30"/>
      <c r="H4" s="30"/>
      <c r="I4" s="30"/>
      <c r="J4" s="30"/>
      <c r="K4" s="30"/>
      <c r="L4" s="119"/>
      <c r="M4" s="5"/>
      <c r="N4" s="5"/>
      <c r="O4" s="5"/>
      <c r="P4" s="5"/>
      <c r="Q4" s="5"/>
      <c r="R4" s="5"/>
      <c r="S4" s="5"/>
      <c r="T4" s="5"/>
      <c r="U4" s="5"/>
      <c r="V4" s="5"/>
      <c r="W4" s="30"/>
      <c r="X4" s="30"/>
      <c r="Y4" s="30"/>
      <c r="Z4" s="30"/>
    </row>
    <row r="5" ht="13.5" customHeight="1">
      <c r="A5" s="98" t="str">
        <f>CELL("filename")</f>
        <v>#N/A</v>
      </c>
      <c r="B5" s="30"/>
      <c r="C5" s="30"/>
      <c r="D5" s="30"/>
      <c r="E5" s="30"/>
      <c r="F5" s="30"/>
      <c r="G5" s="30"/>
      <c r="H5" s="30"/>
      <c r="I5" s="30"/>
      <c r="J5" s="30"/>
      <c r="K5" s="30"/>
      <c r="L5" s="119"/>
      <c r="M5" s="5"/>
      <c r="N5" s="5"/>
      <c r="O5" s="5"/>
      <c r="P5" s="5"/>
      <c r="Q5" s="5"/>
      <c r="R5" s="5"/>
      <c r="S5" s="5"/>
      <c r="T5" s="5"/>
      <c r="U5" s="5"/>
      <c r="V5" s="5"/>
      <c r="W5" s="30"/>
      <c r="X5" s="30"/>
      <c r="Y5" s="30"/>
      <c r="Z5" s="30"/>
    </row>
    <row r="6" ht="13.5" customHeight="1">
      <c r="A6" s="65"/>
      <c r="B6" s="208"/>
      <c r="C6" s="208"/>
      <c r="D6" s="208"/>
      <c r="E6" s="99"/>
      <c r="F6" s="30"/>
      <c r="G6" s="30"/>
      <c r="H6" s="30"/>
      <c r="I6" s="30"/>
      <c r="J6" s="30"/>
      <c r="K6" s="30"/>
      <c r="L6" s="119"/>
      <c r="M6" s="5"/>
      <c r="N6" s="5"/>
      <c r="O6" s="5"/>
      <c r="P6" s="5"/>
      <c r="Q6" s="5"/>
      <c r="R6" s="5"/>
      <c r="S6" s="5"/>
      <c r="T6" s="5"/>
      <c r="U6" s="5"/>
      <c r="V6" s="5"/>
      <c r="W6" s="30"/>
      <c r="X6" s="30"/>
      <c r="Y6" s="30"/>
      <c r="Z6" s="30"/>
    </row>
    <row r="7" ht="13.5" customHeight="1">
      <c r="A7" s="111"/>
      <c r="B7" s="30"/>
      <c r="C7" s="30"/>
      <c r="D7" s="444" t="s">
        <v>346</v>
      </c>
      <c r="E7" s="100">
        <v>1.0</v>
      </c>
      <c r="F7" s="100">
        <v>2.0</v>
      </c>
      <c r="G7" s="100">
        <v>3.0</v>
      </c>
      <c r="H7" s="100">
        <v>4.0</v>
      </c>
      <c r="I7" s="100">
        <v>5.0</v>
      </c>
      <c r="J7" s="445">
        <v>6.0</v>
      </c>
      <c r="K7" s="99"/>
      <c r="L7" s="119" t="s">
        <v>403</v>
      </c>
      <c r="M7" s="5"/>
      <c r="N7" s="5"/>
      <c r="O7" s="5"/>
      <c r="P7" s="5"/>
      <c r="Q7" s="5"/>
      <c r="R7" s="5"/>
      <c r="S7" s="5"/>
      <c r="T7" s="5"/>
      <c r="U7" s="5"/>
      <c r="V7" s="5"/>
      <c r="W7" s="30"/>
      <c r="X7" s="30"/>
      <c r="Y7" s="30"/>
      <c r="Z7" s="30"/>
    </row>
    <row r="8" ht="13.5" customHeight="1">
      <c r="A8" s="111"/>
      <c r="B8" s="30"/>
      <c r="C8" s="30"/>
      <c r="D8" s="444">
        <f>' Enrol &amp; Rev'!F10</f>
        <v>2024</v>
      </c>
      <c r="E8" s="103">
        <f>' Enrol &amp; Rev'!G10</f>
        <v>2025</v>
      </c>
      <c r="F8" s="103">
        <f t="shared" ref="F8:J8" si="1">+E9</f>
        <v>2026</v>
      </c>
      <c r="G8" s="103">
        <f t="shared" si="1"/>
        <v>2027</v>
      </c>
      <c r="H8" s="103">
        <f t="shared" si="1"/>
        <v>2028</v>
      </c>
      <c r="I8" s="103">
        <f t="shared" si="1"/>
        <v>2029</v>
      </c>
      <c r="J8" s="446">
        <f t="shared" si="1"/>
        <v>2030</v>
      </c>
      <c r="K8" s="447"/>
      <c r="L8" s="119"/>
      <c r="M8" s="5"/>
      <c r="N8" s="5"/>
      <c r="O8" s="5"/>
      <c r="P8" s="5"/>
      <c r="Q8" s="5"/>
      <c r="R8" s="5"/>
      <c r="S8" s="5"/>
      <c r="T8" s="5"/>
      <c r="U8" s="5"/>
      <c r="V8" s="5"/>
      <c r="W8" s="30"/>
      <c r="X8" s="30"/>
      <c r="Y8" s="30"/>
      <c r="Z8" s="30"/>
    </row>
    <row r="9" ht="13.5" customHeight="1">
      <c r="A9" s="111"/>
      <c r="B9" s="30"/>
      <c r="C9" s="30"/>
      <c r="D9" s="361">
        <f t="shared" ref="D9:J9" si="2">+D8+1</f>
        <v>2025</v>
      </c>
      <c r="E9" s="108">
        <f t="shared" si="2"/>
        <v>2026</v>
      </c>
      <c r="F9" s="108">
        <f t="shared" si="2"/>
        <v>2027</v>
      </c>
      <c r="G9" s="108">
        <f t="shared" si="2"/>
        <v>2028</v>
      </c>
      <c r="H9" s="108">
        <f t="shared" si="2"/>
        <v>2029</v>
      </c>
      <c r="I9" s="108">
        <f t="shared" si="2"/>
        <v>2030</v>
      </c>
      <c r="J9" s="109">
        <f t="shared" si="2"/>
        <v>2031</v>
      </c>
      <c r="K9" s="448"/>
      <c r="L9" s="119"/>
      <c r="M9" s="5"/>
      <c r="N9" s="5"/>
      <c r="O9" s="5"/>
      <c r="P9" s="5"/>
      <c r="Q9" s="5"/>
      <c r="R9" s="5"/>
      <c r="S9" s="5"/>
      <c r="T9" s="5"/>
      <c r="U9" s="5"/>
      <c r="V9" s="5"/>
      <c r="W9" s="30"/>
      <c r="X9" s="30"/>
      <c r="Y9" s="30"/>
      <c r="Z9" s="30"/>
    </row>
    <row r="10" ht="13.5" customHeight="1">
      <c r="A10" s="111">
        <f t="shared" ref="A10:A31" si="3">ROW()</f>
        <v>10</v>
      </c>
      <c r="B10" s="63" t="s">
        <v>404</v>
      </c>
      <c r="C10" s="63"/>
      <c r="D10" s="63"/>
      <c r="E10" s="449"/>
      <c r="F10" s="449"/>
      <c r="G10" s="449"/>
      <c r="H10" s="449"/>
      <c r="I10" s="449"/>
      <c r="J10" s="449"/>
      <c r="K10" s="447"/>
      <c r="L10" s="119"/>
      <c r="M10" s="5"/>
      <c r="N10" s="5"/>
      <c r="O10" s="5"/>
      <c r="P10" s="5"/>
      <c r="Q10" s="5"/>
      <c r="R10" s="5"/>
      <c r="S10" s="5"/>
      <c r="T10" s="5"/>
      <c r="U10" s="5"/>
      <c r="V10" s="5"/>
      <c r="W10" s="30"/>
      <c r="X10" s="30"/>
      <c r="Y10" s="30"/>
      <c r="Z10" s="30"/>
    </row>
    <row r="11" ht="13.5" customHeight="1">
      <c r="A11" s="111">
        <f t="shared" si="3"/>
        <v>11</v>
      </c>
      <c r="B11" s="450" t="s">
        <v>405</v>
      </c>
      <c r="C11" s="450"/>
      <c r="D11" s="451">
        <f t="shared" ref="D11:J11" si="4">COUNTIF(D14:D26,"&gt;0")</f>
        <v>13</v>
      </c>
      <c r="E11" s="451">
        <f t="shared" si="4"/>
        <v>13</v>
      </c>
      <c r="F11" s="452">
        <f t="shared" si="4"/>
        <v>13</v>
      </c>
      <c r="G11" s="452">
        <f t="shared" si="4"/>
        <v>13</v>
      </c>
      <c r="H11" s="452">
        <f t="shared" si="4"/>
        <v>13</v>
      </c>
      <c r="I11" s="452">
        <f t="shared" si="4"/>
        <v>13</v>
      </c>
      <c r="J11" s="453">
        <f t="shared" si="4"/>
        <v>13</v>
      </c>
      <c r="K11" s="454"/>
      <c r="L11" s="119"/>
      <c r="M11" s="5"/>
      <c r="N11" s="5"/>
      <c r="O11" s="5"/>
      <c r="P11" s="5"/>
      <c r="Q11" s="5"/>
      <c r="R11" s="5"/>
      <c r="S11" s="5"/>
      <c r="T11" s="5"/>
      <c r="U11" s="5"/>
      <c r="V11" s="5"/>
      <c r="W11" s="30"/>
      <c r="X11" s="30"/>
      <c r="Y11" s="30"/>
      <c r="Z11" s="30"/>
    </row>
    <row r="12" ht="13.5" customHeight="1">
      <c r="A12" s="111">
        <f t="shared" si="3"/>
        <v>12</v>
      </c>
      <c r="B12" s="455" t="s">
        <v>406</v>
      </c>
      <c r="C12" s="455"/>
      <c r="D12" s="456">
        <f>+' Enrol &amp; Rev'!F19</f>
        <v>34</v>
      </c>
      <c r="E12" s="457">
        <f>+' Enrol &amp; Rev'!G19</f>
        <v>24.30769231</v>
      </c>
      <c r="F12" s="458">
        <f>+' Enrol &amp; Rev'!H19</f>
        <v>24.80769231</v>
      </c>
      <c r="G12" s="458">
        <f>+' Enrol &amp; Rev'!I19</f>
        <v>25.65384615</v>
      </c>
      <c r="H12" s="458">
        <f>+' Enrol &amp; Rev'!J19</f>
        <v>25.88461538</v>
      </c>
      <c r="I12" s="458">
        <f>+' Enrol &amp; Rev'!K19</f>
        <v>26</v>
      </c>
      <c r="J12" s="459">
        <f>+' Enrol &amp; Rev'!L19</f>
        <v>26.34615385</v>
      </c>
      <c r="K12" s="454"/>
      <c r="L12" s="119"/>
      <c r="M12" s="5"/>
      <c r="N12" s="5"/>
      <c r="O12" s="5"/>
      <c r="P12" s="5"/>
      <c r="Q12" s="5"/>
      <c r="R12" s="5"/>
      <c r="S12" s="5"/>
      <c r="T12" s="5"/>
      <c r="U12" s="5"/>
      <c r="V12" s="5"/>
      <c r="W12" s="30"/>
      <c r="X12" s="30"/>
      <c r="Y12" s="30"/>
      <c r="Z12" s="30"/>
    </row>
    <row r="13" ht="13.5" customHeight="1">
      <c r="A13" s="111">
        <f t="shared" si="3"/>
        <v>13</v>
      </c>
      <c r="B13" s="460"/>
      <c r="C13" s="460"/>
      <c r="D13" s="461"/>
      <c r="E13" s="461"/>
      <c r="F13" s="461"/>
      <c r="G13" s="461"/>
      <c r="H13" s="461"/>
      <c r="I13" s="461"/>
      <c r="J13" s="461"/>
      <c r="K13" s="462"/>
      <c r="L13" s="119"/>
      <c r="M13" s="5"/>
      <c r="N13" s="5"/>
      <c r="O13" s="5"/>
      <c r="P13" s="5"/>
      <c r="Q13" s="5"/>
      <c r="R13" s="5"/>
      <c r="S13" s="5"/>
      <c r="T13" s="5"/>
      <c r="U13" s="5"/>
      <c r="V13" s="5"/>
      <c r="W13" s="5"/>
      <c r="X13" s="30"/>
      <c r="Y13" s="30"/>
      <c r="Z13" s="30"/>
    </row>
    <row r="14" ht="13.5" customHeight="1">
      <c r="A14" s="111">
        <f t="shared" si="3"/>
        <v>14</v>
      </c>
      <c r="B14" s="463" t="s">
        <v>407</v>
      </c>
      <c r="C14" s="464"/>
      <c r="D14" s="465">
        <f>' Enrol &amp; Rev'!F23</f>
        <v>44</v>
      </c>
      <c r="E14" s="465">
        <f>' Enrol &amp; Rev'!G23</f>
        <v>50</v>
      </c>
      <c r="F14" s="465">
        <f>' Enrol &amp; Rev'!H23</f>
        <v>50</v>
      </c>
      <c r="G14" s="465">
        <f>' Enrol &amp; Rev'!I23</f>
        <v>50</v>
      </c>
      <c r="H14" s="465">
        <f>' Enrol &amp; Rev'!J23</f>
        <v>50</v>
      </c>
      <c r="I14" s="465">
        <f>' Enrol &amp; Rev'!K23</f>
        <v>50</v>
      </c>
      <c r="J14" s="465">
        <f>' Enrol &amp; Rev'!L23</f>
        <v>50</v>
      </c>
      <c r="K14" s="131"/>
      <c r="L14" s="119"/>
      <c r="M14" s="5"/>
      <c r="N14" s="5"/>
      <c r="O14" s="5"/>
      <c r="P14" s="5"/>
      <c r="Q14" s="5"/>
      <c r="R14" s="5"/>
      <c r="S14" s="5"/>
      <c r="T14" s="5"/>
      <c r="U14" s="5"/>
      <c r="V14" s="5"/>
      <c r="W14" s="5"/>
      <c r="X14" s="30"/>
      <c r="Y14" s="30"/>
      <c r="Z14" s="30"/>
    </row>
    <row r="15" ht="13.5" customHeight="1">
      <c r="A15" s="111">
        <f t="shared" si="3"/>
        <v>15</v>
      </c>
      <c r="B15" s="466" t="s">
        <v>408</v>
      </c>
      <c r="C15" s="467"/>
      <c r="D15" s="468">
        <f>' Enrol &amp; Rev'!F24</f>
        <v>45</v>
      </c>
      <c r="E15" s="468">
        <f>' Enrol &amp; Rev'!G24</f>
        <v>44</v>
      </c>
      <c r="F15" s="468">
        <f>' Enrol &amp; Rev'!H24</f>
        <v>44</v>
      </c>
      <c r="G15" s="468">
        <f>' Enrol &amp; Rev'!I24</f>
        <v>44</v>
      </c>
      <c r="H15" s="468">
        <f>' Enrol &amp; Rev'!J24</f>
        <v>44</v>
      </c>
      <c r="I15" s="468">
        <f>' Enrol &amp; Rev'!K24</f>
        <v>44</v>
      </c>
      <c r="J15" s="468">
        <f>' Enrol &amp; Rev'!L24</f>
        <v>44</v>
      </c>
      <c r="K15" s="131"/>
      <c r="L15" s="119"/>
      <c r="M15" s="5"/>
      <c r="N15" s="5"/>
      <c r="O15" s="5"/>
      <c r="P15" s="5"/>
      <c r="Q15" s="5"/>
      <c r="R15" s="5"/>
      <c r="S15" s="5"/>
      <c r="T15" s="5"/>
      <c r="U15" s="5"/>
      <c r="V15" s="5"/>
      <c r="W15" s="5"/>
      <c r="X15" s="30"/>
      <c r="Y15" s="30"/>
      <c r="Z15" s="30"/>
    </row>
    <row r="16" ht="13.5" customHeight="1">
      <c r="A16" s="111">
        <f t="shared" si="3"/>
        <v>16</v>
      </c>
      <c r="B16" s="466" t="s">
        <v>409</v>
      </c>
      <c r="C16" s="467"/>
      <c r="D16" s="468">
        <f>' Enrol &amp; Rev'!F25</f>
        <v>51</v>
      </c>
      <c r="E16" s="468">
        <f>' Enrol &amp; Rev'!G25</f>
        <v>45</v>
      </c>
      <c r="F16" s="468">
        <f>' Enrol &amp; Rev'!H25</f>
        <v>44</v>
      </c>
      <c r="G16" s="468">
        <f>' Enrol &amp; Rev'!I25</f>
        <v>44</v>
      </c>
      <c r="H16" s="468">
        <f>' Enrol &amp; Rev'!J25</f>
        <v>44</v>
      </c>
      <c r="I16" s="468">
        <f>' Enrol &amp; Rev'!K25</f>
        <v>44</v>
      </c>
      <c r="J16" s="468">
        <f>' Enrol &amp; Rev'!L25</f>
        <v>44</v>
      </c>
      <c r="K16" s="131"/>
      <c r="L16" s="119"/>
      <c r="M16" s="5"/>
      <c r="N16" s="5"/>
      <c r="O16" s="5"/>
      <c r="P16" s="5"/>
      <c r="Q16" s="5"/>
      <c r="R16" s="5"/>
      <c r="S16" s="5"/>
      <c r="T16" s="5"/>
      <c r="U16" s="5"/>
      <c r="V16" s="5"/>
      <c r="W16" s="5"/>
      <c r="X16" s="30"/>
      <c r="Y16" s="30"/>
      <c r="Z16" s="30"/>
    </row>
    <row r="17" ht="13.5" customHeight="1">
      <c r="A17" s="111">
        <f t="shared" si="3"/>
        <v>17</v>
      </c>
      <c r="B17" s="466" t="s">
        <v>410</v>
      </c>
      <c r="C17" s="467"/>
      <c r="D17" s="468">
        <f>' Enrol &amp; Rev'!F26</f>
        <v>63</v>
      </c>
      <c r="E17" s="468">
        <f>' Enrol &amp; Rev'!G26</f>
        <v>51</v>
      </c>
      <c r="F17" s="468">
        <f>' Enrol &amp; Rev'!H26</f>
        <v>45</v>
      </c>
      <c r="G17" s="468">
        <f>' Enrol &amp; Rev'!I26</f>
        <v>44</v>
      </c>
      <c r="H17" s="468">
        <f>' Enrol &amp; Rev'!J26</f>
        <v>44</v>
      </c>
      <c r="I17" s="468">
        <f>' Enrol &amp; Rev'!K26</f>
        <v>44</v>
      </c>
      <c r="J17" s="468">
        <f>' Enrol &amp; Rev'!L26</f>
        <v>50</v>
      </c>
      <c r="K17" s="131"/>
      <c r="L17" s="119"/>
      <c r="M17" s="5"/>
      <c r="N17" s="5"/>
      <c r="O17" s="5"/>
      <c r="P17" s="5"/>
      <c r="Q17" s="5"/>
      <c r="R17" s="5"/>
      <c r="S17" s="5"/>
      <c r="T17" s="5"/>
      <c r="U17" s="5"/>
      <c r="V17" s="5"/>
      <c r="W17" s="5"/>
      <c r="X17" s="30"/>
      <c r="Y17" s="30"/>
      <c r="Z17" s="30"/>
    </row>
    <row r="18" ht="13.5" customHeight="1">
      <c r="A18" s="111">
        <f t="shared" si="3"/>
        <v>18</v>
      </c>
      <c r="B18" s="466" t="s">
        <v>411</v>
      </c>
      <c r="C18" s="467"/>
      <c r="D18" s="468">
        <f>' Enrol &amp; Rev'!F27</f>
        <v>53</v>
      </c>
      <c r="E18" s="468">
        <f>' Enrol &amp; Rev'!G27</f>
        <v>63</v>
      </c>
      <c r="F18" s="468">
        <f>' Enrol &amp; Rev'!H27</f>
        <v>51</v>
      </c>
      <c r="G18" s="468">
        <f>' Enrol &amp; Rev'!I27</f>
        <v>45</v>
      </c>
      <c r="H18" s="468">
        <f>' Enrol &amp; Rev'!J27</f>
        <v>45</v>
      </c>
      <c r="I18" s="468">
        <f>' Enrol &amp; Rev'!K27</f>
        <v>60</v>
      </c>
      <c r="J18" s="468">
        <f>' Enrol &amp; Rev'!L27</f>
        <v>55</v>
      </c>
      <c r="K18" s="131"/>
      <c r="L18" s="119"/>
      <c r="M18" s="5"/>
      <c r="N18" s="5"/>
      <c r="O18" s="5"/>
      <c r="P18" s="5"/>
      <c r="Q18" s="5"/>
      <c r="R18" s="5"/>
      <c r="S18" s="5"/>
      <c r="T18" s="5"/>
      <c r="U18" s="5"/>
      <c r="V18" s="5"/>
      <c r="W18" s="5"/>
      <c r="X18" s="30"/>
      <c r="Y18" s="30"/>
      <c r="Z18" s="30"/>
    </row>
    <row r="19" ht="13.5" customHeight="1">
      <c r="A19" s="111">
        <f t="shared" si="3"/>
        <v>19</v>
      </c>
      <c r="B19" s="466" t="s">
        <v>412</v>
      </c>
      <c r="C19" s="467"/>
      <c r="D19" s="468">
        <f>' Enrol &amp; Rev'!F28</f>
        <v>77</v>
      </c>
      <c r="E19" s="468">
        <f>' Enrol &amp; Rev'!G28</f>
        <v>53</v>
      </c>
      <c r="F19" s="468">
        <f>' Enrol &amp; Rev'!H28</f>
        <v>63</v>
      </c>
      <c r="G19" s="468">
        <f>' Enrol &amp; Rev'!I28</f>
        <v>51</v>
      </c>
      <c r="H19" s="468">
        <f>' Enrol &amp; Rev'!J28</f>
        <v>51</v>
      </c>
      <c r="I19" s="468">
        <f>' Enrol &amp; Rev'!K28</f>
        <v>75</v>
      </c>
      <c r="J19" s="468">
        <f>' Enrol &amp; Rev'!L28</f>
        <v>75</v>
      </c>
      <c r="K19" s="131"/>
      <c r="L19" s="119"/>
      <c r="M19" s="5"/>
      <c r="N19" s="5"/>
      <c r="O19" s="5"/>
      <c r="P19" s="5"/>
      <c r="Q19" s="5"/>
      <c r="R19" s="5"/>
      <c r="S19" s="5"/>
      <c r="T19" s="5"/>
      <c r="U19" s="5"/>
      <c r="V19" s="5"/>
      <c r="W19" s="5"/>
      <c r="X19" s="30"/>
      <c r="Y19" s="30"/>
      <c r="Z19" s="30"/>
    </row>
    <row r="20" ht="13.5" customHeight="1">
      <c r="A20" s="111">
        <f t="shared" si="3"/>
        <v>20</v>
      </c>
      <c r="B20" s="466" t="s">
        <v>413</v>
      </c>
      <c r="C20" s="467"/>
      <c r="D20" s="468">
        <f>' Enrol &amp; Rev'!F29</f>
        <v>57</v>
      </c>
      <c r="E20" s="468">
        <f>' Enrol &amp; Rev'!G29</f>
        <v>77</v>
      </c>
      <c r="F20" s="468">
        <f>' Enrol &amp; Rev'!H29</f>
        <v>53</v>
      </c>
      <c r="G20" s="468">
        <f>' Enrol &amp; Rev'!I29</f>
        <v>63</v>
      </c>
      <c r="H20" s="468">
        <f>' Enrol &amp; Rev'!J29</f>
        <v>63</v>
      </c>
      <c r="I20" s="468">
        <f>' Enrol &amp; Rev'!K29</f>
        <v>75</v>
      </c>
      <c r="J20" s="468">
        <f>' Enrol &amp; Rev'!L29</f>
        <v>75</v>
      </c>
      <c r="K20" s="131"/>
      <c r="L20" s="119"/>
      <c r="M20" s="5"/>
      <c r="N20" s="5"/>
      <c r="O20" s="5"/>
      <c r="P20" s="5"/>
      <c r="Q20" s="5"/>
      <c r="R20" s="5"/>
      <c r="S20" s="5"/>
      <c r="T20" s="5"/>
      <c r="U20" s="5"/>
      <c r="V20" s="5"/>
      <c r="W20" s="5"/>
      <c r="X20" s="30"/>
      <c r="Y20" s="30"/>
      <c r="Z20" s="30"/>
    </row>
    <row r="21" ht="13.5" customHeight="1">
      <c r="A21" s="111">
        <f t="shared" si="3"/>
        <v>21</v>
      </c>
      <c r="B21" s="466" t="s">
        <v>414</v>
      </c>
      <c r="C21" s="467"/>
      <c r="D21" s="468">
        <f>' Enrol &amp; Rev'!F30</f>
        <v>63</v>
      </c>
      <c r="E21" s="468">
        <f>' Enrol &amp; Rev'!G30</f>
        <v>57</v>
      </c>
      <c r="F21" s="468">
        <f>' Enrol &amp; Rev'!H30</f>
        <v>77</v>
      </c>
      <c r="G21" s="468">
        <f>' Enrol &amp; Rev'!I30</f>
        <v>53</v>
      </c>
      <c r="H21" s="468">
        <f>' Enrol &amp; Rev'!J30</f>
        <v>55</v>
      </c>
      <c r="I21" s="468">
        <f>' Enrol &amp; Rev'!K30</f>
        <v>75</v>
      </c>
      <c r="J21" s="468">
        <f>' Enrol &amp; Rev'!L30</f>
        <v>75</v>
      </c>
      <c r="K21" s="131"/>
      <c r="L21" s="119"/>
      <c r="M21" s="5"/>
      <c r="N21" s="5"/>
      <c r="O21" s="5"/>
      <c r="P21" s="5"/>
      <c r="Q21" s="5"/>
      <c r="R21" s="5"/>
      <c r="S21" s="5"/>
      <c r="T21" s="5"/>
      <c r="U21" s="5"/>
      <c r="V21" s="5"/>
      <c r="W21" s="30"/>
      <c r="X21" s="30"/>
      <c r="Y21" s="30"/>
      <c r="Z21" s="30"/>
    </row>
    <row r="22" ht="13.5" customHeight="1">
      <c r="A22" s="111">
        <f t="shared" si="3"/>
        <v>22</v>
      </c>
      <c r="B22" s="466" t="s">
        <v>415</v>
      </c>
      <c r="C22" s="467"/>
      <c r="D22" s="468">
        <f>' Enrol &amp; Rev'!F31</f>
        <v>56</v>
      </c>
      <c r="E22" s="468">
        <f>' Enrol &amp; Rev'!G31</f>
        <v>63</v>
      </c>
      <c r="F22" s="468">
        <f>' Enrol &amp; Rev'!H31</f>
        <v>57</v>
      </c>
      <c r="G22" s="468">
        <f>' Enrol &amp; Rev'!I31</f>
        <v>77</v>
      </c>
      <c r="H22" s="468">
        <f>' Enrol &amp; Rev'!J31</f>
        <v>70</v>
      </c>
      <c r="I22" s="468">
        <f>' Enrol &amp; Rev'!K31</f>
        <v>70</v>
      </c>
      <c r="J22" s="468">
        <f>' Enrol &amp; Rev'!L31</f>
        <v>75</v>
      </c>
      <c r="K22" s="131"/>
      <c r="L22" s="119"/>
      <c r="M22" s="5"/>
      <c r="N22" s="5"/>
      <c r="O22" s="5"/>
      <c r="P22" s="5"/>
      <c r="Q22" s="5"/>
      <c r="R22" s="5"/>
      <c r="S22" s="5"/>
      <c r="T22" s="5"/>
      <c r="U22" s="5"/>
      <c r="V22" s="5"/>
      <c r="W22" s="30"/>
      <c r="X22" s="30"/>
      <c r="Y22" s="30"/>
      <c r="Z22" s="30"/>
    </row>
    <row r="23" ht="13.5" customHeight="1">
      <c r="A23" s="111">
        <f t="shared" si="3"/>
        <v>23</v>
      </c>
      <c r="B23" s="466" t="s">
        <v>416</v>
      </c>
      <c r="C23" s="467"/>
      <c r="D23" s="468">
        <f>' Enrol &amp; Rev'!F32</f>
        <v>33</v>
      </c>
      <c r="E23" s="468">
        <f>' Enrol &amp; Rev'!G32</f>
        <v>56</v>
      </c>
      <c r="F23" s="468">
        <f>' Enrol &amp; Rev'!H32</f>
        <v>50</v>
      </c>
      <c r="G23" s="468">
        <f>' Enrol &amp; Rev'!I32</f>
        <v>57</v>
      </c>
      <c r="H23" s="468">
        <f>' Enrol &amp; Rev'!J32</f>
        <v>77</v>
      </c>
      <c r="I23" s="468">
        <f>' Enrol &amp; Rev'!K32</f>
        <v>50</v>
      </c>
      <c r="J23" s="468">
        <f>' Enrol &amp; Rev'!L32</f>
        <v>45</v>
      </c>
      <c r="K23" s="131"/>
      <c r="L23" s="119"/>
      <c r="M23" s="5"/>
      <c r="N23" s="5"/>
      <c r="O23" s="5"/>
      <c r="P23" s="5"/>
      <c r="Q23" s="5"/>
      <c r="R23" s="5"/>
      <c r="S23" s="5"/>
      <c r="T23" s="5"/>
      <c r="U23" s="5"/>
      <c r="V23" s="5"/>
      <c r="W23" s="30"/>
      <c r="X23" s="30"/>
      <c r="Y23" s="30"/>
      <c r="Z23" s="30"/>
    </row>
    <row r="24" ht="13.5" customHeight="1">
      <c r="A24" s="111">
        <f t="shared" si="3"/>
        <v>24</v>
      </c>
      <c r="B24" s="466" t="s">
        <v>417</v>
      </c>
      <c r="C24" s="467"/>
      <c r="D24" s="468">
        <f>' Enrol &amp; Rev'!F33</f>
        <v>22</v>
      </c>
      <c r="E24" s="468">
        <f>' Enrol &amp; Rev'!G33</f>
        <v>33</v>
      </c>
      <c r="F24" s="468">
        <f>' Enrol &amp; Rev'!H33</f>
        <v>56</v>
      </c>
      <c r="G24" s="468">
        <f>' Enrol &amp; Rev'!I33</f>
        <v>50</v>
      </c>
      <c r="H24" s="468">
        <f>' Enrol &amp; Rev'!J33</f>
        <v>50</v>
      </c>
      <c r="I24" s="468">
        <f>' Enrol &amp; Rev'!K33</f>
        <v>40</v>
      </c>
      <c r="J24" s="468">
        <f>' Enrol &amp; Rev'!L33</f>
        <v>45</v>
      </c>
      <c r="K24" s="131"/>
      <c r="L24" s="119"/>
      <c r="M24" s="5"/>
      <c r="N24" s="5"/>
      <c r="O24" s="5"/>
      <c r="P24" s="5"/>
      <c r="Q24" s="5"/>
      <c r="R24" s="5"/>
      <c r="S24" s="5"/>
      <c r="T24" s="5"/>
      <c r="U24" s="5"/>
      <c r="V24" s="5"/>
      <c r="W24" s="30"/>
      <c r="X24" s="30"/>
      <c r="Y24" s="30"/>
      <c r="Z24" s="30"/>
    </row>
    <row r="25" ht="13.5" customHeight="1">
      <c r="A25" s="111">
        <f t="shared" si="3"/>
        <v>25</v>
      </c>
      <c r="B25" s="466" t="s">
        <v>418</v>
      </c>
      <c r="C25" s="467"/>
      <c r="D25" s="468">
        <f>' Enrol &amp; Rev'!F34</f>
        <v>18</v>
      </c>
      <c r="E25" s="468">
        <f>' Enrol &amp; Rev'!G34</f>
        <v>22</v>
      </c>
      <c r="F25" s="468">
        <f>' Enrol &amp; Rev'!H34</f>
        <v>33</v>
      </c>
      <c r="G25" s="468">
        <f>' Enrol &amp; Rev'!I34</f>
        <v>56</v>
      </c>
      <c r="H25" s="468">
        <f>' Enrol &amp; Rev'!J34</f>
        <v>56</v>
      </c>
      <c r="I25" s="468">
        <f>' Enrol &amp; Rev'!K34</f>
        <v>25</v>
      </c>
      <c r="J25" s="468">
        <f>' Enrol &amp; Rev'!L34</f>
        <v>28</v>
      </c>
      <c r="K25" s="131"/>
      <c r="L25" s="119"/>
      <c r="M25" s="5"/>
      <c r="N25" s="5"/>
      <c r="O25" s="5"/>
      <c r="P25" s="5"/>
      <c r="Q25" s="5"/>
      <c r="R25" s="5"/>
      <c r="S25" s="5"/>
      <c r="T25" s="5"/>
      <c r="U25" s="5"/>
      <c r="V25" s="5"/>
      <c r="W25" s="30"/>
      <c r="X25" s="30"/>
      <c r="Y25" s="30"/>
      <c r="Z25" s="30"/>
    </row>
    <row r="26" ht="13.5" customHeight="1">
      <c r="A26" s="111">
        <f t="shared" si="3"/>
        <v>26</v>
      </c>
      <c r="B26" s="469" t="s">
        <v>419</v>
      </c>
      <c r="C26" s="470"/>
      <c r="D26" s="471">
        <f>' Enrol &amp; Rev'!F35</f>
        <v>25</v>
      </c>
      <c r="E26" s="471">
        <f>' Enrol &amp; Rev'!G35</f>
        <v>18</v>
      </c>
      <c r="F26" s="471">
        <f>' Enrol &amp; Rev'!H35</f>
        <v>22</v>
      </c>
      <c r="G26" s="471">
        <f>' Enrol &amp; Rev'!I35</f>
        <v>33</v>
      </c>
      <c r="H26" s="471">
        <f>' Enrol &amp; Rev'!J35</f>
        <v>24</v>
      </c>
      <c r="I26" s="471">
        <f>' Enrol &amp; Rev'!K35</f>
        <v>24</v>
      </c>
      <c r="J26" s="471">
        <f>' Enrol &amp; Rev'!L35</f>
        <v>24</v>
      </c>
      <c r="K26" s="131"/>
      <c r="L26" s="119"/>
      <c r="M26" s="5"/>
      <c r="N26" s="5"/>
      <c r="O26" s="5"/>
      <c r="P26" s="5"/>
      <c r="Q26" s="5"/>
      <c r="R26" s="5"/>
      <c r="S26" s="5"/>
      <c r="T26" s="5"/>
      <c r="U26" s="5"/>
      <c r="V26" s="5"/>
      <c r="W26" s="30"/>
      <c r="X26" s="30"/>
      <c r="Y26" s="30"/>
      <c r="Z26" s="30"/>
    </row>
    <row r="27" ht="13.5" customHeight="1">
      <c r="A27" s="111">
        <f t="shared" si="3"/>
        <v>27</v>
      </c>
      <c r="B27" s="472" t="s">
        <v>420</v>
      </c>
      <c r="C27" s="472"/>
      <c r="D27" s="473">
        <f t="shared" ref="D27:J27" si="5">SUM(D14:D26)</f>
        <v>607</v>
      </c>
      <c r="E27" s="473">
        <f t="shared" si="5"/>
        <v>632</v>
      </c>
      <c r="F27" s="473">
        <f t="shared" si="5"/>
        <v>645</v>
      </c>
      <c r="G27" s="473">
        <f t="shared" si="5"/>
        <v>667</v>
      </c>
      <c r="H27" s="473">
        <f t="shared" si="5"/>
        <v>673</v>
      </c>
      <c r="I27" s="473">
        <f t="shared" si="5"/>
        <v>676</v>
      </c>
      <c r="J27" s="473">
        <f t="shared" si="5"/>
        <v>685</v>
      </c>
      <c r="K27" s="473"/>
      <c r="L27" s="119"/>
      <c r="M27" s="5"/>
      <c r="N27" s="5"/>
      <c r="O27" s="5"/>
      <c r="P27" s="5"/>
      <c r="Q27" s="5"/>
      <c r="R27" s="5"/>
      <c r="S27" s="5"/>
      <c r="T27" s="5"/>
      <c r="U27" s="5"/>
      <c r="V27" s="5"/>
      <c r="W27" s="30"/>
      <c r="X27" s="30"/>
      <c r="Y27" s="30"/>
      <c r="Z27" s="30"/>
    </row>
    <row r="28" ht="13.5" customHeight="1">
      <c r="A28" s="111">
        <f t="shared" si="3"/>
        <v>28</v>
      </c>
      <c r="B28" s="460" t="s">
        <v>421</v>
      </c>
      <c r="C28" s="460"/>
      <c r="D28" s="474"/>
      <c r="E28" s="474">
        <f t="shared" ref="E28:J28" si="6">IFERROR(E27/E12,0)</f>
        <v>26</v>
      </c>
      <c r="F28" s="474">
        <f t="shared" si="6"/>
        <v>26</v>
      </c>
      <c r="G28" s="474">
        <f t="shared" si="6"/>
        <v>26</v>
      </c>
      <c r="H28" s="474">
        <f t="shared" si="6"/>
        <v>26</v>
      </c>
      <c r="I28" s="474">
        <f t="shared" si="6"/>
        <v>26</v>
      </c>
      <c r="J28" s="474">
        <f t="shared" si="6"/>
        <v>26</v>
      </c>
      <c r="K28" s="474"/>
      <c r="L28" s="119"/>
      <c r="M28" s="5"/>
      <c r="N28" s="5"/>
      <c r="O28" s="5"/>
      <c r="P28" s="5"/>
      <c r="Q28" s="5"/>
      <c r="R28" s="5"/>
      <c r="S28" s="5"/>
      <c r="T28" s="5"/>
      <c r="U28" s="5"/>
      <c r="V28" s="5"/>
      <c r="W28" s="30"/>
      <c r="X28" s="30"/>
      <c r="Y28" s="30"/>
      <c r="Z28" s="30"/>
    </row>
    <row r="29" ht="13.5" customHeight="1">
      <c r="A29" s="111">
        <f t="shared" si="3"/>
        <v>29</v>
      </c>
      <c r="B29" s="460" t="s">
        <v>422</v>
      </c>
      <c r="C29" s="460"/>
      <c r="D29" s="474"/>
      <c r="E29" s="475">
        <f t="shared" ref="E29:J29" si="7">IFERROR(IF(AND(E27,$H$57)&gt;0,E27/$H57,0),0)</f>
        <v>0</v>
      </c>
      <c r="F29" s="475">
        <f t="shared" si="7"/>
        <v>0</v>
      </c>
      <c r="G29" s="475">
        <f t="shared" si="7"/>
        <v>0</v>
      </c>
      <c r="H29" s="475">
        <f t="shared" si="7"/>
        <v>0</v>
      </c>
      <c r="I29" s="475">
        <f t="shared" si="7"/>
        <v>0</v>
      </c>
      <c r="J29" s="475">
        <f t="shared" si="7"/>
        <v>0</v>
      </c>
      <c r="K29" s="474"/>
      <c r="L29" s="119"/>
      <c r="M29" s="5"/>
      <c r="N29" s="5"/>
      <c r="O29" s="5"/>
      <c r="P29" s="5"/>
      <c r="Q29" s="5"/>
      <c r="R29" s="5"/>
      <c r="S29" s="5"/>
      <c r="T29" s="5"/>
      <c r="U29" s="5"/>
      <c r="V29" s="5"/>
      <c r="W29" s="30"/>
      <c r="X29" s="30"/>
      <c r="Y29" s="30"/>
      <c r="Z29" s="30"/>
    </row>
    <row r="30" ht="13.5" customHeight="1">
      <c r="A30" s="111">
        <f t="shared" si="3"/>
        <v>30</v>
      </c>
      <c r="B30" s="460" t="s">
        <v>423</v>
      </c>
      <c r="C30" s="460"/>
      <c r="D30" s="474"/>
      <c r="E30" s="475">
        <f t="shared" ref="E30:J30" si="8">IFERROR(IF(AND(E27,$H$87)&gt;0,E27/$H87,0),0)</f>
        <v>0</v>
      </c>
      <c r="F30" s="475">
        <f t="shared" si="8"/>
        <v>0</v>
      </c>
      <c r="G30" s="475">
        <f t="shared" si="8"/>
        <v>0</v>
      </c>
      <c r="H30" s="475">
        <f t="shared" si="8"/>
        <v>0</v>
      </c>
      <c r="I30" s="475">
        <f t="shared" si="8"/>
        <v>0</v>
      </c>
      <c r="J30" s="475">
        <f t="shared" si="8"/>
        <v>0</v>
      </c>
      <c r="K30" s="474"/>
      <c r="L30" s="119"/>
      <c r="M30" s="5"/>
      <c r="N30" s="5"/>
      <c r="O30" s="5"/>
      <c r="P30" s="5"/>
      <c r="Q30" s="5"/>
      <c r="R30" s="5"/>
      <c r="S30" s="5"/>
      <c r="T30" s="5"/>
      <c r="U30" s="5"/>
      <c r="V30" s="5"/>
      <c r="W30" s="30"/>
      <c r="X30" s="30"/>
      <c r="Y30" s="30"/>
      <c r="Z30" s="30"/>
    </row>
    <row r="31" ht="13.5" customHeight="1">
      <c r="A31" s="111">
        <f t="shared" si="3"/>
        <v>31</v>
      </c>
      <c r="B31" s="476" t="s">
        <v>424</v>
      </c>
      <c r="C31" s="460"/>
      <c r="D31" s="474"/>
      <c r="E31" s="475"/>
      <c r="F31" s="475"/>
      <c r="G31" s="475"/>
      <c r="H31" s="475"/>
      <c r="I31" s="475"/>
      <c r="J31" s="475"/>
      <c r="K31" s="474"/>
      <c r="L31" s="119"/>
      <c r="M31" s="5"/>
      <c r="N31" s="5"/>
      <c r="O31" s="5"/>
      <c r="P31" s="5"/>
      <c r="Q31" s="5"/>
      <c r="R31" s="5"/>
      <c r="S31" s="5"/>
      <c r="T31" s="5"/>
      <c r="U31" s="5"/>
      <c r="V31" s="5"/>
      <c r="W31" s="30"/>
      <c r="X31" s="30"/>
      <c r="Y31" s="30"/>
      <c r="Z31" s="30"/>
    </row>
    <row r="32" ht="13.5" customHeight="1">
      <c r="A32" s="111"/>
      <c r="B32" s="477"/>
      <c r="C32" s="477"/>
      <c r="D32" s="477"/>
      <c r="E32" s="460"/>
      <c r="F32" s="478"/>
      <c r="G32" s="479"/>
      <c r="H32" s="479"/>
      <c r="I32" s="479"/>
      <c r="J32" s="479"/>
      <c r="K32" s="479"/>
      <c r="L32" s="119"/>
      <c r="M32" s="5"/>
      <c r="N32" s="5"/>
      <c r="O32" s="5"/>
      <c r="P32" s="5"/>
      <c r="Q32" s="5"/>
      <c r="R32" s="5"/>
      <c r="S32" s="5"/>
      <c r="T32" s="5"/>
      <c r="U32" s="5"/>
      <c r="V32" s="5"/>
      <c r="W32" s="30"/>
      <c r="X32" s="30"/>
      <c r="Y32" s="30"/>
      <c r="Z32" s="30"/>
    </row>
    <row r="33" ht="13.5" customHeight="1">
      <c r="A33" s="480" t="s">
        <v>425</v>
      </c>
      <c r="B33" s="477"/>
      <c r="C33" s="477"/>
      <c r="D33" s="477"/>
      <c r="E33" s="30"/>
      <c r="F33" s="478"/>
      <c r="G33" s="479"/>
      <c r="H33" s="479"/>
      <c r="I33" s="30"/>
      <c r="J33" s="30"/>
      <c r="K33" s="30"/>
      <c r="L33" s="119"/>
      <c r="M33" s="5"/>
      <c r="N33" s="5"/>
      <c r="O33" s="5"/>
      <c r="P33" s="5"/>
      <c r="Q33" s="5"/>
      <c r="R33" s="5"/>
      <c r="S33" s="5"/>
      <c r="T33" s="5"/>
      <c r="U33" s="5"/>
      <c r="V33" s="5"/>
      <c r="W33" s="30"/>
      <c r="X33" s="30"/>
      <c r="Y33" s="30"/>
      <c r="Z33" s="30"/>
    </row>
    <row r="34" ht="46.5" customHeight="1">
      <c r="A34" s="481"/>
      <c r="B34" s="482" t="s">
        <v>426</v>
      </c>
      <c r="C34" s="483"/>
      <c r="D34" s="484"/>
      <c r="E34" s="485" t="s">
        <v>427</v>
      </c>
      <c r="F34" s="486" t="s">
        <v>428</v>
      </c>
      <c r="G34" s="487" t="s">
        <v>429</v>
      </c>
      <c r="H34" s="485" t="s">
        <v>430</v>
      </c>
      <c r="I34" s="488" t="s">
        <v>431</v>
      </c>
      <c r="J34" s="30"/>
      <c r="K34" s="489"/>
      <c r="L34" s="490" t="s">
        <v>432</v>
      </c>
      <c r="M34" s="5"/>
      <c r="N34" s="5"/>
      <c r="O34" s="5"/>
      <c r="P34" s="5"/>
      <c r="Q34" s="5"/>
      <c r="R34" s="5"/>
      <c r="S34" s="5"/>
      <c r="T34" s="5"/>
      <c r="U34" s="5"/>
      <c r="V34" s="5"/>
      <c r="W34" s="30"/>
      <c r="X34" s="30"/>
      <c r="Y34" s="30"/>
      <c r="Z34" s="30"/>
    </row>
    <row r="35" ht="13.5" customHeight="1">
      <c r="A35" s="491">
        <f t="shared" ref="A35:A64" si="9">ROW()</f>
        <v>35</v>
      </c>
      <c r="B35" s="492" t="s">
        <v>433</v>
      </c>
      <c r="C35" s="75"/>
      <c r="D35" s="76"/>
      <c r="E35" s="493"/>
      <c r="F35" s="493"/>
      <c r="G35" s="494"/>
      <c r="H35" s="495"/>
      <c r="I35" s="496"/>
      <c r="J35" s="30"/>
      <c r="K35" s="489"/>
      <c r="L35" s="119" t="s">
        <v>434</v>
      </c>
      <c r="M35" s="5"/>
      <c r="N35" s="5"/>
      <c r="O35" s="5"/>
      <c r="P35" s="5"/>
      <c r="Q35" s="5"/>
      <c r="R35" s="5"/>
      <c r="S35" s="5"/>
      <c r="T35" s="5"/>
      <c r="U35" s="5"/>
      <c r="V35" s="5"/>
      <c r="W35" s="30"/>
      <c r="X35" s="30"/>
      <c r="Y35" s="30"/>
      <c r="Z35" s="30"/>
    </row>
    <row r="36" ht="13.5" customHeight="1">
      <c r="A36" s="497">
        <f t="shared" si="9"/>
        <v>36</v>
      </c>
      <c r="B36" s="498"/>
      <c r="C36" s="58"/>
      <c r="D36" s="87"/>
      <c r="E36" s="499"/>
      <c r="F36" s="500"/>
      <c r="G36" s="501"/>
      <c r="H36" s="502"/>
      <c r="I36" s="503"/>
      <c r="J36" s="30"/>
      <c r="K36" s="489"/>
      <c r="L36" s="119"/>
      <c r="M36" s="5"/>
      <c r="N36" s="5"/>
      <c r="O36" s="5"/>
      <c r="P36" s="5"/>
      <c r="Q36" s="5"/>
      <c r="R36" s="5"/>
      <c r="S36" s="5"/>
      <c r="T36" s="5"/>
      <c r="U36" s="5"/>
      <c r="V36" s="5"/>
      <c r="W36" s="30"/>
      <c r="X36" s="30"/>
      <c r="Y36" s="30"/>
      <c r="Z36" s="30"/>
    </row>
    <row r="37" ht="13.5" customHeight="1">
      <c r="A37" s="497">
        <f t="shared" si="9"/>
        <v>37</v>
      </c>
      <c r="B37" s="504"/>
      <c r="C37" s="58"/>
      <c r="D37" s="87"/>
      <c r="E37" s="500"/>
      <c r="F37" s="500"/>
      <c r="G37" s="501"/>
      <c r="H37" s="505"/>
      <c r="I37" s="503"/>
      <c r="J37" s="30"/>
      <c r="K37" s="489"/>
      <c r="L37" s="506" t="s">
        <v>435</v>
      </c>
      <c r="M37" s="5"/>
      <c r="N37" s="5"/>
      <c r="O37" s="5"/>
      <c r="P37" s="5"/>
      <c r="Q37" s="5"/>
      <c r="R37" s="5"/>
      <c r="S37" s="5"/>
      <c r="T37" s="5"/>
      <c r="U37" s="5"/>
      <c r="V37" s="5"/>
      <c r="W37" s="30"/>
      <c r="X37" s="30"/>
      <c r="Y37" s="30"/>
      <c r="Z37" s="30"/>
    </row>
    <row r="38" ht="13.5" customHeight="1">
      <c r="A38" s="497">
        <f t="shared" si="9"/>
        <v>38</v>
      </c>
      <c r="B38" s="507"/>
      <c r="C38" s="507"/>
      <c r="D38" s="507"/>
      <c r="E38" s="500"/>
      <c r="F38" s="500"/>
      <c r="G38" s="501"/>
      <c r="H38" s="505"/>
      <c r="I38" s="503"/>
      <c r="J38" s="30"/>
      <c r="K38" s="489"/>
      <c r="L38" s="119"/>
      <c r="M38" s="5"/>
      <c r="N38" s="5"/>
      <c r="O38" s="5"/>
      <c r="P38" s="5"/>
      <c r="Q38" s="5"/>
      <c r="R38" s="5"/>
      <c r="S38" s="5"/>
      <c r="T38" s="5"/>
      <c r="U38" s="5"/>
      <c r="V38" s="5"/>
      <c r="W38" s="30"/>
      <c r="X38" s="30"/>
      <c r="Y38" s="30"/>
      <c r="Z38" s="30"/>
    </row>
    <row r="39" ht="13.5" customHeight="1">
      <c r="A39" s="497">
        <f t="shared" si="9"/>
        <v>39</v>
      </c>
      <c r="B39" s="504"/>
      <c r="C39" s="58"/>
      <c r="D39" s="87"/>
      <c r="E39" s="500"/>
      <c r="F39" s="500"/>
      <c r="G39" s="501"/>
      <c r="H39" s="505">
        <v>0.0</v>
      </c>
      <c r="I39" s="503">
        <v>0.0</v>
      </c>
      <c r="J39" s="30"/>
      <c r="K39" s="489"/>
      <c r="L39" s="119"/>
      <c r="M39" s="5"/>
      <c r="N39" s="5"/>
      <c r="O39" s="5"/>
      <c r="P39" s="5"/>
      <c r="Q39" s="5"/>
      <c r="R39" s="5"/>
      <c r="S39" s="5"/>
      <c r="T39" s="5"/>
      <c r="U39" s="5"/>
      <c r="V39" s="5"/>
      <c r="W39" s="30"/>
      <c r="X39" s="30"/>
      <c r="Y39" s="30"/>
      <c r="Z39" s="30"/>
    </row>
    <row r="40" ht="13.5" customHeight="1">
      <c r="A40" s="497">
        <f t="shared" si="9"/>
        <v>40</v>
      </c>
      <c r="B40" s="504"/>
      <c r="C40" s="58"/>
      <c r="D40" s="87"/>
      <c r="E40" s="500"/>
      <c r="F40" s="500"/>
      <c r="G40" s="501"/>
      <c r="H40" s="505">
        <v>0.0</v>
      </c>
      <c r="I40" s="503">
        <v>0.0</v>
      </c>
      <c r="J40" s="30"/>
      <c r="K40" s="489"/>
      <c r="L40" s="119"/>
      <c r="M40" s="5"/>
      <c r="N40" s="5"/>
      <c r="O40" s="5"/>
      <c r="P40" s="5"/>
      <c r="Q40" s="5"/>
      <c r="R40" s="5"/>
      <c r="S40" s="5"/>
      <c r="T40" s="5"/>
      <c r="U40" s="5"/>
      <c r="V40" s="5"/>
      <c r="W40" s="30"/>
      <c r="X40" s="30"/>
      <c r="Y40" s="30"/>
      <c r="Z40" s="30"/>
    </row>
    <row r="41" ht="13.5" customHeight="1">
      <c r="A41" s="497">
        <f t="shared" si="9"/>
        <v>41</v>
      </c>
      <c r="B41" s="507"/>
      <c r="C41" s="507"/>
      <c r="D41" s="507"/>
      <c r="E41" s="500"/>
      <c r="F41" s="500"/>
      <c r="G41" s="501"/>
      <c r="H41" s="505">
        <v>0.0</v>
      </c>
      <c r="I41" s="503">
        <v>0.0</v>
      </c>
      <c r="J41" s="30"/>
      <c r="K41" s="489"/>
      <c r="L41" s="119"/>
      <c r="M41" s="5"/>
      <c r="N41" s="5"/>
      <c r="O41" s="5"/>
      <c r="P41" s="5"/>
      <c r="Q41" s="5"/>
      <c r="R41" s="5"/>
      <c r="S41" s="5"/>
      <c r="T41" s="5"/>
      <c r="U41" s="5"/>
      <c r="V41" s="5"/>
      <c r="W41" s="30"/>
      <c r="X41" s="30"/>
      <c r="Y41" s="30"/>
      <c r="Z41" s="30"/>
    </row>
    <row r="42" ht="13.5" customHeight="1">
      <c r="A42" s="497">
        <f t="shared" si="9"/>
        <v>42</v>
      </c>
      <c r="B42" s="507"/>
      <c r="C42" s="507"/>
      <c r="D42" s="507"/>
      <c r="E42" s="500"/>
      <c r="F42" s="500"/>
      <c r="G42" s="501"/>
      <c r="H42" s="505">
        <v>0.0</v>
      </c>
      <c r="I42" s="503">
        <v>0.0</v>
      </c>
      <c r="J42" s="30"/>
      <c r="K42" s="489"/>
      <c r="L42" s="119"/>
      <c r="M42" s="5"/>
      <c r="N42" s="5"/>
      <c r="O42" s="5"/>
      <c r="P42" s="5"/>
      <c r="Q42" s="5"/>
      <c r="R42" s="5"/>
      <c r="S42" s="5"/>
      <c r="T42" s="5"/>
      <c r="U42" s="5"/>
      <c r="V42" s="5"/>
      <c r="W42" s="30"/>
      <c r="X42" s="30"/>
      <c r="Y42" s="30"/>
      <c r="Z42" s="30"/>
    </row>
    <row r="43" ht="13.5" customHeight="1">
      <c r="A43" s="497">
        <f t="shared" si="9"/>
        <v>43</v>
      </c>
      <c r="B43" s="507"/>
      <c r="C43" s="507"/>
      <c r="D43" s="507"/>
      <c r="E43" s="500"/>
      <c r="F43" s="500"/>
      <c r="G43" s="501"/>
      <c r="H43" s="505">
        <v>0.0</v>
      </c>
      <c r="I43" s="503">
        <v>0.0</v>
      </c>
      <c r="J43" s="30"/>
      <c r="K43" s="489"/>
      <c r="L43" s="119"/>
      <c r="M43" s="5"/>
      <c r="N43" s="5"/>
      <c r="O43" s="5"/>
      <c r="P43" s="5"/>
      <c r="Q43" s="5"/>
      <c r="R43" s="5"/>
      <c r="S43" s="5"/>
      <c r="T43" s="5"/>
      <c r="U43" s="5"/>
      <c r="V43" s="5"/>
      <c r="W43" s="30"/>
      <c r="X43" s="30"/>
      <c r="Y43" s="30"/>
      <c r="Z43" s="30"/>
    </row>
    <row r="44" ht="13.5" customHeight="1">
      <c r="A44" s="497">
        <f t="shared" si="9"/>
        <v>44</v>
      </c>
      <c r="B44" s="504"/>
      <c r="C44" s="58"/>
      <c r="D44" s="87"/>
      <c r="E44" s="500"/>
      <c r="F44" s="500"/>
      <c r="G44" s="501"/>
      <c r="H44" s="505">
        <v>0.0</v>
      </c>
      <c r="I44" s="503">
        <v>0.0</v>
      </c>
      <c r="J44" s="30"/>
      <c r="K44" s="489"/>
      <c r="L44" s="119"/>
      <c r="M44" s="5"/>
      <c r="N44" s="5"/>
      <c r="O44" s="5"/>
      <c r="P44" s="5"/>
      <c r="Q44" s="5"/>
      <c r="R44" s="5"/>
      <c r="S44" s="5"/>
      <c r="T44" s="5"/>
      <c r="U44" s="5"/>
      <c r="V44" s="5"/>
      <c r="W44" s="30"/>
      <c r="X44" s="30"/>
      <c r="Y44" s="30"/>
      <c r="Z44" s="30"/>
    </row>
    <row r="45" ht="13.5" customHeight="1">
      <c r="A45" s="497">
        <f t="shared" si="9"/>
        <v>45</v>
      </c>
      <c r="B45" s="504"/>
      <c r="C45" s="58"/>
      <c r="D45" s="87"/>
      <c r="E45" s="500"/>
      <c r="F45" s="500"/>
      <c r="G45" s="501"/>
      <c r="H45" s="505">
        <v>0.0</v>
      </c>
      <c r="I45" s="503">
        <v>0.0</v>
      </c>
      <c r="J45" s="30"/>
      <c r="K45" s="489"/>
      <c r="L45" s="119"/>
      <c r="M45" s="5"/>
      <c r="N45" s="5"/>
      <c r="O45" s="5"/>
      <c r="P45" s="5"/>
      <c r="Q45" s="5"/>
      <c r="R45" s="5"/>
      <c r="S45" s="5"/>
      <c r="T45" s="5"/>
      <c r="U45" s="5"/>
      <c r="V45" s="5"/>
      <c r="W45" s="30"/>
      <c r="X45" s="30"/>
      <c r="Y45" s="30"/>
      <c r="Z45" s="30"/>
    </row>
    <row r="46" ht="13.5" customHeight="1">
      <c r="A46" s="497">
        <f t="shared" si="9"/>
        <v>46</v>
      </c>
      <c r="B46" s="508" t="s">
        <v>436</v>
      </c>
      <c r="C46" s="509"/>
      <c r="D46" s="509"/>
      <c r="E46" s="510"/>
      <c r="F46" s="510"/>
      <c r="G46" s="511"/>
      <c r="H46" s="512"/>
      <c r="I46" s="513"/>
      <c r="J46" s="30"/>
      <c r="K46" s="489"/>
      <c r="L46" s="119"/>
      <c r="M46" s="5"/>
      <c r="N46" s="5"/>
      <c r="O46" s="5"/>
      <c r="P46" s="5"/>
      <c r="Q46" s="5"/>
      <c r="R46" s="5"/>
      <c r="S46" s="5"/>
      <c r="T46" s="5"/>
      <c r="U46" s="5"/>
      <c r="V46" s="5"/>
      <c r="W46" s="30"/>
      <c r="X46" s="30"/>
      <c r="Y46" s="30"/>
      <c r="Z46" s="30"/>
    </row>
    <row r="47" ht="13.5" customHeight="1">
      <c r="A47" s="497">
        <f t="shared" si="9"/>
        <v>47</v>
      </c>
      <c r="B47" s="507"/>
      <c r="C47" s="507"/>
      <c r="D47" s="507"/>
      <c r="E47" s="500"/>
      <c r="F47" s="500"/>
      <c r="G47" s="501"/>
      <c r="H47" s="505">
        <v>0.0</v>
      </c>
      <c r="I47" s="503">
        <v>0.0</v>
      </c>
      <c r="J47" s="30"/>
      <c r="K47" s="489"/>
      <c r="L47" s="119"/>
      <c r="M47" s="5"/>
      <c r="N47" s="5"/>
      <c r="O47" s="5"/>
      <c r="P47" s="5"/>
      <c r="Q47" s="5"/>
      <c r="R47" s="5"/>
      <c r="S47" s="5"/>
      <c r="T47" s="5"/>
      <c r="U47" s="5"/>
      <c r="V47" s="5"/>
      <c r="W47" s="30"/>
      <c r="X47" s="30"/>
      <c r="Y47" s="30"/>
      <c r="Z47" s="30"/>
    </row>
    <row r="48" ht="13.5" customHeight="1">
      <c r="A48" s="497">
        <f t="shared" si="9"/>
        <v>48</v>
      </c>
      <c r="B48" s="504"/>
      <c r="C48" s="58"/>
      <c r="D48" s="87"/>
      <c r="E48" s="500"/>
      <c r="F48" s="500"/>
      <c r="G48" s="501"/>
      <c r="H48" s="505">
        <v>0.0</v>
      </c>
      <c r="I48" s="503">
        <v>0.0</v>
      </c>
      <c r="J48" s="30"/>
      <c r="K48" s="489"/>
      <c r="L48" s="119"/>
      <c r="M48" s="5"/>
      <c r="N48" s="5"/>
      <c r="O48" s="5"/>
      <c r="P48" s="5"/>
      <c r="Q48" s="5"/>
      <c r="R48" s="5"/>
      <c r="S48" s="5"/>
      <c r="T48" s="5"/>
      <c r="U48" s="5"/>
      <c r="V48" s="5"/>
      <c r="W48" s="30"/>
      <c r="X48" s="30"/>
      <c r="Y48" s="30"/>
      <c r="Z48" s="30"/>
    </row>
    <row r="49" ht="13.5" customHeight="1">
      <c r="A49" s="514">
        <f t="shared" si="9"/>
        <v>49</v>
      </c>
      <c r="B49" s="515"/>
      <c r="C49" s="515"/>
      <c r="D49" s="515"/>
      <c r="E49" s="516"/>
      <c r="F49" s="516"/>
      <c r="G49" s="517"/>
      <c r="H49" s="518">
        <v>0.0</v>
      </c>
      <c r="I49" s="519">
        <v>0.0</v>
      </c>
      <c r="J49" s="30"/>
      <c r="K49" s="489"/>
      <c r="L49" s="119"/>
      <c r="M49" s="5"/>
      <c r="N49" s="5"/>
      <c r="O49" s="5"/>
      <c r="P49" s="5"/>
      <c r="Q49" s="5"/>
      <c r="R49" s="5"/>
      <c r="S49" s="5"/>
      <c r="T49" s="5"/>
      <c r="U49" s="5"/>
      <c r="V49" s="5"/>
      <c r="W49" s="30"/>
      <c r="X49" s="30"/>
      <c r="Y49" s="30"/>
      <c r="Z49" s="30"/>
    </row>
    <row r="50" ht="13.5" customHeight="1">
      <c r="A50" s="514">
        <f t="shared" si="9"/>
        <v>50</v>
      </c>
      <c r="B50" s="515"/>
      <c r="C50" s="515"/>
      <c r="D50" s="515"/>
      <c r="E50" s="516"/>
      <c r="F50" s="516"/>
      <c r="G50" s="517"/>
      <c r="H50" s="518">
        <v>0.0</v>
      </c>
      <c r="I50" s="519">
        <v>0.0</v>
      </c>
      <c r="J50" s="30"/>
      <c r="K50" s="489"/>
      <c r="L50" s="119"/>
      <c r="M50" s="5"/>
      <c r="N50" s="5"/>
      <c r="O50" s="5"/>
      <c r="P50" s="5"/>
      <c r="Q50" s="5"/>
      <c r="R50" s="5"/>
      <c r="S50" s="5"/>
      <c r="T50" s="5"/>
      <c r="U50" s="5"/>
      <c r="V50" s="5"/>
      <c r="W50" s="30"/>
      <c r="X50" s="30"/>
      <c r="Y50" s="30"/>
      <c r="Z50" s="30"/>
    </row>
    <row r="51" ht="13.5" customHeight="1">
      <c r="A51" s="514">
        <f t="shared" si="9"/>
        <v>51</v>
      </c>
      <c r="B51" s="515"/>
      <c r="C51" s="515"/>
      <c r="D51" s="515"/>
      <c r="E51" s="516"/>
      <c r="F51" s="516"/>
      <c r="G51" s="517"/>
      <c r="H51" s="518">
        <v>0.0</v>
      </c>
      <c r="I51" s="519">
        <v>0.0</v>
      </c>
      <c r="J51" s="30"/>
      <c r="K51" s="489"/>
      <c r="L51" s="119"/>
      <c r="M51" s="5"/>
      <c r="N51" s="5"/>
      <c r="O51" s="5"/>
      <c r="P51" s="5"/>
      <c r="Q51" s="5"/>
      <c r="R51" s="5"/>
      <c r="S51" s="5"/>
      <c r="T51" s="5"/>
      <c r="U51" s="5"/>
      <c r="V51" s="5"/>
      <c r="W51" s="30"/>
      <c r="X51" s="30"/>
      <c r="Y51" s="30"/>
      <c r="Z51" s="30"/>
    </row>
    <row r="52" ht="13.5" customHeight="1">
      <c r="A52" s="514">
        <f t="shared" si="9"/>
        <v>52</v>
      </c>
      <c r="B52" s="515"/>
      <c r="C52" s="515"/>
      <c r="D52" s="515"/>
      <c r="E52" s="516"/>
      <c r="F52" s="516"/>
      <c r="G52" s="517"/>
      <c r="H52" s="518">
        <v>0.0</v>
      </c>
      <c r="I52" s="519">
        <v>0.0</v>
      </c>
      <c r="J52" s="30"/>
      <c r="K52" s="489"/>
      <c r="L52" s="119"/>
      <c r="M52" s="5"/>
      <c r="N52" s="5"/>
      <c r="O52" s="5"/>
      <c r="P52" s="5"/>
      <c r="Q52" s="5"/>
      <c r="R52" s="5"/>
      <c r="S52" s="5"/>
      <c r="T52" s="5"/>
      <c r="U52" s="5"/>
      <c r="V52" s="5"/>
      <c r="W52" s="30"/>
      <c r="X52" s="30"/>
      <c r="Y52" s="30"/>
      <c r="Z52" s="30"/>
    </row>
    <row r="53" ht="13.5" customHeight="1">
      <c r="A53" s="514">
        <f t="shared" si="9"/>
        <v>53</v>
      </c>
      <c r="B53" s="515"/>
      <c r="C53" s="515"/>
      <c r="D53" s="515"/>
      <c r="E53" s="516"/>
      <c r="F53" s="516"/>
      <c r="G53" s="517"/>
      <c r="H53" s="518">
        <v>0.0</v>
      </c>
      <c r="I53" s="519">
        <v>0.0</v>
      </c>
      <c r="J53" s="30"/>
      <c r="K53" s="489"/>
      <c r="L53" s="119"/>
      <c r="M53" s="5"/>
      <c r="N53" s="5"/>
      <c r="O53" s="5"/>
      <c r="P53" s="5"/>
      <c r="Q53" s="5"/>
      <c r="R53" s="5"/>
      <c r="S53" s="5"/>
      <c r="T53" s="5"/>
      <c r="U53" s="5"/>
      <c r="V53" s="5"/>
      <c r="W53" s="30"/>
      <c r="X53" s="30"/>
      <c r="Y53" s="30"/>
      <c r="Z53" s="30"/>
    </row>
    <row r="54" ht="13.5" customHeight="1">
      <c r="A54" s="514">
        <f t="shared" si="9"/>
        <v>54</v>
      </c>
      <c r="B54" s="515"/>
      <c r="C54" s="515"/>
      <c r="D54" s="515"/>
      <c r="E54" s="516"/>
      <c r="F54" s="516"/>
      <c r="G54" s="517"/>
      <c r="H54" s="518">
        <v>0.0</v>
      </c>
      <c r="I54" s="519">
        <v>0.0</v>
      </c>
      <c r="J54" s="30"/>
      <c r="K54" s="489"/>
      <c r="L54" s="119"/>
      <c r="M54" s="5"/>
      <c r="N54" s="5"/>
      <c r="O54" s="5"/>
      <c r="P54" s="5"/>
      <c r="Q54" s="5"/>
      <c r="R54" s="5"/>
      <c r="S54" s="5"/>
      <c r="T54" s="5"/>
      <c r="U54" s="5"/>
      <c r="V54" s="5"/>
      <c r="W54" s="30"/>
      <c r="X54" s="30"/>
      <c r="Y54" s="30"/>
      <c r="Z54" s="30"/>
    </row>
    <row r="55" ht="13.5" customHeight="1">
      <c r="A55" s="514">
        <f t="shared" si="9"/>
        <v>55</v>
      </c>
      <c r="B55" s="515"/>
      <c r="C55" s="515"/>
      <c r="D55" s="515"/>
      <c r="E55" s="516"/>
      <c r="F55" s="516"/>
      <c r="G55" s="517"/>
      <c r="H55" s="518">
        <v>0.0</v>
      </c>
      <c r="I55" s="519">
        <v>0.0</v>
      </c>
      <c r="J55" s="30"/>
      <c r="K55" s="489"/>
      <c r="L55" s="119"/>
      <c r="M55" s="5"/>
      <c r="N55" s="5"/>
      <c r="O55" s="5"/>
      <c r="P55" s="5"/>
      <c r="Q55" s="5"/>
      <c r="R55" s="5"/>
      <c r="S55" s="5"/>
      <c r="T55" s="5"/>
      <c r="U55" s="5"/>
      <c r="V55" s="5"/>
      <c r="W55" s="30"/>
      <c r="X55" s="30"/>
      <c r="Y55" s="30"/>
      <c r="Z55" s="30"/>
    </row>
    <row r="56" ht="13.5" customHeight="1">
      <c r="A56" s="520">
        <f t="shared" si="9"/>
        <v>56</v>
      </c>
      <c r="B56" s="515"/>
      <c r="C56" s="515"/>
      <c r="D56" s="515"/>
      <c r="E56" s="516"/>
      <c r="F56" s="516"/>
      <c r="G56" s="517"/>
      <c r="H56" s="518">
        <v>0.0</v>
      </c>
      <c r="I56" s="521">
        <v>0.0</v>
      </c>
      <c r="J56" s="30"/>
      <c r="K56" s="489"/>
      <c r="L56" s="119"/>
      <c r="M56" s="5"/>
      <c r="N56" s="5"/>
      <c r="O56" s="5"/>
      <c r="P56" s="5"/>
      <c r="Q56" s="5"/>
      <c r="R56" s="5"/>
      <c r="S56" s="5"/>
      <c r="T56" s="5"/>
      <c r="U56" s="5"/>
      <c r="V56" s="5"/>
      <c r="W56" s="30"/>
      <c r="X56" s="30"/>
      <c r="Y56" s="30"/>
      <c r="Z56" s="30"/>
    </row>
    <row r="57" ht="13.5" customHeight="1">
      <c r="A57" s="497">
        <f t="shared" si="9"/>
        <v>57</v>
      </c>
      <c r="B57" s="522"/>
      <c r="C57" s="522"/>
      <c r="D57" s="522"/>
      <c r="E57" s="522"/>
      <c r="F57" s="523"/>
      <c r="G57" s="371"/>
      <c r="H57" s="523">
        <f>SUM(H35:H56)</f>
        <v>0</v>
      </c>
      <c r="I57" s="524">
        <f>IFERROR(SUMPRODUCT(H35:H56,I35:I56)/H57,0)</f>
        <v>0</v>
      </c>
      <c r="J57" s="30"/>
      <c r="K57" s="525"/>
      <c r="L57" s="119"/>
      <c r="M57" s="5"/>
      <c r="N57" s="5"/>
      <c r="O57" s="5"/>
      <c r="P57" s="5"/>
      <c r="Q57" s="5"/>
      <c r="R57" s="5"/>
      <c r="S57" s="5"/>
      <c r="T57" s="5"/>
      <c r="U57" s="5"/>
      <c r="V57" s="5"/>
      <c r="W57" s="30"/>
      <c r="X57" s="30"/>
      <c r="Y57" s="30"/>
      <c r="Z57" s="30"/>
    </row>
    <row r="58" ht="13.5" customHeight="1">
      <c r="A58" s="497">
        <f t="shared" si="9"/>
        <v>58</v>
      </c>
      <c r="B58" s="476" t="s">
        <v>437</v>
      </c>
      <c r="C58" s="460"/>
      <c r="D58" s="460"/>
      <c r="E58" s="172"/>
      <c r="F58" s="526"/>
      <c r="G58" s="526"/>
      <c r="H58" s="527"/>
      <c r="I58" s="220"/>
      <c r="J58" s="30"/>
      <c r="K58" s="525"/>
      <c r="L58" s="119"/>
      <c r="M58" s="5"/>
      <c r="N58" s="5"/>
      <c r="O58" s="5"/>
      <c r="P58" s="5"/>
      <c r="Q58" s="5"/>
      <c r="R58" s="5"/>
      <c r="S58" s="5"/>
      <c r="T58" s="5"/>
      <c r="U58" s="5"/>
      <c r="V58" s="5"/>
      <c r="W58" s="30"/>
      <c r="X58" s="30"/>
      <c r="Y58" s="30"/>
      <c r="Z58" s="30"/>
    </row>
    <row r="59" ht="13.5" customHeight="1">
      <c r="A59" s="497">
        <f t="shared" si="9"/>
        <v>59</v>
      </c>
      <c r="B59" s="476" t="s">
        <v>438</v>
      </c>
      <c r="C59" s="460"/>
      <c r="D59" s="460"/>
      <c r="E59" s="460"/>
      <c r="F59" s="528"/>
      <c r="G59" s="528"/>
      <c r="H59" s="529"/>
      <c r="I59" s="220"/>
      <c r="J59" s="30"/>
      <c r="K59" s="525"/>
      <c r="L59" s="119"/>
      <c r="M59" s="5"/>
      <c r="N59" s="5"/>
      <c r="O59" s="5"/>
      <c r="P59" s="5"/>
      <c r="Q59" s="5"/>
      <c r="R59" s="5"/>
      <c r="S59" s="5"/>
      <c r="T59" s="5"/>
      <c r="U59" s="5"/>
      <c r="V59" s="5"/>
      <c r="W59" s="30"/>
      <c r="X59" s="30"/>
      <c r="Y59" s="30"/>
      <c r="Z59" s="30"/>
    </row>
    <row r="60" ht="13.5" customHeight="1">
      <c r="A60" s="497">
        <f t="shared" si="9"/>
        <v>60</v>
      </c>
      <c r="B60" s="530" t="s">
        <v>439</v>
      </c>
      <c r="C60" s="460"/>
      <c r="D60" s="460"/>
      <c r="E60" s="460"/>
      <c r="F60" s="528"/>
      <c r="G60" s="528"/>
      <c r="H60" s="529"/>
      <c r="I60" s="220"/>
      <c r="J60" s="30"/>
      <c r="K60" s="525"/>
      <c r="L60" s="119"/>
      <c r="M60" s="5"/>
      <c r="N60" s="5"/>
      <c r="O60" s="5"/>
      <c r="P60" s="5"/>
      <c r="Q60" s="5"/>
      <c r="R60" s="5"/>
      <c r="S60" s="5"/>
      <c r="T60" s="5"/>
      <c r="U60" s="5"/>
      <c r="V60" s="5"/>
      <c r="W60" s="30"/>
      <c r="X60" s="30"/>
      <c r="Y60" s="30"/>
      <c r="Z60" s="30"/>
    </row>
    <row r="61" ht="13.5" customHeight="1">
      <c r="A61" s="497">
        <f t="shared" si="9"/>
        <v>61</v>
      </c>
      <c r="B61" s="530" t="s">
        <v>440</v>
      </c>
      <c r="C61" s="460"/>
      <c r="D61" s="460"/>
      <c r="E61" s="460"/>
      <c r="F61" s="528"/>
      <c r="G61" s="528"/>
      <c r="H61" s="529"/>
      <c r="I61" s="220"/>
      <c r="J61" s="30"/>
      <c r="K61" s="525"/>
      <c r="L61" s="119"/>
      <c r="M61" s="5"/>
      <c r="N61" s="5"/>
      <c r="O61" s="5"/>
      <c r="P61" s="5"/>
      <c r="Q61" s="5"/>
      <c r="R61" s="5"/>
      <c r="S61" s="5"/>
      <c r="T61" s="5"/>
      <c r="U61" s="5"/>
      <c r="V61" s="5"/>
      <c r="W61" s="30"/>
      <c r="X61" s="30"/>
      <c r="Y61" s="30"/>
      <c r="Z61" s="30"/>
    </row>
    <row r="62" ht="13.5" customHeight="1">
      <c r="A62" s="497">
        <f t="shared" si="9"/>
        <v>62</v>
      </c>
      <c r="B62" s="460" t="s">
        <v>441</v>
      </c>
      <c r="C62" s="460"/>
      <c r="D62" s="460"/>
      <c r="E62" s="460"/>
      <c r="F62" s="528"/>
      <c r="G62" s="528"/>
      <c r="H62" s="529"/>
      <c r="I62" s="220"/>
      <c r="J62" s="30"/>
      <c r="K62" s="525"/>
      <c r="L62" s="119"/>
      <c r="M62" s="5"/>
      <c r="N62" s="5"/>
      <c r="O62" s="5"/>
      <c r="P62" s="5"/>
      <c r="Q62" s="5"/>
      <c r="R62" s="5"/>
      <c r="S62" s="5"/>
      <c r="T62" s="5"/>
      <c r="U62" s="5"/>
      <c r="V62" s="5"/>
      <c r="W62" s="30"/>
      <c r="X62" s="30"/>
      <c r="Y62" s="30"/>
      <c r="Z62" s="30"/>
    </row>
    <row r="63" ht="13.5" customHeight="1">
      <c r="A63" s="497">
        <f t="shared" si="9"/>
        <v>63</v>
      </c>
      <c r="B63" s="476" t="s">
        <v>442</v>
      </c>
      <c r="C63" s="460"/>
      <c r="D63" s="460"/>
      <c r="E63" s="460"/>
      <c r="F63" s="528"/>
      <c r="G63" s="528"/>
      <c r="H63" s="529"/>
      <c r="I63" s="220"/>
      <c r="J63" s="30"/>
      <c r="K63" s="525"/>
      <c r="L63" s="119"/>
      <c r="M63" s="5"/>
      <c r="N63" s="5"/>
      <c r="O63" s="5"/>
      <c r="P63" s="5"/>
      <c r="Q63" s="5"/>
      <c r="R63" s="5"/>
      <c r="S63" s="5"/>
      <c r="T63" s="5"/>
      <c r="U63" s="5"/>
      <c r="V63" s="5"/>
      <c r="W63" s="30"/>
      <c r="X63" s="30"/>
      <c r="Y63" s="30"/>
      <c r="Z63" s="30"/>
    </row>
    <row r="64" ht="13.5" customHeight="1">
      <c r="A64" s="520">
        <f t="shared" si="9"/>
        <v>64</v>
      </c>
      <c r="B64" s="460"/>
      <c r="C64" s="460"/>
      <c r="D64" s="460"/>
      <c r="E64" s="460"/>
      <c r="F64" s="528"/>
      <c r="G64" s="528"/>
      <c r="H64" s="529"/>
      <c r="I64" s="220"/>
      <c r="J64" s="30"/>
      <c r="K64" s="525"/>
      <c r="L64" s="119"/>
      <c r="M64" s="5"/>
      <c r="N64" s="5"/>
      <c r="O64" s="5"/>
      <c r="P64" s="5"/>
      <c r="Q64" s="5"/>
      <c r="R64" s="5"/>
      <c r="S64" s="5"/>
      <c r="T64" s="5"/>
      <c r="U64" s="5"/>
      <c r="V64" s="5"/>
      <c r="W64" s="30"/>
      <c r="X64" s="30"/>
      <c r="Y64" s="30"/>
      <c r="Z64" s="30"/>
    </row>
    <row r="65" ht="13.5" customHeight="1">
      <c r="A65" s="480" t="s">
        <v>443</v>
      </c>
      <c r="B65" s="531"/>
      <c r="C65" s="531"/>
      <c r="D65" s="531"/>
      <c r="E65" s="532"/>
      <c r="F65" s="533"/>
      <c r="G65" s="534"/>
      <c r="H65" s="534"/>
      <c r="I65" s="220"/>
      <c r="J65" s="30"/>
      <c r="K65" s="30"/>
      <c r="L65" s="119"/>
      <c r="M65" s="5"/>
      <c r="N65" s="5"/>
      <c r="O65" s="5"/>
      <c r="P65" s="5"/>
      <c r="Q65" s="5"/>
      <c r="R65" s="5"/>
      <c r="S65" s="5"/>
      <c r="T65" s="5"/>
      <c r="U65" s="5"/>
      <c r="V65" s="5"/>
      <c r="W65" s="30"/>
      <c r="X65" s="30"/>
      <c r="Y65" s="30"/>
      <c r="Z65" s="30"/>
    </row>
    <row r="66" ht="51.0" customHeight="1">
      <c r="A66" s="520">
        <f t="shared" ref="A66:A86" si="10">ROW()</f>
        <v>66</v>
      </c>
      <c r="B66" s="482" t="s">
        <v>426</v>
      </c>
      <c r="C66" s="483"/>
      <c r="D66" s="535"/>
      <c r="E66" s="536" t="s">
        <v>427</v>
      </c>
      <c r="F66" s="537" t="s">
        <v>428</v>
      </c>
      <c r="G66" s="538" t="s">
        <v>444</v>
      </c>
      <c r="H66" s="538" t="s">
        <v>445</v>
      </c>
      <c r="I66" s="488" t="s">
        <v>431</v>
      </c>
      <c r="J66" s="30"/>
      <c r="K66" s="30"/>
      <c r="L66" s="490" t="s">
        <v>446</v>
      </c>
      <c r="M66" s="5"/>
      <c r="N66" s="5"/>
      <c r="O66" s="5"/>
      <c r="P66" s="5"/>
      <c r="Q66" s="5"/>
      <c r="R66" s="5"/>
      <c r="S66" s="5"/>
      <c r="T66" s="5"/>
      <c r="U66" s="5"/>
      <c r="V66" s="5"/>
      <c r="W66" s="30"/>
      <c r="X66" s="30"/>
      <c r="Y66" s="30"/>
      <c r="Z66" s="30"/>
    </row>
    <row r="67" ht="13.5" customHeight="1">
      <c r="A67" s="539">
        <f t="shared" si="10"/>
        <v>67</v>
      </c>
      <c r="B67" s="492" t="s">
        <v>433</v>
      </c>
      <c r="C67" s="75"/>
      <c r="D67" s="76"/>
      <c r="E67" s="493"/>
      <c r="F67" s="493"/>
      <c r="G67" s="494"/>
      <c r="H67" s="495"/>
      <c r="I67" s="496"/>
      <c r="J67" s="30"/>
      <c r="K67" s="30"/>
      <c r="L67" s="119"/>
      <c r="M67" s="5"/>
      <c r="N67" s="5"/>
      <c r="O67" s="5"/>
      <c r="P67" s="5"/>
      <c r="Q67" s="5"/>
      <c r="R67" s="5"/>
      <c r="S67" s="5"/>
      <c r="T67" s="5"/>
      <c r="U67" s="5"/>
      <c r="V67" s="5"/>
      <c r="W67" s="30"/>
      <c r="X67" s="30"/>
      <c r="Y67" s="30"/>
      <c r="Z67" s="30"/>
    </row>
    <row r="68" ht="13.5" customHeight="1">
      <c r="A68" s="497">
        <f t="shared" si="10"/>
        <v>68</v>
      </c>
      <c r="B68" s="504"/>
      <c r="C68" s="58"/>
      <c r="D68" s="87"/>
      <c r="E68" s="500"/>
      <c r="F68" s="500"/>
      <c r="G68" s="501"/>
      <c r="H68" s="505"/>
      <c r="I68" s="503">
        <v>0.0</v>
      </c>
      <c r="J68" s="30"/>
      <c r="K68" s="30"/>
      <c r="L68" s="119"/>
      <c r="M68" s="5"/>
      <c r="N68" s="5"/>
      <c r="O68" s="5"/>
      <c r="P68" s="5"/>
      <c r="Q68" s="5"/>
      <c r="R68" s="5"/>
      <c r="S68" s="5"/>
      <c r="T68" s="5"/>
      <c r="U68" s="5"/>
      <c r="V68" s="5"/>
      <c r="W68" s="30"/>
      <c r="X68" s="30"/>
      <c r="Y68" s="30"/>
      <c r="Z68" s="30"/>
    </row>
    <row r="69" ht="13.5" customHeight="1">
      <c r="A69" s="497">
        <f t="shared" si="10"/>
        <v>69</v>
      </c>
      <c r="B69" s="507"/>
      <c r="C69" s="507"/>
      <c r="D69" s="507"/>
      <c r="E69" s="500"/>
      <c r="F69" s="500"/>
      <c r="G69" s="501"/>
      <c r="H69" s="505">
        <v>0.0</v>
      </c>
      <c r="I69" s="503">
        <v>0.0</v>
      </c>
      <c r="J69" s="30"/>
      <c r="K69" s="30"/>
      <c r="L69" s="119"/>
      <c r="M69" s="5"/>
      <c r="N69" s="5"/>
      <c r="O69" s="5"/>
      <c r="P69" s="5"/>
      <c r="Q69" s="5"/>
      <c r="R69" s="5"/>
      <c r="S69" s="5"/>
      <c r="T69" s="5"/>
      <c r="U69" s="5"/>
      <c r="V69" s="5"/>
      <c r="W69" s="30"/>
      <c r="X69" s="30"/>
      <c r="Y69" s="30"/>
      <c r="Z69" s="30"/>
    </row>
    <row r="70" ht="13.5" customHeight="1">
      <c r="A70" s="497">
        <f t="shared" si="10"/>
        <v>70</v>
      </c>
      <c r="B70" s="507"/>
      <c r="C70" s="507"/>
      <c r="D70" s="507"/>
      <c r="E70" s="500"/>
      <c r="F70" s="500"/>
      <c r="G70" s="501"/>
      <c r="H70" s="505">
        <v>0.0</v>
      </c>
      <c r="I70" s="503">
        <v>0.0</v>
      </c>
      <c r="J70" s="30"/>
      <c r="K70" s="30"/>
      <c r="L70" s="119"/>
      <c r="M70" s="5"/>
      <c r="N70" s="5"/>
      <c r="O70" s="5"/>
      <c r="P70" s="5"/>
      <c r="Q70" s="5"/>
      <c r="R70" s="5"/>
      <c r="S70" s="5"/>
      <c r="T70" s="5"/>
      <c r="U70" s="5"/>
      <c r="V70" s="5"/>
      <c r="W70" s="30"/>
      <c r="X70" s="30"/>
      <c r="Y70" s="30"/>
      <c r="Z70" s="30"/>
    </row>
    <row r="71" ht="13.5" customHeight="1">
      <c r="A71" s="497">
        <f t="shared" si="10"/>
        <v>71</v>
      </c>
      <c r="B71" s="507"/>
      <c r="C71" s="507"/>
      <c r="D71" s="507"/>
      <c r="E71" s="500"/>
      <c r="F71" s="500"/>
      <c r="G71" s="501"/>
      <c r="H71" s="505">
        <v>0.0</v>
      </c>
      <c r="I71" s="503">
        <v>0.0</v>
      </c>
      <c r="J71" s="30"/>
      <c r="K71" s="30"/>
      <c r="L71" s="119"/>
      <c r="M71" s="5"/>
      <c r="N71" s="5"/>
      <c r="O71" s="5"/>
      <c r="P71" s="5"/>
      <c r="Q71" s="5"/>
      <c r="R71" s="5"/>
      <c r="S71" s="5"/>
      <c r="T71" s="5"/>
      <c r="U71" s="5"/>
      <c r="V71" s="5"/>
      <c r="W71" s="30"/>
      <c r="X71" s="30"/>
      <c r="Y71" s="30"/>
      <c r="Z71" s="30"/>
    </row>
    <row r="72" ht="13.5" customHeight="1">
      <c r="A72" s="497">
        <f t="shared" si="10"/>
        <v>72</v>
      </c>
      <c r="B72" s="507"/>
      <c r="C72" s="507"/>
      <c r="D72" s="507"/>
      <c r="E72" s="500"/>
      <c r="F72" s="500"/>
      <c r="G72" s="501"/>
      <c r="H72" s="505">
        <v>0.0</v>
      </c>
      <c r="I72" s="503">
        <v>0.0</v>
      </c>
      <c r="J72" s="30"/>
      <c r="K72" s="30"/>
      <c r="L72" s="119"/>
      <c r="M72" s="5"/>
      <c r="N72" s="5"/>
      <c r="O72" s="5"/>
      <c r="P72" s="5"/>
      <c r="Q72" s="5"/>
      <c r="R72" s="5"/>
      <c r="S72" s="5"/>
      <c r="T72" s="5"/>
      <c r="U72" s="5"/>
      <c r="V72" s="5"/>
      <c r="W72" s="30"/>
      <c r="X72" s="30"/>
      <c r="Y72" s="30"/>
      <c r="Z72" s="30"/>
    </row>
    <row r="73" ht="13.5" customHeight="1">
      <c r="A73" s="497">
        <f t="shared" si="10"/>
        <v>73</v>
      </c>
      <c r="B73" s="507"/>
      <c r="C73" s="507"/>
      <c r="D73" s="507"/>
      <c r="E73" s="500"/>
      <c r="F73" s="500"/>
      <c r="G73" s="501"/>
      <c r="H73" s="505">
        <v>0.0</v>
      </c>
      <c r="I73" s="503">
        <v>0.0</v>
      </c>
      <c r="J73" s="30"/>
      <c r="K73" s="30"/>
      <c r="L73" s="119"/>
      <c r="M73" s="5"/>
      <c r="N73" s="5"/>
      <c r="O73" s="5"/>
      <c r="P73" s="5"/>
      <c r="Q73" s="5"/>
      <c r="R73" s="5"/>
      <c r="S73" s="5"/>
      <c r="T73" s="5"/>
      <c r="U73" s="5"/>
      <c r="V73" s="5"/>
      <c r="W73" s="30"/>
      <c r="X73" s="30"/>
      <c r="Y73" s="30"/>
      <c r="Z73" s="30"/>
    </row>
    <row r="74" ht="13.5" customHeight="1">
      <c r="A74" s="497">
        <f t="shared" si="10"/>
        <v>74</v>
      </c>
      <c r="B74" s="507"/>
      <c r="C74" s="507"/>
      <c r="D74" s="507"/>
      <c r="E74" s="500"/>
      <c r="F74" s="500"/>
      <c r="G74" s="501"/>
      <c r="H74" s="505">
        <v>0.0</v>
      </c>
      <c r="I74" s="503">
        <v>0.0</v>
      </c>
      <c r="J74" s="30"/>
      <c r="K74" s="30"/>
      <c r="L74" s="119"/>
      <c r="M74" s="5"/>
      <c r="N74" s="5"/>
      <c r="O74" s="5"/>
      <c r="P74" s="5"/>
      <c r="Q74" s="5"/>
      <c r="R74" s="5"/>
      <c r="S74" s="5"/>
      <c r="T74" s="5"/>
      <c r="U74" s="5"/>
      <c r="V74" s="5"/>
      <c r="W74" s="30"/>
      <c r="X74" s="30"/>
      <c r="Y74" s="30"/>
      <c r="Z74" s="30"/>
    </row>
    <row r="75" ht="13.5" customHeight="1">
      <c r="A75" s="497">
        <f t="shared" si="10"/>
        <v>75</v>
      </c>
      <c r="B75" s="504"/>
      <c r="C75" s="58"/>
      <c r="D75" s="87"/>
      <c r="E75" s="500"/>
      <c r="F75" s="500"/>
      <c r="G75" s="501"/>
      <c r="H75" s="505">
        <v>0.0</v>
      </c>
      <c r="I75" s="503">
        <v>0.0</v>
      </c>
      <c r="J75" s="30"/>
      <c r="K75" s="30"/>
      <c r="L75" s="119"/>
      <c r="M75" s="5"/>
      <c r="N75" s="5"/>
      <c r="O75" s="5"/>
      <c r="P75" s="5"/>
      <c r="Q75" s="5"/>
      <c r="R75" s="5"/>
      <c r="S75" s="5"/>
      <c r="T75" s="5"/>
      <c r="U75" s="5"/>
      <c r="V75" s="5"/>
      <c r="W75" s="30"/>
      <c r="X75" s="30"/>
      <c r="Y75" s="30"/>
      <c r="Z75" s="30"/>
    </row>
    <row r="76" ht="13.5" customHeight="1">
      <c r="A76" s="497">
        <f t="shared" si="10"/>
        <v>76</v>
      </c>
      <c r="B76" s="507"/>
      <c r="C76" s="507"/>
      <c r="D76" s="507"/>
      <c r="E76" s="500"/>
      <c r="F76" s="500"/>
      <c r="G76" s="501"/>
      <c r="H76" s="505">
        <v>0.0</v>
      </c>
      <c r="I76" s="503">
        <v>0.0</v>
      </c>
      <c r="J76" s="30"/>
      <c r="K76" s="30"/>
      <c r="L76" s="119"/>
      <c r="M76" s="5"/>
      <c r="N76" s="5"/>
      <c r="O76" s="5"/>
      <c r="P76" s="5"/>
      <c r="Q76" s="5"/>
      <c r="R76" s="5"/>
      <c r="S76" s="5"/>
      <c r="T76" s="5"/>
      <c r="U76" s="5"/>
      <c r="V76" s="5"/>
      <c r="W76" s="30"/>
      <c r="X76" s="30"/>
      <c r="Y76" s="30"/>
      <c r="Z76" s="30"/>
    </row>
    <row r="77" ht="13.5" customHeight="1">
      <c r="A77" s="497">
        <f t="shared" si="10"/>
        <v>77</v>
      </c>
      <c r="B77" s="508" t="s">
        <v>436</v>
      </c>
      <c r="C77" s="509"/>
      <c r="D77" s="509"/>
      <c r="E77" s="510"/>
      <c r="F77" s="510"/>
      <c r="G77" s="511"/>
      <c r="H77" s="512"/>
      <c r="I77" s="513"/>
      <c r="J77" s="30"/>
      <c r="K77" s="30"/>
      <c r="L77" s="119"/>
      <c r="M77" s="5"/>
      <c r="N77" s="5"/>
      <c r="O77" s="5"/>
      <c r="P77" s="5"/>
      <c r="Q77" s="5"/>
      <c r="R77" s="5"/>
      <c r="S77" s="5"/>
      <c r="T77" s="5"/>
      <c r="U77" s="5"/>
      <c r="V77" s="5"/>
      <c r="W77" s="30"/>
      <c r="X77" s="30"/>
      <c r="Y77" s="30"/>
      <c r="Z77" s="30"/>
    </row>
    <row r="78" ht="13.5" customHeight="1">
      <c r="A78" s="497">
        <f t="shared" si="10"/>
        <v>78</v>
      </c>
      <c r="B78" s="507"/>
      <c r="C78" s="507"/>
      <c r="D78" s="507"/>
      <c r="E78" s="500"/>
      <c r="F78" s="500"/>
      <c r="G78" s="501"/>
      <c r="H78" s="505">
        <v>0.0</v>
      </c>
      <c r="I78" s="503">
        <v>0.0</v>
      </c>
      <c r="J78" s="30"/>
      <c r="K78" s="30"/>
      <c r="L78" s="119"/>
      <c r="M78" s="5"/>
      <c r="N78" s="5"/>
      <c r="O78" s="5"/>
      <c r="P78" s="5"/>
      <c r="Q78" s="5"/>
      <c r="R78" s="5"/>
      <c r="S78" s="5"/>
      <c r="T78" s="5"/>
      <c r="U78" s="5"/>
      <c r="V78" s="5"/>
      <c r="W78" s="30"/>
      <c r="X78" s="30"/>
      <c r="Y78" s="30"/>
      <c r="Z78" s="30"/>
    </row>
    <row r="79" ht="13.5" customHeight="1">
      <c r="A79" s="497">
        <f t="shared" si="10"/>
        <v>79</v>
      </c>
      <c r="B79" s="507"/>
      <c r="C79" s="507"/>
      <c r="D79" s="507"/>
      <c r="E79" s="500"/>
      <c r="F79" s="500"/>
      <c r="G79" s="501"/>
      <c r="H79" s="505">
        <v>0.0</v>
      </c>
      <c r="I79" s="503">
        <v>0.0</v>
      </c>
      <c r="J79" s="30"/>
      <c r="K79" s="30"/>
      <c r="L79" s="119"/>
      <c r="M79" s="5"/>
      <c r="N79" s="5"/>
      <c r="O79" s="5"/>
      <c r="P79" s="5"/>
      <c r="Q79" s="5"/>
      <c r="R79" s="5"/>
      <c r="S79" s="5"/>
      <c r="T79" s="5"/>
      <c r="U79" s="5"/>
      <c r="V79" s="5"/>
      <c r="W79" s="30"/>
      <c r="X79" s="30"/>
      <c r="Y79" s="30"/>
      <c r="Z79" s="30"/>
    </row>
    <row r="80" ht="13.5" customHeight="1">
      <c r="A80" s="497">
        <f t="shared" si="10"/>
        <v>80</v>
      </c>
      <c r="B80" s="507"/>
      <c r="C80" s="507"/>
      <c r="D80" s="507"/>
      <c r="E80" s="500"/>
      <c r="F80" s="500"/>
      <c r="G80" s="501"/>
      <c r="H80" s="505">
        <v>0.0</v>
      </c>
      <c r="I80" s="503">
        <v>0.0</v>
      </c>
      <c r="J80" s="30"/>
      <c r="K80" s="30"/>
      <c r="L80" s="119"/>
      <c r="M80" s="5"/>
      <c r="N80" s="5"/>
      <c r="O80" s="5"/>
      <c r="P80" s="5"/>
      <c r="Q80" s="5"/>
      <c r="R80" s="5"/>
      <c r="S80" s="5"/>
      <c r="T80" s="5"/>
      <c r="U80" s="5"/>
      <c r="V80" s="5"/>
      <c r="W80" s="30"/>
      <c r="X80" s="30"/>
      <c r="Y80" s="30"/>
      <c r="Z80" s="30"/>
    </row>
    <row r="81" ht="13.5" customHeight="1">
      <c r="A81" s="497">
        <f t="shared" si="10"/>
        <v>81</v>
      </c>
      <c r="B81" s="507"/>
      <c r="C81" s="507"/>
      <c r="D81" s="507"/>
      <c r="E81" s="500"/>
      <c r="F81" s="500"/>
      <c r="G81" s="501"/>
      <c r="H81" s="505">
        <v>0.0</v>
      </c>
      <c r="I81" s="503">
        <v>0.0</v>
      </c>
      <c r="J81" s="30"/>
      <c r="K81" s="30"/>
      <c r="L81" s="119"/>
      <c r="M81" s="5"/>
      <c r="N81" s="5"/>
      <c r="O81" s="5"/>
      <c r="P81" s="5"/>
      <c r="Q81" s="5"/>
      <c r="R81" s="5"/>
      <c r="S81" s="5"/>
      <c r="T81" s="5"/>
      <c r="U81" s="5"/>
      <c r="V81" s="5"/>
      <c r="W81" s="30"/>
      <c r="X81" s="30"/>
      <c r="Y81" s="30"/>
      <c r="Z81" s="30"/>
    </row>
    <row r="82" ht="13.5" customHeight="1">
      <c r="A82" s="497">
        <f t="shared" si="10"/>
        <v>82</v>
      </c>
      <c r="B82" s="507"/>
      <c r="C82" s="507"/>
      <c r="D82" s="507"/>
      <c r="E82" s="500"/>
      <c r="F82" s="500"/>
      <c r="G82" s="501"/>
      <c r="H82" s="505">
        <v>0.0</v>
      </c>
      <c r="I82" s="503">
        <v>0.0</v>
      </c>
      <c r="J82" s="30"/>
      <c r="K82" s="30"/>
      <c r="L82" s="119"/>
      <c r="M82" s="5"/>
      <c r="N82" s="5"/>
      <c r="O82" s="5"/>
      <c r="P82" s="5"/>
      <c r="Q82" s="5"/>
      <c r="R82" s="5"/>
      <c r="S82" s="5"/>
      <c r="T82" s="5"/>
      <c r="U82" s="5"/>
      <c r="V82" s="5"/>
      <c r="W82" s="30"/>
      <c r="X82" s="30"/>
      <c r="Y82" s="30"/>
      <c r="Z82" s="30"/>
    </row>
    <row r="83" ht="13.5" customHeight="1">
      <c r="A83" s="497">
        <f t="shared" si="10"/>
        <v>83</v>
      </c>
      <c r="B83" s="507"/>
      <c r="C83" s="507"/>
      <c r="D83" s="507"/>
      <c r="E83" s="500"/>
      <c r="F83" s="500"/>
      <c r="G83" s="501"/>
      <c r="H83" s="505">
        <v>0.0</v>
      </c>
      <c r="I83" s="503">
        <v>0.0</v>
      </c>
      <c r="J83" s="30"/>
      <c r="K83" s="30"/>
      <c r="L83" s="119"/>
      <c r="M83" s="5"/>
      <c r="N83" s="5"/>
      <c r="O83" s="5"/>
      <c r="P83" s="5"/>
      <c r="Q83" s="5"/>
      <c r="R83" s="5"/>
      <c r="S83" s="5"/>
      <c r="T83" s="5"/>
      <c r="U83" s="5"/>
      <c r="V83" s="5"/>
      <c r="W83" s="30"/>
      <c r="X83" s="30"/>
      <c r="Y83" s="30"/>
      <c r="Z83" s="30"/>
    </row>
    <row r="84" ht="13.5" customHeight="1">
      <c r="A84" s="497">
        <f t="shared" si="10"/>
        <v>84</v>
      </c>
      <c r="B84" s="507"/>
      <c r="C84" s="507"/>
      <c r="D84" s="507"/>
      <c r="E84" s="500"/>
      <c r="F84" s="500"/>
      <c r="G84" s="501"/>
      <c r="H84" s="505">
        <v>0.0</v>
      </c>
      <c r="I84" s="503">
        <v>0.0</v>
      </c>
      <c r="J84" s="30"/>
      <c r="K84" s="30"/>
      <c r="L84" s="119"/>
      <c r="M84" s="5"/>
      <c r="N84" s="5"/>
      <c r="O84" s="5"/>
      <c r="P84" s="5"/>
      <c r="Q84" s="5"/>
      <c r="R84" s="5"/>
      <c r="S84" s="5"/>
      <c r="T84" s="5"/>
      <c r="U84" s="5"/>
      <c r="V84" s="5"/>
      <c r="W84" s="30"/>
      <c r="X84" s="30"/>
      <c r="Y84" s="30"/>
      <c r="Z84" s="30"/>
    </row>
    <row r="85" ht="13.5" customHeight="1">
      <c r="A85" s="497">
        <f t="shared" si="10"/>
        <v>85</v>
      </c>
      <c r="B85" s="507"/>
      <c r="C85" s="507"/>
      <c r="D85" s="507"/>
      <c r="E85" s="500"/>
      <c r="F85" s="500"/>
      <c r="G85" s="501"/>
      <c r="H85" s="505">
        <v>0.0</v>
      </c>
      <c r="I85" s="503">
        <v>0.0</v>
      </c>
      <c r="J85" s="30"/>
      <c r="K85" s="30"/>
      <c r="L85" s="119"/>
      <c r="M85" s="5"/>
      <c r="N85" s="5"/>
      <c r="O85" s="5"/>
      <c r="P85" s="5"/>
      <c r="Q85" s="5"/>
      <c r="R85" s="5"/>
      <c r="S85" s="5"/>
      <c r="T85" s="5"/>
      <c r="U85" s="5"/>
      <c r="V85" s="5"/>
      <c r="W85" s="30"/>
      <c r="X85" s="30"/>
      <c r="Y85" s="30"/>
      <c r="Z85" s="30"/>
    </row>
    <row r="86" ht="13.5" customHeight="1">
      <c r="A86" s="520">
        <f t="shared" si="10"/>
        <v>86</v>
      </c>
      <c r="B86" s="540"/>
      <c r="C86" s="541"/>
      <c r="D86" s="542"/>
      <c r="E86" s="516"/>
      <c r="F86" s="516"/>
      <c r="G86" s="517"/>
      <c r="H86" s="518">
        <v>0.0</v>
      </c>
      <c r="I86" s="519">
        <v>0.0</v>
      </c>
      <c r="J86" s="30"/>
      <c r="K86" s="30"/>
      <c r="L86" s="119"/>
      <c r="M86" s="5"/>
      <c r="N86" s="5"/>
      <c r="O86" s="5"/>
      <c r="P86" s="5"/>
      <c r="Q86" s="5"/>
      <c r="R86" s="5"/>
      <c r="S86" s="5"/>
      <c r="T86" s="5"/>
      <c r="U86" s="5"/>
      <c r="V86" s="5"/>
      <c r="W86" s="30"/>
      <c r="X86" s="30"/>
      <c r="Y86" s="30"/>
      <c r="Z86" s="30"/>
    </row>
    <row r="87" ht="13.5" customHeight="1">
      <c r="A87" s="65"/>
      <c r="B87" s="522"/>
      <c r="C87" s="522"/>
      <c r="D87" s="522"/>
      <c r="E87" s="522"/>
      <c r="F87" s="522"/>
      <c r="G87" s="523"/>
      <c r="H87" s="523">
        <f>SUM(H67:H86)</f>
        <v>0</v>
      </c>
      <c r="I87" s="524">
        <f>IFERROR(SUMPRODUCT(H67:H86,I67:I86)/H87,0)</f>
        <v>0</v>
      </c>
      <c r="J87" s="30"/>
      <c r="K87" s="528"/>
      <c r="L87" s="119"/>
      <c r="M87" s="5"/>
      <c r="N87" s="5"/>
      <c r="O87" s="5"/>
      <c r="P87" s="5"/>
      <c r="Q87" s="5"/>
      <c r="R87" s="5"/>
      <c r="S87" s="5"/>
      <c r="T87" s="5"/>
      <c r="U87" s="5"/>
      <c r="V87" s="5"/>
      <c r="W87" s="30"/>
      <c r="X87" s="30"/>
      <c r="Y87" s="30"/>
      <c r="Z87" s="30"/>
    </row>
    <row r="88" ht="13.5" customHeight="1">
      <c r="A88" s="65"/>
      <c r="B88" s="477"/>
      <c r="C88" s="477"/>
      <c r="D88" s="477"/>
      <c r="E88" s="460"/>
      <c r="F88" s="478"/>
      <c r="G88" s="479"/>
      <c r="H88" s="479"/>
      <c r="I88" s="220"/>
      <c r="J88" s="30"/>
      <c r="K88" s="528"/>
      <c r="L88" s="119"/>
      <c r="M88" s="5"/>
      <c r="N88" s="5"/>
      <c r="O88" s="5"/>
      <c r="P88" s="5"/>
      <c r="Q88" s="5"/>
      <c r="R88" s="5"/>
      <c r="S88" s="5"/>
      <c r="T88" s="5"/>
      <c r="U88" s="5"/>
      <c r="V88" s="5"/>
      <c r="W88" s="30"/>
      <c r="X88" s="30"/>
      <c r="Y88" s="30"/>
      <c r="Z88" s="30"/>
    </row>
    <row r="89" ht="13.5" customHeight="1">
      <c r="A89" s="30"/>
      <c r="B89" s="30"/>
      <c r="C89" s="30"/>
      <c r="D89" s="30"/>
      <c r="E89" s="30"/>
      <c r="F89" s="30"/>
      <c r="G89" s="30"/>
      <c r="H89" s="30"/>
      <c r="I89" s="220"/>
      <c r="J89" s="30"/>
      <c r="K89" s="30"/>
      <c r="L89" s="30"/>
      <c r="M89" s="5"/>
      <c r="N89" s="5"/>
      <c r="O89" s="5"/>
      <c r="P89" s="5"/>
      <c r="Q89" s="5"/>
      <c r="R89" s="5"/>
      <c r="S89" s="5"/>
      <c r="T89" s="5"/>
      <c r="U89" s="5"/>
      <c r="V89" s="5"/>
      <c r="W89" s="30"/>
      <c r="X89" s="30"/>
      <c r="Y89" s="30"/>
      <c r="Z89" s="30"/>
    </row>
    <row r="90" ht="13.5" customHeight="1">
      <c r="A90" s="30"/>
      <c r="B90" s="30"/>
      <c r="C90" s="30"/>
      <c r="D90" s="30"/>
      <c r="E90" s="30"/>
      <c r="F90" s="30"/>
      <c r="G90" s="30"/>
      <c r="H90" s="30"/>
      <c r="I90" s="30"/>
      <c r="J90" s="30"/>
      <c r="K90" s="30"/>
      <c r="L90" s="30"/>
      <c r="M90" s="5"/>
      <c r="N90" s="5"/>
      <c r="O90" s="5"/>
      <c r="P90" s="5"/>
      <c r="Q90" s="5"/>
      <c r="R90" s="5"/>
      <c r="S90" s="5"/>
      <c r="T90" s="5"/>
      <c r="U90" s="5"/>
      <c r="V90" s="5"/>
      <c r="W90" s="30"/>
      <c r="X90" s="30"/>
      <c r="Y90" s="30"/>
      <c r="Z90" s="30"/>
    </row>
    <row r="91" ht="13.5" customHeight="1">
      <c r="A91" s="30"/>
      <c r="B91" s="30"/>
      <c r="C91" s="30"/>
      <c r="D91" s="30"/>
      <c r="E91" s="30"/>
      <c r="F91" s="30"/>
      <c r="G91" s="30"/>
      <c r="H91" s="30"/>
      <c r="I91" s="30"/>
      <c r="J91" s="30"/>
      <c r="K91" s="30"/>
      <c r="L91" s="30"/>
      <c r="M91" s="5"/>
      <c r="N91" s="5"/>
      <c r="O91" s="5"/>
      <c r="P91" s="5"/>
      <c r="Q91" s="5"/>
      <c r="R91" s="5"/>
      <c r="S91" s="5"/>
      <c r="T91" s="5"/>
      <c r="U91" s="5"/>
      <c r="V91" s="5"/>
      <c r="W91" s="30"/>
      <c r="X91" s="30"/>
      <c r="Y91" s="30"/>
      <c r="Z91" s="30"/>
    </row>
    <row r="92" ht="13.5" customHeight="1">
      <c r="A92" s="30"/>
      <c r="B92" s="30"/>
      <c r="C92" s="30"/>
      <c r="D92" s="30"/>
      <c r="E92" s="30"/>
      <c r="F92" s="30"/>
      <c r="G92" s="30"/>
      <c r="H92" s="30"/>
      <c r="I92" s="30"/>
      <c r="J92" s="30"/>
      <c r="K92" s="30"/>
      <c r="L92" s="30"/>
      <c r="M92" s="5"/>
      <c r="N92" s="5"/>
      <c r="O92" s="5"/>
      <c r="P92" s="5"/>
      <c r="Q92" s="5"/>
      <c r="R92" s="5"/>
      <c r="S92" s="5"/>
      <c r="T92" s="5"/>
      <c r="U92" s="5"/>
      <c r="V92" s="5"/>
      <c r="W92" s="30"/>
      <c r="X92" s="30"/>
      <c r="Y92" s="30"/>
      <c r="Z92" s="30"/>
    </row>
    <row r="93" ht="13.5" customHeight="1">
      <c r="A93" s="30"/>
      <c r="B93" s="30"/>
      <c r="C93" s="30"/>
      <c r="D93" s="30"/>
      <c r="E93" s="30"/>
      <c r="F93" s="30"/>
      <c r="G93" s="30"/>
      <c r="H93" s="30"/>
      <c r="I93" s="30"/>
      <c r="J93" s="30"/>
      <c r="K93" s="30"/>
      <c r="L93" s="30"/>
      <c r="M93" s="5"/>
      <c r="N93" s="5"/>
      <c r="O93" s="5"/>
      <c r="P93" s="5"/>
      <c r="Q93" s="5"/>
      <c r="R93" s="5"/>
      <c r="S93" s="5"/>
      <c r="T93" s="5"/>
      <c r="U93" s="5"/>
      <c r="V93" s="5"/>
      <c r="W93" s="30"/>
      <c r="X93" s="30"/>
      <c r="Y93" s="30"/>
      <c r="Z93" s="30"/>
    </row>
    <row r="94" ht="13.5" customHeight="1">
      <c r="A94" s="30"/>
      <c r="B94" s="30"/>
      <c r="C94" s="30"/>
      <c r="D94" s="30"/>
      <c r="E94" s="30"/>
      <c r="F94" s="30"/>
      <c r="G94" s="30"/>
      <c r="H94" s="30"/>
      <c r="I94" s="30"/>
      <c r="J94" s="30"/>
      <c r="K94" s="30"/>
      <c r="L94" s="30"/>
      <c r="M94" s="5"/>
      <c r="N94" s="5"/>
      <c r="O94" s="5"/>
      <c r="P94" s="5"/>
      <c r="Q94" s="5"/>
      <c r="R94" s="5"/>
      <c r="S94" s="5"/>
      <c r="T94" s="5"/>
      <c r="U94" s="5"/>
      <c r="V94" s="5"/>
      <c r="W94" s="30"/>
      <c r="X94" s="30"/>
      <c r="Y94" s="30"/>
      <c r="Z94" s="30"/>
    </row>
    <row r="95" ht="13.5" customHeight="1">
      <c r="A95" s="30"/>
      <c r="B95" s="30"/>
      <c r="C95" s="30"/>
      <c r="D95" s="30"/>
      <c r="E95" s="30"/>
      <c r="F95" s="30"/>
      <c r="G95" s="30"/>
      <c r="H95" s="30"/>
      <c r="I95" s="30"/>
      <c r="J95" s="30"/>
      <c r="K95" s="30"/>
      <c r="L95" s="30"/>
      <c r="M95" s="5"/>
      <c r="N95" s="5"/>
      <c r="O95" s="5"/>
      <c r="P95" s="5"/>
      <c r="Q95" s="5"/>
      <c r="R95" s="5"/>
      <c r="S95" s="5"/>
      <c r="T95" s="5"/>
      <c r="U95" s="5"/>
      <c r="V95" s="5"/>
      <c r="W95" s="30"/>
      <c r="X95" s="30"/>
      <c r="Y95" s="30"/>
      <c r="Z95" s="30"/>
    </row>
    <row r="96" ht="13.5" customHeight="1">
      <c r="A96" s="30"/>
      <c r="B96" s="30"/>
      <c r="C96" s="30"/>
      <c r="D96" s="30"/>
      <c r="E96" s="30"/>
      <c r="F96" s="30"/>
      <c r="G96" s="30"/>
      <c r="H96" s="30"/>
      <c r="I96" s="30"/>
      <c r="J96" s="30"/>
      <c r="K96" s="30"/>
      <c r="L96" s="30"/>
      <c r="M96" s="5"/>
      <c r="N96" s="5"/>
      <c r="O96" s="5"/>
      <c r="P96" s="5"/>
      <c r="Q96" s="5"/>
      <c r="R96" s="5"/>
      <c r="S96" s="5"/>
      <c r="T96" s="5"/>
      <c r="U96" s="5"/>
      <c r="V96" s="5"/>
      <c r="W96" s="30"/>
      <c r="X96" s="30"/>
      <c r="Y96" s="30"/>
      <c r="Z96" s="30"/>
    </row>
    <row r="97" ht="13.5" customHeight="1">
      <c r="A97" s="30"/>
      <c r="B97" s="30"/>
      <c r="C97" s="30"/>
      <c r="D97" s="30"/>
      <c r="E97" s="30"/>
      <c r="F97" s="30"/>
      <c r="G97" s="30"/>
      <c r="H97" s="30"/>
      <c r="I97" s="30"/>
      <c r="J97" s="30"/>
      <c r="K97" s="30"/>
      <c r="L97" s="30"/>
      <c r="M97" s="5"/>
      <c r="N97" s="5"/>
      <c r="O97" s="5"/>
      <c r="P97" s="5"/>
      <c r="Q97" s="5"/>
      <c r="R97" s="5"/>
      <c r="S97" s="5"/>
      <c r="T97" s="5"/>
      <c r="U97" s="5"/>
      <c r="V97" s="5"/>
      <c r="W97" s="30"/>
      <c r="X97" s="30"/>
      <c r="Y97" s="30"/>
      <c r="Z97" s="30"/>
    </row>
    <row r="98" ht="13.5" customHeight="1">
      <c r="A98" s="30"/>
      <c r="B98" s="30"/>
      <c r="C98" s="30"/>
      <c r="D98" s="30"/>
      <c r="E98" s="30"/>
      <c r="F98" s="30"/>
      <c r="G98" s="30"/>
      <c r="H98" s="30"/>
      <c r="I98" s="30"/>
      <c r="J98" s="30"/>
      <c r="K98" s="30"/>
      <c r="L98" s="30"/>
      <c r="M98" s="5"/>
      <c r="N98" s="5"/>
      <c r="O98" s="5"/>
      <c r="P98" s="5"/>
      <c r="Q98" s="5"/>
      <c r="R98" s="5"/>
      <c r="S98" s="5"/>
      <c r="T98" s="5"/>
      <c r="U98" s="5"/>
      <c r="V98" s="5"/>
      <c r="W98" s="30"/>
      <c r="X98" s="30"/>
      <c r="Y98" s="30"/>
      <c r="Z98" s="30"/>
    </row>
    <row r="99" ht="13.5" customHeight="1">
      <c r="A99" s="30"/>
      <c r="B99" s="30"/>
      <c r="C99" s="30"/>
      <c r="D99" s="30"/>
      <c r="E99" s="30"/>
      <c r="F99" s="30"/>
      <c r="G99" s="30"/>
      <c r="H99" s="30"/>
      <c r="I99" s="30"/>
      <c r="J99" s="30"/>
      <c r="K99" s="30"/>
      <c r="L99" s="30"/>
      <c r="M99" s="5"/>
      <c r="N99" s="5"/>
      <c r="O99" s="5"/>
      <c r="P99" s="5"/>
      <c r="Q99" s="5"/>
      <c r="R99" s="5"/>
      <c r="S99" s="5"/>
      <c r="T99" s="5"/>
      <c r="U99" s="5"/>
      <c r="V99" s="5"/>
      <c r="W99" s="30"/>
      <c r="X99" s="30"/>
      <c r="Y99" s="30"/>
      <c r="Z99" s="30"/>
    </row>
    <row r="100" ht="13.5" customHeight="1">
      <c r="A100" s="30"/>
      <c r="B100" s="30"/>
      <c r="C100" s="30"/>
      <c r="D100" s="30"/>
      <c r="E100" s="30"/>
      <c r="F100" s="30"/>
      <c r="G100" s="30"/>
      <c r="H100" s="30"/>
      <c r="I100" s="30"/>
      <c r="J100" s="30"/>
      <c r="K100" s="30"/>
      <c r="L100" s="30"/>
      <c r="M100" s="5"/>
      <c r="N100" s="5"/>
      <c r="O100" s="5"/>
      <c r="P100" s="5"/>
      <c r="Q100" s="5"/>
      <c r="R100" s="5"/>
      <c r="S100" s="5"/>
      <c r="T100" s="5"/>
      <c r="U100" s="5"/>
      <c r="V100" s="5"/>
      <c r="W100" s="30"/>
      <c r="X100" s="30"/>
      <c r="Y100" s="30"/>
      <c r="Z100" s="30"/>
    </row>
    <row r="101" ht="13.5" customHeight="1">
      <c r="A101" s="30"/>
      <c r="B101" s="30"/>
      <c r="C101" s="30"/>
      <c r="D101" s="30"/>
      <c r="E101" s="30"/>
      <c r="F101" s="30"/>
      <c r="G101" s="30"/>
      <c r="H101" s="30"/>
      <c r="I101" s="30"/>
      <c r="J101" s="30"/>
      <c r="K101" s="30"/>
      <c r="L101" s="30"/>
      <c r="M101" s="5"/>
      <c r="N101" s="5"/>
      <c r="O101" s="5"/>
      <c r="P101" s="5"/>
      <c r="Q101" s="5"/>
      <c r="R101" s="5"/>
      <c r="S101" s="5"/>
      <c r="T101" s="5"/>
      <c r="U101" s="5"/>
      <c r="V101" s="5"/>
      <c r="W101" s="30"/>
      <c r="X101" s="30"/>
      <c r="Y101" s="30"/>
      <c r="Z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4">
    <mergeCell ref="B45:D45"/>
    <mergeCell ref="B48:D48"/>
    <mergeCell ref="B66:C66"/>
    <mergeCell ref="B67:D67"/>
    <mergeCell ref="B68:D68"/>
    <mergeCell ref="B75:D75"/>
    <mergeCell ref="B86:D86"/>
    <mergeCell ref="B34:C34"/>
    <mergeCell ref="B35:D35"/>
    <mergeCell ref="B36:D36"/>
    <mergeCell ref="B37:D37"/>
    <mergeCell ref="B39:D39"/>
    <mergeCell ref="B40:D40"/>
    <mergeCell ref="B44:D44"/>
  </mergeCells>
  <conditionalFormatting sqref="B14:C26">
    <cfRule type="expression" dxfId="2" priority="1" stopIfTrue="1">
      <formula>MOD(ROW(),2)=0</formula>
    </cfRule>
  </conditionalFormatting>
  <conditionalFormatting sqref="D1">
    <cfRule type="expression" dxfId="2" priority="2" stopIfTrue="1">
      <formula>MOD(ROW(),2)=0</formula>
    </cfRule>
  </conditionalFormatting>
  <conditionalFormatting sqref="D11:J12">
    <cfRule type="cellIs" dxfId="3" priority="3" stopIfTrue="1" operator="equal">
      <formula>0</formula>
    </cfRule>
  </conditionalFormatting>
  <conditionalFormatting sqref="D14:J26">
    <cfRule type="cellIs" dxfId="3" priority="4" stopIfTrue="1" operator="equal">
      <formula>0</formula>
    </cfRule>
  </conditionalFormatting>
  <hyperlinks>
    <hyperlink r:id="rId2" ref="B60"/>
    <hyperlink r:id="rId3" ref="B61"/>
  </hyperlinks>
  <printOptions/>
  <pageMargins bottom="0.45" footer="0.0" header="0.0" left="0.25" right="0.25" top="0.5"/>
  <pageSetup orientation="landscape"/>
  <headerFooter>
    <oddHeader>&amp;L &amp;C &amp;R </oddHeader>
    <oddFooter>&amp;L&amp;D  at &amp;T Mike 702.854.0691&amp;C&amp;F  &amp;A&amp;RPage &amp;P of </oddFooter>
  </headerFooter>
  <rowBreaks count="2" manualBreakCount="2">
    <brk id="32" man="1"/>
    <brk id="64" man="1"/>
  </rowBreaks>
  <drawing r:id="rId4"/>
  <legacyDrawing r:id="rId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workbookViewId="0"/>
  </sheetViews>
  <sheetFormatPr customHeight="1" defaultColWidth="14.43" defaultRowHeight="15.0"/>
  <cols>
    <col customWidth="1" min="1" max="1" width="5.43"/>
    <col customWidth="1" min="2" max="2" width="44.29"/>
    <col customWidth="1" min="3" max="3" width="17.71"/>
    <col customWidth="1" min="4" max="4" width="10.43"/>
    <col customWidth="1" min="5" max="5" width="11.0"/>
    <col customWidth="1" min="6" max="6" width="15.29"/>
    <col customWidth="1" min="7" max="7" width="16.29"/>
    <col customWidth="1" min="8" max="9" width="21.0"/>
    <col customWidth="1" min="10" max="12" width="17.0"/>
    <col customWidth="1" min="13" max="13" width="1.29"/>
    <col customWidth="1" min="14" max="14" width="88.43"/>
    <col customWidth="1" min="15" max="26" width="8.71"/>
  </cols>
  <sheetData>
    <row r="1" ht="13.5" customHeight="1">
      <c r="A1" s="438" t="s">
        <v>447</v>
      </c>
      <c r="B1" s="218"/>
      <c r="C1" s="30"/>
      <c r="D1" s="219" t="s">
        <v>3</v>
      </c>
      <c r="E1" s="219"/>
      <c r="F1" s="30"/>
      <c r="G1" s="30"/>
      <c r="H1" s="30"/>
      <c r="I1" s="30"/>
      <c r="J1" s="30"/>
      <c r="K1" s="30"/>
      <c r="L1" s="30"/>
      <c r="M1" s="30"/>
      <c r="N1" s="30"/>
      <c r="O1" s="30"/>
      <c r="P1" s="30"/>
      <c r="Q1" s="30"/>
      <c r="R1" s="30"/>
      <c r="S1" s="30"/>
      <c r="T1" s="30"/>
      <c r="U1" s="30"/>
      <c r="V1" s="30"/>
      <c r="W1" s="30"/>
      <c r="X1" s="30"/>
      <c r="Y1" s="30"/>
      <c r="Z1" s="30"/>
    </row>
    <row r="2" ht="13.5" customHeight="1">
      <c r="A2" s="96" t="str">
        <f>SchoolName</f>
        <v>Explore Knowledge Academy</v>
      </c>
      <c r="B2" s="97"/>
      <c r="C2" s="30"/>
      <c r="D2" s="30"/>
      <c r="E2" s="30"/>
      <c r="F2" s="30"/>
      <c r="G2" s="30"/>
      <c r="H2" s="30"/>
      <c r="I2" s="30"/>
      <c r="J2" s="30"/>
      <c r="K2" s="30"/>
      <c r="L2" s="30"/>
      <c r="M2" s="30"/>
      <c r="N2" s="30"/>
      <c r="O2" s="30"/>
      <c r="P2" s="30"/>
      <c r="Q2" s="30"/>
      <c r="R2" s="30"/>
      <c r="S2" s="30"/>
      <c r="T2" s="30"/>
      <c r="U2" s="30"/>
      <c r="V2" s="30"/>
      <c r="W2" s="30"/>
      <c r="X2" s="30"/>
      <c r="Y2" s="30"/>
      <c r="Z2" s="30"/>
    </row>
    <row r="3" ht="13.5" customHeight="1">
      <c r="A3" s="95" t="s">
        <v>134</v>
      </c>
      <c r="B3" s="30"/>
      <c r="C3" s="30"/>
      <c r="D3" s="30"/>
      <c r="E3" s="30"/>
      <c r="F3" s="30"/>
      <c r="G3" s="30"/>
      <c r="H3" s="30"/>
      <c r="I3" s="30"/>
      <c r="J3" s="30"/>
      <c r="K3" s="63"/>
      <c r="L3" s="30"/>
      <c r="M3" s="30"/>
      <c r="N3" s="30"/>
      <c r="O3" s="30"/>
      <c r="P3" s="30"/>
      <c r="Q3" s="30"/>
      <c r="R3" s="30"/>
      <c r="S3" s="30"/>
      <c r="T3" s="30"/>
      <c r="U3" s="30"/>
      <c r="V3" s="30"/>
      <c r="W3" s="30"/>
      <c r="X3" s="30"/>
      <c r="Y3" s="30"/>
      <c r="Z3" s="30"/>
    </row>
    <row r="4" ht="13.5" customHeight="1">
      <c r="A4" s="222" t="s">
        <v>135</v>
      </c>
      <c r="B4" s="30"/>
      <c r="C4" s="30"/>
      <c r="D4" s="30"/>
      <c r="E4" s="30"/>
      <c r="F4" s="30"/>
      <c r="G4" s="30"/>
      <c r="H4" s="30"/>
      <c r="I4" s="30"/>
      <c r="J4" s="30"/>
      <c r="K4" s="30"/>
      <c r="L4" s="30"/>
      <c r="M4" s="30"/>
      <c r="N4" s="30"/>
      <c r="O4" s="30"/>
      <c r="P4" s="30"/>
      <c r="Q4" s="30"/>
      <c r="R4" s="30"/>
      <c r="S4" s="30"/>
      <c r="T4" s="30"/>
      <c r="U4" s="30"/>
      <c r="V4" s="30"/>
      <c r="W4" s="30"/>
      <c r="X4" s="30"/>
      <c r="Y4" s="30"/>
      <c r="Z4" s="30"/>
    </row>
    <row r="5" ht="13.5" customHeight="1">
      <c r="A5" s="98" t="str">
        <f>CELL("filename")</f>
        <v>#N/A</v>
      </c>
      <c r="B5" s="30"/>
      <c r="C5" s="30"/>
      <c r="D5" s="30"/>
      <c r="E5" s="30"/>
      <c r="F5" s="30"/>
      <c r="G5" s="30"/>
      <c r="H5" s="30"/>
      <c r="I5" s="30"/>
      <c r="J5" s="30"/>
      <c r="K5" s="30"/>
      <c r="L5" s="30"/>
      <c r="M5" s="30"/>
      <c r="N5" s="30"/>
      <c r="O5" s="30"/>
      <c r="P5" s="30"/>
      <c r="Q5" s="30"/>
      <c r="R5" s="30"/>
      <c r="S5" s="30"/>
      <c r="T5" s="30"/>
      <c r="U5" s="30"/>
      <c r="V5" s="30"/>
      <c r="W5" s="30"/>
      <c r="X5" s="30"/>
      <c r="Y5" s="30"/>
      <c r="Z5" s="30"/>
    </row>
    <row r="6" ht="13.5" customHeight="1">
      <c r="A6" s="65"/>
      <c r="B6" s="30"/>
      <c r="C6" s="30"/>
      <c r="D6" s="543" t="s">
        <v>448</v>
      </c>
      <c r="E6" s="543"/>
      <c r="F6" s="30"/>
      <c r="G6" s="544"/>
      <c r="H6" s="30"/>
      <c r="I6" s="30"/>
      <c r="J6" s="543"/>
      <c r="K6" s="30"/>
      <c r="L6" s="30"/>
      <c r="M6" s="30"/>
      <c r="N6" s="30"/>
      <c r="O6" s="30"/>
      <c r="P6" s="30"/>
      <c r="Q6" s="30"/>
      <c r="R6" s="30"/>
      <c r="S6" s="30"/>
      <c r="T6" s="30"/>
      <c r="U6" s="30"/>
      <c r="V6" s="30"/>
      <c r="W6" s="30"/>
      <c r="X6" s="30"/>
      <c r="Y6" s="30"/>
      <c r="Z6" s="30"/>
    </row>
    <row r="7" ht="13.5" customHeight="1">
      <c r="A7" s="65"/>
      <c r="B7" s="30"/>
      <c r="C7" s="30"/>
      <c r="D7" s="99" t="s">
        <v>449</v>
      </c>
      <c r="E7" s="99"/>
      <c r="F7" s="30"/>
      <c r="G7" s="99"/>
      <c r="H7" s="30"/>
      <c r="I7" s="30"/>
      <c r="J7" s="99"/>
      <c r="K7" s="30"/>
      <c r="L7" s="30"/>
      <c r="M7" s="30"/>
      <c r="N7" s="30"/>
      <c r="O7" s="30"/>
      <c r="P7" s="30"/>
      <c r="Q7" s="30"/>
      <c r="R7" s="30"/>
      <c r="S7" s="30"/>
      <c r="T7" s="30"/>
      <c r="U7" s="30"/>
      <c r="V7" s="30"/>
      <c r="W7" s="30"/>
      <c r="X7" s="30"/>
      <c r="Y7" s="30"/>
      <c r="Z7" s="30"/>
    </row>
    <row r="8" ht="13.5" customHeight="1">
      <c r="A8" s="65"/>
      <c r="B8" s="30"/>
      <c r="C8" s="30"/>
      <c r="D8" s="30"/>
      <c r="E8" s="30"/>
      <c r="F8" s="99"/>
      <c r="G8" s="63"/>
      <c r="H8" s="30"/>
      <c r="I8" s="30"/>
      <c r="J8" s="30"/>
      <c r="K8" s="30"/>
      <c r="L8" s="30"/>
      <c r="M8" s="30"/>
      <c r="N8" s="30"/>
      <c r="O8" s="30"/>
      <c r="P8" s="30"/>
      <c r="Q8" s="30"/>
      <c r="R8" s="30"/>
      <c r="S8" s="30"/>
      <c r="T8" s="30"/>
      <c r="U8" s="30"/>
      <c r="V8" s="30"/>
      <c r="W8" s="30"/>
      <c r="X8" s="30"/>
      <c r="Y8" s="30"/>
      <c r="Z8" s="30"/>
    </row>
    <row r="9" ht="13.5" customHeight="1">
      <c r="A9" s="65"/>
      <c r="B9" s="63"/>
      <c r="C9" s="30"/>
      <c r="D9" s="30"/>
      <c r="E9" s="30"/>
      <c r="F9" s="545">
        <v>0.0</v>
      </c>
      <c r="G9" s="101">
        <v>1.0</v>
      </c>
      <c r="H9" s="101">
        <f t="shared" ref="H9:L9" si="1">1+G9</f>
        <v>2</v>
      </c>
      <c r="I9" s="101">
        <f t="shared" si="1"/>
        <v>3</v>
      </c>
      <c r="J9" s="101">
        <f t="shared" si="1"/>
        <v>4</v>
      </c>
      <c r="K9" s="101">
        <f t="shared" si="1"/>
        <v>5</v>
      </c>
      <c r="L9" s="102">
        <f t="shared" si="1"/>
        <v>6</v>
      </c>
      <c r="M9" s="30"/>
      <c r="N9" s="30"/>
      <c r="O9" s="30"/>
      <c r="P9" s="30"/>
      <c r="Q9" s="30"/>
      <c r="R9" s="30"/>
      <c r="S9" s="30"/>
      <c r="T9" s="30"/>
      <c r="U9" s="30"/>
      <c r="V9" s="30"/>
      <c r="W9" s="30"/>
      <c r="X9" s="30"/>
      <c r="Y9" s="30"/>
      <c r="Z9" s="30"/>
    </row>
    <row r="10" ht="13.5" customHeight="1">
      <c r="A10" s="111"/>
      <c r="B10" s="223"/>
      <c r="C10" s="30"/>
      <c r="D10" s="30"/>
      <c r="E10" s="30"/>
      <c r="F10" s="359">
        <f t="shared" ref="F10:F11" si="3">+G10-1</f>
        <v>2024</v>
      </c>
      <c r="G10" s="105">
        <f>Cover!E11</f>
        <v>2025</v>
      </c>
      <c r="H10" s="105">
        <f t="shared" ref="H10:L10" si="2">+G11</f>
        <v>2026</v>
      </c>
      <c r="I10" s="105">
        <f t="shared" si="2"/>
        <v>2027</v>
      </c>
      <c r="J10" s="105">
        <f t="shared" si="2"/>
        <v>2028</v>
      </c>
      <c r="K10" s="105">
        <f t="shared" si="2"/>
        <v>2029</v>
      </c>
      <c r="L10" s="106">
        <f t="shared" si="2"/>
        <v>2030</v>
      </c>
      <c r="M10" s="30"/>
      <c r="N10" s="30"/>
      <c r="O10" s="30"/>
      <c r="P10" s="30"/>
      <c r="Q10" s="30"/>
      <c r="R10" s="30"/>
      <c r="S10" s="30"/>
      <c r="T10" s="30"/>
      <c r="U10" s="30"/>
      <c r="V10" s="30"/>
      <c r="W10" s="30"/>
      <c r="X10" s="30"/>
      <c r="Y10" s="30"/>
      <c r="Z10" s="30"/>
    </row>
    <row r="11" ht="13.5" customHeight="1">
      <c r="A11" s="111">
        <f t="shared" ref="A11:A146" si="5">ROW()</f>
        <v>11</v>
      </c>
      <c r="B11" s="546" t="s">
        <v>447</v>
      </c>
      <c r="C11" s="547" t="s">
        <v>450</v>
      </c>
      <c r="D11" s="548"/>
      <c r="E11" s="549"/>
      <c r="F11" s="361">
        <f t="shared" si="3"/>
        <v>2025</v>
      </c>
      <c r="G11" s="108">
        <f t="shared" ref="G11:L11" si="4">+G10+1</f>
        <v>2026</v>
      </c>
      <c r="H11" s="108">
        <f t="shared" si="4"/>
        <v>2027</v>
      </c>
      <c r="I11" s="108">
        <f t="shared" si="4"/>
        <v>2028</v>
      </c>
      <c r="J11" s="108">
        <f t="shared" si="4"/>
        <v>2029</v>
      </c>
      <c r="K11" s="108">
        <f t="shared" si="4"/>
        <v>2030</v>
      </c>
      <c r="L11" s="109">
        <f t="shared" si="4"/>
        <v>2031</v>
      </c>
      <c r="M11" s="30"/>
      <c r="N11" s="30"/>
      <c r="O11" s="30"/>
      <c r="P11" s="30"/>
      <c r="Q11" s="30"/>
      <c r="R11" s="30"/>
      <c r="S11" s="30"/>
      <c r="T11" s="30"/>
      <c r="U11" s="30"/>
      <c r="V11" s="30"/>
      <c r="W11" s="30"/>
      <c r="X11" s="30"/>
      <c r="Y11" s="30"/>
      <c r="Z11" s="30"/>
    </row>
    <row r="12" ht="13.5" customHeight="1">
      <c r="A12" s="111">
        <f t="shared" si="5"/>
        <v>12</v>
      </c>
      <c r="B12" s="550" t="s">
        <v>451</v>
      </c>
      <c r="C12" s="551"/>
      <c r="D12" s="552"/>
      <c r="E12" s="552"/>
      <c r="F12" s="553">
        <f>F36</f>
        <v>607</v>
      </c>
      <c r="G12" s="554">
        <f t="shared" ref="G12:L12" si="6">+G36</f>
        <v>632</v>
      </c>
      <c r="H12" s="554">
        <f t="shared" si="6"/>
        <v>645</v>
      </c>
      <c r="I12" s="554">
        <f t="shared" si="6"/>
        <v>667</v>
      </c>
      <c r="J12" s="554">
        <f t="shared" si="6"/>
        <v>673</v>
      </c>
      <c r="K12" s="554">
        <f t="shared" si="6"/>
        <v>676</v>
      </c>
      <c r="L12" s="554">
        <f t="shared" si="6"/>
        <v>685</v>
      </c>
      <c r="M12" s="30"/>
      <c r="N12" s="30"/>
      <c r="O12" s="30"/>
      <c r="P12" s="30"/>
      <c r="Q12" s="30"/>
      <c r="R12" s="30"/>
      <c r="S12" s="30"/>
      <c r="T12" s="30"/>
      <c r="U12" s="30"/>
      <c r="V12" s="30"/>
      <c r="W12" s="30"/>
      <c r="X12" s="30"/>
      <c r="Y12" s="30"/>
      <c r="Z12" s="30"/>
    </row>
    <row r="13" ht="13.5" customHeight="1">
      <c r="A13" s="111">
        <f t="shared" si="5"/>
        <v>13</v>
      </c>
      <c r="B13" s="67"/>
      <c r="C13" s="30"/>
      <c r="D13" s="555"/>
      <c r="E13" s="555"/>
      <c r="F13" s="548"/>
      <c r="G13" s="547"/>
      <c r="H13" s="547"/>
      <c r="I13" s="547"/>
      <c r="J13" s="547"/>
      <c r="K13" s="547"/>
      <c r="L13" s="547"/>
      <c r="M13" s="30"/>
      <c r="N13" s="30"/>
      <c r="O13" s="30"/>
      <c r="P13" s="30"/>
      <c r="Q13" s="30"/>
      <c r="R13" s="30"/>
      <c r="S13" s="30"/>
      <c r="T13" s="30"/>
      <c r="U13" s="30"/>
      <c r="V13" s="30"/>
      <c r="W13" s="30"/>
      <c r="X13" s="30"/>
      <c r="Y13" s="30"/>
      <c r="Z13" s="30"/>
    </row>
    <row r="14" ht="13.5" customHeight="1">
      <c r="A14" s="111">
        <f t="shared" si="5"/>
        <v>14</v>
      </c>
      <c r="B14" s="556" t="s">
        <v>382</v>
      </c>
      <c r="C14" s="557"/>
      <c r="D14" s="557"/>
      <c r="E14" s="557"/>
      <c r="F14" s="558"/>
      <c r="G14" s="559"/>
      <c r="H14" s="559"/>
      <c r="I14" s="559"/>
      <c r="J14" s="559"/>
      <c r="K14" s="559"/>
      <c r="L14" s="559"/>
      <c r="M14" s="30"/>
      <c r="N14" s="36" t="s">
        <v>85</v>
      </c>
      <c r="O14" s="30"/>
      <c r="P14" s="30"/>
      <c r="Q14" s="30"/>
      <c r="R14" s="30"/>
      <c r="S14" s="30"/>
      <c r="T14" s="30"/>
      <c r="U14" s="30"/>
      <c r="V14" s="30"/>
      <c r="W14" s="30"/>
      <c r="X14" s="30"/>
      <c r="Y14" s="30"/>
      <c r="Z14" s="30"/>
    </row>
    <row r="15" ht="13.5" customHeight="1">
      <c r="A15" s="111">
        <f t="shared" si="5"/>
        <v>15</v>
      </c>
      <c r="B15" s="63"/>
      <c r="C15" s="30"/>
      <c r="D15" s="30"/>
      <c r="E15" s="30"/>
      <c r="F15" s="555"/>
      <c r="G15" s="447"/>
      <c r="H15" s="447"/>
      <c r="I15" s="447"/>
      <c r="J15" s="447"/>
      <c r="K15" s="447"/>
      <c r="L15" s="447"/>
      <c r="M15" s="30"/>
      <c r="N15" s="63"/>
      <c r="O15" s="30"/>
      <c r="P15" s="30"/>
      <c r="Q15" s="30"/>
      <c r="R15" s="30"/>
      <c r="S15" s="30"/>
      <c r="T15" s="30"/>
      <c r="U15" s="30"/>
      <c r="V15" s="30"/>
      <c r="W15" s="30"/>
      <c r="X15" s="30"/>
      <c r="Y15" s="30"/>
      <c r="Z15" s="30"/>
    </row>
    <row r="16" ht="13.5" customHeight="1">
      <c r="A16" s="111">
        <f t="shared" si="5"/>
        <v>16</v>
      </c>
      <c r="B16" s="560" t="s">
        <v>452</v>
      </c>
      <c r="C16" s="450"/>
      <c r="D16" s="450"/>
      <c r="E16" s="450"/>
      <c r="F16" s="561"/>
      <c r="G16" s="562"/>
      <c r="H16" s="562"/>
      <c r="I16" s="562"/>
      <c r="J16" s="562"/>
      <c r="K16" s="562"/>
      <c r="L16" s="562"/>
      <c r="M16" s="30"/>
      <c r="N16" s="116"/>
      <c r="O16" s="30"/>
      <c r="P16" s="30"/>
      <c r="Q16" s="30"/>
      <c r="R16" s="30"/>
      <c r="S16" s="30"/>
      <c r="T16" s="30"/>
      <c r="U16" s="30"/>
      <c r="V16" s="30"/>
      <c r="W16" s="30"/>
      <c r="X16" s="30"/>
      <c r="Y16" s="30"/>
      <c r="Z16" s="30"/>
    </row>
    <row r="17" ht="13.5" customHeight="1">
      <c r="A17" s="111">
        <f t="shared" si="5"/>
        <v>17</v>
      </c>
      <c r="B17" s="463" t="s">
        <v>405</v>
      </c>
      <c r="C17" s="563"/>
      <c r="D17" s="563"/>
      <c r="E17" s="563"/>
      <c r="F17" s="564">
        <v>13.0</v>
      </c>
      <c r="G17" s="565">
        <f t="shared" ref="G17:L17" si="7">COUNTIF(G23:G35,"&gt;0")</f>
        <v>13</v>
      </c>
      <c r="H17" s="565">
        <f t="shared" si="7"/>
        <v>13</v>
      </c>
      <c r="I17" s="565">
        <f t="shared" si="7"/>
        <v>13</v>
      </c>
      <c r="J17" s="565">
        <f t="shared" si="7"/>
        <v>13</v>
      </c>
      <c r="K17" s="565">
        <f t="shared" si="7"/>
        <v>13</v>
      </c>
      <c r="L17" s="565">
        <f t="shared" si="7"/>
        <v>13</v>
      </c>
      <c r="M17" s="30"/>
      <c r="N17" s="119"/>
      <c r="O17" s="30"/>
      <c r="P17" s="30"/>
      <c r="Q17" s="30"/>
      <c r="R17" s="30"/>
      <c r="S17" s="30"/>
      <c r="T17" s="30"/>
      <c r="U17" s="30"/>
      <c r="V17" s="30"/>
      <c r="W17" s="30"/>
      <c r="X17" s="30"/>
      <c r="Y17" s="30"/>
      <c r="Z17" s="30"/>
    </row>
    <row r="18" ht="13.5" customHeight="1">
      <c r="A18" s="111">
        <f t="shared" si="5"/>
        <v>18</v>
      </c>
      <c r="B18" s="466" t="s">
        <v>453</v>
      </c>
      <c r="C18" s="50"/>
      <c r="D18" s="50"/>
      <c r="E18" s="50"/>
      <c r="F18" s="566">
        <v>25.0</v>
      </c>
      <c r="G18" s="567">
        <v>26.0</v>
      </c>
      <c r="H18" s="567">
        <v>26.0</v>
      </c>
      <c r="I18" s="567">
        <v>26.0</v>
      </c>
      <c r="J18" s="567">
        <v>26.0</v>
      </c>
      <c r="K18" s="567">
        <v>26.0</v>
      </c>
      <c r="L18" s="567">
        <v>26.0</v>
      </c>
      <c r="M18" s="30"/>
      <c r="N18" s="119"/>
      <c r="O18" s="30"/>
      <c r="P18" s="30"/>
      <c r="Q18" s="30"/>
      <c r="R18" s="30"/>
      <c r="S18" s="30"/>
      <c r="T18" s="30"/>
      <c r="U18" s="30"/>
      <c r="V18" s="30"/>
      <c r="W18" s="30"/>
      <c r="X18" s="30"/>
      <c r="Y18" s="30"/>
      <c r="Z18" s="30"/>
    </row>
    <row r="19" ht="13.5" customHeight="1">
      <c r="A19" s="111">
        <f t="shared" si="5"/>
        <v>19</v>
      </c>
      <c r="B19" s="466" t="s">
        <v>454</v>
      </c>
      <c r="C19" s="50"/>
      <c r="D19" s="50"/>
      <c r="E19" s="50"/>
      <c r="F19" s="566">
        <v>34.0</v>
      </c>
      <c r="G19" s="568">
        <f t="shared" ref="G19:L19" si="8">IFERROR(+G36/G18,0)</f>
        <v>24.30769231</v>
      </c>
      <c r="H19" s="568">
        <f t="shared" si="8"/>
        <v>24.80769231</v>
      </c>
      <c r="I19" s="568">
        <f t="shared" si="8"/>
        <v>25.65384615</v>
      </c>
      <c r="J19" s="568">
        <f t="shared" si="8"/>
        <v>25.88461538</v>
      </c>
      <c r="K19" s="568">
        <f t="shared" si="8"/>
        <v>26</v>
      </c>
      <c r="L19" s="568">
        <f t="shared" si="8"/>
        <v>26.34615385</v>
      </c>
      <c r="M19" s="30"/>
      <c r="N19" s="119"/>
      <c r="O19" s="30"/>
      <c r="P19" s="30"/>
      <c r="Q19" s="30"/>
      <c r="R19" s="30"/>
      <c r="S19" s="30"/>
      <c r="T19" s="30"/>
      <c r="U19" s="30"/>
      <c r="V19" s="30"/>
      <c r="W19" s="30"/>
      <c r="X19" s="30"/>
      <c r="Y19" s="30"/>
      <c r="Z19" s="30"/>
    </row>
    <row r="20" ht="13.5" customHeight="1">
      <c r="A20" s="111">
        <f t="shared" si="5"/>
        <v>20</v>
      </c>
      <c r="B20" s="466" t="s">
        <v>455</v>
      </c>
      <c r="C20" s="50"/>
      <c r="D20" s="50"/>
      <c r="E20" s="50"/>
      <c r="F20" s="566">
        <v>34.0</v>
      </c>
      <c r="G20" s="569">
        <v>34.0</v>
      </c>
      <c r="H20" s="570">
        <v>34.0</v>
      </c>
      <c r="I20" s="570">
        <v>34.0</v>
      </c>
      <c r="J20" s="570">
        <v>34.0</v>
      </c>
      <c r="K20" s="570">
        <v>34.0</v>
      </c>
      <c r="L20" s="570">
        <v>34.0</v>
      </c>
      <c r="M20" s="30"/>
      <c r="N20" s="119"/>
      <c r="O20" s="30"/>
      <c r="P20" s="30"/>
      <c r="Q20" s="30"/>
      <c r="R20" s="30"/>
      <c r="S20" s="30"/>
      <c r="T20" s="30"/>
      <c r="U20" s="30"/>
      <c r="V20" s="30"/>
      <c r="W20" s="30"/>
      <c r="X20" s="30"/>
      <c r="Y20" s="30"/>
      <c r="Z20" s="30"/>
    </row>
    <row r="21" ht="13.5" customHeight="1">
      <c r="A21" s="111">
        <f t="shared" si="5"/>
        <v>21</v>
      </c>
      <c r="B21" s="469" t="s">
        <v>456</v>
      </c>
      <c r="C21" s="571"/>
      <c r="D21" s="571"/>
      <c r="E21" s="571"/>
      <c r="F21" s="572">
        <v>0.0</v>
      </c>
      <c r="G21" s="573">
        <v>0.0</v>
      </c>
      <c r="H21" s="573">
        <v>0.0</v>
      </c>
      <c r="I21" s="573">
        <v>0.0</v>
      </c>
      <c r="J21" s="573">
        <v>0.0</v>
      </c>
      <c r="K21" s="573">
        <v>0.0</v>
      </c>
      <c r="L21" s="573">
        <v>0.0</v>
      </c>
      <c r="M21" s="30"/>
      <c r="N21" s="119"/>
      <c r="O21" s="30"/>
      <c r="P21" s="30"/>
      <c r="Q21" s="30"/>
      <c r="R21" s="30"/>
      <c r="S21" s="30"/>
      <c r="T21" s="30"/>
      <c r="U21" s="30"/>
      <c r="V21" s="30"/>
      <c r="W21" s="30"/>
      <c r="X21" s="30"/>
      <c r="Y21" s="30"/>
      <c r="Z21" s="30"/>
    </row>
    <row r="22" ht="13.5" customHeight="1">
      <c r="A22" s="111">
        <f t="shared" si="5"/>
        <v>22</v>
      </c>
      <c r="B22" s="460"/>
      <c r="C22" s="460"/>
      <c r="D22" s="460"/>
      <c r="E22" s="460"/>
      <c r="F22" s="462"/>
      <c r="G22" s="462"/>
      <c r="H22" s="462"/>
      <c r="I22" s="462"/>
      <c r="J22" s="462"/>
      <c r="K22" s="462"/>
      <c r="L22" s="462"/>
      <c r="M22" s="30"/>
      <c r="N22" s="119"/>
      <c r="O22" s="30"/>
      <c r="P22" s="30"/>
      <c r="Q22" s="30"/>
      <c r="R22" s="30"/>
      <c r="S22" s="30"/>
      <c r="T22" s="30"/>
      <c r="U22" s="30"/>
      <c r="V22" s="30"/>
      <c r="W22" s="30"/>
      <c r="X22" s="30"/>
      <c r="Y22" s="30"/>
      <c r="Z22" s="30"/>
    </row>
    <row r="23" ht="13.5" customHeight="1">
      <c r="A23" s="111">
        <f t="shared" si="5"/>
        <v>23</v>
      </c>
      <c r="B23" s="522" t="s">
        <v>407</v>
      </c>
      <c r="C23" s="371"/>
      <c r="D23" s="371"/>
      <c r="E23" s="371"/>
      <c r="F23" s="574">
        <v>44.0</v>
      </c>
      <c r="G23" s="575">
        <v>50.0</v>
      </c>
      <c r="H23" s="575">
        <v>50.0</v>
      </c>
      <c r="I23" s="575">
        <v>50.0</v>
      </c>
      <c r="J23" s="575">
        <v>50.0</v>
      </c>
      <c r="K23" s="575">
        <v>50.0</v>
      </c>
      <c r="L23" s="575">
        <v>50.0</v>
      </c>
      <c r="M23" s="30"/>
      <c r="N23" s="119"/>
      <c r="O23" s="30"/>
      <c r="P23" s="30"/>
      <c r="Q23" s="30"/>
      <c r="R23" s="30"/>
      <c r="S23" s="30"/>
      <c r="T23" s="30"/>
      <c r="U23" s="30"/>
      <c r="V23" s="30"/>
      <c r="W23" s="30"/>
      <c r="X23" s="30"/>
      <c r="Y23" s="30"/>
      <c r="Z23" s="30"/>
    </row>
    <row r="24" ht="13.5" customHeight="1">
      <c r="A24" s="111">
        <f t="shared" si="5"/>
        <v>24</v>
      </c>
      <c r="B24" s="466" t="s">
        <v>408</v>
      </c>
      <c r="C24" s="50"/>
      <c r="D24" s="50"/>
      <c r="E24" s="50"/>
      <c r="F24" s="576">
        <v>45.0</v>
      </c>
      <c r="G24" s="577">
        <v>44.0</v>
      </c>
      <c r="H24" s="577">
        <v>44.0</v>
      </c>
      <c r="I24" s="577">
        <v>44.0</v>
      </c>
      <c r="J24" s="577">
        <v>44.0</v>
      </c>
      <c r="K24" s="577">
        <v>44.0</v>
      </c>
      <c r="L24" s="577">
        <v>44.0</v>
      </c>
      <c r="M24" s="30"/>
      <c r="N24" s="119"/>
      <c r="O24" s="30"/>
      <c r="P24" s="30"/>
      <c r="Q24" s="30"/>
      <c r="R24" s="30"/>
      <c r="S24" s="30"/>
      <c r="T24" s="30"/>
      <c r="U24" s="30"/>
      <c r="V24" s="30"/>
      <c r="W24" s="30"/>
      <c r="X24" s="30"/>
      <c r="Y24" s="30"/>
      <c r="Z24" s="30"/>
    </row>
    <row r="25" ht="13.5" customHeight="1">
      <c r="A25" s="111">
        <f t="shared" si="5"/>
        <v>25</v>
      </c>
      <c r="B25" s="466" t="s">
        <v>409</v>
      </c>
      <c r="C25" s="50"/>
      <c r="D25" s="50"/>
      <c r="E25" s="50"/>
      <c r="F25" s="576">
        <v>51.0</v>
      </c>
      <c r="G25" s="577">
        <v>45.0</v>
      </c>
      <c r="H25" s="577">
        <v>44.0</v>
      </c>
      <c r="I25" s="577">
        <v>44.0</v>
      </c>
      <c r="J25" s="577">
        <v>44.0</v>
      </c>
      <c r="K25" s="577">
        <v>44.0</v>
      </c>
      <c r="L25" s="577">
        <v>44.0</v>
      </c>
      <c r="M25" s="30"/>
      <c r="N25" s="119"/>
      <c r="O25" s="30"/>
      <c r="P25" s="30"/>
      <c r="Q25" s="30"/>
      <c r="R25" s="30"/>
      <c r="S25" s="30"/>
      <c r="T25" s="30"/>
      <c r="U25" s="30"/>
      <c r="V25" s="30"/>
      <c r="W25" s="30"/>
      <c r="X25" s="30"/>
      <c r="Y25" s="30"/>
      <c r="Z25" s="30"/>
    </row>
    <row r="26" ht="13.5" customHeight="1">
      <c r="A26" s="111">
        <f t="shared" si="5"/>
        <v>26</v>
      </c>
      <c r="B26" s="466" t="s">
        <v>410</v>
      </c>
      <c r="C26" s="50"/>
      <c r="D26" s="50"/>
      <c r="E26" s="50"/>
      <c r="F26" s="576">
        <v>63.0</v>
      </c>
      <c r="G26" s="577">
        <v>51.0</v>
      </c>
      <c r="H26" s="577">
        <v>45.0</v>
      </c>
      <c r="I26" s="577">
        <v>44.0</v>
      </c>
      <c r="J26" s="577">
        <v>44.0</v>
      </c>
      <c r="K26" s="577">
        <v>44.0</v>
      </c>
      <c r="L26" s="577">
        <v>50.0</v>
      </c>
      <c r="M26" s="30"/>
      <c r="N26" s="119"/>
      <c r="O26" s="30"/>
      <c r="P26" s="30"/>
      <c r="Q26" s="30"/>
      <c r="R26" s="30"/>
      <c r="S26" s="30"/>
      <c r="T26" s="30"/>
      <c r="U26" s="30"/>
      <c r="V26" s="30"/>
      <c r="W26" s="30"/>
      <c r="X26" s="30"/>
      <c r="Y26" s="30"/>
      <c r="Z26" s="30"/>
    </row>
    <row r="27" ht="13.5" customHeight="1">
      <c r="A27" s="111">
        <f t="shared" si="5"/>
        <v>27</v>
      </c>
      <c r="B27" s="466" t="s">
        <v>411</v>
      </c>
      <c r="C27" s="50"/>
      <c r="D27" s="50"/>
      <c r="E27" s="50"/>
      <c r="F27" s="576">
        <v>53.0</v>
      </c>
      <c r="G27" s="577">
        <v>63.0</v>
      </c>
      <c r="H27" s="577">
        <v>51.0</v>
      </c>
      <c r="I27" s="577">
        <v>45.0</v>
      </c>
      <c r="J27" s="577">
        <v>45.0</v>
      </c>
      <c r="K27" s="577">
        <v>60.0</v>
      </c>
      <c r="L27" s="577">
        <v>55.0</v>
      </c>
      <c r="M27" s="30"/>
      <c r="N27" s="119"/>
      <c r="O27" s="30"/>
      <c r="P27" s="30"/>
      <c r="Q27" s="30"/>
      <c r="R27" s="30"/>
      <c r="S27" s="30"/>
      <c r="T27" s="30"/>
      <c r="U27" s="30"/>
      <c r="V27" s="30"/>
      <c r="W27" s="30"/>
      <c r="X27" s="30"/>
      <c r="Y27" s="30"/>
      <c r="Z27" s="30"/>
    </row>
    <row r="28" ht="13.5" customHeight="1">
      <c r="A28" s="111">
        <f t="shared" si="5"/>
        <v>28</v>
      </c>
      <c r="B28" s="578" t="s">
        <v>412</v>
      </c>
      <c r="C28" s="579"/>
      <c r="D28" s="579"/>
      <c r="E28" s="579"/>
      <c r="F28" s="580">
        <v>77.0</v>
      </c>
      <c r="G28" s="581">
        <v>53.0</v>
      </c>
      <c r="H28" s="581">
        <v>63.0</v>
      </c>
      <c r="I28" s="581">
        <v>51.0</v>
      </c>
      <c r="J28" s="581">
        <v>51.0</v>
      </c>
      <c r="K28" s="581">
        <v>75.0</v>
      </c>
      <c r="L28" s="581">
        <v>75.0</v>
      </c>
      <c r="M28" s="30"/>
      <c r="N28" s="119"/>
      <c r="O28" s="30"/>
      <c r="P28" s="30"/>
      <c r="Q28" s="30"/>
      <c r="R28" s="30"/>
      <c r="S28" s="30"/>
      <c r="T28" s="30"/>
      <c r="U28" s="30"/>
      <c r="V28" s="30"/>
      <c r="W28" s="30"/>
      <c r="X28" s="30"/>
      <c r="Y28" s="30"/>
      <c r="Z28" s="30"/>
    </row>
    <row r="29" ht="13.5" customHeight="1">
      <c r="A29" s="111">
        <f t="shared" si="5"/>
        <v>29</v>
      </c>
      <c r="B29" s="463" t="s">
        <v>413</v>
      </c>
      <c r="C29" s="563"/>
      <c r="D29" s="563"/>
      <c r="E29" s="563"/>
      <c r="F29" s="582">
        <v>57.0</v>
      </c>
      <c r="G29" s="575">
        <v>77.0</v>
      </c>
      <c r="H29" s="575">
        <v>53.0</v>
      </c>
      <c r="I29" s="575">
        <v>63.0</v>
      </c>
      <c r="J29" s="575">
        <v>63.0</v>
      </c>
      <c r="K29" s="575">
        <v>75.0</v>
      </c>
      <c r="L29" s="575">
        <v>75.0</v>
      </c>
      <c r="M29" s="30"/>
      <c r="N29" s="119"/>
      <c r="O29" s="30"/>
      <c r="P29" s="30"/>
      <c r="Q29" s="30"/>
      <c r="R29" s="30"/>
      <c r="S29" s="30"/>
      <c r="T29" s="30"/>
      <c r="U29" s="30"/>
      <c r="V29" s="30"/>
      <c r="W29" s="30"/>
      <c r="X29" s="30"/>
      <c r="Y29" s="30"/>
      <c r="Z29" s="30"/>
    </row>
    <row r="30" ht="13.5" customHeight="1">
      <c r="A30" s="111">
        <f t="shared" si="5"/>
        <v>30</v>
      </c>
      <c r="B30" s="466" t="s">
        <v>414</v>
      </c>
      <c r="C30" s="50"/>
      <c r="D30" s="50"/>
      <c r="E30" s="50"/>
      <c r="F30" s="583">
        <v>63.0</v>
      </c>
      <c r="G30" s="577">
        <v>57.0</v>
      </c>
      <c r="H30" s="577">
        <v>77.0</v>
      </c>
      <c r="I30" s="577">
        <v>53.0</v>
      </c>
      <c r="J30" s="577">
        <v>55.0</v>
      </c>
      <c r="K30" s="577">
        <v>75.0</v>
      </c>
      <c r="L30" s="577">
        <v>75.0</v>
      </c>
      <c r="M30" s="30"/>
      <c r="N30" s="119"/>
      <c r="O30" s="30"/>
      <c r="P30" s="30"/>
      <c r="Q30" s="30"/>
      <c r="R30" s="30"/>
      <c r="S30" s="30"/>
      <c r="T30" s="30"/>
      <c r="U30" s="30"/>
      <c r="V30" s="30"/>
      <c r="W30" s="30"/>
      <c r="X30" s="30"/>
      <c r="Y30" s="30"/>
      <c r="Z30" s="30"/>
    </row>
    <row r="31" ht="13.5" customHeight="1">
      <c r="A31" s="111">
        <f t="shared" si="5"/>
        <v>31</v>
      </c>
      <c r="B31" s="578" t="s">
        <v>415</v>
      </c>
      <c r="C31" s="579"/>
      <c r="D31" s="579"/>
      <c r="E31" s="579"/>
      <c r="F31" s="580">
        <v>56.0</v>
      </c>
      <c r="G31" s="581">
        <v>63.0</v>
      </c>
      <c r="H31" s="581">
        <v>57.0</v>
      </c>
      <c r="I31" s="581">
        <v>77.0</v>
      </c>
      <c r="J31" s="581">
        <v>70.0</v>
      </c>
      <c r="K31" s="581">
        <v>70.0</v>
      </c>
      <c r="L31" s="581">
        <v>75.0</v>
      </c>
      <c r="M31" s="30"/>
      <c r="N31" s="119"/>
      <c r="O31" s="30"/>
      <c r="P31" s="30"/>
      <c r="Q31" s="30"/>
      <c r="R31" s="30"/>
      <c r="S31" s="30"/>
      <c r="T31" s="30"/>
      <c r="U31" s="30"/>
      <c r="V31" s="30"/>
      <c r="W31" s="30"/>
      <c r="X31" s="30"/>
      <c r="Y31" s="30"/>
      <c r="Z31" s="30"/>
    </row>
    <row r="32" ht="13.5" customHeight="1">
      <c r="A32" s="111">
        <f t="shared" si="5"/>
        <v>32</v>
      </c>
      <c r="B32" s="463" t="s">
        <v>416</v>
      </c>
      <c r="C32" s="563"/>
      <c r="D32" s="563"/>
      <c r="E32" s="563"/>
      <c r="F32" s="582">
        <v>33.0</v>
      </c>
      <c r="G32" s="575">
        <v>56.0</v>
      </c>
      <c r="H32" s="575">
        <v>50.0</v>
      </c>
      <c r="I32" s="575">
        <v>57.0</v>
      </c>
      <c r="J32" s="575">
        <v>77.0</v>
      </c>
      <c r="K32" s="575">
        <v>50.0</v>
      </c>
      <c r="L32" s="575">
        <v>45.0</v>
      </c>
      <c r="M32" s="30"/>
      <c r="N32" s="119"/>
      <c r="O32" s="30"/>
      <c r="P32" s="30"/>
      <c r="Q32" s="30"/>
      <c r="R32" s="30"/>
      <c r="S32" s="30"/>
      <c r="T32" s="30"/>
      <c r="U32" s="30"/>
      <c r="V32" s="30"/>
      <c r="W32" s="30"/>
      <c r="X32" s="30"/>
      <c r="Y32" s="30"/>
      <c r="Z32" s="30"/>
    </row>
    <row r="33" ht="13.5" customHeight="1">
      <c r="A33" s="111">
        <f t="shared" si="5"/>
        <v>33</v>
      </c>
      <c r="B33" s="466" t="s">
        <v>417</v>
      </c>
      <c r="C33" s="50"/>
      <c r="D33" s="50"/>
      <c r="E33" s="50"/>
      <c r="F33" s="583">
        <v>22.0</v>
      </c>
      <c r="G33" s="577">
        <v>33.0</v>
      </c>
      <c r="H33" s="577">
        <v>56.0</v>
      </c>
      <c r="I33" s="577">
        <v>50.0</v>
      </c>
      <c r="J33" s="577">
        <v>50.0</v>
      </c>
      <c r="K33" s="577">
        <v>40.0</v>
      </c>
      <c r="L33" s="577">
        <v>45.0</v>
      </c>
      <c r="M33" s="30"/>
      <c r="N33" s="119"/>
      <c r="O33" s="30"/>
      <c r="P33" s="30"/>
      <c r="Q33" s="30"/>
      <c r="R33" s="30"/>
      <c r="S33" s="30"/>
      <c r="T33" s="30"/>
      <c r="U33" s="30"/>
      <c r="V33" s="30"/>
      <c r="W33" s="30"/>
      <c r="X33" s="30"/>
      <c r="Y33" s="30"/>
      <c r="Z33" s="30"/>
    </row>
    <row r="34" ht="13.5" customHeight="1">
      <c r="A34" s="111">
        <f t="shared" si="5"/>
        <v>34</v>
      </c>
      <c r="B34" s="466" t="s">
        <v>418</v>
      </c>
      <c r="C34" s="50"/>
      <c r="D34" s="50"/>
      <c r="E34" s="50"/>
      <c r="F34" s="583">
        <v>18.0</v>
      </c>
      <c r="G34" s="577">
        <v>22.0</v>
      </c>
      <c r="H34" s="577">
        <v>33.0</v>
      </c>
      <c r="I34" s="577">
        <v>56.0</v>
      </c>
      <c r="J34" s="577">
        <v>56.0</v>
      </c>
      <c r="K34" s="577">
        <v>25.0</v>
      </c>
      <c r="L34" s="577">
        <v>28.0</v>
      </c>
      <c r="M34" s="30"/>
      <c r="N34" s="119"/>
      <c r="O34" s="30"/>
      <c r="P34" s="30"/>
      <c r="Q34" s="30"/>
      <c r="R34" s="30"/>
      <c r="S34" s="30"/>
      <c r="T34" s="30"/>
      <c r="U34" s="30"/>
      <c r="V34" s="30"/>
      <c r="W34" s="30"/>
      <c r="X34" s="30"/>
      <c r="Y34" s="30"/>
      <c r="Z34" s="30"/>
    </row>
    <row r="35" ht="13.5" customHeight="1">
      <c r="A35" s="111">
        <f t="shared" si="5"/>
        <v>35</v>
      </c>
      <c r="B35" s="466" t="s">
        <v>419</v>
      </c>
      <c r="C35" s="30"/>
      <c r="D35" s="30"/>
      <c r="E35" s="30"/>
      <c r="F35" s="584">
        <v>25.0</v>
      </c>
      <c r="G35" s="585">
        <v>18.0</v>
      </c>
      <c r="H35" s="585">
        <v>22.0</v>
      </c>
      <c r="I35" s="585">
        <v>33.0</v>
      </c>
      <c r="J35" s="585">
        <v>24.0</v>
      </c>
      <c r="K35" s="585">
        <v>24.0</v>
      </c>
      <c r="L35" s="585">
        <v>24.0</v>
      </c>
      <c r="M35" s="30"/>
      <c r="N35" s="119"/>
      <c r="O35" s="30"/>
      <c r="P35" s="30"/>
      <c r="Q35" s="30"/>
      <c r="R35" s="30"/>
      <c r="S35" s="30"/>
      <c r="T35" s="30"/>
      <c r="U35" s="30"/>
      <c r="V35" s="30"/>
      <c r="W35" s="30"/>
      <c r="X35" s="30"/>
      <c r="Y35" s="30"/>
      <c r="Z35" s="30"/>
    </row>
    <row r="36" ht="13.5" customHeight="1">
      <c r="A36" s="111">
        <f t="shared" si="5"/>
        <v>36</v>
      </c>
      <c r="B36" s="522" t="s">
        <v>420</v>
      </c>
      <c r="C36" s="371"/>
      <c r="D36" s="371"/>
      <c r="E36" s="371"/>
      <c r="F36" s="586">
        <v>607.0</v>
      </c>
      <c r="G36" s="587">
        <f t="shared" ref="G36:L36" si="9">SUM(G23:G35)</f>
        <v>632</v>
      </c>
      <c r="H36" s="587">
        <f t="shared" si="9"/>
        <v>645</v>
      </c>
      <c r="I36" s="587">
        <f t="shared" si="9"/>
        <v>667</v>
      </c>
      <c r="J36" s="587">
        <f t="shared" si="9"/>
        <v>673</v>
      </c>
      <c r="K36" s="587">
        <f t="shared" si="9"/>
        <v>676</v>
      </c>
      <c r="L36" s="587">
        <f t="shared" si="9"/>
        <v>685</v>
      </c>
      <c r="M36" s="30"/>
      <c r="N36" s="119"/>
      <c r="O36" s="30"/>
      <c r="P36" s="30"/>
      <c r="Q36" s="30"/>
      <c r="R36" s="30"/>
      <c r="S36" s="30"/>
      <c r="T36" s="30"/>
      <c r="U36" s="30"/>
      <c r="V36" s="30"/>
      <c r="W36" s="30"/>
      <c r="X36" s="30"/>
      <c r="Y36" s="30"/>
      <c r="Z36" s="30"/>
    </row>
    <row r="37" ht="13.5" customHeight="1">
      <c r="A37" s="111">
        <f t="shared" si="5"/>
        <v>37</v>
      </c>
      <c r="B37" s="522" t="s">
        <v>457</v>
      </c>
      <c r="C37" s="371"/>
      <c r="D37" s="371"/>
      <c r="E37" s="371"/>
      <c r="F37" s="586">
        <v>607.0</v>
      </c>
      <c r="G37" s="588">
        <v>632.0</v>
      </c>
      <c r="H37" s="588">
        <v>645.0</v>
      </c>
      <c r="I37" s="588">
        <v>667.0</v>
      </c>
      <c r="J37" s="588">
        <v>673.0</v>
      </c>
      <c r="K37" s="588">
        <v>676.0</v>
      </c>
      <c r="L37" s="588">
        <v>685.0</v>
      </c>
      <c r="M37" s="30"/>
      <c r="N37" s="119"/>
      <c r="O37" s="30"/>
      <c r="P37" s="30"/>
      <c r="Q37" s="30"/>
      <c r="R37" s="30"/>
      <c r="S37" s="30"/>
      <c r="T37" s="30"/>
      <c r="U37" s="30"/>
      <c r="V37" s="30"/>
      <c r="W37" s="30"/>
      <c r="X37" s="30"/>
      <c r="Y37" s="30"/>
      <c r="Z37" s="30"/>
    </row>
    <row r="38" ht="13.5" customHeight="1">
      <c r="A38" s="111">
        <f t="shared" si="5"/>
        <v>38</v>
      </c>
      <c r="B38" s="589" t="s">
        <v>458</v>
      </c>
      <c r="C38" s="30"/>
      <c r="D38" s="30"/>
      <c r="E38" s="30"/>
      <c r="F38" s="590">
        <f t="shared" ref="F38:L38" si="10">+F36/F37</f>
        <v>1</v>
      </c>
      <c r="G38" s="591">
        <f t="shared" si="10"/>
        <v>1</v>
      </c>
      <c r="H38" s="591">
        <f t="shared" si="10"/>
        <v>1</v>
      </c>
      <c r="I38" s="591">
        <f t="shared" si="10"/>
        <v>1</v>
      </c>
      <c r="J38" s="591">
        <f t="shared" si="10"/>
        <v>1</v>
      </c>
      <c r="K38" s="591">
        <f t="shared" si="10"/>
        <v>1</v>
      </c>
      <c r="L38" s="591">
        <f t="shared" si="10"/>
        <v>1</v>
      </c>
      <c r="M38" s="30"/>
      <c r="N38" s="119"/>
      <c r="O38" s="30"/>
      <c r="P38" s="30"/>
      <c r="Q38" s="30"/>
      <c r="R38" s="30"/>
      <c r="S38" s="30"/>
      <c r="T38" s="30"/>
      <c r="U38" s="30"/>
      <c r="V38" s="30"/>
      <c r="W38" s="30"/>
      <c r="X38" s="30"/>
      <c r="Y38" s="30"/>
      <c r="Z38" s="30"/>
    </row>
    <row r="39" ht="13.5" customHeight="1">
      <c r="A39" s="111">
        <f t="shared" si="5"/>
        <v>39</v>
      </c>
      <c r="B39" s="589" t="s">
        <v>459</v>
      </c>
      <c r="C39" s="30"/>
      <c r="D39" s="30"/>
      <c r="E39" s="30"/>
      <c r="F39" s="592"/>
      <c r="G39" s="592">
        <f t="shared" ref="G39:L39" si="11">(G36/F36)-1</f>
        <v>0.04118616145</v>
      </c>
      <c r="H39" s="593">
        <f t="shared" si="11"/>
        <v>0.02056962025</v>
      </c>
      <c r="I39" s="593">
        <f t="shared" si="11"/>
        <v>0.03410852713</v>
      </c>
      <c r="J39" s="593">
        <f t="shared" si="11"/>
        <v>0.008995502249</v>
      </c>
      <c r="K39" s="593">
        <f t="shared" si="11"/>
        <v>0.004457652303</v>
      </c>
      <c r="L39" s="593">
        <f t="shared" si="11"/>
        <v>0.01331360947</v>
      </c>
      <c r="M39" s="30"/>
      <c r="N39" s="119"/>
      <c r="O39" s="30"/>
      <c r="P39" s="30"/>
      <c r="Q39" s="30"/>
      <c r="R39" s="30"/>
      <c r="S39" s="30"/>
      <c r="T39" s="30"/>
      <c r="U39" s="30"/>
      <c r="V39" s="30"/>
      <c r="W39" s="30"/>
      <c r="X39" s="30"/>
      <c r="Y39" s="30"/>
      <c r="Z39" s="30"/>
    </row>
    <row r="40" ht="13.5" customHeight="1">
      <c r="A40" s="111">
        <f t="shared" si="5"/>
        <v>40</v>
      </c>
      <c r="B40" s="522" t="s">
        <v>460</v>
      </c>
      <c r="C40" s="371"/>
      <c r="D40" s="371"/>
      <c r="E40" s="371"/>
      <c r="F40" s="586">
        <v>34.0</v>
      </c>
      <c r="G40" s="594">
        <f>+'Mkt Res'!E29</f>
        <v>0</v>
      </c>
      <c r="H40" s="595" t="s">
        <v>461</v>
      </c>
      <c r="I40" s="594">
        <f>+'Mkt Res'!G29</f>
        <v>0</v>
      </c>
      <c r="J40" s="594">
        <f>+'Mkt Res'!H29</f>
        <v>0</v>
      </c>
      <c r="K40" s="594">
        <f>+'Mkt Res'!I29</f>
        <v>0</v>
      </c>
      <c r="L40" s="594">
        <f>+'Mkt Res'!J29</f>
        <v>0</v>
      </c>
      <c r="M40" s="30"/>
      <c r="N40" s="119"/>
      <c r="O40" s="30"/>
      <c r="P40" s="30"/>
      <c r="Q40" s="30"/>
      <c r="R40" s="30"/>
      <c r="S40" s="30"/>
      <c r="T40" s="30"/>
      <c r="U40" s="30"/>
      <c r="V40" s="30"/>
      <c r="W40" s="30"/>
      <c r="X40" s="30"/>
      <c r="Y40" s="30"/>
      <c r="Z40" s="30"/>
    </row>
    <row r="41" ht="13.5" customHeight="1">
      <c r="A41" s="111">
        <f t="shared" si="5"/>
        <v>41</v>
      </c>
      <c r="B41" s="532" t="s">
        <v>462</v>
      </c>
      <c r="C41" s="34"/>
      <c r="D41" s="34"/>
      <c r="E41" s="34"/>
      <c r="F41" s="596"/>
      <c r="G41" s="597">
        <f>+'Mkt Res'!E30</f>
        <v>0</v>
      </c>
      <c r="H41" s="597">
        <f>+'Mkt Res'!F30</f>
        <v>0</v>
      </c>
      <c r="I41" s="597">
        <f>+'Mkt Res'!G30</f>
        <v>0</v>
      </c>
      <c r="J41" s="597">
        <f>+'Mkt Res'!H30</f>
        <v>0</v>
      </c>
      <c r="K41" s="597">
        <f>+'Mkt Res'!I30</f>
        <v>0</v>
      </c>
      <c r="L41" s="597">
        <f>+'Mkt Res'!J30</f>
        <v>0</v>
      </c>
      <c r="M41" s="30"/>
      <c r="N41" s="119"/>
      <c r="O41" s="30"/>
      <c r="P41" s="30"/>
      <c r="Q41" s="30"/>
      <c r="R41" s="30"/>
      <c r="S41" s="30"/>
      <c r="T41" s="30"/>
      <c r="U41" s="30"/>
      <c r="V41" s="30"/>
      <c r="W41" s="30"/>
      <c r="X41" s="30"/>
      <c r="Y41" s="30"/>
      <c r="Z41" s="30"/>
    </row>
    <row r="42" ht="13.5" customHeight="1">
      <c r="A42" s="111">
        <f t="shared" si="5"/>
        <v>42</v>
      </c>
      <c r="B42" s="460"/>
      <c r="C42" s="30"/>
      <c r="D42" s="30"/>
      <c r="E42" s="30"/>
      <c r="F42" s="473"/>
      <c r="G42" s="592"/>
      <c r="H42" s="593"/>
      <c r="I42" s="593"/>
      <c r="J42" s="593"/>
      <c r="K42" s="593"/>
      <c r="L42" s="593"/>
      <c r="M42" s="30"/>
      <c r="N42" s="119"/>
      <c r="O42" s="30"/>
      <c r="P42" s="30"/>
      <c r="Q42" s="30"/>
      <c r="R42" s="30"/>
      <c r="S42" s="30"/>
      <c r="T42" s="30"/>
      <c r="U42" s="30"/>
      <c r="V42" s="30"/>
      <c r="W42" s="30"/>
      <c r="X42" s="30"/>
      <c r="Y42" s="30"/>
      <c r="Z42" s="30"/>
    </row>
    <row r="43" ht="13.5" customHeight="1">
      <c r="A43" s="111">
        <f t="shared" si="5"/>
        <v>43</v>
      </c>
      <c r="B43" s="67" t="s">
        <v>463</v>
      </c>
      <c r="C43" s="30"/>
      <c r="D43" s="30"/>
      <c r="E43" s="30"/>
      <c r="F43" s="598">
        <v>607.0</v>
      </c>
      <c r="G43" s="598">
        <f t="shared" ref="G43:L43" si="12">G36</f>
        <v>632</v>
      </c>
      <c r="H43" s="598">
        <f t="shared" si="12"/>
        <v>645</v>
      </c>
      <c r="I43" s="598">
        <f t="shared" si="12"/>
        <v>667</v>
      </c>
      <c r="J43" s="598">
        <f t="shared" si="12"/>
        <v>673</v>
      </c>
      <c r="K43" s="598">
        <f t="shared" si="12"/>
        <v>676</v>
      </c>
      <c r="L43" s="598">
        <f t="shared" si="12"/>
        <v>685</v>
      </c>
      <c r="M43" s="30"/>
      <c r="N43" s="119"/>
      <c r="O43" s="30"/>
      <c r="P43" s="30"/>
      <c r="Q43" s="30"/>
      <c r="R43" s="30"/>
      <c r="S43" s="30"/>
      <c r="T43" s="30"/>
      <c r="U43" s="30"/>
      <c r="V43" s="30"/>
      <c r="W43" s="30"/>
      <c r="X43" s="30"/>
      <c r="Y43" s="30"/>
      <c r="Z43" s="30"/>
    </row>
    <row r="44" ht="13.5" customHeight="1">
      <c r="A44" s="111">
        <f t="shared" si="5"/>
        <v>44</v>
      </c>
      <c r="B44" s="599" t="s">
        <v>464</v>
      </c>
      <c r="C44" s="30"/>
      <c r="D44" s="30"/>
      <c r="E44" s="30"/>
      <c r="F44" s="600">
        <v>0.85</v>
      </c>
      <c r="G44" s="600">
        <v>0.85</v>
      </c>
      <c r="H44" s="600">
        <v>0.85</v>
      </c>
      <c r="I44" s="600">
        <v>0.85</v>
      </c>
      <c r="J44" s="600">
        <v>0.85</v>
      </c>
      <c r="K44" s="600">
        <v>0.85</v>
      </c>
      <c r="L44" s="600">
        <v>0.85</v>
      </c>
      <c r="M44" s="30"/>
      <c r="N44" s="119"/>
      <c r="O44" s="30"/>
      <c r="P44" s="30"/>
      <c r="Q44" s="30"/>
      <c r="R44" s="30"/>
      <c r="S44" s="30"/>
      <c r="T44" s="30"/>
      <c r="U44" s="30"/>
      <c r="V44" s="30"/>
      <c r="W44" s="30"/>
      <c r="X44" s="30"/>
      <c r="Y44" s="30"/>
      <c r="Z44" s="30"/>
    </row>
    <row r="45" ht="13.5" customHeight="1">
      <c r="A45" s="111">
        <f t="shared" si="5"/>
        <v>45</v>
      </c>
      <c r="B45" s="599" t="s">
        <v>465</v>
      </c>
      <c r="C45" s="30"/>
      <c r="D45" s="30"/>
      <c r="E45" s="30"/>
      <c r="F45" s="601">
        <f t="shared" ref="F45:L45" si="13">+F36*(1-F44)</f>
        <v>91.05</v>
      </c>
      <c r="G45" s="601">
        <f t="shared" si="13"/>
        <v>94.8</v>
      </c>
      <c r="H45" s="601">
        <f t="shared" si="13"/>
        <v>96.75</v>
      </c>
      <c r="I45" s="601">
        <f t="shared" si="13"/>
        <v>100.05</v>
      </c>
      <c r="J45" s="601">
        <f t="shared" si="13"/>
        <v>100.95</v>
      </c>
      <c r="K45" s="601">
        <f t="shared" si="13"/>
        <v>101.4</v>
      </c>
      <c r="L45" s="601">
        <f t="shared" si="13"/>
        <v>102.75</v>
      </c>
      <c r="M45" s="30"/>
      <c r="N45" s="119"/>
      <c r="O45" s="30"/>
      <c r="P45" s="30"/>
      <c r="Q45" s="30"/>
      <c r="R45" s="30"/>
      <c r="S45" s="30"/>
      <c r="T45" s="30"/>
      <c r="U45" s="30"/>
      <c r="V45" s="30"/>
      <c r="W45" s="30"/>
      <c r="X45" s="30"/>
      <c r="Y45" s="30"/>
      <c r="Z45" s="30"/>
    </row>
    <row r="46" ht="13.5" customHeight="1">
      <c r="A46" s="111">
        <f t="shared" si="5"/>
        <v>46</v>
      </c>
      <c r="B46" s="599"/>
      <c r="C46" s="30"/>
      <c r="D46" s="30"/>
      <c r="E46" s="30"/>
      <c r="F46" s="479"/>
      <c r="G46" s="602"/>
      <c r="H46" s="602"/>
      <c r="I46" s="602"/>
      <c r="J46" s="602"/>
      <c r="K46" s="602"/>
      <c r="L46" s="602"/>
      <c r="M46" s="30"/>
      <c r="N46" s="119"/>
      <c r="O46" s="30"/>
      <c r="P46" s="30"/>
      <c r="Q46" s="30"/>
      <c r="R46" s="30"/>
      <c r="S46" s="30"/>
      <c r="T46" s="30"/>
      <c r="U46" s="30"/>
      <c r="V46" s="30"/>
      <c r="W46" s="30"/>
      <c r="X46" s="30"/>
      <c r="Y46" s="30"/>
      <c r="Z46" s="30"/>
    </row>
    <row r="47" ht="13.5" customHeight="1">
      <c r="A47" s="111">
        <f t="shared" si="5"/>
        <v>47</v>
      </c>
      <c r="B47" s="603" t="s">
        <v>466</v>
      </c>
      <c r="C47" s="604"/>
      <c r="D47" s="604"/>
      <c r="E47" s="604"/>
      <c r="F47" s="455"/>
      <c r="G47" s="605"/>
      <c r="H47" s="455"/>
      <c r="I47" s="455"/>
      <c r="J47" s="455"/>
      <c r="K47" s="455"/>
      <c r="L47" s="455"/>
      <c r="M47" s="30"/>
      <c r="N47" s="119"/>
      <c r="O47" s="30"/>
      <c r="P47" s="30"/>
      <c r="Q47" s="30"/>
      <c r="R47" s="30"/>
      <c r="S47" s="30"/>
      <c r="T47" s="30"/>
      <c r="U47" s="30"/>
      <c r="V47" s="30"/>
      <c r="W47" s="30"/>
      <c r="X47" s="30"/>
      <c r="Y47" s="30"/>
      <c r="Z47" s="30"/>
    </row>
    <row r="48" ht="13.5" customHeight="1">
      <c r="A48" s="111">
        <f t="shared" si="5"/>
        <v>48</v>
      </c>
      <c r="B48" s="63"/>
      <c r="C48" s="66"/>
      <c r="D48" s="66" t="s">
        <v>467</v>
      </c>
      <c r="E48" s="66"/>
      <c r="F48" s="30"/>
      <c r="G48" s="30"/>
      <c r="H48" s="30"/>
      <c r="I48" s="30"/>
      <c r="J48" s="30"/>
      <c r="K48" s="30"/>
      <c r="L48" s="30"/>
      <c r="M48" s="30"/>
      <c r="N48" s="119"/>
      <c r="O48" s="30"/>
      <c r="P48" s="30"/>
      <c r="Q48" s="30"/>
      <c r="R48" s="30"/>
      <c r="S48" s="30"/>
      <c r="T48" s="30"/>
      <c r="U48" s="30"/>
      <c r="V48" s="30"/>
      <c r="W48" s="30"/>
      <c r="X48" s="30"/>
      <c r="Y48" s="30"/>
      <c r="Z48" s="30"/>
    </row>
    <row r="49" ht="13.5" customHeight="1">
      <c r="A49" s="111">
        <f t="shared" si="5"/>
        <v>49</v>
      </c>
      <c r="B49" s="30"/>
      <c r="C49" s="66"/>
      <c r="D49" s="66" t="s">
        <v>468</v>
      </c>
      <c r="E49" s="66"/>
      <c r="F49" s="30"/>
      <c r="G49" s="30"/>
      <c r="H49" s="30"/>
      <c r="I49" s="30"/>
      <c r="J49" s="30"/>
      <c r="K49" s="30"/>
      <c r="L49" s="30"/>
      <c r="M49" s="30"/>
      <c r="N49" s="119"/>
      <c r="O49" s="30"/>
      <c r="P49" s="30"/>
      <c r="Q49" s="30"/>
      <c r="R49" s="30"/>
      <c r="S49" s="30"/>
      <c r="T49" s="30"/>
      <c r="U49" s="30"/>
      <c r="V49" s="30"/>
      <c r="W49" s="30"/>
      <c r="X49" s="30"/>
      <c r="Y49" s="30"/>
      <c r="Z49" s="30"/>
    </row>
    <row r="50" ht="13.5" customHeight="1">
      <c r="A50" s="111">
        <f t="shared" si="5"/>
        <v>50</v>
      </c>
      <c r="B50" s="606" t="s">
        <v>469</v>
      </c>
      <c r="C50" s="607"/>
      <c r="D50" s="563"/>
      <c r="E50" s="608"/>
      <c r="F50" s="609"/>
      <c r="G50" s="609"/>
      <c r="H50" s="609"/>
      <c r="I50" s="609"/>
      <c r="J50" s="609"/>
      <c r="K50" s="609"/>
      <c r="L50" s="609"/>
      <c r="M50" s="30"/>
      <c r="N50" s="119"/>
      <c r="O50" s="30"/>
      <c r="P50" s="30"/>
      <c r="Q50" s="30"/>
      <c r="R50" s="30"/>
      <c r="S50" s="30"/>
      <c r="T50" s="30"/>
      <c r="U50" s="30"/>
      <c r="V50" s="30"/>
      <c r="W50" s="30"/>
      <c r="X50" s="30"/>
      <c r="Y50" s="30"/>
      <c r="Z50" s="30"/>
    </row>
    <row r="51" ht="13.5" customHeight="1">
      <c r="A51" s="111">
        <f t="shared" si="5"/>
        <v>51</v>
      </c>
      <c r="B51" s="50" t="s">
        <v>470</v>
      </c>
      <c r="C51" s="610"/>
      <c r="D51" s="611">
        <f t="shared" ref="D51:D52" si="15">C68</f>
        <v>0.11</v>
      </c>
      <c r="E51" s="610"/>
      <c r="F51" s="612">
        <v>0.67</v>
      </c>
      <c r="G51" s="612">
        <f t="shared" ref="G51:L51" si="14">+$D51*G$36</f>
        <v>69.52</v>
      </c>
      <c r="H51" s="612">
        <f t="shared" si="14"/>
        <v>70.95</v>
      </c>
      <c r="I51" s="612">
        <f t="shared" si="14"/>
        <v>73.37</v>
      </c>
      <c r="J51" s="612">
        <f t="shared" si="14"/>
        <v>74.03</v>
      </c>
      <c r="K51" s="612">
        <f t="shared" si="14"/>
        <v>74.36</v>
      </c>
      <c r="L51" s="612">
        <f t="shared" si="14"/>
        <v>75.35</v>
      </c>
      <c r="M51" s="30"/>
      <c r="N51" s="119"/>
      <c r="O51" s="30"/>
      <c r="P51" s="30"/>
      <c r="Q51" s="30"/>
      <c r="R51" s="30"/>
      <c r="S51" s="30"/>
      <c r="T51" s="30"/>
      <c r="U51" s="30"/>
      <c r="V51" s="30"/>
      <c r="W51" s="30"/>
      <c r="X51" s="30"/>
      <c r="Y51" s="30"/>
      <c r="Z51" s="30"/>
    </row>
    <row r="52" ht="13.5" customHeight="1">
      <c r="A52" s="111">
        <f t="shared" si="5"/>
        <v>52</v>
      </c>
      <c r="B52" s="466" t="s">
        <v>471</v>
      </c>
      <c r="C52" s="610"/>
      <c r="D52" s="613">
        <f t="shared" si="15"/>
        <v>0.0395</v>
      </c>
      <c r="E52" s="610"/>
      <c r="F52" s="614">
        <v>24.0</v>
      </c>
      <c r="G52" s="612">
        <f t="shared" ref="G52:L52" si="16">+$D52*G$36</f>
        <v>24.964</v>
      </c>
      <c r="H52" s="612">
        <f t="shared" si="16"/>
        <v>25.4775</v>
      </c>
      <c r="I52" s="612">
        <f t="shared" si="16"/>
        <v>26.3465</v>
      </c>
      <c r="J52" s="612">
        <f t="shared" si="16"/>
        <v>26.5835</v>
      </c>
      <c r="K52" s="612">
        <f t="shared" si="16"/>
        <v>26.702</v>
      </c>
      <c r="L52" s="612">
        <f t="shared" si="16"/>
        <v>27.0575</v>
      </c>
      <c r="M52" s="30"/>
      <c r="N52" s="119"/>
      <c r="O52" s="30"/>
      <c r="P52" s="30"/>
      <c r="Q52" s="30"/>
      <c r="R52" s="30"/>
      <c r="S52" s="30"/>
      <c r="T52" s="30"/>
      <c r="U52" s="30"/>
      <c r="V52" s="30"/>
      <c r="W52" s="30"/>
      <c r="X52" s="30"/>
      <c r="Y52" s="30"/>
      <c r="Z52" s="30"/>
    </row>
    <row r="53" ht="13.5" customHeight="1">
      <c r="A53" s="111">
        <f t="shared" si="5"/>
        <v>53</v>
      </c>
      <c r="B53" s="466" t="s">
        <v>472</v>
      </c>
      <c r="C53" s="610"/>
      <c r="D53" s="611">
        <v>0.0</v>
      </c>
      <c r="E53" s="610"/>
      <c r="F53" s="614">
        <v>0.0</v>
      </c>
      <c r="G53" s="612">
        <f t="shared" ref="G53:L53" si="17">+$D53*G$36</f>
        <v>0</v>
      </c>
      <c r="H53" s="612">
        <f t="shared" si="17"/>
        <v>0</v>
      </c>
      <c r="I53" s="612">
        <f t="shared" si="17"/>
        <v>0</v>
      </c>
      <c r="J53" s="612">
        <f t="shared" si="17"/>
        <v>0</v>
      </c>
      <c r="K53" s="612">
        <f t="shared" si="17"/>
        <v>0</v>
      </c>
      <c r="L53" s="612">
        <f t="shared" si="17"/>
        <v>0</v>
      </c>
      <c r="M53" s="30"/>
      <c r="N53" s="119"/>
      <c r="O53" s="30"/>
      <c r="P53" s="30"/>
      <c r="Q53" s="30"/>
      <c r="R53" s="30"/>
      <c r="S53" s="30"/>
      <c r="T53" s="30"/>
      <c r="U53" s="30"/>
      <c r="V53" s="30"/>
      <c r="W53" s="30"/>
      <c r="X53" s="30"/>
      <c r="Y53" s="30"/>
      <c r="Z53" s="30"/>
    </row>
    <row r="54" ht="13.5" customHeight="1">
      <c r="A54" s="111">
        <f t="shared" si="5"/>
        <v>54</v>
      </c>
      <c r="B54" s="50" t="s">
        <v>473</v>
      </c>
      <c r="C54" s="610"/>
      <c r="D54" s="615">
        <f>C71</f>
        <v>0.44</v>
      </c>
      <c r="E54" s="610"/>
      <c r="F54" s="614">
        <v>270.0</v>
      </c>
      <c r="G54" s="612">
        <f t="shared" ref="G54:L54" si="18">+$D54*G$36</f>
        <v>278.08</v>
      </c>
      <c r="H54" s="612">
        <f t="shared" si="18"/>
        <v>283.8</v>
      </c>
      <c r="I54" s="612">
        <f t="shared" si="18"/>
        <v>293.48</v>
      </c>
      <c r="J54" s="612">
        <f t="shared" si="18"/>
        <v>296.12</v>
      </c>
      <c r="K54" s="612">
        <f t="shared" si="18"/>
        <v>297.44</v>
      </c>
      <c r="L54" s="612">
        <f t="shared" si="18"/>
        <v>301.4</v>
      </c>
      <c r="M54" s="30"/>
      <c r="N54" s="119"/>
      <c r="O54" s="30"/>
      <c r="P54" s="30"/>
      <c r="Q54" s="30"/>
      <c r="R54" s="30"/>
      <c r="S54" s="30"/>
      <c r="T54" s="30"/>
      <c r="U54" s="30"/>
      <c r="V54" s="30"/>
      <c r="W54" s="30"/>
      <c r="X54" s="30"/>
      <c r="Y54" s="30"/>
      <c r="Z54" s="30"/>
    </row>
    <row r="55" ht="13.5" customHeight="1">
      <c r="A55" s="111">
        <f t="shared" si="5"/>
        <v>55</v>
      </c>
      <c r="B55" s="469"/>
      <c r="C55" s="616"/>
      <c r="D55" s="617"/>
      <c r="E55" s="617"/>
      <c r="F55" s="612"/>
      <c r="G55" s="618"/>
      <c r="H55" s="618"/>
      <c r="I55" s="618"/>
      <c r="J55" s="618"/>
      <c r="K55" s="618"/>
      <c r="L55" s="618"/>
      <c r="M55" s="30"/>
      <c r="N55" s="119"/>
      <c r="O55" s="30"/>
      <c r="P55" s="30"/>
      <c r="Q55" s="30"/>
      <c r="R55" s="30"/>
      <c r="S55" s="30"/>
      <c r="T55" s="30"/>
      <c r="U55" s="30"/>
      <c r="V55" s="30"/>
      <c r="W55" s="30"/>
      <c r="X55" s="30"/>
      <c r="Y55" s="30"/>
      <c r="Z55" s="30"/>
    </row>
    <row r="56" ht="13.5" customHeight="1">
      <c r="A56" s="111">
        <f t="shared" si="5"/>
        <v>56</v>
      </c>
      <c r="B56" s="67" t="s">
        <v>474</v>
      </c>
      <c r="C56" s="30"/>
      <c r="D56" s="619">
        <f>SUM(D51:D55)</f>
        <v>0.5895</v>
      </c>
      <c r="E56" s="620"/>
      <c r="F56" s="621">
        <f t="shared" ref="F56:L56" si="19">SUM(F51:F55)</f>
        <v>294.67</v>
      </c>
      <c r="G56" s="621">
        <f t="shared" si="19"/>
        <v>372.564</v>
      </c>
      <c r="H56" s="621">
        <f t="shared" si="19"/>
        <v>380.2275</v>
      </c>
      <c r="I56" s="621">
        <f t="shared" si="19"/>
        <v>393.1965</v>
      </c>
      <c r="J56" s="621">
        <f t="shared" si="19"/>
        <v>396.7335</v>
      </c>
      <c r="K56" s="621">
        <f t="shared" si="19"/>
        <v>398.502</v>
      </c>
      <c r="L56" s="621">
        <f t="shared" si="19"/>
        <v>403.8075</v>
      </c>
      <c r="M56" s="30"/>
      <c r="N56" s="119"/>
      <c r="O56" s="30"/>
      <c r="P56" s="30"/>
      <c r="Q56" s="30"/>
      <c r="R56" s="30"/>
      <c r="S56" s="30"/>
      <c r="T56" s="30"/>
      <c r="U56" s="30"/>
      <c r="V56" s="30"/>
      <c r="W56" s="30"/>
      <c r="X56" s="30"/>
      <c r="Y56" s="30"/>
      <c r="Z56" s="30"/>
    </row>
    <row r="57" ht="13.5" customHeight="1">
      <c r="A57" s="111">
        <f t="shared" si="5"/>
        <v>57</v>
      </c>
      <c r="B57" s="67"/>
      <c r="C57" s="30"/>
      <c r="D57" s="30"/>
      <c r="E57" s="30"/>
      <c r="F57" s="622"/>
      <c r="G57" s="623"/>
      <c r="H57" s="623"/>
      <c r="I57" s="623"/>
      <c r="J57" s="623"/>
      <c r="K57" s="623"/>
      <c r="L57" s="623"/>
      <c r="M57" s="30"/>
      <c r="N57" s="119"/>
      <c r="O57" s="30"/>
      <c r="P57" s="30"/>
      <c r="Q57" s="30"/>
      <c r="R57" s="30"/>
      <c r="S57" s="30"/>
      <c r="T57" s="30"/>
      <c r="U57" s="30"/>
      <c r="V57" s="30"/>
      <c r="W57" s="30"/>
      <c r="X57" s="30"/>
      <c r="Y57" s="30"/>
      <c r="Z57" s="30"/>
    </row>
    <row r="58" ht="13.5" customHeight="1">
      <c r="A58" s="111">
        <f t="shared" si="5"/>
        <v>58</v>
      </c>
      <c r="B58" s="164"/>
      <c r="C58" s="30"/>
      <c r="D58" s="30"/>
      <c r="E58" s="30"/>
      <c r="F58" s="479"/>
      <c r="G58" s="602"/>
      <c r="H58" s="602"/>
      <c r="I58" s="602"/>
      <c r="J58" s="602"/>
      <c r="K58" s="602"/>
      <c r="L58" s="602"/>
      <c r="M58" s="30"/>
      <c r="N58" s="119"/>
      <c r="O58" s="30"/>
      <c r="P58" s="30"/>
      <c r="Q58" s="30"/>
      <c r="R58" s="30"/>
      <c r="S58" s="30"/>
      <c r="T58" s="30"/>
      <c r="U58" s="30"/>
      <c r="V58" s="30"/>
      <c r="W58" s="30"/>
      <c r="X58" s="30"/>
      <c r="Y58" s="30"/>
      <c r="Z58" s="30"/>
    </row>
    <row r="59" ht="13.5" customHeight="1">
      <c r="A59" s="111">
        <f t="shared" si="5"/>
        <v>59</v>
      </c>
      <c r="B59" s="624" t="s">
        <v>475</v>
      </c>
      <c r="C59" s="604"/>
      <c r="D59" s="604"/>
      <c r="E59" s="604"/>
      <c r="F59" s="455"/>
      <c r="G59" s="605"/>
      <c r="H59" s="455"/>
      <c r="I59" s="455"/>
      <c r="J59" s="455"/>
      <c r="K59" s="455"/>
      <c r="L59" s="455"/>
      <c r="M59" s="30"/>
      <c r="N59" s="119"/>
      <c r="O59" s="30"/>
      <c r="P59" s="30"/>
      <c r="Q59" s="30"/>
      <c r="R59" s="30"/>
      <c r="S59" s="30"/>
      <c r="T59" s="30"/>
      <c r="U59" s="30"/>
      <c r="V59" s="30"/>
      <c r="W59" s="30"/>
      <c r="X59" s="30"/>
      <c r="Y59" s="30"/>
      <c r="Z59" s="30"/>
    </row>
    <row r="60" ht="13.5" customHeight="1">
      <c r="A60" s="111">
        <f t="shared" si="5"/>
        <v>60</v>
      </c>
      <c r="B60" s="625" t="s">
        <v>476</v>
      </c>
      <c r="C60" s="65"/>
      <c r="D60" s="65"/>
      <c r="E60" s="65"/>
      <c r="F60" s="65"/>
      <c r="G60" s="65"/>
      <c r="H60" s="65"/>
      <c r="I60" s="65"/>
      <c r="J60" s="65"/>
      <c r="K60" s="65"/>
      <c r="L60" s="65"/>
      <c r="M60" s="30"/>
      <c r="N60" s="119"/>
      <c r="O60" s="30"/>
      <c r="P60" s="30"/>
      <c r="Q60" s="30"/>
      <c r="R60" s="30"/>
      <c r="S60" s="30"/>
      <c r="T60" s="30"/>
      <c r="U60" s="30"/>
      <c r="V60" s="30"/>
      <c r="W60" s="30"/>
      <c r="X60" s="30"/>
      <c r="Y60" s="30"/>
      <c r="Z60" s="30"/>
    </row>
    <row r="61" ht="13.5" customHeight="1">
      <c r="A61" s="111">
        <f t="shared" si="5"/>
        <v>61</v>
      </c>
      <c r="B61" s="625" t="s">
        <v>477</v>
      </c>
      <c r="C61" s="65"/>
      <c r="D61" s="65"/>
      <c r="E61" s="65"/>
      <c r="F61" s="65"/>
      <c r="G61" s="65"/>
      <c r="H61" s="65"/>
      <c r="I61" s="65"/>
      <c r="J61" s="65"/>
      <c r="K61" s="65"/>
      <c r="L61" s="65"/>
      <c r="M61" s="30"/>
      <c r="N61" s="119"/>
      <c r="O61" s="30"/>
      <c r="P61" s="30"/>
      <c r="Q61" s="30"/>
      <c r="R61" s="30"/>
      <c r="S61" s="30"/>
      <c r="T61" s="30"/>
      <c r="U61" s="30"/>
      <c r="V61" s="30"/>
      <c r="W61" s="30"/>
      <c r="X61" s="30"/>
      <c r="Y61" s="30"/>
      <c r="Z61" s="30"/>
    </row>
    <row r="62" ht="13.5" customHeight="1">
      <c r="A62" s="111">
        <f t="shared" si="5"/>
        <v>62</v>
      </c>
      <c r="B62" s="625" t="s">
        <v>478</v>
      </c>
      <c r="C62" s="65"/>
      <c r="D62" s="65"/>
      <c r="E62" s="65"/>
      <c r="F62" s="65"/>
      <c r="G62" s="65"/>
      <c r="H62" s="65"/>
      <c r="I62" s="65"/>
      <c r="J62" s="65"/>
      <c r="K62" s="65"/>
      <c r="L62" s="65"/>
      <c r="M62" s="30"/>
      <c r="N62" s="119"/>
      <c r="O62" s="30"/>
      <c r="P62" s="30"/>
      <c r="Q62" s="30"/>
      <c r="R62" s="30"/>
      <c r="S62" s="30"/>
      <c r="T62" s="30"/>
      <c r="U62" s="30"/>
      <c r="V62" s="30"/>
      <c r="W62" s="30"/>
      <c r="X62" s="30"/>
      <c r="Y62" s="30"/>
      <c r="Z62" s="30"/>
    </row>
    <row r="63" ht="13.5" customHeight="1">
      <c r="A63" s="111">
        <f t="shared" si="5"/>
        <v>63</v>
      </c>
      <c r="B63" s="625" t="s">
        <v>479</v>
      </c>
      <c r="C63" s="65"/>
      <c r="D63" s="65"/>
      <c r="E63" s="65"/>
      <c r="F63" s="65"/>
      <c r="G63" s="65"/>
      <c r="H63" s="65"/>
      <c r="I63" s="65"/>
      <c r="J63" s="65"/>
      <c r="K63" s="65"/>
      <c r="L63" s="65"/>
      <c r="M63" s="30"/>
      <c r="N63" s="119"/>
      <c r="O63" s="30"/>
      <c r="P63" s="30"/>
      <c r="Q63" s="30"/>
      <c r="R63" s="30"/>
      <c r="S63" s="30"/>
      <c r="T63" s="30"/>
      <c r="U63" s="30"/>
      <c r="V63" s="30"/>
      <c r="W63" s="30"/>
      <c r="X63" s="30"/>
      <c r="Y63" s="30"/>
      <c r="Z63" s="30"/>
    </row>
    <row r="64" ht="13.5" customHeight="1">
      <c r="A64" s="111">
        <f t="shared" si="5"/>
        <v>64</v>
      </c>
      <c r="B64" s="65"/>
      <c r="C64" s="65"/>
      <c r="D64" s="65"/>
      <c r="E64" s="65"/>
      <c r="F64" s="65"/>
      <c r="G64" s="65"/>
      <c r="H64" s="65"/>
      <c r="I64" s="65"/>
      <c r="J64" s="65"/>
      <c r="K64" s="65"/>
      <c r="L64" s="65"/>
      <c r="M64" s="30"/>
      <c r="N64" s="119"/>
      <c r="O64" s="30"/>
      <c r="P64" s="30"/>
      <c r="Q64" s="30"/>
      <c r="R64" s="30"/>
      <c r="S64" s="30"/>
      <c r="T64" s="30"/>
      <c r="U64" s="30"/>
      <c r="V64" s="30"/>
      <c r="W64" s="30"/>
      <c r="X64" s="30"/>
      <c r="Y64" s="30"/>
      <c r="Z64" s="30"/>
    </row>
    <row r="65" ht="13.5" customHeight="1">
      <c r="A65" s="111">
        <f t="shared" si="5"/>
        <v>65</v>
      </c>
      <c r="B65" s="66"/>
      <c r="C65" s="66" t="s">
        <v>480</v>
      </c>
      <c r="D65" s="626" t="s">
        <v>481</v>
      </c>
      <c r="E65" s="66" t="s">
        <v>482</v>
      </c>
      <c r="F65" s="30"/>
      <c r="G65" s="30"/>
      <c r="H65" s="30"/>
      <c r="I65" s="30"/>
      <c r="J65" s="30"/>
      <c r="K65" s="30"/>
      <c r="L65" s="30"/>
      <c r="M65" s="30"/>
      <c r="N65" s="119"/>
      <c r="O65" s="30"/>
      <c r="P65" s="30"/>
      <c r="Q65" s="30"/>
      <c r="R65" s="30"/>
      <c r="S65" s="30"/>
      <c r="T65" s="30"/>
      <c r="U65" s="30"/>
      <c r="V65" s="30"/>
      <c r="W65" s="30"/>
      <c r="X65" s="30"/>
      <c r="Y65" s="30"/>
      <c r="Z65" s="30"/>
    </row>
    <row r="66" ht="13.5" customHeight="1">
      <c r="A66" s="111">
        <f t="shared" si="5"/>
        <v>66</v>
      </c>
      <c r="B66" s="30"/>
      <c r="C66" s="66" t="s">
        <v>483</v>
      </c>
      <c r="D66" s="66" t="s">
        <v>484</v>
      </c>
      <c r="E66" s="66" t="s">
        <v>483</v>
      </c>
      <c r="F66" s="30"/>
      <c r="G66" s="30"/>
      <c r="H66" s="30"/>
      <c r="I66" s="30"/>
      <c r="J66" s="30"/>
      <c r="K66" s="30"/>
      <c r="L66" s="30"/>
      <c r="M66" s="30"/>
      <c r="N66" s="119"/>
      <c r="O66" s="30"/>
      <c r="P66" s="30"/>
      <c r="Q66" s="30"/>
      <c r="R66" s="30"/>
      <c r="S66" s="30"/>
      <c r="T66" s="30"/>
      <c r="U66" s="30"/>
      <c r="V66" s="30"/>
      <c r="W66" s="30"/>
      <c r="X66" s="30"/>
      <c r="Y66" s="30"/>
      <c r="Z66" s="30"/>
    </row>
    <row r="67" ht="13.5" customHeight="1">
      <c r="A67" s="111">
        <f t="shared" si="5"/>
        <v>67</v>
      </c>
      <c r="B67" s="563"/>
      <c r="C67" s="627"/>
      <c r="D67" s="563"/>
      <c r="E67" s="608"/>
      <c r="F67" s="628"/>
      <c r="G67" s="628"/>
      <c r="H67" s="628"/>
      <c r="I67" s="628"/>
      <c r="J67" s="628"/>
      <c r="K67" s="628"/>
      <c r="L67" s="628"/>
      <c r="M67" s="30"/>
      <c r="N67" s="119"/>
      <c r="O67" s="30"/>
      <c r="P67" s="30"/>
      <c r="Q67" s="30"/>
      <c r="R67" s="30"/>
      <c r="S67" s="30"/>
      <c r="T67" s="30"/>
      <c r="U67" s="30"/>
      <c r="V67" s="30"/>
      <c r="W67" s="30"/>
      <c r="X67" s="30"/>
      <c r="Y67" s="30"/>
      <c r="Z67" s="30"/>
    </row>
    <row r="68" ht="13.5" customHeight="1">
      <c r="A68" s="111">
        <f t="shared" si="5"/>
        <v>68</v>
      </c>
      <c r="B68" s="50" t="s">
        <v>470</v>
      </c>
      <c r="C68" s="629">
        <v>0.11</v>
      </c>
      <c r="D68" s="630">
        <v>1.0</v>
      </c>
      <c r="E68" s="630">
        <f>+C68</f>
        <v>0.11</v>
      </c>
      <c r="F68" s="631">
        <v>46.555</v>
      </c>
      <c r="G68" s="631">
        <v>46.555</v>
      </c>
      <c r="H68" s="631">
        <v>46.555</v>
      </c>
      <c r="I68" s="631">
        <v>46.555</v>
      </c>
      <c r="J68" s="631">
        <v>46.555</v>
      </c>
      <c r="K68" s="631">
        <v>46.555</v>
      </c>
      <c r="L68" s="631">
        <v>46.555</v>
      </c>
      <c r="M68" s="30"/>
      <c r="N68" s="119"/>
      <c r="O68" s="30"/>
      <c r="P68" s="30"/>
      <c r="Q68" s="30"/>
      <c r="R68" s="30"/>
      <c r="S68" s="30"/>
      <c r="T68" s="30"/>
      <c r="U68" s="30"/>
      <c r="V68" s="30"/>
      <c r="W68" s="30"/>
      <c r="X68" s="30"/>
      <c r="Y68" s="30"/>
      <c r="Z68" s="30"/>
    </row>
    <row r="69" ht="13.5" customHeight="1">
      <c r="A69" s="111">
        <f t="shared" si="5"/>
        <v>69</v>
      </c>
      <c r="B69" s="466" t="s">
        <v>485</v>
      </c>
      <c r="C69" s="632">
        <v>0.0395</v>
      </c>
      <c r="D69" s="630">
        <v>0.8579</v>
      </c>
      <c r="E69" s="630">
        <f t="shared" ref="E69:E70" si="20">+C69*D69</f>
        <v>0.03388705</v>
      </c>
      <c r="F69" s="633">
        <v>94.0</v>
      </c>
      <c r="G69" s="633">
        <v>94.0</v>
      </c>
      <c r="H69" s="633">
        <v>94.0</v>
      </c>
      <c r="I69" s="633">
        <v>94.0</v>
      </c>
      <c r="J69" s="633">
        <v>94.0</v>
      </c>
      <c r="K69" s="633">
        <v>94.0</v>
      </c>
      <c r="L69" s="633">
        <v>94.0</v>
      </c>
      <c r="M69" s="30"/>
      <c r="N69" s="119"/>
      <c r="O69" s="30"/>
      <c r="P69" s="30"/>
      <c r="Q69" s="30"/>
      <c r="R69" s="30"/>
      <c r="S69" s="30"/>
      <c r="T69" s="30"/>
      <c r="U69" s="30"/>
      <c r="V69" s="30"/>
      <c r="W69" s="30"/>
      <c r="X69" s="30"/>
      <c r="Y69" s="30"/>
      <c r="Z69" s="30"/>
    </row>
    <row r="70" ht="13.5" customHeight="1">
      <c r="A70" s="111">
        <f t="shared" si="5"/>
        <v>70</v>
      </c>
      <c r="B70" s="466" t="s">
        <v>472</v>
      </c>
      <c r="C70" s="634">
        <f>+D53</f>
        <v>0</v>
      </c>
      <c r="D70" s="630">
        <v>0.9556</v>
      </c>
      <c r="E70" s="630">
        <f t="shared" si="20"/>
        <v>0</v>
      </c>
      <c r="F70" s="635">
        <v>0.0</v>
      </c>
      <c r="G70" s="636">
        <f t="shared" ref="G70:L70" si="21">+$E70*G$36</f>
        <v>0</v>
      </c>
      <c r="H70" s="636">
        <f t="shared" si="21"/>
        <v>0</v>
      </c>
      <c r="I70" s="636">
        <f t="shared" si="21"/>
        <v>0</v>
      </c>
      <c r="J70" s="636">
        <f t="shared" si="21"/>
        <v>0</v>
      </c>
      <c r="K70" s="636">
        <f t="shared" si="21"/>
        <v>0</v>
      </c>
      <c r="L70" s="636">
        <f t="shared" si="21"/>
        <v>0</v>
      </c>
      <c r="M70" s="30"/>
      <c r="N70" s="119"/>
      <c r="O70" s="30"/>
      <c r="P70" s="30"/>
      <c r="Q70" s="30"/>
      <c r="R70" s="30"/>
      <c r="S70" s="30"/>
      <c r="T70" s="30"/>
      <c r="U70" s="30"/>
      <c r="V70" s="30"/>
      <c r="W70" s="30"/>
      <c r="X70" s="30"/>
      <c r="Y70" s="30"/>
      <c r="Z70" s="30"/>
    </row>
    <row r="71" ht="13.5" customHeight="1">
      <c r="A71" s="111">
        <f t="shared" si="5"/>
        <v>71</v>
      </c>
      <c r="B71" s="466" t="s">
        <v>486</v>
      </c>
      <c r="C71" s="629">
        <v>0.44</v>
      </c>
      <c r="D71" s="630">
        <v>0.7695</v>
      </c>
      <c r="E71" s="630">
        <f>MIN(C71*D71,1-SUM(E68:E70))</f>
        <v>0.33858</v>
      </c>
      <c r="F71" s="635">
        <v>270.0</v>
      </c>
      <c r="G71" s="633">
        <v>270.0</v>
      </c>
      <c r="H71" s="633">
        <v>290.0</v>
      </c>
      <c r="I71" s="633">
        <v>290.0</v>
      </c>
      <c r="J71" s="633">
        <v>300.0</v>
      </c>
      <c r="K71" s="633">
        <v>300.0</v>
      </c>
      <c r="L71" s="633">
        <v>310.0</v>
      </c>
      <c r="M71" s="30"/>
      <c r="N71" s="119"/>
      <c r="O71" s="30"/>
      <c r="P71" s="30"/>
      <c r="Q71" s="30"/>
      <c r="R71" s="30"/>
      <c r="S71" s="30"/>
      <c r="T71" s="30"/>
      <c r="U71" s="30"/>
      <c r="V71" s="30"/>
      <c r="W71" s="30"/>
      <c r="X71" s="30"/>
      <c r="Y71" s="30"/>
      <c r="Z71" s="30"/>
    </row>
    <row r="72" ht="13.5" customHeight="1">
      <c r="A72" s="111">
        <f t="shared" si="5"/>
        <v>72</v>
      </c>
      <c r="B72" s="469" t="s">
        <v>487</v>
      </c>
      <c r="C72" s="637">
        <v>0.41</v>
      </c>
      <c r="D72" s="638">
        <v>0.0</v>
      </c>
      <c r="E72" s="639">
        <v>0.0</v>
      </c>
      <c r="F72" s="640">
        <f>607-270-24-67</f>
        <v>246</v>
      </c>
      <c r="G72" s="641">
        <f t="shared" ref="G72:I72" si="22">G$36-SUM(G68:G71)</f>
        <v>221.445</v>
      </c>
      <c r="H72" s="641">
        <f t="shared" si="22"/>
        <v>214.445</v>
      </c>
      <c r="I72" s="641">
        <f t="shared" si="22"/>
        <v>236.445</v>
      </c>
      <c r="J72" s="642">
        <v>240.0</v>
      </c>
      <c r="K72" s="642">
        <v>246.0</v>
      </c>
      <c r="L72" s="642">
        <v>249.0</v>
      </c>
      <c r="M72" s="30"/>
      <c r="N72" s="119"/>
      <c r="O72" s="30"/>
      <c r="P72" s="30"/>
      <c r="Q72" s="30"/>
      <c r="R72" s="30"/>
      <c r="S72" s="30"/>
      <c r="T72" s="30"/>
      <c r="U72" s="30"/>
      <c r="V72" s="30"/>
      <c r="W72" s="30"/>
      <c r="X72" s="30"/>
      <c r="Y72" s="30"/>
      <c r="Z72" s="30"/>
    </row>
    <row r="73" ht="13.5" customHeight="1">
      <c r="A73" s="111">
        <f t="shared" si="5"/>
        <v>73</v>
      </c>
      <c r="B73" s="30" t="s">
        <v>488</v>
      </c>
      <c r="C73" s="643">
        <f>SUM(C68:C72)</f>
        <v>0.9995</v>
      </c>
      <c r="D73" s="644"/>
      <c r="E73" s="644">
        <f t="shared" ref="E73:L73" si="23">SUM(E68:E72)</f>
        <v>0.48246705</v>
      </c>
      <c r="F73" s="645">
        <f t="shared" si="23"/>
        <v>656.555</v>
      </c>
      <c r="G73" s="646">
        <f t="shared" si="23"/>
        <v>632</v>
      </c>
      <c r="H73" s="646">
        <f t="shared" si="23"/>
        <v>645</v>
      </c>
      <c r="I73" s="646">
        <f t="shared" si="23"/>
        <v>667</v>
      </c>
      <c r="J73" s="646">
        <f t="shared" si="23"/>
        <v>680.555</v>
      </c>
      <c r="K73" s="646">
        <f t="shared" si="23"/>
        <v>686.555</v>
      </c>
      <c r="L73" s="646">
        <f t="shared" si="23"/>
        <v>699.555</v>
      </c>
      <c r="M73" s="30"/>
      <c r="N73" s="119"/>
      <c r="O73" s="30"/>
      <c r="P73" s="30"/>
      <c r="Q73" s="30"/>
      <c r="R73" s="30"/>
      <c r="S73" s="30"/>
      <c r="T73" s="30"/>
      <c r="U73" s="30"/>
      <c r="V73" s="30"/>
      <c r="W73" s="30"/>
      <c r="X73" s="30"/>
      <c r="Y73" s="30"/>
      <c r="Z73" s="30"/>
    </row>
    <row r="74" ht="13.5" customHeight="1">
      <c r="A74" s="111">
        <f t="shared" si="5"/>
        <v>74</v>
      </c>
      <c r="B74" s="30" t="s">
        <v>489</v>
      </c>
      <c r="C74" s="647">
        <f>IF(C73&gt;1,"Be sure next data tabe set =100%",0)</f>
        <v>0</v>
      </c>
      <c r="D74" s="647"/>
      <c r="E74" s="648"/>
      <c r="F74" s="649">
        <f t="shared" ref="F74:L74" si="24">SUM(F68:F71)</f>
        <v>410.555</v>
      </c>
      <c r="G74" s="650">
        <f t="shared" si="24"/>
        <v>410.555</v>
      </c>
      <c r="H74" s="650">
        <f t="shared" si="24"/>
        <v>430.555</v>
      </c>
      <c r="I74" s="650">
        <f t="shared" si="24"/>
        <v>430.555</v>
      </c>
      <c r="J74" s="650">
        <f t="shared" si="24"/>
        <v>440.555</v>
      </c>
      <c r="K74" s="650">
        <f t="shared" si="24"/>
        <v>440.555</v>
      </c>
      <c r="L74" s="650">
        <f t="shared" si="24"/>
        <v>450.555</v>
      </c>
      <c r="M74" s="30"/>
      <c r="N74" s="119"/>
      <c r="O74" s="30"/>
      <c r="P74" s="30"/>
      <c r="Q74" s="30"/>
      <c r="R74" s="30"/>
      <c r="S74" s="30"/>
      <c r="T74" s="30"/>
      <c r="U74" s="30"/>
      <c r="V74" s="30"/>
      <c r="W74" s="30"/>
      <c r="X74" s="30"/>
      <c r="Y74" s="30"/>
      <c r="Z74" s="30"/>
    </row>
    <row r="75" ht="13.5" customHeight="1">
      <c r="A75" s="111">
        <f t="shared" si="5"/>
        <v>75</v>
      </c>
      <c r="B75" s="30" t="s">
        <v>490</v>
      </c>
      <c r="C75" s="30"/>
      <c r="D75" s="647"/>
      <c r="E75" s="648"/>
      <c r="F75" s="651">
        <f t="shared" ref="F75:L75" si="25">+F74/F73</f>
        <v>0.6253169955</v>
      </c>
      <c r="G75" s="652">
        <f t="shared" si="25"/>
        <v>0.6496123418</v>
      </c>
      <c r="H75" s="652">
        <f t="shared" si="25"/>
        <v>0.6675271318</v>
      </c>
      <c r="I75" s="652">
        <f t="shared" si="25"/>
        <v>0.6455097451</v>
      </c>
      <c r="J75" s="652">
        <f t="shared" si="25"/>
        <v>0.6473466509</v>
      </c>
      <c r="K75" s="652">
        <f t="shared" si="25"/>
        <v>0.6416893038</v>
      </c>
      <c r="L75" s="652">
        <f t="shared" si="25"/>
        <v>0.6440594378</v>
      </c>
      <c r="M75" s="30"/>
      <c r="N75" s="119"/>
      <c r="O75" s="30"/>
      <c r="P75" s="30"/>
      <c r="Q75" s="30"/>
      <c r="R75" s="30"/>
      <c r="S75" s="30"/>
      <c r="T75" s="30"/>
      <c r="U75" s="30"/>
      <c r="V75" s="30"/>
      <c r="W75" s="30"/>
      <c r="X75" s="30"/>
      <c r="Y75" s="30"/>
      <c r="Z75" s="30"/>
    </row>
    <row r="76" ht="13.5" customHeight="1">
      <c r="A76" s="111">
        <f t="shared" si="5"/>
        <v>76</v>
      </c>
      <c r="B76" s="30" t="s">
        <v>491</v>
      </c>
      <c r="C76" s="30"/>
      <c r="D76" s="30"/>
      <c r="E76" s="30"/>
      <c r="F76" s="622"/>
      <c r="G76" s="623" t="str">
        <f t="shared" ref="G76:L76" si="26">IF(G72&lt;0,"ERROR", "-")</f>
        <v>-</v>
      </c>
      <c r="H76" s="623" t="str">
        <f t="shared" si="26"/>
        <v>-</v>
      </c>
      <c r="I76" s="623" t="str">
        <f t="shared" si="26"/>
        <v>-</v>
      </c>
      <c r="J76" s="623" t="str">
        <f t="shared" si="26"/>
        <v>-</v>
      </c>
      <c r="K76" s="623" t="str">
        <f t="shared" si="26"/>
        <v>-</v>
      </c>
      <c r="L76" s="623" t="str">
        <f t="shared" si="26"/>
        <v>-</v>
      </c>
      <c r="M76" s="30"/>
      <c r="N76" s="119"/>
      <c r="O76" s="30"/>
      <c r="P76" s="30"/>
      <c r="Q76" s="30"/>
      <c r="R76" s="30"/>
      <c r="S76" s="30"/>
      <c r="T76" s="30"/>
      <c r="U76" s="30"/>
      <c r="V76" s="30"/>
      <c r="W76" s="30"/>
      <c r="X76" s="30"/>
      <c r="Y76" s="30"/>
      <c r="Z76" s="30"/>
    </row>
    <row r="77" ht="13.5" customHeight="1">
      <c r="A77" s="111">
        <f t="shared" si="5"/>
        <v>77</v>
      </c>
      <c r="B77" s="30"/>
      <c r="C77" s="30"/>
      <c r="D77" s="30"/>
      <c r="E77" s="30"/>
      <c r="F77" s="622"/>
      <c r="G77" s="653"/>
      <c r="H77" s="653"/>
      <c r="I77" s="653"/>
      <c r="J77" s="653"/>
      <c r="K77" s="653"/>
      <c r="L77" s="653"/>
      <c r="M77" s="30"/>
      <c r="N77" s="119"/>
      <c r="O77" s="30"/>
      <c r="P77" s="30"/>
      <c r="Q77" s="30"/>
      <c r="R77" s="30"/>
      <c r="S77" s="30"/>
      <c r="T77" s="30"/>
      <c r="U77" s="30"/>
      <c r="V77" s="30"/>
      <c r="W77" s="30"/>
      <c r="X77" s="30"/>
      <c r="Y77" s="30"/>
      <c r="Z77" s="30"/>
    </row>
    <row r="78" ht="13.5" customHeight="1">
      <c r="A78" s="111">
        <f t="shared" si="5"/>
        <v>78</v>
      </c>
      <c r="B78" s="30" t="s">
        <v>492</v>
      </c>
      <c r="C78" s="654" t="s">
        <v>493</v>
      </c>
      <c r="D78" s="30" t="s">
        <v>494</v>
      </c>
      <c r="E78" s="30"/>
      <c r="F78" s="30"/>
      <c r="G78" s="30"/>
      <c r="H78" s="30"/>
      <c r="I78" s="30"/>
      <c r="J78" s="30"/>
      <c r="K78" s="30"/>
      <c r="L78" s="30"/>
      <c r="M78" s="30"/>
      <c r="N78" s="119"/>
      <c r="O78" s="30"/>
      <c r="P78" s="30"/>
      <c r="Q78" s="30"/>
      <c r="R78" s="30"/>
      <c r="S78" s="30"/>
      <c r="T78" s="30"/>
      <c r="U78" s="30"/>
      <c r="V78" s="30"/>
      <c r="W78" s="30"/>
      <c r="X78" s="30"/>
      <c r="Y78" s="30"/>
      <c r="Z78" s="30"/>
    </row>
    <row r="79" ht="13.5" customHeight="1">
      <c r="A79" s="111">
        <f t="shared" si="5"/>
        <v>79</v>
      </c>
      <c r="B79" s="30"/>
      <c r="C79" s="30"/>
      <c r="D79" s="655" t="s">
        <v>495</v>
      </c>
      <c r="E79" s="30"/>
      <c r="F79" s="656"/>
      <c r="G79" s="657"/>
      <c r="H79" s="657"/>
      <c r="I79" s="657"/>
      <c r="J79" s="657"/>
      <c r="K79" s="657"/>
      <c r="L79" s="657"/>
      <c r="M79" s="30"/>
      <c r="N79" s="119"/>
      <c r="O79" s="30"/>
      <c r="P79" s="30"/>
      <c r="Q79" s="30"/>
      <c r="R79" s="30"/>
      <c r="S79" s="30"/>
      <c r="T79" s="30"/>
      <c r="U79" s="30"/>
      <c r="V79" s="30"/>
      <c r="W79" s="30"/>
      <c r="X79" s="30"/>
      <c r="Y79" s="30"/>
      <c r="Z79" s="30"/>
    </row>
    <row r="80" ht="13.5" customHeight="1">
      <c r="A80" s="111">
        <f t="shared" si="5"/>
        <v>80</v>
      </c>
      <c r="B80" s="30"/>
      <c r="C80" s="30"/>
      <c r="D80" s="30"/>
      <c r="E80" s="30"/>
      <c r="F80" s="656"/>
      <c r="G80" s="657"/>
      <c r="H80" s="657"/>
      <c r="I80" s="657"/>
      <c r="J80" s="657"/>
      <c r="K80" s="657"/>
      <c r="L80" s="657"/>
      <c r="M80" s="30"/>
      <c r="N80" s="119"/>
      <c r="O80" s="30"/>
      <c r="P80" s="30"/>
      <c r="Q80" s="30"/>
      <c r="R80" s="30"/>
      <c r="S80" s="30"/>
      <c r="T80" s="30"/>
      <c r="U80" s="30"/>
      <c r="V80" s="30"/>
      <c r="W80" s="30"/>
      <c r="X80" s="30"/>
      <c r="Y80" s="30"/>
      <c r="Z80" s="30"/>
    </row>
    <row r="81" ht="13.5" customHeight="1">
      <c r="A81" s="111">
        <f t="shared" si="5"/>
        <v>81</v>
      </c>
      <c r="B81" s="624" t="s">
        <v>496</v>
      </c>
      <c r="C81" s="658" t="s">
        <v>497</v>
      </c>
      <c r="D81" s="455"/>
      <c r="E81" s="455"/>
      <c r="F81" s="659"/>
      <c r="G81" s="660"/>
      <c r="H81" s="660"/>
      <c r="I81" s="660"/>
      <c r="J81" s="660"/>
      <c r="K81" s="660"/>
      <c r="L81" s="660"/>
      <c r="M81" s="30"/>
      <c r="N81" s="119"/>
      <c r="O81" s="30"/>
      <c r="P81" s="30"/>
      <c r="Q81" s="30"/>
      <c r="R81" s="30"/>
      <c r="S81" s="30"/>
      <c r="T81" s="30"/>
      <c r="U81" s="30"/>
      <c r="V81" s="30"/>
      <c r="W81" s="30"/>
      <c r="X81" s="30"/>
      <c r="Y81" s="30"/>
      <c r="Z81" s="30"/>
    </row>
    <row r="82" ht="13.5" customHeight="1">
      <c r="A82" s="111">
        <f t="shared" si="5"/>
        <v>82</v>
      </c>
      <c r="B82" s="30" t="s">
        <v>498</v>
      </c>
      <c r="C82" s="30"/>
      <c r="D82" s="30"/>
      <c r="E82" s="30"/>
      <c r="F82" s="656"/>
      <c r="G82" s="656"/>
      <c r="H82" s="656"/>
      <c r="I82" s="656"/>
      <c r="J82" s="656"/>
      <c r="K82" s="656"/>
      <c r="L82" s="656"/>
      <c r="M82" s="30"/>
      <c r="N82" s="119"/>
      <c r="O82" s="30"/>
      <c r="P82" s="30"/>
      <c r="Q82" s="30"/>
      <c r="R82" s="30"/>
      <c r="S82" s="30"/>
      <c r="T82" s="30"/>
      <c r="U82" s="30"/>
      <c r="V82" s="30"/>
      <c r="W82" s="30"/>
      <c r="X82" s="30"/>
      <c r="Y82" s="30"/>
      <c r="Z82" s="30"/>
    </row>
    <row r="83" ht="13.5" customHeight="1">
      <c r="A83" s="111">
        <f t="shared" si="5"/>
        <v>83</v>
      </c>
      <c r="B83" s="30"/>
      <c r="C83" s="66" t="s">
        <v>499</v>
      </c>
      <c r="D83" s="66" t="s">
        <v>500</v>
      </c>
      <c r="E83" s="30"/>
      <c r="F83" s="656"/>
      <c r="G83" s="656"/>
      <c r="H83" s="656"/>
      <c r="I83" s="656"/>
      <c r="J83" s="656"/>
      <c r="K83" s="656"/>
      <c r="L83" s="656"/>
      <c r="M83" s="30"/>
      <c r="N83" s="119"/>
      <c r="O83" s="30"/>
      <c r="P83" s="30"/>
      <c r="Q83" s="30"/>
      <c r="R83" s="30"/>
      <c r="S83" s="30"/>
      <c r="T83" s="30"/>
      <c r="U83" s="30"/>
      <c r="V83" s="30"/>
      <c r="W83" s="30"/>
      <c r="X83" s="30"/>
      <c r="Y83" s="30"/>
      <c r="Z83" s="30"/>
    </row>
    <row r="84" ht="13.5" customHeight="1">
      <c r="A84" s="111">
        <f t="shared" si="5"/>
        <v>84</v>
      </c>
      <c r="B84" s="30" t="str">
        <f t="shared" ref="B84:B86" si="28">+B51</f>
        <v>State Special Education (SPED)</v>
      </c>
      <c r="C84" s="661">
        <f>+D84/C89</f>
        <v>0.4084342469</v>
      </c>
      <c r="D84" s="140">
        <f>+'PCFP Rates'!E26</f>
        <v>3845</v>
      </c>
      <c r="E84" s="30"/>
      <c r="F84" s="662">
        <f t="shared" ref="F84:L84" si="27">+F68*$D84</f>
        <v>179003.975</v>
      </c>
      <c r="G84" s="662">
        <f t="shared" si="27"/>
        <v>179003.975</v>
      </c>
      <c r="H84" s="662">
        <f t="shared" si="27"/>
        <v>179003.975</v>
      </c>
      <c r="I84" s="662">
        <f t="shared" si="27"/>
        <v>179003.975</v>
      </c>
      <c r="J84" s="662">
        <f t="shared" si="27"/>
        <v>179003.975</v>
      </c>
      <c r="K84" s="662">
        <f t="shared" si="27"/>
        <v>179003.975</v>
      </c>
      <c r="L84" s="662">
        <f t="shared" si="27"/>
        <v>179003.975</v>
      </c>
      <c r="M84" s="30"/>
      <c r="N84" s="119"/>
      <c r="O84" s="30"/>
      <c r="P84" s="30"/>
      <c r="Q84" s="30"/>
      <c r="R84" s="30"/>
      <c r="S84" s="30"/>
      <c r="T84" s="30"/>
      <c r="U84" s="30"/>
      <c r="V84" s="30"/>
      <c r="W84" s="30"/>
      <c r="X84" s="30"/>
      <c r="Y84" s="30"/>
      <c r="Z84" s="30"/>
    </row>
    <row r="85" ht="13.5" customHeight="1">
      <c r="A85" s="111">
        <f t="shared" si="5"/>
        <v>85</v>
      </c>
      <c r="B85" s="30" t="str">
        <f t="shared" si="28"/>
        <v>English Language Learners (EL)</v>
      </c>
      <c r="C85" s="661">
        <v>0.23</v>
      </c>
      <c r="D85" s="140">
        <f t="shared" ref="D85:D86" si="30">+$C$89*C85</f>
        <v>2165.22</v>
      </c>
      <c r="E85" s="30"/>
      <c r="F85" s="663">
        <f t="shared" ref="F85:L85" si="29">+F69*$D85</f>
        <v>203530.68</v>
      </c>
      <c r="G85" s="663">
        <f t="shared" si="29"/>
        <v>203530.68</v>
      </c>
      <c r="H85" s="663">
        <f t="shared" si="29"/>
        <v>203530.68</v>
      </c>
      <c r="I85" s="663">
        <f t="shared" si="29"/>
        <v>203530.68</v>
      </c>
      <c r="J85" s="663">
        <f t="shared" si="29"/>
        <v>203530.68</v>
      </c>
      <c r="K85" s="663">
        <f t="shared" si="29"/>
        <v>203530.68</v>
      </c>
      <c r="L85" s="663">
        <f t="shared" si="29"/>
        <v>203530.68</v>
      </c>
      <c r="M85" s="30"/>
      <c r="N85" s="119"/>
      <c r="O85" s="30"/>
      <c r="P85" s="30"/>
      <c r="Q85" s="30"/>
      <c r="R85" s="30"/>
      <c r="S85" s="30"/>
      <c r="T85" s="30"/>
      <c r="U85" s="30"/>
      <c r="V85" s="30"/>
      <c r="W85" s="30"/>
      <c r="X85" s="30"/>
      <c r="Y85" s="30"/>
      <c r="Z85" s="30"/>
    </row>
    <row r="86" ht="13.5" customHeight="1">
      <c r="A86" s="111">
        <f t="shared" si="5"/>
        <v>86</v>
      </c>
      <c r="B86" s="30" t="str">
        <f t="shared" si="28"/>
        <v>Gifted &amp; Talented (GATE)</v>
      </c>
      <c r="C86" s="661">
        <v>0.12</v>
      </c>
      <c r="D86" s="140">
        <f t="shared" si="30"/>
        <v>1129.68</v>
      </c>
      <c r="E86" s="30"/>
      <c r="F86" s="663">
        <f t="shared" ref="F86:L86" si="31">+E70*$D86</f>
        <v>0</v>
      </c>
      <c r="G86" s="663">
        <f t="shared" si="31"/>
        <v>0</v>
      </c>
      <c r="H86" s="663">
        <f t="shared" si="31"/>
        <v>0</v>
      </c>
      <c r="I86" s="663">
        <f t="shared" si="31"/>
        <v>0</v>
      </c>
      <c r="J86" s="663">
        <f t="shared" si="31"/>
        <v>0</v>
      </c>
      <c r="K86" s="663">
        <f t="shared" si="31"/>
        <v>0</v>
      </c>
      <c r="L86" s="663">
        <f t="shared" si="31"/>
        <v>0</v>
      </c>
      <c r="M86" s="30"/>
      <c r="N86" s="119"/>
      <c r="O86" s="30"/>
      <c r="P86" s="30"/>
      <c r="Q86" s="30"/>
      <c r="R86" s="30"/>
      <c r="S86" s="30"/>
      <c r="T86" s="30"/>
      <c r="U86" s="30"/>
      <c r="V86" s="30"/>
      <c r="W86" s="30"/>
      <c r="X86" s="30"/>
      <c r="Y86" s="30"/>
      <c r="Z86" s="30"/>
    </row>
    <row r="87" ht="13.5" customHeight="1">
      <c r="A87" s="111">
        <f t="shared" si="5"/>
        <v>87</v>
      </c>
      <c r="B87" s="30" t="s">
        <v>501</v>
      </c>
      <c r="C87" s="661"/>
      <c r="D87" s="664"/>
      <c r="E87" s="50"/>
      <c r="F87" s="665">
        <v>108732.0</v>
      </c>
      <c r="G87" s="665">
        <v>108732.0</v>
      </c>
      <c r="H87" s="665">
        <v>108732.0</v>
      </c>
      <c r="I87" s="665">
        <v>108732.0</v>
      </c>
      <c r="J87" s="665">
        <v>108732.0</v>
      </c>
      <c r="K87" s="665">
        <v>108732.0</v>
      </c>
      <c r="L87" s="665">
        <v>108732.0</v>
      </c>
      <c r="M87" s="30"/>
      <c r="N87" s="119"/>
      <c r="O87" s="30"/>
      <c r="P87" s="30"/>
      <c r="Q87" s="30"/>
      <c r="R87" s="30"/>
      <c r="S87" s="30"/>
      <c r="T87" s="30"/>
      <c r="U87" s="30"/>
      <c r="V87" s="30"/>
      <c r="W87" s="30"/>
      <c r="X87" s="30"/>
      <c r="Y87" s="30"/>
      <c r="Z87" s="30"/>
    </row>
    <row r="88" ht="13.5" customHeight="1">
      <c r="A88" s="111">
        <f t="shared" si="5"/>
        <v>88</v>
      </c>
      <c r="B88" s="30" t="s">
        <v>502</v>
      </c>
      <c r="C88" s="666">
        <f t="array" ref="C88">XLOOKUP(C78,'PCFP Rates'!B12:B20,'PCFP Rates'!E12:E20)</f>
        <v>9414</v>
      </c>
      <c r="D88" s="664">
        <f>+C88</f>
        <v>9414</v>
      </c>
      <c r="E88" s="50"/>
      <c r="F88" s="667">
        <f t="shared" ref="F88:L88" si="32">+F36*$D88</f>
        <v>5714298</v>
      </c>
      <c r="G88" s="667">
        <f t="shared" si="32"/>
        <v>5949648</v>
      </c>
      <c r="H88" s="667">
        <f t="shared" si="32"/>
        <v>6072030</v>
      </c>
      <c r="I88" s="667">
        <f t="shared" si="32"/>
        <v>6279138</v>
      </c>
      <c r="J88" s="667">
        <f t="shared" si="32"/>
        <v>6335622</v>
      </c>
      <c r="K88" s="667">
        <f t="shared" si="32"/>
        <v>6363864</v>
      </c>
      <c r="L88" s="667">
        <f t="shared" si="32"/>
        <v>6448590</v>
      </c>
      <c r="M88" s="30"/>
      <c r="N88" s="119"/>
      <c r="O88" s="30"/>
      <c r="P88" s="30"/>
      <c r="Q88" s="30"/>
      <c r="R88" s="30"/>
      <c r="S88" s="30"/>
      <c r="T88" s="30"/>
      <c r="U88" s="30"/>
      <c r="V88" s="30"/>
      <c r="W88" s="30"/>
      <c r="X88" s="30"/>
      <c r="Y88" s="30"/>
      <c r="Z88" s="30"/>
    </row>
    <row r="89" ht="13.5" customHeight="1">
      <c r="A89" s="111">
        <f t="shared" si="5"/>
        <v>89</v>
      </c>
      <c r="B89" s="30" t="s">
        <v>503</v>
      </c>
      <c r="C89" s="140">
        <f>+'PCFP Rates'!E20</f>
        <v>9414</v>
      </c>
      <c r="D89" s="355"/>
      <c r="E89" s="355"/>
      <c r="F89" s="30"/>
      <c r="G89" s="355"/>
      <c r="H89" s="129"/>
      <c r="I89" s="129"/>
      <c r="J89" s="129"/>
      <c r="K89" s="129"/>
      <c r="L89" s="129"/>
      <c r="M89" s="30"/>
      <c r="N89" s="119"/>
      <c r="O89" s="30"/>
      <c r="P89" s="30"/>
      <c r="Q89" s="30"/>
      <c r="R89" s="30"/>
      <c r="S89" s="30"/>
      <c r="T89" s="30"/>
      <c r="U89" s="30"/>
      <c r="V89" s="30"/>
      <c r="W89" s="30"/>
      <c r="X89" s="30"/>
      <c r="Y89" s="30"/>
      <c r="Z89" s="30"/>
    </row>
    <row r="90" ht="13.5" customHeight="1">
      <c r="A90" s="111">
        <f t="shared" si="5"/>
        <v>90</v>
      </c>
      <c r="B90" s="30"/>
      <c r="C90" s="355"/>
      <c r="D90" s="355"/>
      <c r="E90" s="355"/>
      <c r="F90" s="602"/>
      <c r="G90" s="478"/>
      <c r="H90" s="478"/>
      <c r="I90" s="478"/>
      <c r="J90" s="478"/>
      <c r="K90" s="478"/>
      <c r="L90" s="478"/>
      <c r="M90" s="30"/>
      <c r="N90" s="119"/>
      <c r="O90" s="30"/>
      <c r="P90" s="30"/>
      <c r="Q90" s="30"/>
      <c r="R90" s="30"/>
      <c r="S90" s="30"/>
      <c r="T90" s="30"/>
      <c r="U90" s="30"/>
      <c r="V90" s="30"/>
      <c r="W90" s="30"/>
      <c r="X90" s="30"/>
      <c r="Y90" s="30"/>
      <c r="Z90" s="30"/>
    </row>
    <row r="91" ht="13.5" customHeight="1">
      <c r="A91" s="111">
        <f t="shared" si="5"/>
        <v>91</v>
      </c>
      <c r="B91" s="624" t="s">
        <v>504</v>
      </c>
      <c r="C91" s="668"/>
      <c r="D91" s="668"/>
      <c r="E91" s="668"/>
      <c r="F91" s="658"/>
      <c r="G91" s="605"/>
      <c r="H91" s="605"/>
      <c r="I91" s="605"/>
      <c r="J91" s="605"/>
      <c r="K91" s="605"/>
      <c r="L91" s="605"/>
      <c r="M91" s="30"/>
      <c r="N91" s="119"/>
      <c r="O91" s="30"/>
      <c r="P91" s="30"/>
      <c r="Q91" s="30"/>
      <c r="R91" s="30"/>
      <c r="S91" s="30"/>
      <c r="T91" s="30"/>
      <c r="U91" s="30"/>
      <c r="V91" s="30"/>
      <c r="W91" s="30"/>
      <c r="X91" s="30"/>
      <c r="Y91" s="30"/>
      <c r="Z91" s="30"/>
    </row>
    <row r="92" ht="13.5" customHeight="1">
      <c r="A92" s="111">
        <f t="shared" si="5"/>
        <v>92</v>
      </c>
      <c r="B92" s="38" t="s">
        <v>505</v>
      </c>
      <c r="C92" s="38"/>
      <c r="D92" s="38"/>
      <c r="E92" s="38"/>
      <c r="F92" s="669">
        <v>0.44</v>
      </c>
      <c r="G92" s="670">
        <f>+D54</f>
        <v>0.44</v>
      </c>
      <c r="H92" s="670">
        <f t="shared" ref="H92:L92" si="33">+G92</f>
        <v>0.44</v>
      </c>
      <c r="I92" s="670">
        <f t="shared" si="33"/>
        <v>0.44</v>
      </c>
      <c r="J92" s="670">
        <f t="shared" si="33"/>
        <v>0.44</v>
      </c>
      <c r="K92" s="670">
        <f t="shared" si="33"/>
        <v>0.44</v>
      </c>
      <c r="L92" s="670">
        <f t="shared" si="33"/>
        <v>0.44</v>
      </c>
      <c r="M92" s="30"/>
      <c r="N92" s="119"/>
      <c r="O92" s="30"/>
      <c r="P92" s="30"/>
      <c r="Q92" s="30"/>
      <c r="R92" s="30"/>
      <c r="S92" s="30"/>
      <c r="T92" s="30"/>
      <c r="U92" s="30"/>
      <c r="V92" s="30"/>
      <c r="W92" s="30"/>
      <c r="X92" s="30"/>
      <c r="Y92" s="30"/>
      <c r="Z92" s="30"/>
    </row>
    <row r="93" ht="13.5" customHeight="1">
      <c r="A93" s="111">
        <f t="shared" si="5"/>
        <v>93</v>
      </c>
      <c r="B93" s="466" t="s">
        <v>506</v>
      </c>
      <c r="C93" s="50"/>
      <c r="D93" s="50"/>
      <c r="E93" s="50"/>
      <c r="F93" s="671">
        <v>0.04</v>
      </c>
      <c r="G93" s="672">
        <f>+D52</f>
        <v>0.0395</v>
      </c>
      <c r="H93" s="672">
        <f t="shared" ref="H93:L93" si="34">+G93</f>
        <v>0.0395</v>
      </c>
      <c r="I93" s="672">
        <f t="shared" si="34"/>
        <v>0.0395</v>
      </c>
      <c r="J93" s="672">
        <f t="shared" si="34"/>
        <v>0.0395</v>
      </c>
      <c r="K93" s="672">
        <f t="shared" si="34"/>
        <v>0.0395</v>
      </c>
      <c r="L93" s="672">
        <f t="shared" si="34"/>
        <v>0.0395</v>
      </c>
      <c r="M93" s="30"/>
      <c r="N93" s="119"/>
      <c r="O93" s="30"/>
      <c r="P93" s="30"/>
      <c r="Q93" s="30"/>
      <c r="R93" s="30"/>
      <c r="S93" s="30"/>
      <c r="T93" s="30"/>
      <c r="U93" s="30"/>
      <c r="V93" s="30"/>
      <c r="W93" s="30"/>
      <c r="X93" s="30"/>
      <c r="Y93" s="30"/>
      <c r="Z93" s="30"/>
    </row>
    <row r="94" ht="13.5" customHeight="1">
      <c r="A94" s="111">
        <f t="shared" si="5"/>
        <v>94</v>
      </c>
      <c r="B94" s="578" t="s">
        <v>507</v>
      </c>
      <c r="C94" s="579"/>
      <c r="D94" s="579"/>
      <c r="E94" s="579"/>
      <c r="F94" s="673">
        <v>0.12</v>
      </c>
      <c r="G94" s="674">
        <f>+D51</f>
        <v>0.11</v>
      </c>
      <c r="H94" s="674">
        <f t="shared" ref="H94:L94" si="35">+G94</f>
        <v>0.11</v>
      </c>
      <c r="I94" s="674">
        <f t="shared" si="35"/>
        <v>0.11</v>
      </c>
      <c r="J94" s="674">
        <f t="shared" si="35"/>
        <v>0.11</v>
      </c>
      <c r="K94" s="674">
        <f t="shared" si="35"/>
        <v>0.11</v>
      </c>
      <c r="L94" s="674">
        <f t="shared" si="35"/>
        <v>0.11</v>
      </c>
      <c r="M94" s="30"/>
      <c r="N94" s="119"/>
      <c r="O94" s="30"/>
      <c r="P94" s="30"/>
      <c r="Q94" s="30"/>
      <c r="R94" s="30"/>
      <c r="S94" s="30"/>
      <c r="T94" s="30"/>
      <c r="U94" s="30"/>
      <c r="V94" s="30"/>
      <c r="W94" s="30"/>
      <c r="X94" s="30"/>
      <c r="Y94" s="30"/>
      <c r="Z94" s="30"/>
    </row>
    <row r="95" ht="13.5" customHeight="1">
      <c r="A95" s="111">
        <f t="shared" si="5"/>
        <v>95</v>
      </c>
      <c r="B95" s="463" t="s">
        <v>508</v>
      </c>
      <c r="C95" s="563"/>
      <c r="D95" s="563"/>
      <c r="E95" s="563"/>
      <c r="F95" s="675">
        <f t="shared" ref="F95:L95" si="36">+F$36*F94</f>
        <v>72.84</v>
      </c>
      <c r="G95" s="675">
        <f t="shared" si="36"/>
        <v>69.52</v>
      </c>
      <c r="H95" s="675">
        <f t="shared" si="36"/>
        <v>70.95</v>
      </c>
      <c r="I95" s="675">
        <f t="shared" si="36"/>
        <v>73.37</v>
      </c>
      <c r="J95" s="675">
        <f t="shared" si="36"/>
        <v>74.03</v>
      </c>
      <c r="K95" s="675">
        <f t="shared" si="36"/>
        <v>74.36</v>
      </c>
      <c r="L95" s="675">
        <f t="shared" si="36"/>
        <v>75.35</v>
      </c>
      <c r="M95" s="30"/>
      <c r="N95" s="119"/>
      <c r="O95" s="30"/>
      <c r="P95" s="30"/>
      <c r="Q95" s="30"/>
      <c r="R95" s="30"/>
      <c r="S95" s="30"/>
      <c r="T95" s="30"/>
      <c r="U95" s="30"/>
      <c r="V95" s="30"/>
      <c r="W95" s="30"/>
      <c r="X95" s="30"/>
      <c r="Y95" s="30"/>
      <c r="Z95" s="30"/>
    </row>
    <row r="96" ht="13.5" customHeight="1">
      <c r="A96" s="111">
        <f t="shared" si="5"/>
        <v>96</v>
      </c>
      <c r="B96" s="676"/>
      <c r="C96" s="677"/>
      <c r="D96" s="677"/>
      <c r="E96" s="677"/>
      <c r="F96" s="34"/>
      <c r="G96" s="34"/>
      <c r="H96" s="34"/>
      <c r="I96" s="34"/>
      <c r="J96" s="678"/>
      <c r="K96" s="678"/>
      <c r="L96" s="678"/>
      <c r="M96" s="679"/>
      <c r="N96" s="119"/>
      <c r="O96" s="30"/>
      <c r="P96" s="30"/>
      <c r="Q96" s="30"/>
      <c r="R96" s="30"/>
      <c r="S96" s="30"/>
      <c r="T96" s="30"/>
      <c r="U96" s="30"/>
      <c r="V96" s="30"/>
      <c r="W96" s="30"/>
      <c r="X96" s="30"/>
      <c r="Y96" s="30"/>
      <c r="Z96" s="30"/>
    </row>
    <row r="97" ht="13.5" customHeight="1">
      <c r="A97" s="111">
        <f t="shared" si="5"/>
        <v>97</v>
      </c>
      <c r="B97" s="460" t="s">
        <v>509</v>
      </c>
      <c r="C97" s="680">
        <v>0.02</v>
      </c>
      <c r="D97" s="460" t="s">
        <v>510</v>
      </c>
      <c r="E97" s="460"/>
      <c r="F97" s="30"/>
      <c r="G97" s="30"/>
      <c r="H97" s="30"/>
      <c r="I97" s="30"/>
      <c r="J97" s="460"/>
      <c r="K97" s="460"/>
      <c r="L97" s="460"/>
      <c r="M97" s="460"/>
      <c r="N97" s="119"/>
      <c r="O97" s="30"/>
      <c r="P97" s="30"/>
      <c r="Q97" s="30"/>
      <c r="R97" s="30"/>
      <c r="S97" s="30"/>
      <c r="T97" s="30"/>
      <c r="U97" s="30"/>
      <c r="V97" s="30"/>
      <c r="W97" s="30"/>
      <c r="X97" s="30"/>
      <c r="Y97" s="30"/>
      <c r="Z97" s="30"/>
    </row>
    <row r="98" ht="13.5" customHeight="1">
      <c r="A98" s="111">
        <f t="shared" si="5"/>
        <v>98</v>
      </c>
      <c r="B98" s="460" t="s">
        <v>511</v>
      </c>
      <c r="C98" s="681">
        <v>0.0125</v>
      </c>
      <c r="D98" s="682" t="s">
        <v>512</v>
      </c>
      <c r="E98" s="479"/>
      <c r="F98" s="30"/>
      <c r="G98" s="30"/>
      <c r="H98" s="99"/>
      <c r="I98" s="99"/>
      <c r="J98" s="682"/>
      <c r="K98" s="682"/>
      <c r="L98" s="682"/>
      <c r="M98" s="682"/>
      <c r="N98" s="119"/>
      <c r="O98" s="30"/>
      <c r="P98" s="30"/>
      <c r="Q98" s="30"/>
      <c r="R98" s="30"/>
      <c r="S98" s="30"/>
      <c r="T98" s="30"/>
      <c r="U98" s="30"/>
      <c r="V98" s="30"/>
      <c r="W98" s="30"/>
      <c r="X98" s="30"/>
      <c r="Y98" s="30"/>
      <c r="Z98" s="30"/>
    </row>
    <row r="99" ht="13.5" customHeight="1">
      <c r="A99" s="111">
        <f t="shared" si="5"/>
        <v>99</v>
      </c>
      <c r="B99" s="460" t="s">
        <v>513</v>
      </c>
      <c r="C99" s="683">
        <v>0.0</v>
      </c>
      <c r="D99" s="684" t="s">
        <v>514</v>
      </c>
      <c r="E99" s="684"/>
      <c r="F99" s="30"/>
      <c r="G99" s="30"/>
      <c r="H99" s="65"/>
      <c r="I99" s="65"/>
      <c r="J99" s="685"/>
      <c r="K99" s="685"/>
      <c r="L99" s="685"/>
      <c r="M99" s="685"/>
      <c r="N99" s="119"/>
      <c r="O99" s="30"/>
      <c r="P99" s="30"/>
      <c r="Q99" s="30"/>
      <c r="R99" s="30"/>
      <c r="S99" s="30"/>
      <c r="T99" s="30"/>
      <c r="U99" s="30"/>
      <c r="V99" s="30"/>
      <c r="W99" s="30"/>
      <c r="X99" s="30"/>
      <c r="Y99" s="30"/>
      <c r="Z99" s="30"/>
    </row>
    <row r="100" ht="13.5" customHeight="1">
      <c r="A100" s="111">
        <f t="shared" si="5"/>
        <v>100</v>
      </c>
      <c r="B100" s="460" t="s">
        <v>515</v>
      </c>
      <c r="C100" s="683">
        <v>525.24</v>
      </c>
      <c r="D100" s="684" t="s">
        <v>514</v>
      </c>
      <c r="E100" s="684"/>
      <c r="F100" s="30"/>
      <c r="G100" s="30"/>
      <c r="H100" s="65"/>
      <c r="I100" s="65"/>
      <c r="J100" s="685"/>
      <c r="K100" s="685"/>
      <c r="L100" s="685"/>
      <c r="M100" s="685"/>
      <c r="N100" s="119"/>
      <c r="O100" s="30"/>
      <c r="P100" s="30"/>
      <c r="Q100" s="30"/>
      <c r="R100" s="30"/>
      <c r="S100" s="30"/>
      <c r="T100" s="30"/>
      <c r="U100" s="30"/>
      <c r="V100" s="30"/>
      <c r="W100" s="30"/>
      <c r="X100" s="30"/>
      <c r="Y100" s="30"/>
      <c r="Z100" s="30"/>
    </row>
    <row r="101" ht="13.5" customHeight="1">
      <c r="A101" s="111">
        <f t="shared" si="5"/>
        <v>101</v>
      </c>
      <c r="B101" s="30" t="s">
        <v>516</v>
      </c>
      <c r="C101" s="686">
        <v>0.0</v>
      </c>
      <c r="D101" s="684" t="s">
        <v>514</v>
      </c>
      <c r="E101" s="684"/>
      <c r="F101" s="30"/>
      <c r="G101" s="30"/>
      <c r="H101" s="65"/>
      <c r="I101" s="65"/>
      <c r="J101" s="685"/>
      <c r="K101" s="685"/>
      <c r="L101" s="685"/>
      <c r="M101" s="685"/>
      <c r="N101" s="119"/>
      <c r="O101" s="30"/>
      <c r="P101" s="30"/>
      <c r="Q101" s="30"/>
      <c r="R101" s="30"/>
      <c r="S101" s="30"/>
      <c r="T101" s="30"/>
      <c r="U101" s="30"/>
      <c r="V101" s="30"/>
      <c r="W101" s="30"/>
      <c r="X101" s="30"/>
      <c r="Y101" s="30"/>
      <c r="Z101" s="30"/>
    </row>
    <row r="102" ht="13.5" customHeight="1">
      <c r="A102" s="111">
        <f t="shared" si="5"/>
        <v>102</v>
      </c>
      <c r="B102" s="460" t="s">
        <v>517</v>
      </c>
      <c r="C102" s="683">
        <v>8472.48</v>
      </c>
      <c r="D102" s="684" t="s">
        <v>518</v>
      </c>
      <c r="E102" s="684"/>
      <c r="F102" s="30"/>
      <c r="G102" s="30"/>
      <c r="H102" s="65"/>
      <c r="I102" s="65"/>
      <c r="J102" s="685"/>
      <c r="K102" s="685"/>
      <c r="L102" s="685"/>
      <c r="M102" s="685"/>
      <c r="N102" s="119"/>
      <c r="O102" s="30"/>
      <c r="P102" s="30"/>
      <c r="Q102" s="30"/>
      <c r="R102" s="30"/>
      <c r="S102" s="30"/>
      <c r="T102" s="30"/>
      <c r="U102" s="30"/>
      <c r="V102" s="30"/>
      <c r="W102" s="30"/>
      <c r="X102" s="30"/>
      <c r="Y102" s="30"/>
      <c r="Z102" s="30"/>
    </row>
    <row r="103" ht="13.5" customHeight="1">
      <c r="A103" s="111">
        <f t="shared" si="5"/>
        <v>103</v>
      </c>
      <c r="B103" s="30" t="s">
        <v>519</v>
      </c>
      <c r="C103" s="687">
        <v>0.0</v>
      </c>
      <c r="D103" s="684"/>
      <c r="E103" s="684"/>
      <c r="F103" s="30"/>
      <c r="G103" s="30"/>
      <c r="H103" s="65"/>
      <c r="I103" s="65"/>
      <c r="J103" s="685"/>
      <c r="K103" s="685"/>
      <c r="L103" s="685"/>
      <c r="M103" s="685"/>
      <c r="N103" s="119"/>
      <c r="O103" s="30"/>
      <c r="P103" s="30"/>
      <c r="Q103" s="30"/>
      <c r="R103" s="30"/>
      <c r="S103" s="30"/>
      <c r="T103" s="30"/>
      <c r="U103" s="30"/>
      <c r="V103" s="30"/>
      <c r="W103" s="30"/>
      <c r="X103" s="30"/>
      <c r="Y103" s="30"/>
      <c r="Z103" s="30"/>
    </row>
    <row r="104" ht="13.5" customHeight="1">
      <c r="A104" s="111">
        <f t="shared" si="5"/>
        <v>104</v>
      </c>
      <c r="B104" s="460" t="s">
        <v>520</v>
      </c>
      <c r="C104" s="683">
        <v>1365.65</v>
      </c>
      <c r="D104" s="460" t="s">
        <v>521</v>
      </c>
      <c r="E104" s="460"/>
      <c r="F104" s="30"/>
      <c r="G104" s="30"/>
      <c r="H104" s="30"/>
      <c r="I104" s="30"/>
      <c r="J104" s="460"/>
      <c r="K104" s="460"/>
      <c r="L104" s="460"/>
      <c r="M104" s="460"/>
      <c r="N104" s="119"/>
      <c r="O104" s="30"/>
      <c r="P104" s="30"/>
      <c r="Q104" s="30"/>
      <c r="R104" s="30"/>
      <c r="S104" s="30"/>
      <c r="T104" s="30"/>
      <c r="U104" s="30"/>
      <c r="V104" s="30"/>
      <c r="W104" s="30"/>
      <c r="X104" s="30"/>
      <c r="Y104" s="30"/>
      <c r="Z104" s="30"/>
    </row>
    <row r="105" ht="13.5" customHeight="1">
      <c r="A105" s="111">
        <f t="shared" si="5"/>
        <v>105</v>
      </c>
      <c r="B105" s="460" t="s">
        <v>522</v>
      </c>
      <c r="C105" s="683" t="s">
        <v>523</v>
      </c>
      <c r="D105" s="460" t="s">
        <v>524</v>
      </c>
      <c r="E105" s="460"/>
      <c r="F105" s="30"/>
      <c r="G105" s="140"/>
      <c r="H105" s="30"/>
      <c r="I105" s="30"/>
      <c r="J105" s="460"/>
      <c r="K105" s="460"/>
      <c r="L105" s="460"/>
      <c r="M105" s="460"/>
      <c r="N105" s="119"/>
      <c r="O105" s="30"/>
      <c r="P105" s="30"/>
      <c r="Q105" s="30"/>
      <c r="R105" s="30"/>
      <c r="S105" s="30"/>
      <c r="T105" s="30"/>
      <c r="U105" s="30"/>
      <c r="V105" s="30"/>
      <c r="W105" s="30"/>
      <c r="X105" s="30"/>
      <c r="Y105" s="30"/>
      <c r="Z105" s="30"/>
    </row>
    <row r="106" ht="13.5" customHeight="1">
      <c r="A106" s="111">
        <f t="shared" si="5"/>
        <v>106</v>
      </c>
      <c r="B106" s="460" t="s">
        <v>525</v>
      </c>
      <c r="C106" s="683">
        <v>0.0</v>
      </c>
      <c r="D106" s="460" t="s">
        <v>526</v>
      </c>
      <c r="E106" s="460"/>
      <c r="F106" s="30"/>
      <c r="G106" s="140"/>
      <c r="H106" s="30"/>
      <c r="I106" s="30"/>
      <c r="J106" s="460"/>
      <c r="K106" s="460"/>
      <c r="L106" s="460"/>
      <c r="M106" s="460"/>
      <c r="N106" s="119"/>
      <c r="O106" s="30"/>
      <c r="P106" s="30"/>
      <c r="Q106" s="30"/>
      <c r="R106" s="30"/>
      <c r="S106" s="30"/>
      <c r="T106" s="30"/>
      <c r="U106" s="30"/>
      <c r="V106" s="30"/>
      <c r="W106" s="30"/>
      <c r="X106" s="30"/>
      <c r="Y106" s="30"/>
      <c r="Z106" s="30"/>
    </row>
    <row r="107" ht="13.5" customHeight="1">
      <c r="A107" s="111">
        <f t="shared" si="5"/>
        <v>107</v>
      </c>
      <c r="B107" s="460" t="s">
        <v>527</v>
      </c>
      <c r="C107" s="683">
        <v>0.0</v>
      </c>
      <c r="D107" s="460" t="s">
        <v>526</v>
      </c>
      <c r="E107" s="460"/>
      <c r="F107" s="30"/>
      <c r="G107" s="30"/>
      <c r="H107" s="30"/>
      <c r="I107" s="30"/>
      <c r="J107" s="460"/>
      <c r="K107" s="460"/>
      <c r="L107" s="460"/>
      <c r="M107" s="460"/>
      <c r="N107" s="119"/>
      <c r="O107" s="30"/>
      <c r="P107" s="30"/>
      <c r="Q107" s="30"/>
      <c r="R107" s="30"/>
      <c r="S107" s="30"/>
      <c r="T107" s="30"/>
      <c r="U107" s="30"/>
      <c r="V107" s="30"/>
      <c r="W107" s="30"/>
      <c r="X107" s="30"/>
      <c r="Y107" s="30"/>
      <c r="Z107" s="30"/>
    </row>
    <row r="108" ht="13.5" customHeight="1">
      <c r="A108" s="111">
        <f t="shared" si="5"/>
        <v>108</v>
      </c>
      <c r="B108" s="460" t="s">
        <v>180</v>
      </c>
      <c r="C108" s="683">
        <v>0.0</v>
      </c>
      <c r="D108" s="460" t="s">
        <v>528</v>
      </c>
      <c r="E108" s="460"/>
      <c r="F108" s="30"/>
      <c r="G108" s="220"/>
      <c r="H108" s="140"/>
      <c r="I108" s="30"/>
      <c r="J108" s="460"/>
      <c r="K108" s="460"/>
      <c r="L108" s="460"/>
      <c r="M108" s="460"/>
      <c r="N108" s="119"/>
      <c r="O108" s="30"/>
      <c r="P108" s="30"/>
      <c r="Q108" s="30"/>
      <c r="R108" s="30"/>
      <c r="S108" s="30"/>
      <c r="T108" s="30"/>
      <c r="U108" s="30"/>
      <c r="V108" s="30"/>
      <c r="W108" s="30"/>
      <c r="X108" s="30"/>
      <c r="Y108" s="30"/>
      <c r="Z108" s="30"/>
    </row>
    <row r="109" ht="13.5" customHeight="1">
      <c r="A109" s="111">
        <f t="shared" si="5"/>
        <v>109</v>
      </c>
      <c r="B109" s="477" t="s">
        <v>529</v>
      </c>
      <c r="C109" s="688" t="str">
        <f>+C78</f>
        <v>Clark</v>
      </c>
      <c r="D109" s="153"/>
      <c r="E109" s="153"/>
      <c r="F109" s="460"/>
      <c r="G109" s="220"/>
      <c r="H109" s="140"/>
      <c r="I109" s="30"/>
      <c r="J109" s="460"/>
      <c r="K109" s="460"/>
      <c r="L109" s="460"/>
      <c r="M109" s="460"/>
      <c r="N109" s="119"/>
      <c r="O109" s="30"/>
      <c r="P109" s="30"/>
      <c r="Q109" s="30"/>
      <c r="R109" s="30"/>
      <c r="S109" s="30"/>
      <c r="T109" s="30"/>
      <c r="U109" s="30"/>
      <c r="V109" s="30"/>
      <c r="W109" s="30"/>
      <c r="X109" s="30"/>
      <c r="Y109" s="30"/>
      <c r="Z109" s="30"/>
    </row>
    <row r="110" ht="13.5" customHeight="1">
      <c r="A110" s="111">
        <f t="shared" si="5"/>
        <v>110</v>
      </c>
      <c r="B110" s="689"/>
      <c r="C110" s="689"/>
      <c r="D110" s="689"/>
      <c r="E110" s="689"/>
      <c r="F110" s="371"/>
      <c r="G110" s="690"/>
      <c r="H110" s="690"/>
      <c r="I110" s="690"/>
      <c r="J110" s="690"/>
      <c r="K110" s="690"/>
      <c r="L110" s="690"/>
      <c r="M110" s="126"/>
      <c r="N110" s="119"/>
      <c r="O110" s="30"/>
      <c r="P110" s="30"/>
      <c r="Q110" s="30"/>
      <c r="R110" s="30"/>
      <c r="S110" s="30"/>
      <c r="T110" s="30"/>
      <c r="U110" s="30"/>
      <c r="V110" s="30"/>
      <c r="W110" s="30"/>
      <c r="X110" s="30"/>
      <c r="Y110" s="30"/>
      <c r="Z110" s="30"/>
    </row>
    <row r="111" ht="13.5" customHeight="1">
      <c r="A111" s="111">
        <f t="shared" si="5"/>
        <v>111</v>
      </c>
      <c r="B111" s="63" t="s">
        <v>530</v>
      </c>
      <c r="C111" s="63"/>
      <c r="D111" s="63"/>
      <c r="E111" s="63"/>
      <c r="F111" s="691">
        <v>607.0</v>
      </c>
      <c r="G111" s="220">
        <f t="shared" ref="G111:L111" si="37">+G36</f>
        <v>632</v>
      </c>
      <c r="H111" s="220">
        <f t="shared" si="37"/>
        <v>645</v>
      </c>
      <c r="I111" s="220">
        <f t="shared" si="37"/>
        <v>667</v>
      </c>
      <c r="J111" s="220">
        <f t="shared" si="37"/>
        <v>673</v>
      </c>
      <c r="K111" s="220">
        <f t="shared" si="37"/>
        <v>676</v>
      </c>
      <c r="L111" s="220">
        <f t="shared" si="37"/>
        <v>685</v>
      </c>
      <c r="M111" s="126"/>
      <c r="N111" s="119"/>
      <c r="O111" s="30"/>
      <c r="P111" s="30"/>
      <c r="Q111" s="30"/>
      <c r="R111" s="30"/>
      <c r="S111" s="30"/>
      <c r="T111" s="30"/>
      <c r="U111" s="30"/>
      <c r="V111" s="30"/>
      <c r="W111" s="30"/>
      <c r="X111" s="30"/>
      <c r="Y111" s="30"/>
      <c r="Z111" s="30"/>
    </row>
    <row r="112" ht="13.5" customHeight="1">
      <c r="A112" s="111">
        <f t="shared" si="5"/>
        <v>112</v>
      </c>
      <c r="B112" s="63"/>
      <c r="C112" s="63"/>
      <c r="D112" s="63"/>
      <c r="E112" s="63"/>
      <c r="F112" s="656"/>
      <c r="G112" s="220"/>
      <c r="H112" s="220"/>
      <c r="I112" s="220"/>
      <c r="J112" s="220"/>
      <c r="K112" s="220"/>
      <c r="L112" s="220"/>
      <c r="M112" s="126"/>
      <c r="N112" s="119"/>
      <c r="O112" s="30"/>
      <c r="P112" s="30"/>
      <c r="Q112" s="30"/>
      <c r="R112" s="30"/>
      <c r="S112" s="30"/>
      <c r="T112" s="30"/>
      <c r="U112" s="30"/>
      <c r="V112" s="30"/>
      <c r="W112" s="30"/>
      <c r="X112" s="30"/>
      <c r="Y112" s="30"/>
      <c r="Z112" s="30"/>
    </row>
    <row r="113" ht="13.5" customHeight="1">
      <c r="A113" s="111">
        <f t="shared" si="5"/>
        <v>113</v>
      </c>
      <c r="B113" s="560" t="s">
        <v>531</v>
      </c>
      <c r="C113" s="560"/>
      <c r="D113" s="560"/>
      <c r="E113" s="560"/>
      <c r="F113" s="692"/>
      <c r="G113" s="693"/>
      <c r="H113" s="693"/>
      <c r="I113" s="693"/>
      <c r="J113" s="693"/>
      <c r="K113" s="693"/>
      <c r="L113" s="693"/>
      <c r="M113" s="126"/>
      <c r="N113" s="119"/>
      <c r="O113" s="30"/>
      <c r="P113" s="30"/>
      <c r="Q113" s="30"/>
      <c r="R113" s="30"/>
      <c r="S113" s="30"/>
      <c r="T113" s="30"/>
      <c r="U113" s="30"/>
      <c r="V113" s="30"/>
      <c r="W113" s="30"/>
      <c r="X113" s="30"/>
      <c r="Y113" s="30"/>
      <c r="Z113" s="30"/>
    </row>
    <row r="114" ht="13.5" customHeight="1">
      <c r="A114" s="111">
        <f t="shared" si="5"/>
        <v>114</v>
      </c>
      <c r="B114" s="371" t="s">
        <v>532</v>
      </c>
      <c r="C114" s="371"/>
      <c r="D114" s="371"/>
      <c r="E114" s="371"/>
      <c r="F114" s="694">
        <f t="shared" ref="F114:L114" si="38">+F88</f>
        <v>5714298</v>
      </c>
      <c r="G114" s="695">
        <f t="shared" si="38"/>
        <v>5949648</v>
      </c>
      <c r="H114" s="695">
        <f t="shared" si="38"/>
        <v>6072030</v>
      </c>
      <c r="I114" s="695">
        <f t="shared" si="38"/>
        <v>6279138</v>
      </c>
      <c r="J114" s="695">
        <f t="shared" si="38"/>
        <v>6335622</v>
      </c>
      <c r="K114" s="695">
        <f t="shared" si="38"/>
        <v>6363864</v>
      </c>
      <c r="L114" s="695">
        <f t="shared" si="38"/>
        <v>6448590</v>
      </c>
      <c r="M114" s="126"/>
      <c r="N114" s="119"/>
      <c r="O114" s="30"/>
      <c r="P114" s="30"/>
      <c r="Q114" s="30"/>
      <c r="R114" s="30"/>
      <c r="S114" s="30"/>
      <c r="T114" s="30"/>
      <c r="U114" s="30"/>
      <c r="V114" s="30"/>
      <c r="W114" s="30"/>
      <c r="X114" s="30"/>
      <c r="Y114" s="30"/>
      <c r="Z114" s="30"/>
    </row>
    <row r="115" ht="13.5" customHeight="1">
      <c r="A115" s="111">
        <f t="shared" si="5"/>
        <v>115</v>
      </c>
      <c r="B115" s="30" t="s">
        <v>533</v>
      </c>
      <c r="C115" s="30"/>
      <c r="D115" s="30"/>
      <c r="E115" s="30"/>
      <c r="F115" s="133">
        <f t="shared" ref="F115:L115" si="39">SUM(F85:F87)</f>
        <v>312262.68</v>
      </c>
      <c r="G115" s="662">
        <f t="shared" si="39"/>
        <v>312262.68</v>
      </c>
      <c r="H115" s="662">
        <f t="shared" si="39"/>
        <v>312262.68</v>
      </c>
      <c r="I115" s="662">
        <f t="shared" si="39"/>
        <v>312262.68</v>
      </c>
      <c r="J115" s="662">
        <f t="shared" si="39"/>
        <v>312262.68</v>
      </c>
      <c r="K115" s="662">
        <f t="shared" si="39"/>
        <v>312262.68</v>
      </c>
      <c r="L115" s="662">
        <f t="shared" si="39"/>
        <v>312262.68</v>
      </c>
      <c r="M115" s="126"/>
      <c r="N115" s="119"/>
      <c r="O115" s="30"/>
      <c r="P115" s="30"/>
      <c r="Q115" s="30"/>
      <c r="R115" s="30"/>
      <c r="S115" s="30"/>
      <c r="T115" s="30"/>
      <c r="U115" s="30"/>
      <c r="V115" s="30"/>
      <c r="W115" s="30"/>
      <c r="X115" s="30"/>
      <c r="Y115" s="30"/>
      <c r="Z115" s="30"/>
    </row>
    <row r="116" ht="13.5" customHeight="1">
      <c r="A116" s="111">
        <f t="shared" si="5"/>
        <v>116</v>
      </c>
      <c r="B116" s="30" t="s">
        <v>317</v>
      </c>
      <c r="C116" s="30"/>
      <c r="D116" s="30"/>
      <c r="E116" s="30"/>
      <c r="F116" s="133">
        <f t="shared" ref="F116:L116" si="40">+F84</f>
        <v>179003.975</v>
      </c>
      <c r="G116" s="663">
        <f t="shared" si="40"/>
        <v>179003.975</v>
      </c>
      <c r="H116" s="663">
        <f t="shared" si="40"/>
        <v>179003.975</v>
      </c>
      <c r="I116" s="663">
        <f t="shared" si="40"/>
        <v>179003.975</v>
      </c>
      <c r="J116" s="663">
        <f t="shared" si="40"/>
        <v>179003.975</v>
      </c>
      <c r="K116" s="663">
        <f t="shared" si="40"/>
        <v>179003.975</v>
      </c>
      <c r="L116" s="663">
        <f t="shared" si="40"/>
        <v>179003.975</v>
      </c>
      <c r="M116" s="126"/>
      <c r="N116" s="120" t="s">
        <v>534</v>
      </c>
      <c r="O116" s="30"/>
      <c r="P116" s="30"/>
      <c r="Q116" s="30"/>
      <c r="R116" s="30"/>
      <c r="S116" s="30"/>
      <c r="T116" s="30"/>
      <c r="U116" s="30"/>
      <c r="V116" s="30"/>
      <c r="W116" s="30"/>
      <c r="X116" s="30"/>
      <c r="Y116" s="30"/>
      <c r="Z116" s="30"/>
    </row>
    <row r="117" ht="13.5" customHeight="1">
      <c r="A117" s="111">
        <f t="shared" si="5"/>
        <v>117</v>
      </c>
      <c r="B117" s="30" t="s">
        <v>535</v>
      </c>
      <c r="C117" s="30"/>
      <c r="D117" s="30"/>
      <c r="E117" s="30"/>
      <c r="F117" s="133" t="str">
        <f t="shared" ref="F117:L117" si="41">+F82</f>
        <v/>
      </c>
      <c r="G117" s="663" t="str">
        <f t="shared" si="41"/>
        <v/>
      </c>
      <c r="H117" s="663" t="str">
        <f t="shared" si="41"/>
        <v/>
      </c>
      <c r="I117" s="663" t="str">
        <f t="shared" si="41"/>
        <v/>
      </c>
      <c r="J117" s="663" t="str">
        <f t="shared" si="41"/>
        <v/>
      </c>
      <c r="K117" s="663" t="str">
        <f t="shared" si="41"/>
        <v/>
      </c>
      <c r="L117" s="663" t="str">
        <f t="shared" si="41"/>
        <v/>
      </c>
      <c r="M117" s="126"/>
      <c r="N117" s="119"/>
      <c r="O117" s="30"/>
      <c r="P117" s="30"/>
      <c r="Q117" s="30"/>
      <c r="R117" s="30"/>
      <c r="S117" s="30"/>
      <c r="T117" s="30"/>
      <c r="U117" s="30"/>
      <c r="V117" s="30"/>
      <c r="W117" s="30"/>
      <c r="X117" s="30"/>
      <c r="Y117" s="30"/>
      <c r="Z117" s="30"/>
    </row>
    <row r="118" ht="13.5" customHeight="1">
      <c r="A118" s="111">
        <f t="shared" si="5"/>
        <v>118</v>
      </c>
      <c r="B118" s="30" t="s">
        <v>536</v>
      </c>
      <c r="C118" s="132">
        <f>+C97</f>
        <v>0.02</v>
      </c>
      <c r="D118" s="30"/>
      <c r="E118" s="30"/>
      <c r="F118" s="211"/>
      <c r="G118" s="696">
        <f t="shared" ref="G118:L118" si="42">+$C$97*G114</f>
        <v>118992.96</v>
      </c>
      <c r="H118" s="696">
        <f t="shared" si="42"/>
        <v>121440.6</v>
      </c>
      <c r="I118" s="696">
        <f t="shared" si="42"/>
        <v>125582.76</v>
      </c>
      <c r="J118" s="696">
        <f t="shared" si="42"/>
        <v>126712.44</v>
      </c>
      <c r="K118" s="696">
        <f t="shared" si="42"/>
        <v>127277.28</v>
      </c>
      <c r="L118" s="696">
        <f t="shared" si="42"/>
        <v>128971.8</v>
      </c>
      <c r="M118" s="126"/>
      <c r="N118" s="119"/>
      <c r="O118" s="30"/>
      <c r="P118" s="30"/>
      <c r="Q118" s="30"/>
      <c r="R118" s="30"/>
      <c r="S118" s="30"/>
      <c r="T118" s="30"/>
      <c r="U118" s="30"/>
      <c r="V118" s="30"/>
      <c r="W118" s="30"/>
      <c r="X118" s="30"/>
      <c r="Y118" s="30"/>
      <c r="Z118" s="30"/>
    </row>
    <row r="119" ht="13.5" customHeight="1">
      <c r="A119" s="111">
        <f t="shared" si="5"/>
        <v>119</v>
      </c>
      <c r="B119" s="371" t="s">
        <v>537</v>
      </c>
      <c r="C119" s="371"/>
      <c r="D119" s="371"/>
      <c r="E119" s="371"/>
      <c r="F119" s="694">
        <f t="shared" ref="F119:L119" si="43">SUM(F114:F118)</f>
        <v>6205564.655</v>
      </c>
      <c r="G119" s="697">
        <f t="shared" si="43"/>
        <v>6559907.615</v>
      </c>
      <c r="H119" s="697">
        <f t="shared" si="43"/>
        <v>6684737.255</v>
      </c>
      <c r="I119" s="697">
        <f t="shared" si="43"/>
        <v>6895987.415</v>
      </c>
      <c r="J119" s="697">
        <f t="shared" si="43"/>
        <v>6953601.095</v>
      </c>
      <c r="K119" s="697">
        <f t="shared" si="43"/>
        <v>6982407.935</v>
      </c>
      <c r="L119" s="697">
        <f t="shared" si="43"/>
        <v>7068828.455</v>
      </c>
      <c r="M119" s="126"/>
      <c r="N119" s="119"/>
      <c r="O119" s="30"/>
      <c r="P119" s="30"/>
      <c r="Q119" s="30"/>
      <c r="R119" s="30"/>
      <c r="S119" s="30"/>
      <c r="T119" s="30"/>
      <c r="U119" s="30"/>
      <c r="V119" s="30"/>
      <c r="W119" s="30"/>
      <c r="X119" s="30"/>
      <c r="Y119" s="30"/>
      <c r="Z119" s="30"/>
    </row>
    <row r="120" ht="13.5" customHeight="1">
      <c r="A120" s="111">
        <f t="shared" si="5"/>
        <v>120</v>
      </c>
      <c r="B120" s="30" t="s">
        <v>538</v>
      </c>
      <c r="C120" s="63"/>
      <c r="D120" s="30"/>
      <c r="E120" s="30"/>
      <c r="F120" s="133">
        <f t="shared" ref="F120:L120" si="44">-F114*$C$98</f>
        <v>-71428.725</v>
      </c>
      <c r="G120" s="696">
        <f t="shared" si="44"/>
        <v>-74370.6</v>
      </c>
      <c r="H120" s="696">
        <f t="shared" si="44"/>
        <v>-75900.375</v>
      </c>
      <c r="I120" s="696">
        <f t="shared" si="44"/>
        <v>-78489.225</v>
      </c>
      <c r="J120" s="696">
        <f t="shared" si="44"/>
        <v>-79195.275</v>
      </c>
      <c r="K120" s="696">
        <f t="shared" si="44"/>
        <v>-79548.3</v>
      </c>
      <c r="L120" s="696">
        <f t="shared" si="44"/>
        <v>-80607.375</v>
      </c>
      <c r="M120" s="126"/>
      <c r="N120" s="119"/>
      <c r="O120" s="30"/>
      <c r="P120" s="30"/>
      <c r="Q120" s="30"/>
      <c r="R120" s="30"/>
      <c r="S120" s="30"/>
      <c r="T120" s="30"/>
      <c r="U120" s="30"/>
      <c r="V120" s="30"/>
      <c r="W120" s="30"/>
      <c r="X120" s="30"/>
      <c r="Y120" s="30"/>
      <c r="Z120" s="30"/>
    </row>
    <row r="121" ht="13.5" customHeight="1">
      <c r="A121" s="111">
        <f t="shared" si="5"/>
        <v>121</v>
      </c>
      <c r="B121" s="689" t="s">
        <v>539</v>
      </c>
      <c r="C121" s="689"/>
      <c r="D121" s="689"/>
      <c r="E121" s="689"/>
      <c r="F121" s="384">
        <f t="shared" ref="F121:L121" si="45">SUM(F119:F120)</f>
        <v>6134135.93</v>
      </c>
      <c r="G121" s="698">
        <f t="shared" si="45"/>
        <v>6485537.015</v>
      </c>
      <c r="H121" s="698">
        <f t="shared" si="45"/>
        <v>6608836.88</v>
      </c>
      <c r="I121" s="698">
        <f t="shared" si="45"/>
        <v>6817498.19</v>
      </c>
      <c r="J121" s="698">
        <f t="shared" si="45"/>
        <v>6874405.82</v>
      </c>
      <c r="K121" s="698">
        <f t="shared" si="45"/>
        <v>6902859.635</v>
      </c>
      <c r="L121" s="698">
        <f t="shared" si="45"/>
        <v>6988221.08</v>
      </c>
      <c r="M121" s="126"/>
      <c r="N121" s="119"/>
      <c r="O121" s="30"/>
      <c r="P121" s="30"/>
      <c r="Q121" s="30"/>
      <c r="R121" s="30"/>
      <c r="S121" s="30"/>
      <c r="T121" s="30"/>
      <c r="U121" s="30"/>
      <c r="V121" s="30"/>
      <c r="W121" s="30"/>
      <c r="X121" s="30"/>
      <c r="Y121" s="30"/>
      <c r="Z121" s="30"/>
    </row>
    <row r="122" ht="13.5" customHeight="1">
      <c r="A122" s="111">
        <f t="shared" si="5"/>
        <v>122</v>
      </c>
      <c r="B122" s="63" t="s">
        <v>540</v>
      </c>
      <c r="C122" s="63"/>
      <c r="D122" s="63"/>
      <c r="E122" s="63"/>
      <c r="F122" s="140">
        <f t="shared" ref="F122:L122" si="46">+F121/F111</f>
        <v>10105.66051</v>
      </c>
      <c r="G122" s="140">
        <f t="shared" si="46"/>
        <v>10261.92566</v>
      </c>
      <c r="H122" s="140">
        <f t="shared" si="46"/>
        <v>10246.25873</v>
      </c>
      <c r="I122" s="140">
        <f t="shared" si="46"/>
        <v>10221.13672</v>
      </c>
      <c r="J122" s="140">
        <f t="shared" si="46"/>
        <v>10214.57031</v>
      </c>
      <c r="K122" s="140">
        <f t="shared" si="46"/>
        <v>10211.33082</v>
      </c>
      <c r="L122" s="140">
        <f t="shared" si="46"/>
        <v>10201.7826</v>
      </c>
      <c r="M122" s="126"/>
      <c r="N122" s="119"/>
      <c r="O122" s="30"/>
      <c r="P122" s="30"/>
      <c r="Q122" s="30"/>
      <c r="R122" s="30"/>
      <c r="S122" s="30"/>
      <c r="T122" s="30"/>
      <c r="U122" s="30"/>
      <c r="V122" s="30"/>
      <c r="W122" s="30"/>
      <c r="X122" s="30"/>
      <c r="Y122" s="30"/>
      <c r="Z122" s="30"/>
    </row>
    <row r="123" ht="13.5" customHeight="1">
      <c r="A123" s="111">
        <f t="shared" si="5"/>
        <v>123</v>
      </c>
      <c r="B123" s="63"/>
      <c r="C123" s="63"/>
      <c r="D123" s="63"/>
      <c r="E123" s="63"/>
      <c r="F123" s="30"/>
      <c r="G123" s="140"/>
      <c r="H123" s="140"/>
      <c r="I123" s="140"/>
      <c r="J123" s="140"/>
      <c r="K123" s="140"/>
      <c r="L123" s="140"/>
      <c r="M123" s="126"/>
      <c r="N123" s="119"/>
      <c r="O123" s="30"/>
      <c r="P123" s="30"/>
      <c r="Q123" s="30"/>
      <c r="R123" s="30"/>
      <c r="S123" s="30"/>
      <c r="T123" s="30"/>
      <c r="U123" s="30"/>
      <c r="V123" s="30"/>
      <c r="W123" s="30"/>
      <c r="X123" s="30"/>
      <c r="Y123" s="30"/>
      <c r="Z123" s="30"/>
    </row>
    <row r="124" ht="13.5" customHeight="1">
      <c r="A124" s="111">
        <f t="shared" si="5"/>
        <v>124</v>
      </c>
      <c r="B124" s="624" t="s">
        <v>541</v>
      </c>
      <c r="C124" s="668"/>
      <c r="D124" s="668"/>
      <c r="E124" s="668"/>
      <c r="F124" s="658"/>
      <c r="G124" s="605"/>
      <c r="H124" s="605"/>
      <c r="I124" s="605"/>
      <c r="J124" s="605"/>
      <c r="K124" s="605"/>
      <c r="L124" s="605"/>
      <c r="M124" s="30"/>
      <c r="N124" s="119"/>
      <c r="O124" s="30"/>
      <c r="P124" s="30"/>
      <c r="Q124" s="30"/>
      <c r="R124" s="30"/>
      <c r="S124" s="30"/>
      <c r="T124" s="30"/>
      <c r="U124" s="30"/>
      <c r="V124" s="30"/>
      <c r="W124" s="30"/>
      <c r="X124" s="30"/>
      <c r="Y124" s="30"/>
      <c r="Z124" s="30"/>
    </row>
    <row r="125" ht="13.5" customHeight="1">
      <c r="A125" s="111">
        <f t="shared" si="5"/>
        <v>125</v>
      </c>
      <c r="B125" s="30" t="s">
        <v>165</v>
      </c>
      <c r="C125" s="220">
        <f t="shared" ref="C125:C128" si="48">SUM(F125:L125)</f>
        <v>0</v>
      </c>
      <c r="D125" s="220"/>
      <c r="E125" s="220"/>
      <c r="F125" s="699">
        <v>0.0</v>
      </c>
      <c r="G125" s="700">
        <f t="shared" ref="G125:L125" si="47">(G36*G92)*($C$99)</f>
        <v>0</v>
      </c>
      <c r="H125" s="700">
        <f t="shared" si="47"/>
        <v>0</v>
      </c>
      <c r="I125" s="700">
        <f t="shared" si="47"/>
        <v>0</v>
      </c>
      <c r="J125" s="700">
        <f t="shared" si="47"/>
        <v>0</v>
      </c>
      <c r="K125" s="700">
        <f t="shared" si="47"/>
        <v>0</v>
      </c>
      <c r="L125" s="700">
        <f t="shared" si="47"/>
        <v>0</v>
      </c>
      <c r="M125" s="30"/>
      <c r="N125" s="119" t="s">
        <v>542</v>
      </c>
      <c r="O125" s="30"/>
      <c r="P125" s="30"/>
      <c r="Q125" s="30"/>
      <c r="R125" s="30"/>
      <c r="S125" s="30"/>
      <c r="T125" s="30"/>
      <c r="U125" s="30"/>
      <c r="V125" s="30"/>
      <c r="W125" s="30"/>
      <c r="X125" s="30"/>
      <c r="Y125" s="30"/>
      <c r="Z125" s="30"/>
    </row>
    <row r="126" ht="13.5" customHeight="1">
      <c r="A126" s="111">
        <f t="shared" si="5"/>
        <v>126</v>
      </c>
      <c r="B126" s="30" t="s">
        <v>543</v>
      </c>
      <c r="C126" s="220">
        <f t="shared" si="48"/>
        <v>0</v>
      </c>
      <c r="D126" s="220"/>
      <c r="E126" s="220"/>
      <c r="F126" s="699">
        <v>0.0</v>
      </c>
      <c r="G126" s="699">
        <v>0.0</v>
      </c>
      <c r="H126" s="699">
        <v>0.0</v>
      </c>
      <c r="I126" s="699">
        <v>0.0</v>
      </c>
      <c r="J126" s="699">
        <v>0.0</v>
      </c>
      <c r="K126" s="699">
        <v>0.0</v>
      </c>
      <c r="L126" s="699">
        <v>0.0</v>
      </c>
      <c r="M126" s="30"/>
      <c r="N126" s="119"/>
      <c r="O126" s="30"/>
      <c r="P126" s="30"/>
      <c r="Q126" s="30"/>
      <c r="R126" s="30"/>
      <c r="S126" s="30"/>
      <c r="T126" s="30"/>
      <c r="U126" s="30"/>
      <c r="V126" s="30"/>
      <c r="W126" s="30"/>
      <c r="X126" s="30"/>
      <c r="Y126" s="30"/>
      <c r="Z126" s="30"/>
    </row>
    <row r="127" ht="13.5" customHeight="1">
      <c r="A127" s="111">
        <f t="shared" si="5"/>
        <v>127</v>
      </c>
      <c r="B127" s="30" t="s">
        <v>544</v>
      </c>
      <c r="C127" s="220">
        <f t="shared" si="48"/>
        <v>0</v>
      </c>
      <c r="D127" s="220"/>
      <c r="E127" s="220"/>
      <c r="F127" s="699">
        <f t="shared" ref="F127:L127" si="49">+$C$101*F36</f>
        <v>0</v>
      </c>
      <c r="G127" s="700">
        <f t="shared" si="49"/>
        <v>0</v>
      </c>
      <c r="H127" s="700">
        <f t="shared" si="49"/>
        <v>0</v>
      </c>
      <c r="I127" s="700">
        <f t="shared" si="49"/>
        <v>0</v>
      </c>
      <c r="J127" s="700">
        <f t="shared" si="49"/>
        <v>0</v>
      </c>
      <c r="K127" s="700">
        <f t="shared" si="49"/>
        <v>0</v>
      </c>
      <c r="L127" s="700">
        <f t="shared" si="49"/>
        <v>0</v>
      </c>
      <c r="M127" s="30"/>
      <c r="N127" s="119"/>
      <c r="O127" s="30"/>
      <c r="P127" s="30"/>
      <c r="Q127" s="30"/>
      <c r="R127" s="30"/>
      <c r="S127" s="30"/>
      <c r="T127" s="30"/>
      <c r="U127" s="30"/>
      <c r="V127" s="30"/>
      <c r="W127" s="30"/>
      <c r="X127" s="30"/>
      <c r="Y127" s="30"/>
      <c r="Z127" s="30"/>
    </row>
    <row r="128" ht="13.5" customHeight="1">
      <c r="A128" s="111">
        <f t="shared" si="5"/>
        <v>128</v>
      </c>
      <c r="B128" s="30" t="s">
        <v>167</v>
      </c>
      <c r="C128" s="220">
        <f t="shared" si="48"/>
        <v>0</v>
      </c>
      <c r="D128" s="220"/>
      <c r="E128" s="220"/>
      <c r="F128" s="699">
        <v>0.0</v>
      </c>
      <c r="G128" s="699">
        <v>0.0</v>
      </c>
      <c r="H128" s="699">
        <v>0.0</v>
      </c>
      <c r="I128" s="699">
        <v>0.0</v>
      </c>
      <c r="J128" s="699">
        <v>0.0</v>
      </c>
      <c r="K128" s="699">
        <v>0.0</v>
      </c>
      <c r="L128" s="699">
        <v>0.0</v>
      </c>
      <c r="M128" s="30"/>
      <c r="N128" s="119"/>
      <c r="O128" s="30"/>
      <c r="P128" s="30"/>
      <c r="Q128" s="30"/>
      <c r="R128" s="30"/>
      <c r="S128" s="30"/>
      <c r="T128" s="30"/>
      <c r="U128" s="30"/>
      <c r="V128" s="30"/>
      <c r="W128" s="30"/>
      <c r="X128" s="30"/>
      <c r="Y128" s="30"/>
      <c r="Z128" s="30"/>
    </row>
    <row r="129" ht="13.5" customHeight="1">
      <c r="A129" s="111">
        <f t="shared" si="5"/>
        <v>129</v>
      </c>
      <c r="B129" s="30" t="s">
        <v>168</v>
      </c>
      <c r="C129" s="220"/>
      <c r="D129" s="220"/>
      <c r="E129" s="220"/>
      <c r="F129" s="699">
        <v>0.0</v>
      </c>
      <c r="G129" s="700"/>
      <c r="H129" s="700"/>
      <c r="I129" s="700"/>
      <c r="J129" s="700"/>
      <c r="K129" s="700"/>
      <c r="L129" s="700"/>
      <c r="M129" s="30"/>
      <c r="N129" s="119" t="s">
        <v>545</v>
      </c>
      <c r="O129" s="30"/>
      <c r="P129" s="30"/>
      <c r="Q129" s="30"/>
      <c r="R129" s="30"/>
      <c r="S129" s="30"/>
      <c r="T129" s="30"/>
      <c r="U129" s="30"/>
      <c r="V129" s="30"/>
      <c r="W129" s="30"/>
      <c r="X129" s="30"/>
      <c r="Y129" s="30"/>
      <c r="Z129" s="30"/>
    </row>
    <row r="130" ht="13.5" customHeight="1">
      <c r="A130" s="111">
        <f t="shared" si="5"/>
        <v>130</v>
      </c>
      <c r="B130" s="30" t="s">
        <v>169</v>
      </c>
      <c r="C130" s="220">
        <f t="shared" ref="C130:C142" si="50">SUM(F130:L130)</f>
        <v>0</v>
      </c>
      <c r="D130" s="220"/>
      <c r="E130" s="220"/>
      <c r="F130" s="468">
        <f>IF($C$105="yes",$C$106*Staff!$C$70*(F36*F92),0)</f>
        <v>0</v>
      </c>
      <c r="G130" s="700">
        <f>IF($C$105="yes",$C$106*Staff!$C$70*(G36*G92),0)</f>
        <v>0</v>
      </c>
      <c r="H130" s="700">
        <f>IF($C$105="yes",$C$106*Staff!$C$70*(H36*H92),0)</f>
        <v>0</v>
      </c>
      <c r="I130" s="700">
        <f>IF($C$105="yes",$C$106*Staff!$C$70*(I36*I92),0)</f>
        <v>0</v>
      </c>
      <c r="J130" s="700">
        <f>IF($C$105="yes",$C$106*Staff!$C$70*(J36*J92),0)</f>
        <v>0</v>
      </c>
      <c r="K130" s="700">
        <f>IF($C$105="yes",$C$106*Staff!$C$70*(K36*K92),0)</f>
        <v>0</v>
      </c>
      <c r="L130" s="700">
        <f>IF($C$105="yes",$C$106*Staff!$C$70*(L36*L92),0)</f>
        <v>0</v>
      </c>
      <c r="M130" s="30"/>
      <c r="N130" s="119"/>
      <c r="O130" s="30"/>
      <c r="P130" s="30"/>
      <c r="Q130" s="30"/>
      <c r="R130" s="30"/>
      <c r="S130" s="30"/>
      <c r="T130" s="30"/>
      <c r="U130" s="30"/>
      <c r="V130" s="30"/>
      <c r="W130" s="30"/>
      <c r="X130" s="30"/>
      <c r="Y130" s="30"/>
      <c r="Z130" s="30"/>
    </row>
    <row r="131" ht="13.5" customHeight="1">
      <c r="A131" s="111">
        <f t="shared" si="5"/>
        <v>131</v>
      </c>
      <c r="B131" s="30" t="s">
        <v>546</v>
      </c>
      <c r="C131" s="220">
        <f t="shared" si="50"/>
        <v>0</v>
      </c>
      <c r="D131" s="220"/>
      <c r="E131" s="220"/>
      <c r="F131" s="468">
        <f>(F36*F92)*Staff!$C$70*$C$107</f>
        <v>0</v>
      </c>
      <c r="G131" s="700">
        <f>(G36*G92)*Staff!$C$70*$C$107</f>
        <v>0</v>
      </c>
      <c r="H131" s="700">
        <f>(H36*H92)*Staff!$C$70*$C$107</f>
        <v>0</v>
      </c>
      <c r="I131" s="700">
        <f>(I36*I92)*Staff!$C$70*$C$107</f>
        <v>0</v>
      </c>
      <c r="J131" s="700">
        <f>(J36*J92)*Staff!$C$70*$C$107</f>
        <v>0</v>
      </c>
      <c r="K131" s="700">
        <f>(K36*K92)*Staff!$C$70*$C$107</f>
        <v>0</v>
      </c>
      <c r="L131" s="700">
        <f>(L36*L92)*Staff!$C$70*$C$107</f>
        <v>0</v>
      </c>
      <c r="M131" s="30"/>
      <c r="N131" s="119"/>
      <c r="O131" s="30"/>
      <c r="P131" s="30"/>
      <c r="Q131" s="30"/>
      <c r="R131" s="30"/>
      <c r="S131" s="30"/>
      <c r="T131" s="30"/>
      <c r="U131" s="30"/>
      <c r="V131" s="30"/>
      <c r="W131" s="30"/>
      <c r="X131" s="30"/>
      <c r="Y131" s="30"/>
      <c r="Z131" s="30"/>
    </row>
    <row r="132" ht="13.5" customHeight="1">
      <c r="A132" s="111">
        <f t="shared" si="5"/>
        <v>132</v>
      </c>
      <c r="B132" s="30" t="s">
        <v>171</v>
      </c>
      <c r="C132" s="220">
        <f t="shared" si="50"/>
        <v>683617.077</v>
      </c>
      <c r="D132" s="220"/>
      <c r="E132" s="220"/>
      <c r="F132" s="699">
        <v>86035.95</v>
      </c>
      <c r="G132" s="700">
        <f t="shared" ref="G132:L132" si="51">(G36*G94)*$C$104</f>
        <v>94939.988</v>
      </c>
      <c r="H132" s="700">
        <f t="shared" si="51"/>
        <v>96892.8675</v>
      </c>
      <c r="I132" s="700">
        <f t="shared" si="51"/>
        <v>100197.7405</v>
      </c>
      <c r="J132" s="700">
        <f t="shared" si="51"/>
        <v>101099.0695</v>
      </c>
      <c r="K132" s="700">
        <f t="shared" si="51"/>
        <v>101549.734</v>
      </c>
      <c r="L132" s="700">
        <f t="shared" si="51"/>
        <v>102901.7275</v>
      </c>
      <c r="M132" s="30"/>
      <c r="N132" s="119"/>
      <c r="O132" s="30"/>
      <c r="P132" s="30"/>
      <c r="Q132" s="30"/>
      <c r="R132" s="30"/>
      <c r="S132" s="30"/>
      <c r="T132" s="30"/>
      <c r="U132" s="30"/>
      <c r="V132" s="30"/>
      <c r="W132" s="30"/>
      <c r="X132" s="30"/>
      <c r="Y132" s="30"/>
      <c r="Z132" s="30"/>
    </row>
    <row r="133" ht="13.5" customHeight="1">
      <c r="A133" s="701">
        <f t="shared" si="5"/>
        <v>133</v>
      </c>
      <c r="B133" s="702" t="s">
        <v>547</v>
      </c>
      <c r="C133" s="220">
        <f t="shared" si="50"/>
        <v>0</v>
      </c>
      <c r="D133" s="220"/>
      <c r="E133" s="220"/>
      <c r="F133" s="703">
        <v>0.0</v>
      </c>
      <c r="G133" s="704">
        <v>0.0</v>
      </c>
      <c r="H133" s="704">
        <v>0.0</v>
      </c>
      <c r="I133" s="704">
        <v>0.0</v>
      </c>
      <c r="J133" s="704">
        <v>0.0</v>
      </c>
      <c r="K133" s="704">
        <v>0.0</v>
      </c>
      <c r="L133" s="704">
        <v>0.0</v>
      </c>
      <c r="M133" s="30"/>
      <c r="N133" s="119"/>
      <c r="O133" s="30"/>
      <c r="P133" s="30"/>
      <c r="Q133" s="30"/>
      <c r="R133" s="30"/>
      <c r="S133" s="30"/>
      <c r="T133" s="30"/>
      <c r="U133" s="30"/>
      <c r="V133" s="30"/>
      <c r="W133" s="30"/>
      <c r="X133" s="30"/>
      <c r="Y133" s="30"/>
      <c r="Z133" s="30"/>
    </row>
    <row r="134" ht="13.5" customHeight="1">
      <c r="A134" s="701">
        <f t="shared" si="5"/>
        <v>134</v>
      </c>
      <c r="B134" s="702" t="s">
        <v>548</v>
      </c>
      <c r="C134" s="220">
        <f t="shared" si="50"/>
        <v>0</v>
      </c>
      <c r="D134" s="220"/>
      <c r="E134" s="220"/>
      <c r="F134" s="705">
        <v>0.0</v>
      </c>
      <c r="G134" s="706">
        <v>0.0</v>
      </c>
      <c r="H134" s="706">
        <v>0.0</v>
      </c>
      <c r="I134" s="706">
        <v>0.0</v>
      </c>
      <c r="J134" s="706">
        <v>0.0</v>
      </c>
      <c r="K134" s="706">
        <v>0.0</v>
      </c>
      <c r="L134" s="706">
        <v>0.0</v>
      </c>
      <c r="M134" s="30"/>
      <c r="N134" s="119"/>
      <c r="O134" s="30"/>
      <c r="P134" s="30"/>
      <c r="Q134" s="30"/>
      <c r="R134" s="30"/>
      <c r="S134" s="30"/>
      <c r="T134" s="30"/>
      <c r="U134" s="30"/>
      <c r="V134" s="30"/>
      <c r="W134" s="30"/>
      <c r="X134" s="30"/>
      <c r="Y134" s="30"/>
      <c r="Z134" s="30"/>
    </row>
    <row r="135" ht="13.5" customHeight="1">
      <c r="A135" s="701">
        <f t="shared" si="5"/>
        <v>135</v>
      </c>
      <c r="B135" s="30" t="s">
        <v>549</v>
      </c>
      <c r="C135" s="220">
        <f t="shared" si="50"/>
        <v>0</v>
      </c>
      <c r="D135" s="220"/>
      <c r="E135" s="220"/>
      <c r="F135" s="707">
        <v>0.0</v>
      </c>
      <c r="G135" s="706">
        <v>0.0</v>
      </c>
      <c r="H135" s="706">
        <v>0.0</v>
      </c>
      <c r="I135" s="706">
        <v>0.0</v>
      </c>
      <c r="J135" s="706">
        <v>0.0</v>
      </c>
      <c r="K135" s="706">
        <v>0.0</v>
      </c>
      <c r="L135" s="706">
        <v>0.0</v>
      </c>
      <c r="M135" s="30"/>
      <c r="N135" s="119"/>
      <c r="O135" s="30"/>
      <c r="P135" s="30"/>
      <c r="Q135" s="30"/>
      <c r="R135" s="30"/>
      <c r="S135" s="30"/>
      <c r="T135" s="30"/>
      <c r="U135" s="30"/>
      <c r="V135" s="30"/>
      <c r="W135" s="30"/>
      <c r="X135" s="30"/>
      <c r="Y135" s="30"/>
      <c r="Z135" s="30"/>
    </row>
    <row r="136" ht="13.5" customHeight="1">
      <c r="A136" s="701">
        <f t="shared" si="5"/>
        <v>136</v>
      </c>
      <c r="B136" s="30" t="s">
        <v>550</v>
      </c>
      <c r="C136" s="220">
        <f t="shared" si="50"/>
        <v>0</v>
      </c>
      <c r="D136" s="220"/>
      <c r="E136" s="220"/>
      <c r="F136" s="708">
        <v>0.0</v>
      </c>
      <c r="G136" s="129">
        <f t="shared" ref="G136:L136" si="52">$C$108*G36</f>
        <v>0</v>
      </c>
      <c r="H136" s="129">
        <f t="shared" si="52"/>
        <v>0</v>
      </c>
      <c r="I136" s="129">
        <f t="shared" si="52"/>
        <v>0</v>
      </c>
      <c r="J136" s="129">
        <f t="shared" si="52"/>
        <v>0</v>
      </c>
      <c r="K136" s="129">
        <f t="shared" si="52"/>
        <v>0</v>
      </c>
      <c r="L136" s="129">
        <f t="shared" si="52"/>
        <v>0</v>
      </c>
      <c r="M136" s="30"/>
      <c r="N136" s="119"/>
      <c r="O136" s="30"/>
      <c r="P136" s="30"/>
      <c r="Q136" s="30"/>
      <c r="R136" s="30"/>
      <c r="S136" s="30"/>
      <c r="T136" s="30"/>
      <c r="U136" s="30"/>
      <c r="V136" s="30"/>
      <c r="W136" s="30"/>
      <c r="X136" s="30"/>
      <c r="Y136" s="30"/>
      <c r="Z136" s="30"/>
    </row>
    <row r="137" ht="13.5" customHeight="1">
      <c r="A137" s="701">
        <f t="shared" si="5"/>
        <v>137</v>
      </c>
      <c r="B137" s="30" t="s">
        <v>176</v>
      </c>
      <c r="C137" s="220">
        <f t="shared" si="50"/>
        <v>431487</v>
      </c>
      <c r="D137" s="220"/>
      <c r="E137" s="220"/>
      <c r="F137" s="708">
        <v>61641.0</v>
      </c>
      <c r="G137" s="708">
        <v>61641.0</v>
      </c>
      <c r="H137" s="708">
        <v>61641.0</v>
      </c>
      <c r="I137" s="708">
        <v>61641.0</v>
      </c>
      <c r="J137" s="708">
        <v>61641.0</v>
      </c>
      <c r="K137" s="708">
        <v>61641.0</v>
      </c>
      <c r="L137" s="708">
        <v>61641.0</v>
      </c>
      <c r="M137" s="30"/>
      <c r="N137" s="119"/>
      <c r="O137" s="30"/>
      <c r="P137" s="30"/>
      <c r="Q137" s="30"/>
      <c r="R137" s="30"/>
      <c r="S137" s="30"/>
      <c r="T137" s="30"/>
      <c r="U137" s="30"/>
      <c r="V137" s="30"/>
      <c r="W137" s="30"/>
      <c r="X137" s="30"/>
      <c r="Y137" s="30"/>
      <c r="Z137" s="30"/>
    </row>
    <row r="138" ht="13.5" customHeight="1">
      <c r="A138" s="701">
        <f t="shared" si="5"/>
        <v>138</v>
      </c>
      <c r="B138" s="30" t="s">
        <v>551</v>
      </c>
      <c r="C138" s="220">
        <f t="shared" si="50"/>
        <v>0</v>
      </c>
      <c r="D138" s="220"/>
      <c r="E138" s="220"/>
      <c r="F138" s="707">
        <v>0.0</v>
      </c>
      <c r="G138" s="706">
        <v>0.0</v>
      </c>
      <c r="H138" s="706">
        <v>0.0</v>
      </c>
      <c r="I138" s="706">
        <v>0.0</v>
      </c>
      <c r="J138" s="706">
        <v>0.0</v>
      </c>
      <c r="K138" s="706">
        <v>0.0</v>
      </c>
      <c r="L138" s="706">
        <v>0.0</v>
      </c>
      <c r="M138" s="30"/>
      <c r="N138" s="119"/>
      <c r="O138" s="30"/>
      <c r="P138" s="30"/>
      <c r="Q138" s="30"/>
      <c r="R138" s="30"/>
      <c r="S138" s="30"/>
      <c r="T138" s="30"/>
      <c r="U138" s="30"/>
      <c r="V138" s="30"/>
      <c r="W138" s="30"/>
      <c r="X138" s="30"/>
      <c r="Y138" s="30"/>
      <c r="Z138" s="30"/>
    </row>
    <row r="139" ht="13.5" customHeight="1">
      <c r="A139" s="701">
        <f t="shared" si="5"/>
        <v>139</v>
      </c>
      <c r="B139" s="30" t="s">
        <v>552</v>
      </c>
      <c r="C139" s="220">
        <f t="shared" si="50"/>
        <v>0</v>
      </c>
      <c r="D139" s="220"/>
      <c r="E139" s="220"/>
      <c r="F139" s="707">
        <v>0.0</v>
      </c>
      <c r="G139" s="706">
        <v>0.0</v>
      </c>
      <c r="H139" s="706">
        <v>0.0</v>
      </c>
      <c r="I139" s="706">
        <v>0.0</v>
      </c>
      <c r="J139" s="706">
        <v>0.0</v>
      </c>
      <c r="K139" s="706">
        <v>0.0</v>
      </c>
      <c r="L139" s="706">
        <v>0.0</v>
      </c>
      <c r="M139" s="30"/>
      <c r="N139" s="119"/>
      <c r="O139" s="30"/>
      <c r="P139" s="30"/>
      <c r="Q139" s="30"/>
      <c r="R139" s="30"/>
      <c r="S139" s="30"/>
      <c r="T139" s="30"/>
      <c r="U139" s="30"/>
      <c r="V139" s="30"/>
      <c r="W139" s="30"/>
      <c r="X139" s="30"/>
      <c r="Y139" s="30"/>
      <c r="Z139" s="30"/>
    </row>
    <row r="140" ht="13.5" customHeight="1">
      <c r="A140" s="701">
        <f t="shared" si="5"/>
        <v>140</v>
      </c>
      <c r="B140" s="30" t="s">
        <v>179</v>
      </c>
      <c r="C140" s="220">
        <f t="shared" si="50"/>
        <v>1110000</v>
      </c>
      <c r="D140" s="220"/>
      <c r="E140" s="220"/>
      <c r="F140" s="709">
        <v>150000.0</v>
      </c>
      <c r="G140" s="577">
        <v>150000.0</v>
      </c>
      <c r="H140" s="577">
        <v>150000.0</v>
      </c>
      <c r="I140" s="577">
        <v>160000.0</v>
      </c>
      <c r="J140" s="577">
        <v>160000.0</v>
      </c>
      <c r="K140" s="577">
        <v>170000.0</v>
      </c>
      <c r="L140" s="577">
        <v>170000.0</v>
      </c>
      <c r="M140" s="30"/>
      <c r="N140" s="119"/>
      <c r="O140" s="30"/>
      <c r="P140" s="30"/>
      <c r="Q140" s="30"/>
      <c r="R140" s="30"/>
      <c r="S140" s="30"/>
      <c r="T140" s="30"/>
      <c r="U140" s="30"/>
      <c r="V140" s="30"/>
      <c r="W140" s="30"/>
      <c r="X140" s="30"/>
      <c r="Y140" s="30"/>
      <c r="Z140" s="30"/>
    </row>
    <row r="141" ht="13.5" customHeight="1">
      <c r="A141" s="701">
        <f t="shared" si="5"/>
        <v>141</v>
      </c>
      <c r="B141" s="30" t="s">
        <v>553</v>
      </c>
      <c r="C141" s="220">
        <f t="shared" si="50"/>
        <v>0</v>
      </c>
      <c r="D141" s="220"/>
      <c r="E141" s="220"/>
      <c r="F141" s="707">
        <v>0.0</v>
      </c>
      <c r="G141" s="706">
        <v>0.0</v>
      </c>
      <c r="H141" s="706">
        <v>0.0</v>
      </c>
      <c r="I141" s="706">
        <v>0.0</v>
      </c>
      <c r="J141" s="706">
        <v>0.0</v>
      </c>
      <c r="K141" s="706">
        <v>0.0</v>
      </c>
      <c r="L141" s="706">
        <v>0.0</v>
      </c>
      <c r="M141" s="30"/>
      <c r="N141" s="119"/>
      <c r="O141" s="30"/>
      <c r="P141" s="30"/>
      <c r="Q141" s="30"/>
      <c r="R141" s="30"/>
      <c r="S141" s="30"/>
      <c r="T141" s="30"/>
      <c r="U141" s="30"/>
      <c r="V141" s="30"/>
      <c r="W141" s="30"/>
      <c r="X141" s="30"/>
      <c r="Y141" s="30"/>
      <c r="Z141" s="30"/>
    </row>
    <row r="142" ht="13.5" customHeight="1">
      <c r="A142" s="701">
        <f t="shared" si="5"/>
        <v>142</v>
      </c>
      <c r="B142" s="30" t="s">
        <v>554</v>
      </c>
      <c r="C142" s="220">
        <f t="shared" si="50"/>
        <v>0</v>
      </c>
      <c r="D142" s="220"/>
      <c r="E142" s="220"/>
      <c r="F142" s="707">
        <v>0.0</v>
      </c>
      <c r="G142" s="706">
        <v>0.0</v>
      </c>
      <c r="H142" s="706">
        <v>0.0</v>
      </c>
      <c r="I142" s="706">
        <v>0.0</v>
      </c>
      <c r="J142" s="706">
        <v>0.0</v>
      </c>
      <c r="K142" s="706">
        <v>0.0</v>
      </c>
      <c r="L142" s="706">
        <v>0.0</v>
      </c>
      <c r="M142" s="30"/>
      <c r="N142" s="119"/>
      <c r="O142" s="30"/>
      <c r="P142" s="30"/>
      <c r="Q142" s="30"/>
      <c r="R142" s="30"/>
      <c r="S142" s="30"/>
      <c r="T142" s="30"/>
      <c r="U142" s="30"/>
      <c r="V142" s="30"/>
      <c r="W142" s="30"/>
      <c r="X142" s="30"/>
      <c r="Y142" s="30"/>
      <c r="Z142" s="30"/>
    </row>
    <row r="143" ht="13.5" customHeight="1">
      <c r="A143" s="701">
        <f t="shared" si="5"/>
        <v>143</v>
      </c>
      <c r="B143" s="710"/>
      <c r="C143" s="711"/>
      <c r="D143" s="712"/>
      <c r="E143" s="712"/>
      <c r="F143" s="713">
        <f t="shared" ref="F143:L143" si="53">SUM(F125:F142)</f>
        <v>297676.95</v>
      </c>
      <c r="G143" s="713">
        <f t="shared" si="53"/>
        <v>306580.988</v>
      </c>
      <c r="H143" s="713">
        <f t="shared" si="53"/>
        <v>308533.8675</v>
      </c>
      <c r="I143" s="713">
        <f t="shared" si="53"/>
        <v>321838.7405</v>
      </c>
      <c r="J143" s="713">
        <f t="shared" si="53"/>
        <v>322740.0695</v>
      </c>
      <c r="K143" s="713">
        <f t="shared" si="53"/>
        <v>333190.734</v>
      </c>
      <c r="L143" s="713">
        <f t="shared" si="53"/>
        <v>334542.7275</v>
      </c>
      <c r="M143" s="30"/>
      <c r="N143" s="119"/>
      <c r="O143" s="30"/>
      <c r="P143" s="30"/>
      <c r="Q143" s="30"/>
      <c r="R143" s="30"/>
      <c r="S143" s="30"/>
      <c r="T143" s="30"/>
      <c r="U143" s="30"/>
      <c r="V143" s="30"/>
      <c r="W143" s="30"/>
      <c r="X143" s="30"/>
      <c r="Y143" s="30"/>
      <c r="Z143" s="30"/>
    </row>
    <row r="144" ht="13.5" customHeight="1">
      <c r="A144" s="701">
        <f t="shared" si="5"/>
        <v>144</v>
      </c>
      <c r="B144" s="689" t="s">
        <v>555</v>
      </c>
      <c r="C144" s="714"/>
      <c r="D144" s="715"/>
      <c r="E144" s="715"/>
      <c r="F144" s="716">
        <f t="shared" ref="F144:L144" si="54">+F143/F36</f>
        <v>490.4068369</v>
      </c>
      <c r="G144" s="716">
        <f t="shared" si="54"/>
        <v>485.0965</v>
      </c>
      <c r="H144" s="716">
        <f t="shared" si="54"/>
        <v>478.3470814</v>
      </c>
      <c r="I144" s="716">
        <f t="shared" si="54"/>
        <v>482.5168523</v>
      </c>
      <c r="J144" s="716">
        <f t="shared" si="54"/>
        <v>479.554338</v>
      </c>
      <c r="K144" s="716">
        <f t="shared" si="54"/>
        <v>492.8857012</v>
      </c>
      <c r="L144" s="716">
        <f t="shared" si="54"/>
        <v>488.3835438</v>
      </c>
      <c r="M144" s="30"/>
      <c r="N144" s="119"/>
      <c r="O144" s="30"/>
      <c r="P144" s="30"/>
      <c r="Q144" s="30"/>
      <c r="R144" s="30"/>
      <c r="S144" s="30"/>
      <c r="T144" s="30"/>
      <c r="U144" s="30"/>
      <c r="V144" s="30"/>
      <c r="W144" s="30"/>
      <c r="X144" s="30"/>
      <c r="Y144" s="30"/>
      <c r="Z144" s="30"/>
    </row>
    <row r="145" ht="13.5" customHeight="1">
      <c r="A145" s="701">
        <f t="shared" si="5"/>
        <v>145</v>
      </c>
      <c r="B145" s="710" t="s">
        <v>184</v>
      </c>
      <c r="C145" s="711">
        <f>SUM(G145:L145)</f>
        <v>42604785.75</v>
      </c>
      <c r="D145" s="712"/>
      <c r="E145" s="712"/>
      <c r="F145" s="713">
        <f t="shared" ref="F145:L145" si="55">+F143+F121</f>
        <v>6431812.88</v>
      </c>
      <c r="G145" s="713">
        <f t="shared" si="55"/>
        <v>6792118.003</v>
      </c>
      <c r="H145" s="713">
        <f t="shared" si="55"/>
        <v>6917370.748</v>
      </c>
      <c r="I145" s="713">
        <f t="shared" si="55"/>
        <v>7139336.931</v>
      </c>
      <c r="J145" s="713">
        <f t="shared" si="55"/>
        <v>7197145.89</v>
      </c>
      <c r="K145" s="713">
        <f t="shared" si="55"/>
        <v>7236050.369</v>
      </c>
      <c r="L145" s="713">
        <f t="shared" si="55"/>
        <v>7322763.808</v>
      </c>
      <c r="M145" s="30"/>
      <c r="N145" s="119"/>
      <c r="O145" s="30"/>
      <c r="P145" s="30"/>
      <c r="Q145" s="30"/>
      <c r="R145" s="30"/>
      <c r="S145" s="30"/>
      <c r="T145" s="30"/>
      <c r="U145" s="30"/>
      <c r="V145" s="30"/>
      <c r="W145" s="30"/>
      <c r="X145" s="30"/>
      <c r="Y145" s="30"/>
      <c r="Z145" s="30"/>
    </row>
    <row r="146" ht="13.5" customHeight="1">
      <c r="A146" s="701">
        <f t="shared" si="5"/>
        <v>146</v>
      </c>
      <c r="B146" s="164" t="s">
        <v>556</v>
      </c>
      <c r="C146" s="67"/>
      <c r="D146" s="67"/>
      <c r="E146" s="67"/>
      <c r="F146" s="717">
        <f t="shared" ref="F146:L146" si="56">IFERROR(F145/F36,0)</f>
        <v>10596.06735</v>
      </c>
      <c r="G146" s="717">
        <f t="shared" si="56"/>
        <v>10747.02216</v>
      </c>
      <c r="H146" s="717">
        <f t="shared" si="56"/>
        <v>10724.60581</v>
      </c>
      <c r="I146" s="717">
        <f t="shared" si="56"/>
        <v>10703.65357</v>
      </c>
      <c r="J146" s="717">
        <f t="shared" si="56"/>
        <v>10694.12465</v>
      </c>
      <c r="K146" s="717">
        <f t="shared" si="56"/>
        <v>10704.21652</v>
      </c>
      <c r="L146" s="717">
        <f t="shared" si="56"/>
        <v>10690.16614</v>
      </c>
      <c r="M146" s="30"/>
      <c r="N146" s="119"/>
      <c r="O146" s="30"/>
      <c r="P146" s="30"/>
      <c r="Q146" s="30"/>
      <c r="R146" s="30"/>
      <c r="S146" s="30"/>
      <c r="T146" s="30"/>
      <c r="U146" s="30"/>
      <c r="V146" s="30"/>
      <c r="W146" s="30"/>
      <c r="X146" s="30"/>
      <c r="Y146" s="30"/>
      <c r="Z146" s="30"/>
    </row>
    <row r="147" ht="13.5" customHeight="1">
      <c r="A147" s="111"/>
      <c r="B147" s="63" t="s">
        <v>557</v>
      </c>
      <c r="C147" s="63"/>
      <c r="D147" s="63"/>
      <c r="E147" s="63"/>
      <c r="F147" s="140">
        <f>+Summary!F35</f>
        <v>6431812.88</v>
      </c>
      <c r="G147" s="140">
        <f>+Summary!G35</f>
        <v>6792118.003</v>
      </c>
      <c r="H147" s="140">
        <f>+Summary!H35</f>
        <v>6917370.748</v>
      </c>
      <c r="I147" s="140">
        <f>+Summary!I35</f>
        <v>7139336.931</v>
      </c>
      <c r="J147" s="140">
        <f>+Summary!J35</f>
        <v>7197145.89</v>
      </c>
      <c r="K147" s="140">
        <f>+Summary!K35</f>
        <v>7236050.369</v>
      </c>
      <c r="L147" s="140">
        <f>+Summary!L35</f>
        <v>7322763.808</v>
      </c>
      <c r="M147" s="30"/>
      <c r="N147" s="30"/>
      <c r="O147" s="30"/>
      <c r="P147" s="30"/>
      <c r="Q147" s="30"/>
      <c r="R147" s="30"/>
      <c r="S147" s="30"/>
      <c r="T147" s="30"/>
      <c r="U147" s="30"/>
      <c r="V147" s="30"/>
      <c r="W147" s="30"/>
      <c r="X147" s="30"/>
      <c r="Y147" s="30"/>
      <c r="Z147" s="30"/>
    </row>
    <row r="148" ht="13.5" customHeight="1">
      <c r="A148" s="111"/>
      <c r="B148" s="689" t="s">
        <v>558</v>
      </c>
      <c r="C148" s="689"/>
      <c r="D148" s="689"/>
      <c r="E148" s="689"/>
      <c r="F148" s="718">
        <f t="shared" ref="F148:L148" si="57">+F145-F147</f>
        <v>0</v>
      </c>
      <c r="G148" s="718">
        <f t="shared" si="57"/>
        <v>0</v>
      </c>
      <c r="H148" s="718">
        <f t="shared" si="57"/>
        <v>0</v>
      </c>
      <c r="I148" s="718">
        <f t="shared" si="57"/>
        <v>0</v>
      </c>
      <c r="J148" s="718">
        <f t="shared" si="57"/>
        <v>0</v>
      </c>
      <c r="K148" s="718">
        <f t="shared" si="57"/>
        <v>0</v>
      </c>
      <c r="L148" s="698">
        <f t="shared" si="57"/>
        <v>0</v>
      </c>
      <c r="M148" s="30"/>
      <c r="N148" s="30"/>
      <c r="O148" s="30"/>
      <c r="P148" s="30"/>
      <c r="Q148" s="30"/>
      <c r="R148" s="30"/>
      <c r="S148" s="30"/>
      <c r="T148" s="30"/>
      <c r="U148" s="30"/>
      <c r="V148" s="30"/>
      <c r="W148" s="30"/>
      <c r="X148" s="30"/>
      <c r="Y148" s="30"/>
      <c r="Z148" s="30"/>
    </row>
    <row r="149" ht="13.5" customHeight="1">
      <c r="A149" s="65"/>
      <c r="B149" s="67" t="s">
        <v>559</v>
      </c>
      <c r="C149" s="63"/>
      <c r="D149" s="63"/>
      <c r="E149" s="63"/>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conditionalFormatting sqref="B23:E35 C14:E14 D1:E1">
    <cfRule type="expression" dxfId="2" priority="1" stopIfTrue="1">
      <formula>MOD(ROW(),2)=0</formula>
    </cfRule>
  </conditionalFormatting>
  <conditionalFormatting sqref="D73:E73">
    <cfRule type="cellIs" dxfId="4" priority="2" operator="greaterThan">
      <formula>1</formula>
    </cfRule>
  </conditionalFormatting>
  <conditionalFormatting sqref="F94:H94">
    <cfRule type="cellIs" dxfId="5" priority="3" operator="greaterThan">
      <formula>0.25</formula>
    </cfRule>
  </conditionalFormatting>
  <conditionalFormatting sqref="G17:L17">
    <cfRule type="cellIs" dxfId="3" priority="4" stopIfTrue="1" operator="equal">
      <formula>0</formula>
    </cfRule>
  </conditionalFormatting>
  <conditionalFormatting sqref="G19:L19">
    <cfRule type="cellIs" dxfId="3" priority="5" stopIfTrue="1" operator="equal">
      <formula>0</formula>
    </cfRule>
  </conditionalFormatting>
  <conditionalFormatting sqref="F95:L95">
    <cfRule type="cellIs" dxfId="0" priority="6" stopIfTrue="1" operator="equal">
      <formula>0</formula>
    </cfRule>
  </conditionalFormatting>
  <dataValidations>
    <dataValidation type="list" allowBlank="1" showInputMessage="1" showErrorMessage="1" prompt="County - In the Dropdown Box select the county where your school will be located." sqref="D109:E109">
      <formula1>'PCFP Rates'!$O$49:$O$80</formula1>
    </dataValidation>
    <dataValidation type="list" allowBlank="1" showErrorMessage="1" sqref="C78">
      <formula1>'PCFP Rates'!$B$12:$B$20</formula1>
    </dataValidation>
  </dataValidations>
  <hyperlinks>
    <hyperlink r:id="rId2" ref="D79"/>
  </hyperlinks>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109" man="1"/>
  </rowBreaks>
  <drawing r:id="rId3"/>
  <legacy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outlineLevelRow="1"/>
  <cols>
    <col customWidth="1" min="1" max="1" width="6.29"/>
    <col customWidth="1" min="2" max="2" width="40.43"/>
    <col customWidth="1" min="3" max="3" width="19.29"/>
    <col customWidth="1" min="4" max="4" width="11.43"/>
    <col customWidth="1" min="5" max="5" width="17.71"/>
    <col customWidth="1" min="6" max="6" width="15.29"/>
    <col customWidth="1" min="7" max="10" width="16.0"/>
    <col customWidth="1" min="11" max="11" width="13.71"/>
    <col customWidth="1" min="12" max="12" width="15.71"/>
    <col customWidth="1" min="13" max="13" width="7.29"/>
    <col customWidth="1" min="14" max="14" width="59.71"/>
    <col customWidth="1" min="15" max="15" width="8.71"/>
    <col customWidth="1" min="16" max="16" width="9.43"/>
    <col customWidth="1" min="17" max="26" width="8.71"/>
  </cols>
  <sheetData>
    <row r="1" ht="13.5" customHeight="1">
      <c r="A1" s="217" t="s">
        <v>193</v>
      </c>
      <c r="B1" s="719"/>
      <c r="C1" s="30"/>
      <c r="D1" s="219" t="s">
        <v>3</v>
      </c>
      <c r="E1" s="30"/>
      <c r="F1" s="30"/>
      <c r="G1" s="720" t="s">
        <v>560</v>
      </c>
      <c r="H1" s="36"/>
      <c r="I1" s="36"/>
      <c r="J1" s="34"/>
      <c r="K1" s="34"/>
      <c r="L1" s="30"/>
      <c r="M1" s="30"/>
      <c r="N1" s="30"/>
      <c r="O1" s="30"/>
      <c r="P1" s="30"/>
      <c r="Q1" s="30"/>
      <c r="R1" s="30"/>
      <c r="S1" s="30"/>
      <c r="T1" s="30"/>
      <c r="U1" s="30"/>
      <c r="V1" s="30"/>
      <c r="W1" s="30"/>
      <c r="X1" s="30"/>
      <c r="Y1" s="30"/>
      <c r="Z1" s="5"/>
    </row>
    <row r="2" ht="13.5" customHeight="1">
      <c r="A2" s="221" t="str">
        <f>SchoolName</f>
        <v>Explore Knowledge Academy</v>
      </c>
      <c r="B2" s="97"/>
      <c r="C2" s="30"/>
      <c r="D2" s="30"/>
      <c r="E2" s="30"/>
      <c r="F2" s="30"/>
      <c r="G2" s="721" t="str">
        <f>+Cover!C18</f>
        <v>Test</v>
      </c>
      <c r="H2" s="722"/>
      <c r="I2" s="722"/>
      <c r="J2" s="722"/>
      <c r="K2" s="722"/>
      <c r="L2" s="30"/>
      <c r="M2" s="30"/>
      <c r="N2" s="30"/>
      <c r="O2" s="30"/>
      <c r="P2" s="30"/>
      <c r="Q2" s="30"/>
      <c r="R2" s="30"/>
      <c r="S2" s="30"/>
      <c r="T2" s="30"/>
      <c r="U2" s="30"/>
      <c r="V2" s="30"/>
      <c r="W2" s="30"/>
      <c r="X2" s="30"/>
      <c r="Y2" s="30"/>
      <c r="Z2" s="5"/>
    </row>
    <row r="3" ht="13.5" customHeight="1">
      <c r="A3" s="95" t="s">
        <v>2</v>
      </c>
      <c r="B3" s="30"/>
      <c r="C3" s="30"/>
      <c r="D3" s="30"/>
      <c r="E3" s="30"/>
      <c r="F3" s="30"/>
      <c r="G3" s="723" t="str">
        <f>+Cover!C19</f>
        <v>Site 2</v>
      </c>
      <c r="H3" s="724"/>
      <c r="I3" s="724"/>
      <c r="J3" s="724"/>
      <c r="K3" s="724"/>
      <c r="L3" s="30"/>
      <c r="M3" s="30"/>
      <c r="N3" s="30"/>
      <c r="O3" s="30"/>
      <c r="P3" s="30"/>
      <c r="Q3" s="30"/>
      <c r="R3" s="30"/>
      <c r="S3" s="30"/>
      <c r="T3" s="30"/>
      <c r="U3" s="30"/>
      <c r="V3" s="30"/>
      <c r="W3" s="30"/>
      <c r="X3" s="30"/>
      <c r="Y3" s="30"/>
      <c r="Z3" s="5"/>
    </row>
    <row r="4" ht="13.5" customHeight="1">
      <c r="A4" s="98" t="str">
        <f>CELL("filename")</f>
        <v>#N/A</v>
      </c>
      <c r="B4" s="30"/>
      <c r="C4" s="30"/>
      <c r="D4" s="30"/>
      <c r="E4" s="30"/>
      <c r="F4" s="30"/>
      <c r="G4" s="30"/>
      <c r="H4" s="30"/>
      <c r="I4" s="30"/>
      <c r="J4" s="30"/>
      <c r="K4" s="30"/>
      <c r="L4" s="30"/>
      <c r="M4" s="30"/>
      <c r="N4" s="30"/>
      <c r="O4" s="30"/>
      <c r="P4" s="30"/>
      <c r="Q4" s="30"/>
      <c r="R4" s="30"/>
      <c r="S4" s="30"/>
      <c r="T4" s="30"/>
      <c r="U4" s="30"/>
      <c r="V4" s="30"/>
      <c r="W4" s="30"/>
      <c r="X4" s="30"/>
      <c r="Y4" s="30"/>
      <c r="Z4" s="5"/>
    </row>
    <row r="5" ht="13.5" customHeight="1">
      <c r="A5" s="30"/>
      <c r="B5" s="30"/>
      <c r="C5" s="30"/>
      <c r="D5" s="30"/>
      <c r="E5" s="30"/>
      <c r="F5" s="30"/>
      <c r="G5" s="30"/>
      <c r="H5" s="30"/>
      <c r="I5" s="30"/>
      <c r="J5" s="30"/>
      <c r="K5" s="30"/>
      <c r="L5" s="30"/>
      <c r="M5" s="30"/>
      <c r="N5" s="30"/>
      <c r="O5" s="30"/>
      <c r="P5" s="30"/>
      <c r="Q5" s="30"/>
      <c r="R5" s="30"/>
      <c r="S5" s="30"/>
      <c r="T5" s="30"/>
      <c r="U5" s="30"/>
      <c r="V5" s="30"/>
      <c r="W5" s="30"/>
      <c r="X5" s="30"/>
      <c r="Y5" s="30"/>
      <c r="Z5" s="5"/>
    </row>
    <row r="6" ht="13.5" customHeight="1" outlineLevel="1">
      <c r="A6" s="63"/>
      <c r="B6" s="725" t="s">
        <v>561</v>
      </c>
      <c r="C6" s="726"/>
      <c r="D6" s="727"/>
      <c r="E6" s="63"/>
      <c r="F6" s="545">
        <f>' Enrol &amp; Rev'!F9</f>
        <v>0</v>
      </c>
      <c r="G6" s="101">
        <f>' Enrol &amp; Rev'!G9</f>
        <v>1</v>
      </c>
      <c r="H6" s="101">
        <f>' Enrol &amp; Rev'!H9</f>
        <v>2</v>
      </c>
      <c r="I6" s="101">
        <f>' Enrol &amp; Rev'!I9</f>
        <v>3</v>
      </c>
      <c r="J6" s="101">
        <f>' Enrol &amp; Rev'!J9</f>
        <v>4</v>
      </c>
      <c r="K6" s="101">
        <f>' Enrol &amp; Rev'!K9</f>
        <v>5</v>
      </c>
      <c r="L6" s="102">
        <f>' Enrol &amp; Rev'!L9</f>
        <v>6</v>
      </c>
      <c r="M6" s="63"/>
      <c r="N6" s="36" t="s">
        <v>85</v>
      </c>
      <c r="O6" s="63"/>
      <c r="P6" s="63"/>
      <c r="Q6" s="63"/>
      <c r="R6" s="63"/>
      <c r="S6" s="63"/>
      <c r="T6" s="63"/>
      <c r="U6" s="63"/>
      <c r="V6" s="63"/>
      <c r="W6" s="63"/>
      <c r="X6" s="63"/>
      <c r="Y6" s="63"/>
      <c r="Z6" s="5"/>
    </row>
    <row r="7" ht="13.5" customHeight="1" outlineLevel="1">
      <c r="A7" s="30"/>
      <c r="B7" s="728" t="s">
        <v>562</v>
      </c>
      <c r="C7" s="729" t="s">
        <v>563</v>
      </c>
      <c r="D7" s="730"/>
      <c r="E7" s="30"/>
      <c r="F7" s="359">
        <f t="shared" ref="F7:F8" si="1">+G7-1</f>
        <v>2024</v>
      </c>
      <c r="G7" s="105">
        <f>' Enrol &amp; Rev'!G10</f>
        <v>2025</v>
      </c>
      <c r="H7" s="105">
        <f>' Enrol &amp; Rev'!H10</f>
        <v>2026</v>
      </c>
      <c r="I7" s="105">
        <f>' Enrol &amp; Rev'!I10</f>
        <v>2027</v>
      </c>
      <c r="J7" s="105">
        <f>' Enrol &amp; Rev'!J10</f>
        <v>2028</v>
      </c>
      <c r="K7" s="105">
        <f>' Enrol &amp; Rev'!K10</f>
        <v>2029</v>
      </c>
      <c r="L7" s="106">
        <f>' Enrol &amp; Rev'!L10</f>
        <v>2030</v>
      </c>
      <c r="M7" s="460"/>
      <c r="N7" s="116"/>
      <c r="O7" s="30"/>
      <c r="P7" s="30"/>
      <c r="Q7" s="30"/>
      <c r="R7" s="30"/>
      <c r="S7" s="30"/>
      <c r="T7" s="30"/>
      <c r="U7" s="30"/>
      <c r="V7" s="30"/>
      <c r="W7" s="30"/>
      <c r="X7" s="30"/>
      <c r="Y7" s="30"/>
      <c r="Z7" s="30"/>
    </row>
    <row r="8" ht="13.5" customHeight="1" outlineLevel="1">
      <c r="A8" s="30"/>
      <c r="B8" s="30"/>
      <c r="C8" s="63"/>
      <c r="D8" s="30"/>
      <c r="E8" s="30"/>
      <c r="F8" s="361">
        <f t="shared" si="1"/>
        <v>2025</v>
      </c>
      <c r="G8" s="108">
        <f>' Enrol &amp; Rev'!G11</f>
        <v>2026</v>
      </c>
      <c r="H8" s="108">
        <f>' Enrol &amp; Rev'!H11</f>
        <v>2027</v>
      </c>
      <c r="I8" s="108">
        <f>' Enrol &amp; Rev'!I11</f>
        <v>2028</v>
      </c>
      <c r="J8" s="108">
        <f>' Enrol &amp; Rev'!J11</f>
        <v>2029</v>
      </c>
      <c r="K8" s="108">
        <f>' Enrol &amp; Rev'!K11</f>
        <v>2030</v>
      </c>
      <c r="L8" s="109">
        <f>' Enrol &amp; Rev'!L11</f>
        <v>2031</v>
      </c>
      <c r="M8" s="460"/>
      <c r="N8" s="119"/>
      <c r="O8" s="30"/>
      <c r="P8" s="30"/>
      <c r="Q8" s="30"/>
      <c r="R8" s="30"/>
      <c r="S8" s="30"/>
      <c r="T8" s="30"/>
      <c r="U8" s="30"/>
      <c r="V8" s="30"/>
      <c r="W8" s="30"/>
      <c r="X8" s="30"/>
      <c r="Y8" s="30"/>
      <c r="Z8" s="30"/>
    </row>
    <row r="9" ht="13.5" customHeight="1" outlineLevel="1">
      <c r="A9" s="111">
        <f t="shared" ref="A9:A11" si="2">ROW()</f>
        <v>9</v>
      </c>
      <c r="B9" s="110" t="s">
        <v>564</v>
      </c>
      <c r="C9" s="731"/>
      <c r="D9" s="731"/>
      <c r="E9" s="34"/>
      <c r="F9" s="732" t="s">
        <v>565</v>
      </c>
      <c r="G9" s="733">
        <f>' Enrol &amp; Rev'!G36</f>
        <v>632</v>
      </c>
      <c r="H9" s="733">
        <f>' Enrol &amp; Rev'!H36</f>
        <v>645</v>
      </c>
      <c r="I9" s="733">
        <f>' Enrol &amp; Rev'!I36</f>
        <v>667</v>
      </c>
      <c r="J9" s="733">
        <f>' Enrol &amp; Rev'!J36</f>
        <v>673</v>
      </c>
      <c r="K9" s="733">
        <f>' Enrol &amp; Rev'!K36</f>
        <v>676</v>
      </c>
      <c r="L9" s="734">
        <f>' Enrol &amp; Rev'!L36</f>
        <v>685</v>
      </c>
      <c r="M9" s="460"/>
      <c r="N9" s="119"/>
      <c r="O9" s="30"/>
      <c r="P9" s="30"/>
      <c r="Q9" s="30"/>
      <c r="R9" s="30"/>
      <c r="S9" s="30"/>
      <c r="T9" s="30"/>
      <c r="U9" s="30"/>
      <c r="V9" s="30"/>
      <c r="W9" s="30"/>
      <c r="X9" s="30"/>
      <c r="Y9" s="30"/>
      <c r="Z9" s="30"/>
    </row>
    <row r="10" ht="13.5" customHeight="1" outlineLevel="1">
      <c r="A10" s="111">
        <f t="shared" si="2"/>
        <v>10</v>
      </c>
      <c r="B10" s="30" t="s">
        <v>566</v>
      </c>
      <c r="C10" s="63"/>
      <c r="D10" s="30"/>
      <c r="E10" s="30"/>
      <c r="F10" s="30"/>
      <c r="G10" s="735">
        <f>IFERROR(+G11/' Enrol &amp; Rev'!G36,0)</f>
        <v>92.40664557</v>
      </c>
      <c r="H10" s="735">
        <f>IFERROR(+H11/' Enrol &amp; Rev'!H36,0)</f>
        <v>90.54418605</v>
      </c>
      <c r="I10" s="735">
        <f>IFERROR(+I11/' Enrol &amp; Rev'!I36,0)</f>
        <v>87.55772114</v>
      </c>
      <c r="J10" s="735">
        <f>IFERROR(+J11/' Enrol &amp; Rev'!J36,0)</f>
        <v>86.77711738</v>
      </c>
      <c r="K10" s="735">
        <f>IFERROR(+K11/' Enrol &amp; Rev'!K36,0)</f>
        <v>86.39201183</v>
      </c>
      <c r="L10" s="735">
        <f>IFERROR(+L11/' Enrol &amp; Rev'!L36,0)</f>
        <v>85.25693431</v>
      </c>
      <c r="M10" s="460"/>
      <c r="N10" s="119"/>
      <c r="O10" s="30"/>
      <c r="P10" s="30"/>
      <c r="Q10" s="30"/>
      <c r="R10" s="30"/>
      <c r="S10" s="30"/>
      <c r="T10" s="30"/>
      <c r="U10" s="30"/>
      <c r="V10" s="30"/>
      <c r="W10" s="30"/>
      <c r="X10" s="30"/>
      <c r="Y10" s="30"/>
      <c r="Z10" s="30"/>
    </row>
    <row r="11" ht="13.5" customHeight="1" outlineLevel="1">
      <c r="A11" s="111">
        <f t="shared" si="2"/>
        <v>11</v>
      </c>
      <c r="B11" s="30" t="s">
        <v>567</v>
      </c>
      <c r="C11" s="30"/>
      <c r="D11" s="30"/>
      <c r="E11" s="30"/>
      <c r="F11" s="736">
        <v>58401.0</v>
      </c>
      <c r="G11" s="736">
        <v>58401.0</v>
      </c>
      <c r="H11" s="736">
        <v>58401.0</v>
      </c>
      <c r="I11" s="736">
        <v>58401.0</v>
      </c>
      <c r="J11" s="737">
        <f t="shared" ref="J11:L11" si="3">+I11</f>
        <v>58401</v>
      </c>
      <c r="K11" s="737">
        <f t="shared" si="3"/>
        <v>58401</v>
      </c>
      <c r="L11" s="737">
        <f t="shared" si="3"/>
        <v>58401</v>
      </c>
      <c r="M11" s="460"/>
      <c r="N11" s="506" t="s">
        <v>568</v>
      </c>
      <c r="O11" s="30"/>
      <c r="P11" s="30"/>
      <c r="Q11" s="30"/>
      <c r="R11" s="30"/>
      <c r="S11" s="30"/>
      <c r="T11" s="30"/>
      <c r="U11" s="30"/>
      <c r="V11" s="30"/>
      <c r="W11" s="30"/>
      <c r="X11" s="30"/>
      <c r="Y11" s="30"/>
      <c r="Z11" s="30"/>
    </row>
    <row r="12" ht="13.5" customHeight="1" outlineLevel="1">
      <c r="A12" s="111"/>
      <c r="B12" s="30"/>
      <c r="C12" s="30"/>
      <c r="D12" s="30"/>
      <c r="E12" s="30"/>
      <c r="F12" s="30"/>
      <c r="G12" s="30"/>
      <c r="H12" s="30"/>
      <c r="I12" s="30"/>
      <c r="J12" s="30"/>
      <c r="K12" s="30"/>
      <c r="L12" s="30"/>
      <c r="M12" s="460"/>
      <c r="N12" s="119"/>
      <c r="O12" s="30"/>
      <c r="P12" s="30"/>
      <c r="Q12" s="30"/>
      <c r="R12" s="30"/>
      <c r="S12" s="30"/>
      <c r="T12" s="30"/>
      <c r="U12" s="30"/>
      <c r="V12" s="30"/>
      <c r="W12" s="30"/>
      <c r="X12" s="30"/>
      <c r="Y12" s="30"/>
      <c r="Z12" s="30"/>
    </row>
    <row r="13" ht="13.5" customHeight="1" outlineLevel="1">
      <c r="A13" s="111">
        <f t="shared" ref="A13:A14" si="4">ROW()</f>
        <v>13</v>
      </c>
      <c r="B13" s="30" t="s">
        <v>569</v>
      </c>
      <c r="C13" s="30"/>
      <c r="D13" s="30"/>
      <c r="E13" s="30"/>
      <c r="F13" s="738">
        <v>1.4</v>
      </c>
      <c r="G13" s="738">
        <v>1.4</v>
      </c>
      <c r="H13" s="738">
        <v>1.4</v>
      </c>
      <c r="I13" s="738">
        <v>1.4</v>
      </c>
      <c r="J13" s="738">
        <v>1.4</v>
      </c>
      <c r="K13" s="738">
        <v>1.4</v>
      </c>
      <c r="L13" s="738">
        <v>1.4</v>
      </c>
      <c r="M13" s="460"/>
      <c r="N13" s="119"/>
      <c r="O13" s="30"/>
      <c r="P13" s="30"/>
      <c r="Q13" s="30"/>
      <c r="R13" s="30"/>
      <c r="S13" s="30"/>
      <c r="T13" s="30"/>
      <c r="U13" s="30"/>
      <c r="V13" s="30"/>
      <c r="W13" s="30"/>
      <c r="X13" s="30"/>
      <c r="Y13" s="30"/>
      <c r="Z13" s="30"/>
    </row>
    <row r="14" ht="13.5" customHeight="1" outlineLevel="1">
      <c r="A14" s="111">
        <f t="shared" si="4"/>
        <v>14</v>
      </c>
      <c r="B14" s="30" t="s">
        <v>570</v>
      </c>
      <c r="C14" s="30"/>
      <c r="D14" s="30"/>
      <c r="E14" s="30"/>
      <c r="F14" s="739">
        <f t="shared" ref="F14:L14" si="5">+F13*12</f>
        <v>16.8</v>
      </c>
      <c r="G14" s="739">
        <f t="shared" si="5"/>
        <v>16.8</v>
      </c>
      <c r="H14" s="739">
        <f t="shared" si="5"/>
        <v>16.8</v>
      </c>
      <c r="I14" s="739">
        <f t="shared" si="5"/>
        <v>16.8</v>
      </c>
      <c r="J14" s="739">
        <f t="shared" si="5"/>
        <v>16.8</v>
      </c>
      <c r="K14" s="739">
        <f t="shared" si="5"/>
        <v>16.8</v>
      </c>
      <c r="L14" s="739">
        <f t="shared" si="5"/>
        <v>16.8</v>
      </c>
      <c r="M14" s="460"/>
      <c r="N14" s="119"/>
      <c r="O14" s="30"/>
      <c r="P14" s="30"/>
      <c r="Q14" s="30"/>
      <c r="R14" s="30"/>
      <c r="S14" s="30"/>
      <c r="T14" s="30"/>
      <c r="U14" s="30"/>
      <c r="V14" s="30"/>
      <c r="W14" s="30"/>
      <c r="X14" s="30"/>
      <c r="Y14" s="30"/>
      <c r="Z14" s="30"/>
    </row>
    <row r="15" ht="13.5" customHeight="1" outlineLevel="1">
      <c r="A15" s="111"/>
      <c r="B15" s="30"/>
      <c r="C15" s="30"/>
      <c r="D15" s="30"/>
      <c r="E15" s="30"/>
      <c r="F15" s="740"/>
      <c r="G15" s="740"/>
      <c r="H15" s="740"/>
      <c r="I15" s="740"/>
      <c r="J15" s="740"/>
      <c r="K15" s="740"/>
      <c r="L15" s="740"/>
      <c r="M15" s="460"/>
      <c r="N15" s="119"/>
      <c r="O15" s="30"/>
      <c r="P15" s="30"/>
      <c r="Q15" s="30"/>
      <c r="R15" s="30"/>
      <c r="S15" s="30"/>
      <c r="T15" s="30"/>
      <c r="U15" s="30"/>
      <c r="V15" s="30"/>
      <c r="W15" s="30"/>
      <c r="X15" s="30"/>
      <c r="Y15" s="30"/>
      <c r="Z15" s="30"/>
    </row>
    <row r="16" ht="13.5" customHeight="1" outlineLevel="1">
      <c r="A16" s="111">
        <f t="shared" ref="A16:A100" si="6">ROW()</f>
        <v>16</v>
      </c>
      <c r="B16" s="30" t="s">
        <v>571</v>
      </c>
      <c r="C16" s="99"/>
      <c r="D16" s="30"/>
      <c r="E16" s="30"/>
      <c r="F16" s="738">
        <v>1.2</v>
      </c>
      <c r="G16" s="738">
        <v>1.2</v>
      </c>
      <c r="H16" s="738">
        <v>1.2</v>
      </c>
      <c r="I16" s="738">
        <v>1.2</v>
      </c>
      <c r="J16" s="738">
        <v>1.2</v>
      </c>
      <c r="K16" s="738">
        <v>1.2</v>
      </c>
      <c r="L16" s="738">
        <v>1.2</v>
      </c>
      <c r="M16" s="460"/>
      <c r="N16" s="119"/>
      <c r="O16" s="30"/>
      <c r="P16" s="30"/>
      <c r="Q16" s="30"/>
      <c r="R16" s="30"/>
      <c r="S16" s="30"/>
      <c r="T16" s="30"/>
      <c r="U16" s="30"/>
      <c r="V16" s="30"/>
      <c r="W16" s="30"/>
      <c r="X16" s="30"/>
      <c r="Y16" s="30"/>
      <c r="Z16" s="30"/>
    </row>
    <row r="17" ht="13.5" customHeight="1" outlineLevel="1">
      <c r="A17" s="111">
        <f t="shared" si="6"/>
        <v>17</v>
      </c>
      <c r="B17" s="30" t="s">
        <v>572</v>
      </c>
      <c r="C17" s="99"/>
      <c r="D17" s="30"/>
      <c r="E17" s="30"/>
      <c r="F17" s="739">
        <f t="shared" ref="F17:L17" si="7">+F16*12</f>
        <v>14.4</v>
      </c>
      <c r="G17" s="739">
        <f t="shared" si="7"/>
        <v>14.4</v>
      </c>
      <c r="H17" s="739">
        <f t="shared" si="7"/>
        <v>14.4</v>
      </c>
      <c r="I17" s="739">
        <f t="shared" si="7"/>
        <v>14.4</v>
      </c>
      <c r="J17" s="739">
        <f t="shared" si="7"/>
        <v>14.4</v>
      </c>
      <c r="K17" s="739">
        <f t="shared" si="7"/>
        <v>14.4</v>
      </c>
      <c r="L17" s="739">
        <f t="shared" si="7"/>
        <v>14.4</v>
      </c>
      <c r="M17" s="460"/>
      <c r="N17" s="119"/>
      <c r="O17" s="30"/>
      <c r="P17" s="30"/>
      <c r="Q17" s="30"/>
      <c r="R17" s="30"/>
      <c r="S17" s="30"/>
      <c r="T17" s="30"/>
      <c r="U17" s="30"/>
      <c r="V17" s="30"/>
      <c r="W17" s="30"/>
      <c r="X17" s="30"/>
      <c r="Y17" s="30"/>
      <c r="Z17" s="30"/>
    </row>
    <row r="18" ht="13.5" customHeight="1" outlineLevel="1">
      <c r="A18" s="111">
        <f t="shared" si="6"/>
        <v>18</v>
      </c>
      <c r="B18" s="30"/>
      <c r="C18" s="30"/>
      <c r="D18" s="30"/>
      <c r="E18" s="30"/>
      <c r="F18" s="740"/>
      <c r="G18" s="740"/>
      <c r="H18" s="740"/>
      <c r="I18" s="740"/>
      <c r="J18" s="740"/>
      <c r="K18" s="740"/>
      <c r="L18" s="740"/>
      <c r="M18" s="460"/>
      <c r="N18" s="119"/>
      <c r="O18" s="30"/>
      <c r="P18" s="30"/>
      <c r="Q18" s="30"/>
      <c r="R18" s="30"/>
      <c r="S18" s="30"/>
      <c r="T18" s="30"/>
      <c r="U18" s="30"/>
      <c r="V18" s="30"/>
      <c r="W18" s="30"/>
      <c r="X18" s="30"/>
      <c r="Y18" s="30"/>
      <c r="Z18" s="30"/>
    </row>
    <row r="19" ht="13.5" customHeight="1" outlineLevel="1">
      <c r="A19" s="111">
        <f t="shared" si="6"/>
        <v>19</v>
      </c>
      <c r="B19" s="702" t="s">
        <v>573</v>
      </c>
      <c r="C19" s="30"/>
      <c r="D19" s="30"/>
      <c r="E19" s="30"/>
      <c r="F19" s="741"/>
      <c r="G19" s="741"/>
      <c r="H19" s="742">
        <v>0.03</v>
      </c>
      <c r="I19" s="742">
        <v>0.03</v>
      </c>
      <c r="J19" s="742">
        <v>0.03</v>
      </c>
      <c r="K19" s="742">
        <v>0.03</v>
      </c>
      <c r="L19" s="742">
        <v>0.03</v>
      </c>
      <c r="M19" s="460"/>
      <c r="N19" s="119"/>
      <c r="O19" s="30"/>
      <c r="P19" s="30"/>
      <c r="Q19" s="30"/>
      <c r="R19" s="30"/>
      <c r="S19" s="30"/>
      <c r="T19" s="30"/>
      <c r="U19" s="30"/>
      <c r="V19" s="30"/>
      <c r="W19" s="30"/>
      <c r="X19" s="30"/>
      <c r="Y19" s="30"/>
      <c r="Z19" s="30"/>
    </row>
    <row r="20" ht="13.5" customHeight="1" outlineLevel="1">
      <c r="A20" s="111">
        <f t="shared" si="6"/>
        <v>20</v>
      </c>
      <c r="B20" s="702" t="s">
        <v>574</v>
      </c>
      <c r="C20" s="30"/>
      <c r="D20" s="30"/>
      <c r="E20" s="30"/>
      <c r="F20" s="743">
        <f t="shared" ref="F20:L20" si="8">+F21/12</f>
        <v>1.2</v>
      </c>
      <c r="G20" s="743">
        <f t="shared" si="8"/>
        <v>1.2</v>
      </c>
      <c r="H20" s="743">
        <f t="shared" si="8"/>
        <v>1.236</v>
      </c>
      <c r="I20" s="743">
        <f t="shared" si="8"/>
        <v>1.27308</v>
      </c>
      <c r="J20" s="743">
        <f t="shared" si="8"/>
        <v>1.3112724</v>
      </c>
      <c r="K20" s="743">
        <f t="shared" si="8"/>
        <v>1.350610572</v>
      </c>
      <c r="L20" s="743">
        <f t="shared" si="8"/>
        <v>1.391128889</v>
      </c>
      <c r="M20" s="460"/>
      <c r="N20" s="119"/>
      <c r="O20" s="30"/>
      <c r="P20" s="30"/>
      <c r="Q20" s="30"/>
      <c r="R20" s="30"/>
      <c r="S20" s="30"/>
      <c r="T20" s="30"/>
      <c r="U20" s="30"/>
      <c r="V20" s="30"/>
      <c r="W20" s="30"/>
      <c r="X20" s="30"/>
      <c r="Y20" s="30"/>
      <c r="Z20" s="30"/>
    </row>
    <row r="21" ht="13.5" customHeight="1" outlineLevel="1">
      <c r="A21" s="111">
        <f t="shared" si="6"/>
        <v>21</v>
      </c>
      <c r="B21" s="702" t="s">
        <v>575</v>
      </c>
      <c r="C21" s="30"/>
      <c r="D21" s="30"/>
      <c r="E21" s="30"/>
      <c r="F21" s="740">
        <f t="shared" ref="F21:G21" si="9">+F17*(1+F19)</f>
        <v>14.4</v>
      </c>
      <c r="G21" s="740">
        <f t="shared" si="9"/>
        <v>14.4</v>
      </c>
      <c r="H21" s="740">
        <f t="shared" ref="H21:L21" si="10">+G21*(1+H19)</f>
        <v>14.832</v>
      </c>
      <c r="I21" s="740">
        <f t="shared" si="10"/>
        <v>15.27696</v>
      </c>
      <c r="J21" s="740">
        <f t="shared" si="10"/>
        <v>15.7352688</v>
      </c>
      <c r="K21" s="740">
        <f t="shared" si="10"/>
        <v>16.20732686</v>
      </c>
      <c r="L21" s="740">
        <f t="shared" si="10"/>
        <v>16.69354667</v>
      </c>
      <c r="M21" s="460"/>
      <c r="N21" s="119"/>
      <c r="O21" s="30"/>
      <c r="P21" s="30"/>
      <c r="Q21" s="30"/>
      <c r="R21" s="30"/>
      <c r="S21" s="30"/>
      <c r="T21" s="30"/>
      <c r="U21" s="30"/>
      <c r="V21" s="30"/>
      <c r="W21" s="30"/>
      <c r="X21" s="30"/>
      <c r="Y21" s="30"/>
      <c r="Z21" s="30"/>
    </row>
    <row r="22" ht="13.5" customHeight="1" outlineLevel="1">
      <c r="A22" s="111">
        <f t="shared" si="6"/>
        <v>22</v>
      </c>
      <c r="B22" s="63"/>
      <c r="C22" s="30"/>
      <c r="D22" s="30"/>
      <c r="E22" s="30"/>
      <c r="F22" s="30"/>
      <c r="G22" s="211"/>
      <c r="H22" s="211"/>
      <c r="I22" s="211"/>
      <c r="J22" s="211"/>
      <c r="K22" s="211"/>
      <c r="L22" s="211"/>
      <c r="M22" s="460"/>
      <c r="N22" s="119"/>
      <c r="O22" s="30"/>
      <c r="P22" s="30"/>
      <c r="Q22" s="30"/>
      <c r="R22" s="30"/>
      <c r="S22" s="30"/>
      <c r="T22" s="30"/>
      <c r="U22" s="30"/>
      <c r="V22" s="30"/>
      <c r="W22" s="30"/>
      <c r="X22" s="30"/>
      <c r="Y22" s="30"/>
      <c r="Z22" s="30"/>
    </row>
    <row r="23" ht="13.5" customHeight="1" outlineLevel="1">
      <c r="A23" s="111">
        <f t="shared" si="6"/>
        <v>23</v>
      </c>
      <c r="B23" s="744" t="s">
        <v>576</v>
      </c>
      <c r="C23" s="745"/>
      <c r="D23" s="371"/>
      <c r="E23" s="746">
        <f>SUM(F23:L23)</f>
        <v>4606532</v>
      </c>
      <c r="F23" s="747">
        <v>658076.0</v>
      </c>
      <c r="G23" s="747">
        <v>658076.0</v>
      </c>
      <c r="H23" s="747">
        <v>658076.0</v>
      </c>
      <c r="I23" s="747">
        <v>658076.0</v>
      </c>
      <c r="J23" s="747">
        <v>658076.0</v>
      </c>
      <c r="K23" s="747">
        <v>658076.0</v>
      </c>
      <c r="L23" s="747">
        <v>658076.0</v>
      </c>
      <c r="M23" s="460"/>
      <c r="N23" s="119"/>
      <c r="O23" s="30"/>
      <c r="P23" s="30"/>
      <c r="Q23" s="30"/>
      <c r="R23" s="30"/>
      <c r="S23" s="30"/>
      <c r="T23" s="30"/>
      <c r="U23" s="30"/>
      <c r="V23" s="30"/>
      <c r="W23" s="30"/>
      <c r="X23" s="30"/>
      <c r="Y23" s="30"/>
      <c r="Z23" s="30"/>
    </row>
    <row r="24" ht="13.5" customHeight="1" outlineLevel="1">
      <c r="A24" s="111">
        <f t="shared" si="6"/>
        <v>24</v>
      </c>
      <c r="B24" s="748"/>
      <c r="C24" s="99" t="s">
        <v>577</v>
      </c>
      <c r="D24" s="30"/>
      <c r="E24" s="749"/>
      <c r="F24" s="749"/>
      <c r="G24" s="142"/>
      <c r="H24" s="115"/>
      <c r="I24" s="115"/>
      <c r="J24" s="115"/>
      <c r="K24" s="115"/>
      <c r="L24" s="115"/>
      <c r="M24" s="460"/>
      <c r="N24" s="119"/>
      <c r="O24" s="30"/>
      <c r="P24" s="30"/>
      <c r="Q24" s="30"/>
      <c r="R24" s="30"/>
      <c r="S24" s="30"/>
      <c r="T24" s="30"/>
      <c r="U24" s="30"/>
      <c r="V24" s="30"/>
      <c r="W24" s="30"/>
      <c r="X24" s="30"/>
      <c r="Y24" s="30"/>
      <c r="Z24" s="30"/>
    </row>
    <row r="25" ht="13.5" customHeight="1" outlineLevel="1">
      <c r="A25" s="111">
        <f t="shared" si="6"/>
        <v>25</v>
      </c>
      <c r="B25" s="30" t="s">
        <v>578</v>
      </c>
      <c r="C25" s="750">
        <v>0.0</v>
      </c>
      <c r="D25" s="356" t="s">
        <v>579</v>
      </c>
      <c r="E25" s="751">
        <f t="shared" ref="E25:E35" si="12">SUM(F25:L25)</f>
        <v>0</v>
      </c>
      <c r="F25" s="752"/>
      <c r="G25" s="753">
        <f t="shared" ref="G25:L25" si="11">G$11*$C25</f>
        <v>0</v>
      </c>
      <c r="H25" s="753">
        <f t="shared" si="11"/>
        <v>0</v>
      </c>
      <c r="I25" s="753">
        <f t="shared" si="11"/>
        <v>0</v>
      </c>
      <c r="J25" s="753">
        <f t="shared" si="11"/>
        <v>0</v>
      </c>
      <c r="K25" s="753">
        <f t="shared" si="11"/>
        <v>0</v>
      </c>
      <c r="L25" s="753">
        <f t="shared" si="11"/>
        <v>0</v>
      </c>
      <c r="M25" s="460"/>
      <c r="N25" s="119"/>
      <c r="O25" s="30"/>
      <c r="P25" s="30"/>
      <c r="Q25" s="30"/>
      <c r="R25" s="30"/>
      <c r="S25" s="30"/>
      <c r="T25" s="30"/>
      <c r="U25" s="30"/>
      <c r="V25" s="30"/>
      <c r="W25" s="30"/>
      <c r="X25" s="30"/>
      <c r="Y25" s="30"/>
      <c r="Z25" s="30"/>
    </row>
    <row r="26" ht="13.5" customHeight="1" outlineLevel="1">
      <c r="A26" s="111">
        <f t="shared" si="6"/>
        <v>26</v>
      </c>
      <c r="B26" s="30" t="s">
        <v>580</v>
      </c>
      <c r="C26" s="754">
        <v>2.15</v>
      </c>
      <c r="D26" s="356" t="s">
        <v>579</v>
      </c>
      <c r="E26" s="751">
        <f t="shared" si="12"/>
        <v>878934.9</v>
      </c>
      <c r="F26" s="755">
        <v>125562.0</v>
      </c>
      <c r="G26" s="756">
        <f t="shared" ref="G26:L26" si="13">G11*$C$26</f>
        <v>125562.15</v>
      </c>
      <c r="H26" s="756">
        <f t="shared" si="13"/>
        <v>125562.15</v>
      </c>
      <c r="I26" s="756">
        <f t="shared" si="13"/>
        <v>125562.15</v>
      </c>
      <c r="J26" s="756">
        <f t="shared" si="13"/>
        <v>125562.15</v>
      </c>
      <c r="K26" s="756">
        <f t="shared" si="13"/>
        <v>125562.15</v>
      </c>
      <c r="L26" s="756">
        <f t="shared" si="13"/>
        <v>125562.15</v>
      </c>
      <c r="M26" s="757"/>
      <c r="N26" s="119"/>
      <c r="O26" s="30"/>
      <c r="P26" s="30"/>
      <c r="Q26" s="30"/>
      <c r="R26" s="30"/>
      <c r="S26" s="30"/>
      <c r="T26" s="30"/>
      <c r="U26" s="30"/>
      <c r="V26" s="30"/>
      <c r="W26" s="30"/>
      <c r="X26" s="30"/>
      <c r="Y26" s="30"/>
      <c r="Z26" s="30"/>
    </row>
    <row r="27" ht="13.5" customHeight="1" outlineLevel="1">
      <c r="A27" s="111">
        <f t="shared" si="6"/>
        <v>27</v>
      </c>
      <c r="B27" s="30" t="s">
        <v>581</v>
      </c>
      <c r="C27" s="750">
        <v>0.0</v>
      </c>
      <c r="D27" s="356" t="s">
        <v>579</v>
      </c>
      <c r="E27" s="751">
        <f t="shared" si="12"/>
        <v>0</v>
      </c>
      <c r="F27" s="752"/>
      <c r="G27" s="756">
        <f t="shared" ref="G27:L27" si="14">G11*$C27</f>
        <v>0</v>
      </c>
      <c r="H27" s="756">
        <f t="shared" si="14"/>
        <v>0</v>
      </c>
      <c r="I27" s="756">
        <f t="shared" si="14"/>
        <v>0</v>
      </c>
      <c r="J27" s="756">
        <f t="shared" si="14"/>
        <v>0</v>
      </c>
      <c r="K27" s="756">
        <f t="shared" si="14"/>
        <v>0</v>
      </c>
      <c r="L27" s="756">
        <f t="shared" si="14"/>
        <v>0</v>
      </c>
      <c r="M27" s="460"/>
      <c r="N27" s="119"/>
      <c r="O27" s="30"/>
      <c r="P27" s="30"/>
      <c r="Q27" s="30"/>
      <c r="R27" s="30"/>
      <c r="S27" s="30"/>
      <c r="T27" s="30"/>
      <c r="U27" s="30"/>
      <c r="V27" s="30"/>
      <c r="W27" s="30"/>
      <c r="X27" s="30"/>
      <c r="Y27" s="30"/>
      <c r="Z27" s="30"/>
    </row>
    <row r="28" ht="13.5" customHeight="1" outlineLevel="1">
      <c r="A28" s="111">
        <f t="shared" si="6"/>
        <v>28</v>
      </c>
      <c r="B28" s="30" t="s">
        <v>582</v>
      </c>
      <c r="C28" s="750">
        <v>0.0</v>
      </c>
      <c r="D28" s="356" t="s">
        <v>583</v>
      </c>
      <c r="E28" s="751">
        <f t="shared" si="12"/>
        <v>0</v>
      </c>
      <c r="F28" s="752"/>
      <c r="G28" s="756">
        <f t="shared" ref="G28:G29" si="16">+C28</f>
        <v>0</v>
      </c>
      <c r="H28" s="756">
        <f t="shared" ref="H28:L28" si="15">+G28</f>
        <v>0</v>
      </c>
      <c r="I28" s="756">
        <f t="shared" si="15"/>
        <v>0</v>
      </c>
      <c r="J28" s="756">
        <f t="shared" si="15"/>
        <v>0</v>
      </c>
      <c r="K28" s="756">
        <f t="shared" si="15"/>
        <v>0</v>
      </c>
      <c r="L28" s="756">
        <f t="shared" si="15"/>
        <v>0</v>
      </c>
      <c r="M28" s="460"/>
      <c r="N28" s="119"/>
      <c r="O28" s="30"/>
      <c r="P28" s="30"/>
      <c r="Q28" s="30"/>
      <c r="R28" s="30"/>
      <c r="S28" s="30"/>
      <c r="T28" s="30"/>
      <c r="U28" s="30"/>
      <c r="V28" s="30"/>
      <c r="W28" s="30"/>
      <c r="X28" s="30"/>
      <c r="Y28" s="30"/>
      <c r="Z28" s="30"/>
    </row>
    <row r="29" ht="13.5" customHeight="1" outlineLevel="1">
      <c r="A29" s="111">
        <f t="shared" si="6"/>
        <v>29</v>
      </c>
      <c r="B29" s="30" t="s">
        <v>584</v>
      </c>
      <c r="C29" s="758">
        <v>2.0</v>
      </c>
      <c r="D29" s="356" t="s">
        <v>583</v>
      </c>
      <c r="E29" s="751">
        <f t="shared" si="12"/>
        <v>14</v>
      </c>
      <c r="F29" s="755">
        <v>2.0</v>
      </c>
      <c r="G29" s="756">
        <f t="shared" si="16"/>
        <v>2</v>
      </c>
      <c r="H29" s="756">
        <f t="shared" ref="H29:L29" si="17">+G29</f>
        <v>2</v>
      </c>
      <c r="I29" s="756">
        <f t="shared" si="17"/>
        <v>2</v>
      </c>
      <c r="J29" s="756">
        <f t="shared" si="17"/>
        <v>2</v>
      </c>
      <c r="K29" s="756">
        <f t="shared" si="17"/>
        <v>2</v>
      </c>
      <c r="L29" s="756">
        <f t="shared" si="17"/>
        <v>2</v>
      </c>
      <c r="M29" s="460"/>
      <c r="N29" s="119"/>
      <c r="O29" s="30"/>
      <c r="P29" s="30"/>
      <c r="Q29" s="30"/>
      <c r="R29" s="30"/>
      <c r="S29" s="30"/>
      <c r="T29" s="30"/>
      <c r="U29" s="30"/>
      <c r="V29" s="30"/>
      <c r="W29" s="30"/>
      <c r="X29" s="30"/>
      <c r="Y29" s="30"/>
      <c r="Z29" s="30"/>
    </row>
    <row r="30" ht="13.5" customHeight="1" outlineLevel="1">
      <c r="A30" s="111">
        <f t="shared" si="6"/>
        <v>30</v>
      </c>
      <c r="B30" s="30" t="s">
        <v>585</v>
      </c>
      <c r="C30" s="750">
        <v>0.25</v>
      </c>
      <c r="D30" s="356" t="s">
        <v>579</v>
      </c>
      <c r="E30" s="751">
        <f t="shared" si="12"/>
        <v>102201.5</v>
      </c>
      <c r="F30" s="755">
        <v>14600.0</v>
      </c>
      <c r="G30" s="756">
        <f t="shared" ref="G30:L30" si="18">G$11*$C30</f>
        <v>14600.25</v>
      </c>
      <c r="H30" s="756">
        <f t="shared" si="18"/>
        <v>14600.25</v>
      </c>
      <c r="I30" s="756">
        <f t="shared" si="18"/>
        <v>14600.25</v>
      </c>
      <c r="J30" s="756">
        <f t="shared" si="18"/>
        <v>14600.25</v>
      </c>
      <c r="K30" s="756">
        <f t="shared" si="18"/>
        <v>14600.25</v>
      </c>
      <c r="L30" s="756">
        <f t="shared" si="18"/>
        <v>14600.25</v>
      </c>
      <c r="M30" s="460"/>
      <c r="N30" s="119"/>
      <c r="O30" s="30"/>
      <c r="P30" s="30"/>
      <c r="Q30" s="30"/>
      <c r="R30" s="30"/>
      <c r="S30" s="30"/>
      <c r="T30" s="30"/>
      <c r="U30" s="30"/>
      <c r="V30" s="30"/>
      <c r="W30" s="30"/>
      <c r="X30" s="30"/>
      <c r="Y30" s="30"/>
      <c r="Z30" s="30"/>
    </row>
    <row r="31" ht="13.5" customHeight="1" outlineLevel="1">
      <c r="A31" s="111">
        <f t="shared" si="6"/>
        <v>31</v>
      </c>
      <c r="B31" s="30" t="s">
        <v>586</v>
      </c>
      <c r="C31" s="750">
        <v>0.25</v>
      </c>
      <c r="D31" s="356" t="s">
        <v>579</v>
      </c>
      <c r="E31" s="751">
        <f t="shared" si="12"/>
        <v>102201.5</v>
      </c>
      <c r="F31" s="755">
        <v>14600.0</v>
      </c>
      <c r="G31" s="756">
        <f t="shared" ref="G31:L31" si="19">G$11*$C31</f>
        <v>14600.25</v>
      </c>
      <c r="H31" s="756">
        <f t="shared" si="19"/>
        <v>14600.25</v>
      </c>
      <c r="I31" s="756">
        <f t="shared" si="19"/>
        <v>14600.25</v>
      </c>
      <c r="J31" s="756">
        <f t="shared" si="19"/>
        <v>14600.25</v>
      </c>
      <c r="K31" s="756">
        <f t="shared" si="19"/>
        <v>14600.25</v>
      </c>
      <c r="L31" s="756">
        <f t="shared" si="19"/>
        <v>14600.25</v>
      </c>
      <c r="M31" s="460"/>
      <c r="N31" s="119"/>
      <c r="O31" s="30"/>
      <c r="P31" s="30"/>
      <c r="Q31" s="30"/>
      <c r="R31" s="30"/>
      <c r="S31" s="30"/>
      <c r="T31" s="30"/>
      <c r="U31" s="30"/>
      <c r="V31" s="30"/>
      <c r="W31" s="30"/>
      <c r="X31" s="30"/>
      <c r="Y31" s="30"/>
      <c r="Z31" s="30"/>
    </row>
    <row r="32" ht="13.5" customHeight="1" outlineLevel="1">
      <c r="A32" s="111">
        <f t="shared" si="6"/>
        <v>32</v>
      </c>
      <c r="B32" s="30" t="s">
        <v>587</v>
      </c>
      <c r="C32" s="750">
        <v>0.0</v>
      </c>
      <c r="D32" s="356" t="s">
        <v>579</v>
      </c>
      <c r="E32" s="751">
        <f t="shared" si="12"/>
        <v>0</v>
      </c>
      <c r="F32" s="759"/>
      <c r="G32" s="760">
        <f t="shared" ref="G32:L32" si="20">G$11*$C32</f>
        <v>0</v>
      </c>
      <c r="H32" s="760">
        <f t="shared" si="20"/>
        <v>0</v>
      </c>
      <c r="I32" s="760">
        <f t="shared" si="20"/>
        <v>0</v>
      </c>
      <c r="J32" s="760">
        <f t="shared" si="20"/>
        <v>0</v>
      </c>
      <c r="K32" s="760">
        <f t="shared" si="20"/>
        <v>0</v>
      </c>
      <c r="L32" s="760">
        <f t="shared" si="20"/>
        <v>0</v>
      </c>
      <c r="M32" s="460"/>
      <c r="N32" s="119"/>
      <c r="O32" s="30"/>
      <c r="P32" s="30"/>
      <c r="Q32" s="30"/>
      <c r="R32" s="30"/>
      <c r="S32" s="30"/>
      <c r="T32" s="30"/>
      <c r="U32" s="30"/>
      <c r="V32" s="30"/>
      <c r="W32" s="30"/>
      <c r="X32" s="30"/>
      <c r="Y32" s="30"/>
      <c r="Z32" s="30"/>
    </row>
    <row r="33" ht="13.5" customHeight="1" outlineLevel="1">
      <c r="A33" s="111">
        <f t="shared" si="6"/>
        <v>33</v>
      </c>
      <c r="B33" s="371" t="s">
        <v>588</v>
      </c>
      <c r="C33" s="761">
        <v>0.0</v>
      </c>
      <c r="D33" s="762" t="s">
        <v>589</v>
      </c>
      <c r="E33" s="763">
        <f t="shared" si="12"/>
        <v>1083351.9</v>
      </c>
      <c r="F33" s="764">
        <f t="shared" ref="F33:L33" si="21">SUM(F25:F32)*((1+$C$33)^F6)</f>
        <v>154764</v>
      </c>
      <c r="G33" s="764">
        <f t="shared" si="21"/>
        <v>154764.65</v>
      </c>
      <c r="H33" s="764">
        <f t="shared" si="21"/>
        <v>154764.65</v>
      </c>
      <c r="I33" s="764">
        <f t="shared" si="21"/>
        <v>154764.65</v>
      </c>
      <c r="J33" s="764">
        <f t="shared" si="21"/>
        <v>154764.65</v>
      </c>
      <c r="K33" s="764">
        <f t="shared" si="21"/>
        <v>154764.65</v>
      </c>
      <c r="L33" s="764">
        <f t="shared" si="21"/>
        <v>154764.65</v>
      </c>
      <c r="M33" s="460"/>
      <c r="N33" s="119"/>
      <c r="O33" s="30"/>
      <c r="P33" s="30"/>
      <c r="Q33" s="30"/>
      <c r="R33" s="30"/>
      <c r="S33" s="30"/>
      <c r="T33" s="30"/>
      <c r="U33" s="30"/>
      <c r="V33" s="30"/>
      <c r="W33" s="30"/>
      <c r="X33" s="30"/>
      <c r="Y33" s="30"/>
      <c r="Z33" s="30"/>
    </row>
    <row r="34" ht="13.5" customHeight="1" outlineLevel="1">
      <c r="A34" s="111">
        <f t="shared" si="6"/>
        <v>34</v>
      </c>
      <c r="B34" s="63" t="s">
        <v>590</v>
      </c>
      <c r="C34" s="758">
        <v>0.0</v>
      </c>
      <c r="D34" s="30" t="s">
        <v>591</v>
      </c>
      <c r="E34" s="751">
        <f t="shared" si="12"/>
        <v>0</v>
      </c>
      <c r="F34" s="752">
        <v>0.0</v>
      </c>
      <c r="G34" s="752">
        <f>+C34</f>
        <v>0</v>
      </c>
      <c r="H34" s="756"/>
      <c r="I34" s="756"/>
      <c r="J34" s="756"/>
      <c r="K34" s="756"/>
      <c r="L34" s="756"/>
      <c r="M34" s="460"/>
      <c r="N34" s="119"/>
      <c r="O34" s="30"/>
      <c r="P34" s="30"/>
      <c r="Q34" s="30"/>
      <c r="R34" s="30"/>
      <c r="S34" s="30"/>
      <c r="T34" s="30"/>
      <c r="U34" s="30"/>
      <c r="V34" s="30"/>
      <c r="W34" s="30"/>
      <c r="X34" s="30"/>
      <c r="Y34" s="30"/>
      <c r="Z34" s="30"/>
    </row>
    <row r="35" ht="13.5" customHeight="1" outlineLevel="1">
      <c r="A35" s="111">
        <f t="shared" si="6"/>
        <v>35</v>
      </c>
      <c r="B35" s="765" t="s">
        <v>592</v>
      </c>
      <c r="C35" s="766"/>
      <c r="D35" s="30"/>
      <c r="E35" s="751">
        <f t="shared" si="12"/>
        <v>0</v>
      </c>
      <c r="F35" s="767"/>
      <c r="G35" s="767"/>
      <c r="H35" s="768"/>
      <c r="I35" s="768"/>
      <c r="J35" s="768"/>
      <c r="K35" s="768"/>
      <c r="L35" s="768"/>
      <c r="M35" s="460"/>
      <c r="N35" s="119"/>
      <c r="O35" s="30"/>
      <c r="P35" s="30"/>
      <c r="Q35" s="30"/>
      <c r="R35" s="30"/>
      <c r="S35" s="30"/>
      <c r="T35" s="30"/>
      <c r="U35" s="30"/>
      <c r="V35" s="30"/>
      <c r="W35" s="30"/>
      <c r="X35" s="30"/>
      <c r="Y35" s="30"/>
      <c r="Z35" s="30"/>
    </row>
    <row r="36" ht="13.5" customHeight="1" outlineLevel="1">
      <c r="A36" s="111">
        <f t="shared" si="6"/>
        <v>36</v>
      </c>
      <c r="B36" s="65" t="s">
        <v>593</v>
      </c>
      <c r="C36" s="766"/>
      <c r="D36" s="30"/>
      <c r="E36" s="751"/>
      <c r="F36" s="752"/>
      <c r="G36" s="752"/>
      <c r="H36" s="756"/>
      <c r="I36" s="756"/>
      <c r="J36" s="756"/>
      <c r="K36" s="756"/>
      <c r="L36" s="756"/>
      <c r="M36" s="460"/>
      <c r="N36" s="119"/>
      <c r="O36" s="30"/>
      <c r="P36" s="30"/>
      <c r="Q36" s="30"/>
      <c r="R36" s="30"/>
      <c r="S36" s="30"/>
      <c r="T36" s="30"/>
      <c r="U36" s="30"/>
      <c r="V36" s="30"/>
      <c r="W36" s="30"/>
      <c r="X36" s="30"/>
      <c r="Y36" s="30"/>
      <c r="Z36" s="30"/>
    </row>
    <row r="37" ht="13.5" customHeight="1" outlineLevel="1">
      <c r="A37" s="111">
        <f t="shared" si="6"/>
        <v>37</v>
      </c>
      <c r="B37" s="65" t="s">
        <v>594</v>
      </c>
      <c r="C37" s="766"/>
      <c r="D37" s="30"/>
      <c r="E37" s="751"/>
      <c r="F37" s="752"/>
      <c r="G37" s="752"/>
      <c r="H37" s="756"/>
      <c r="I37" s="756"/>
      <c r="J37" s="756"/>
      <c r="K37" s="756"/>
      <c r="L37" s="756"/>
      <c r="M37" s="460"/>
      <c r="N37" s="119"/>
      <c r="O37" s="30"/>
      <c r="P37" s="30"/>
      <c r="Q37" s="30"/>
      <c r="R37" s="30"/>
      <c r="S37" s="30"/>
      <c r="T37" s="30"/>
      <c r="U37" s="30"/>
      <c r="V37" s="30"/>
      <c r="W37" s="30"/>
      <c r="X37" s="30"/>
      <c r="Y37" s="30"/>
      <c r="Z37" s="30"/>
    </row>
    <row r="38" ht="13.5" customHeight="1" outlineLevel="1">
      <c r="A38" s="111">
        <f t="shared" si="6"/>
        <v>38</v>
      </c>
      <c r="B38" s="65"/>
      <c r="C38" s="766"/>
      <c r="D38" s="30"/>
      <c r="E38" s="751"/>
      <c r="F38" s="752"/>
      <c r="G38" s="752"/>
      <c r="H38" s="756"/>
      <c r="I38" s="756"/>
      <c r="J38" s="756"/>
      <c r="K38" s="756"/>
      <c r="L38" s="756"/>
      <c r="M38" s="460"/>
      <c r="N38" s="119"/>
      <c r="O38" s="30"/>
      <c r="P38" s="30"/>
      <c r="Q38" s="30"/>
      <c r="R38" s="30"/>
      <c r="S38" s="30"/>
      <c r="T38" s="30"/>
      <c r="U38" s="30"/>
      <c r="V38" s="30"/>
      <c r="W38" s="30"/>
      <c r="X38" s="30"/>
      <c r="Y38" s="30"/>
      <c r="Z38" s="30"/>
    </row>
    <row r="39" ht="13.5" customHeight="1" outlineLevel="1">
      <c r="A39" s="111">
        <f t="shared" si="6"/>
        <v>39</v>
      </c>
      <c r="B39" s="65" t="s">
        <v>595</v>
      </c>
      <c r="C39" s="766"/>
      <c r="D39" s="30"/>
      <c r="E39" s="751"/>
      <c r="F39" s="752"/>
      <c r="G39" s="752"/>
      <c r="H39" s="756"/>
      <c r="I39" s="756"/>
      <c r="J39" s="756"/>
      <c r="K39" s="756"/>
      <c r="L39" s="756"/>
      <c r="M39" s="460"/>
      <c r="N39" s="119"/>
      <c r="O39" s="30"/>
      <c r="P39" s="30"/>
      <c r="Q39" s="30"/>
      <c r="R39" s="30"/>
      <c r="S39" s="30"/>
      <c r="T39" s="30"/>
      <c r="U39" s="30"/>
      <c r="V39" s="30"/>
      <c r="W39" s="30"/>
      <c r="X39" s="30"/>
      <c r="Y39" s="30"/>
      <c r="Z39" s="30"/>
    </row>
    <row r="40" ht="13.5" customHeight="1" outlineLevel="1">
      <c r="A40" s="111">
        <f t="shared" si="6"/>
        <v>40</v>
      </c>
      <c r="B40" s="65" t="s">
        <v>596</v>
      </c>
      <c r="C40" s="30"/>
      <c r="D40" s="30"/>
      <c r="E40" s="751">
        <f t="shared" ref="E40:E41" si="23">SUM(F40:L40)</f>
        <v>0</v>
      </c>
      <c r="F40" s="769">
        <f>F35/15</f>
        <v>0</v>
      </c>
      <c r="G40" s="769">
        <f t="shared" ref="G40:L40" si="22">F40+(G35/15)</f>
        <v>0</v>
      </c>
      <c r="H40" s="193">
        <f t="shared" si="22"/>
        <v>0</v>
      </c>
      <c r="I40" s="193">
        <f t="shared" si="22"/>
        <v>0</v>
      </c>
      <c r="J40" s="193">
        <f t="shared" si="22"/>
        <v>0</v>
      </c>
      <c r="K40" s="193">
        <f t="shared" si="22"/>
        <v>0</v>
      </c>
      <c r="L40" s="193">
        <f t="shared" si="22"/>
        <v>0</v>
      </c>
      <c r="M40" s="460"/>
      <c r="N40" s="119"/>
      <c r="O40" s="30"/>
      <c r="P40" s="30"/>
      <c r="Q40" s="30"/>
      <c r="R40" s="30"/>
      <c r="S40" s="30"/>
      <c r="T40" s="30"/>
      <c r="U40" s="30"/>
      <c r="V40" s="30"/>
      <c r="W40" s="30"/>
      <c r="X40" s="30"/>
      <c r="Y40" s="30"/>
      <c r="Z40" s="30"/>
    </row>
    <row r="41" ht="13.5" customHeight="1" outlineLevel="1">
      <c r="A41" s="111">
        <f t="shared" si="6"/>
        <v>41</v>
      </c>
      <c r="B41" s="689" t="s">
        <v>597</v>
      </c>
      <c r="C41" s="371"/>
      <c r="D41" s="371"/>
      <c r="E41" s="213">
        <f t="shared" si="23"/>
        <v>5689883.9</v>
      </c>
      <c r="F41" s="770">
        <f t="shared" ref="F41:L41" si="24">SUM(F23,F33,F34,F35:F39)</f>
        <v>812840</v>
      </c>
      <c r="G41" s="770">
        <f t="shared" si="24"/>
        <v>812840.65</v>
      </c>
      <c r="H41" s="770">
        <f t="shared" si="24"/>
        <v>812840.65</v>
      </c>
      <c r="I41" s="770">
        <f t="shared" si="24"/>
        <v>812840.65</v>
      </c>
      <c r="J41" s="770">
        <f t="shared" si="24"/>
        <v>812840.65</v>
      </c>
      <c r="K41" s="770">
        <f t="shared" si="24"/>
        <v>812840.65</v>
      </c>
      <c r="L41" s="770">
        <f t="shared" si="24"/>
        <v>812840.65</v>
      </c>
      <c r="M41" s="460"/>
      <c r="N41" s="119"/>
      <c r="O41" s="30"/>
      <c r="P41" s="30"/>
      <c r="Q41" s="30"/>
      <c r="R41" s="30"/>
      <c r="S41" s="30"/>
      <c r="T41" s="30"/>
      <c r="U41" s="30"/>
      <c r="V41" s="30"/>
      <c r="W41" s="30"/>
      <c r="X41" s="30"/>
      <c r="Y41" s="30"/>
      <c r="Z41" s="30"/>
    </row>
    <row r="42" ht="13.5" customHeight="1" outlineLevel="1">
      <c r="A42" s="111">
        <f t="shared" si="6"/>
        <v>42</v>
      </c>
      <c r="B42" s="63" t="s">
        <v>598</v>
      </c>
      <c r="C42" s="30"/>
      <c r="D42" s="30"/>
      <c r="E42" s="63"/>
      <c r="F42" s="771">
        <f t="shared" ref="F42:L42" si="25">SUM(F23,F33)+F40</f>
        <v>812840</v>
      </c>
      <c r="G42" s="771">
        <f t="shared" si="25"/>
        <v>812840.65</v>
      </c>
      <c r="H42" s="771">
        <f t="shared" si="25"/>
        <v>812840.65</v>
      </c>
      <c r="I42" s="771">
        <f t="shared" si="25"/>
        <v>812840.65</v>
      </c>
      <c r="J42" s="771">
        <f t="shared" si="25"/>
        <v>812840.65</v>
      </c>
      <c r="K42" s="771">
        <f t="shared" si="25"/>
        <v>812840.65</v>
      </c>
      <c r="L42" s="771">
        <f t="shared" si="25"/>
        <v>812840.65</v>
      </c>
      <c r="M42" s="460"/>
      <c r="N42" s="119"/>
      <c r="O42" s="30"/>
      <c r="P42" s="30"/>
      <c r="Q42" s="30"/>
      <c r="R42" s="30"/>
      <c r="S42" s="30"/>
      <c r="T42" s="30"/>
      <c r="U42" s="30"/>
      <c r="V42" s="30"/>
      <c r="W42" s="30"/>
      <c r="X42" s="30"/>
      <c r="Y42" s="30"/>
      <c r="Z42" s="30"/>
    </row>
    <row r="43" ht="13.5" customHeight="1" outlineLevel="1">
      <c r="A43" s="111">
        <f t="shared" si="6"/>
        <v>43</v>
      </c>
      <c r="B43" s="164" t="s">
        <v>599</v>
      </c>
      <c r="C43" s="63"/>
      <c r="D43" s="63"/>
      <c r="E43" s="63"/>
      <c r="F43" s="142">
        <f t="shared" ref="F43:L43" si="26">+F42-F41</f>
        <v>0</v>
      </c>
      <c r="G43" s="142">
        <f t="shared" si="26"/>
        <v>0</v>
      </c>
      <c r="H43" s="142">
        <f t="shared" si="26"/>
        <v>0</v>
      </c>
      <c r="I43" s="142">
        <f t="shared" si="26"/>
        <v>0</v>
      </c>
      <c r="J43" s="142">
        <f t="shared" si="26"/>
        <v>0</v>
      </c>
      <c r="K43" s="142">
        <f t="shared" si="26"/>
        <v>0</v>
      </c>
      <c r="L43" s="142">
        <f t="shared" si="26"/>
        <v>0</v>
      </c>
      <c r="M43" s="477"/>
      <c r="N43" s="119"/>
      <c r="O43" s="63"/>
      <c r="P43" s="63"/>
      <c r="Q43" s="63"/>
      <c r="R43" s="63"/>
      <c r="S43" s="63"/>
      <c r="T43" s="63"/>
      <c r="U43" s="63"/>
      <c r="V43" s="63"/>
      <c r="W43" s="63"/>
      <c r="X43" s="63"/>
      <c r="Y43" s="63"/>
      <c r="Z43" s="63"/>
    </row>
    <row r="44" ht="13.5" customHeight="1" outlineLevel="1">
      <c r="A44" s="111">
        <f t="shared" si="6"/>
        <v>44</v>
      </c>
      <c r="B44" s="63"/>
      <c r="C44" s="63"/>
      <c r="D44" s="63"/>
      <c r="E44" s="63"/>
      <c r="F44" s="142"/>
      <c r="G44" s="142"/>
      <c r="H44" s="142"/>
      <c r="I44" s="142"/>
      <c r="J44" s="142"/>
      <c r="K44" s="142"/>
      <c r="L44" s="142"/>
      <c r="M44" s="477"/>
      <c r="N44" s="119"/>
      <c r="O44" s="63"/>
      <c r="P44" s="63"/>
      <c r="Q44" s="63"/>
      <c r="R44" s="63"/>
      <c r="S44" s="63"/>
      <c r="T44" s="63"/>
      <c r="U44" s="63"/>
      <c r="V44" s="63"/>
      <c r="W44" s="63"/>
      <c r="X44" s="63"/>
      <c r="Y44" s="63"/>
      <c r="Z44" s="63"/>
    </row>
    <row r="45" ht="13.5" customHeight="1" outlineLevel="1">
      <c r="A45" s="111">
        <f t="shared" si="6"/>
        <v>45</v>
      </c>
      <c r="B45" s="772" t="s">
        <v>600</v>
      </c>
      <c r="C45" s="30"/>
      <c r="D45" s="30"/>
      <c r="E45" s="30"/>
      <c r="F45" s="140">
        <f t="shared" ref="F45:L45" si="27">+F23/12</f>
        <v>54839.66667</v>
      </c>
      <c r="G45" s="140">
        <f t="shared" si="27"/>
        <v>54839.66667</v>
      </c>
      <c r="H45" s="140">
        <f t="shared" si="27"/>
        <v>54839.66667</v>
      </c>
      <c r="I45" s="140">
        <f t="shared" si="27"/>
        <v>54839.66667</v>
      </c>
      <c r="J45" s="140">
        <f t="shared" si="27"/>
        <v>54839.66667</v>
      </c>
      <c r="K45" s="140">
        <f t="shared" si="27"/>
        <v>54839.66667</v>
      </c>
      <c r="L45" s="140">
        <f t="shared" si="27"/>
        <v>54839.66667</v>
      </c>
      <c r="M45" s="477"/>
      <c r="N45" s="119"/>
      <c r="O45" s="63"/>
      <c r="P45" s="63"/>
      <c r="Q45" s="63"/>
      <c r="R45" s="63"/>
      <c r="S45" s="63"/>
      <c r="T45" s="63"/>
      <c r="U45" s="63"/>
      <c r="V45" s="63"/>
      <c r="W45" s="63"/>
      <c r="X45" s="63"/>
      <c r="Y45" s="63"/>
      <c r="Z45" s="63"/>
    </row>
    <row r="46" ht="13.5" customHeight="1" outlineLevel="1">
      <c r="A46" s="111">
        <f t="shared" si="6"/>
        <v>46</v>
      </c>
      <c r="B46" s="748" t="s">
        <v>601</v>
      </c>
      <c r="C46" s="30"/>
      <c r="D46" s="30"/>
      <c r="E46" s="30"/>
      <c r="F46" s="220">
        <f t="shared" ref="F46:L46" si="28">+F25/12</f>
        <v>0</v>
      </c>
      <c r="G46" s="220">
        <f t="shared" si="28"/>
        <v>0</v>
      </c>
      <c r="H46" s="220">
        <f t="shared" si="28"/>
        <v>0</v>
      </c>
      <c r="I46" s="220">
        <f t="shared" si="28"/>
        <v>0</v>
      </c>
      <c r="J46" s="220">
        <f t="shared" si="28"/>
        <v>0</v>
      </c>
      <c r="K46" s="220">
        <f t="shared" si="28"/>
        <v>0</v>
      </c>
      <c r="L46" s="220">
        <f t="shared" si="28"/>
        <v>0</v>
      </c>
      <c r="M46" s="477"/>
      <c r="N46" s="119"/>
      <c r="O46" s="63"/>
      <c r="P46" s="63"/>
      <c r="Q46" s="63"/>
      <c r="R46" s="63"/>
      <c r="S46" s="63"/>
      <c r="T46" s="63"/>
      <c r="U46" s="63"/>
      <c r="V46" s="63"/>
      <c r="W46" s="63"/>
      <c r="X46" s="63"/>
      <c r="Y46" s="63"/>
      <c r="Z46" s="63"/>
    </row>
    <row r="47" ht="13.5" customHeight="1" outlineLevel="1">
      <c r="A47" s="111">
        <f t="shared" si="6"/>
        <v>47</v>
      </c>
      <c r="B47" s="748" t="s">
        <v>602</v>
      </c>
      <c r="C47" s="30"/>
      <c r="D47" s="30"/>
      <c r="E47" s="30"/>
      <c r="F47" s="140">
        <f t="shared" ref="F47:L47" si="29">+F26/12</f>
        <v>10463.5</v>
      </c>
      <c r="G47" s="220">
        <f t="shared" si="29"/>
        <v>10463.5125</v>
      </c>
      <c r="H47" s="220">
        <f t="shared" si="29"/>
        <v>10463.5125</v>
      </c>
      <c r="I47" s="220">
        <f t="shared" si="29"/>
        <v>10463.5125</v>
      </c>
      <c r="J47" s="220">
        <f t="shared" si="29"/>
        <v>10463.5125</v>
      </c>
      <c r="K47" s="220">
        <f t="shared" si="29"/>
        <v>10463.5125</v>
      </c>
      <c r="L47" s="220">
        <f t="shared" si="29"/>
        <v>10463.5125</v>
      </c>
      <c r="M47" s="477"/>
      <c r="N47" s="119"/>
      <c r="O47" s="63"/>
      <c r="P47" s="63"/>
      <c r="Q47" s="63"/>
      <c r="R47" s="63"/>
      <c r="S47" s="63"/>
      <c r="T47" s="63"/>
      <c r="U47" s="63"/>
      <c r="V47" s="63"/>
      <c r="W47" s="63"/>
      <c r="X47" s="63"/>
      <c r="Y47" s="63"/>
      <c r="Z47" s="63"/>
    </row>
    <row r="48" ht="13.5" customHeight="1" outlineLevel="1">
      <c r="A48" s="111">
        <f t="shared" si="6"/>
        <v>48</v>
      </c>
      <c r="B48" s="748" t="s">
        <v>603</v>
      </c>
      <c r="C48" s="30"/>
      <c r="D48" s="30"/>
      <c r="E48" s="30"/>
      <c r="F48" s="220">
        <f t="shared" ref="F48:L48" si="30">+F27/12</f>
        <v>0</v>
      </c>
      <c r="G48" s="220">
        <f t="shared" si="30"/>
        <v>0</v>
      </c>
      <c r="H48" s="220">
        <f t="shared" si="30"/>
        <v>0</v>
      </c>
      <c r="I48" s="220">
        <f t="shared" si="30"/>
        <v>0</v>
      </c>
      <c r="J48" s="220">
        <f t="shared" si="30"/>
        <v>0</v>
      </c>
      <c r="K48" s="220">
        <f t="shared" si="30"/>
        <v>0</v>
      </c>
      <c r="L48" s="220">
        <f t="shared" si="30"/>
        <v>0</v>
      </c>
      <c r="M48" s="477"/>
      <c r="N48" s="119"/>
      <c r="O48" s="63"/>
      <c r="P48" s="63"/>
      <c r="Q48" s="63"/>
      <c r="R48" s="63"/>
      <c r="S48" s="63"/>
      <c r="T48" s="63"/>
      <c r="U48" s="63"/>
      <c r="V48" s="63"/>
      <c r="W48" s="63"/>
      <c r="X48" s="63"/>
      <c r="Y48" s="63"/>
      <c r="Z48" s="63"/>
    </row>
    <row r="49" ht="13.5" customHeight="1" outlineLevel="1">
      <c r="A49" s="111">
        <f t="shared" si="6"/>
        <v>49</v>
      </c>
      <c r="B49" s="748" t="s">
        <v>582</v>
      </c>
      <c r="C49" s="30"/>
      <c r="D49" s="30"/>
      <c r="E49" s="30"/>
      <c r="F49" s="140">
        <f t="shared" ref="F49:L49" si="31">+F29/12</f>
        <v>0.1666666667</v>
      </c>
      <c r="G49" s="220">
        <f t="shared" si="31"/>
        <v>0.1666666667</v>
      </c>
      <c r="H49" s="220">
        <f t="shared" si="31"/>
        <v>0.1666666667</v>
      </c>
      <c r="I49" s="220">
        <f t="shared" si="31"/>
        <v>0.1666666667</v>
      </c>
      <c r="J49" s="220">
        <f t="shared" si="31"/>
        <v>0.1666666667</v>
      </c>
      <c r="K49" s="220">
        <f t="shared" si="31"/>
        <v>0.1666666667</v>
      </c>
      <c r="L49" s="220">
        <f t="shared" si="31"/>
        <v>0.1666666667</v>
      </c>
      <c r="M49" s="477"/>
      <c r="N49" s="119"/>
      <c r="O49" s="63"/>
      <c r="P49" s="63"/>
      <c r="Q49" s="63"/>
      <c r="R49" s="63"/>
      <c r="S49" s="63"/>
      <c r="T49" s="63"/>
      <c r="U49" s="63"/>
      <c r="V49" s="63"/>
      <c r="W49" s="63"/>
      <c r="X49" s="63"/>
      <c r="Y49" s="63"/>
      <c r="Z49" s="63"/>
    </row>
    <row r="50" ht="13.5" customHeight="1" outlineLevel="1">
      <c r="A50" s="111">
        <f t="shared" si="6"/>
        <v>50</v>
      </c>
      <c r="B50" s="63"/>
      <c r="C50" s="63"/>
      <c r="D50" s="63"/>
      <c r="E50" s="63"/>
      <c r="F50" s="63"/>
      <c r="G50" s="63"/>
      <c r="H50" s="63"/>
      <c r="I50" s="63"/>
      <c r="J50" s="63"/>
      <c r="K50" s="63"/>
      <c r="L50" s="63"/>
      <c r="M50" s="477"/>
      <c r="N50" s="119"/>
      <c r="O50" s="63"/>
      <c r="P50" s="63"/>
      <c r="Q50" s="63"/>
      <c r="R50" s="63"/>
      <c r="S50" s="63"/>
      <c r="T50" s="63"/>
      <c r="U50" s="63"/>
      <c r="V50" s="63"/>
      <c r="W50" s="63"/>
      <c r="X50" s="63"/>
      <c r="Y50" s="63"/>
      <c r="Z50" s="63"/>
    </row>
    <row r="51" ht="13.5" customHeight="1" outlineLevel="1">
      <c r="A51" s="111">
        <f t="shared" si="6"/>
        <v>51</v>
      </c>
      <c r="B51" s="30" t="s">
        <v>604</v>
      </c>
      <c r="C51" s="63" t="s">
        <v>605</v>
      </c>
      <c r="D51" s="63"/>
      <c r="E51" s="63"/>
      <c r="F51" s="63"/>
      <c r="G51" s="773"/>
      <c r="H51" s="773"/>
      <c r="I51" s="773"/>
      <c r="J51" s="773"/>
      <c r="K51" s="773"/>
      <c r="L51" s="773"/>
      <c r="M51" s="477"/>
      <c r="N51" s="119"/>
      <c r="O51" s="63"/>
      <c r="P51" s="63"/>
      <c r="Q51" s="63"/>
      <c r="R51" s="63"/>
      <c r="S51" s="63"/>
      <c r="T51" s="63"/>
      <c r="U51" s="63"/>
      <c r="V51" s="63"/>
      <c r="W51" s="63"/>
      <c r="X51" s="63"/>
      <c r="Y51" s="63"/>
      <c r="Z51" s="63"/>
    </row>
    <row r="52" ht="13.5" customHeight="1" outlineLevel="1">
      <c r="A52" s="111">
        <f t="shared" si="6"/>
        <v>52</v>
      </c>
      <c r="B52" s="63" t="s">
        <v>606</v>
      </c>
      <c r="C52" s="63"/>
      <c r="D52" s="63"/>
      <c r="E52" s="63"/>
      <c r="F52" s="63"/>
      <c r="G52" s="773"/>
      <c r="H52" s="773"/>
      <c r="I52" s="773"/>
      <c r="J52" s="773"/>
      <c r="K52" s="773"/>
      <c r="L52" s="773"/>
      <c r="M52" s="477"/>
      <c r="N52" s="119"/>
      <c r="O52" s="63"/>
      <c r="P52" s="63"/>
      <c r="Q52" s="63"/>
      <c r="R52" s="63"/>
      <c r="S52" s="63"/>
      <c r="T52" s="63"/>
      <c r="U52" s="63"/>
      <c r="V52" s="63"/>
      <c r="W52" s="63"/>
      <c r="X52" s="63"/>
      <c r="Y52" s="63"/>
      <c r="Z52" s="63"/>
    </row>
    <row r="53" ht="13.5" customHeight="1" outlineLevel="1">
      <c r="A53" s="111">
        <f t="shared" si="6"/>
        <v>53</v>
      </c>
      <c r="B53" s="63"/>
      <c r="C53" s="63"/>
      <c r="D53" s="63"/>
      <c r="E53" s="63"/>
      <c r="F53" s="63"/>
      <c r="G53" s="773"/>
      <c r="H53" s="773"/>
      <c r="I53" s="773"/>
      <c r="J53" s="773"/>
      <c r="K53" s="773"/>
      <c r="L53" s="773"/>
      <c r="M53" s="477"/>
      <c r="N53" s="119"/>
      <c r="O53" s="63"/>
      <c r="P53" s="63"/>
      <c r="Q53" s="63"/>
      <c r="R53" s="63"/>
      <c r="S53" s="63"/>
      <c r="T53" s="63"/>
      <c r="U53" s="63"/>
      <c r="V53" s="63"/>
      <c r="W53" s="63"/>
      <c r="X53" s="63"/>
      <c r="Y53" s="63"/>
      <c r="Z53" s="63"/>
    </row>
    <row r="54" ht="15.0" customHeight="1" outlineLevel="1">
      <c r="A54" s="111">
        <f t="shared" si="6"/>
        <v>54</v>
      </c>
      <c r="B54" s="110" t="s">
        <v>607</v>
      </c>
      <c r="C54" s="774"/>
      <c r="D54" s="731"/>
      <c r="E54" s="63"/>
      <c r="F54" s="30"/>
      <c r="G54" s="489"/>
      <c r="H54" s="99"/>
      <c r="I54" s="99"/>
      <c r="J54" s="99"/>
      <c r="K54" s="99"/>
      <c r="L54" s="99"/>
      <c r="M54" s="460"/>
      <c r="N54" s="119"/>
      <c r="O54" s="30"/>
      <c r="P54" s="30"/>
      <c r="Q54" s="30"/>
      <c r="R54" s="30"/>
      <c r="S54" s="30"/>
      <c r="T54" s="30"/>
      <c r="U54" s="30"/>
      <c r="V54" s="30"/>
      <c r="W54" s="30"/>
      <c r="X54" s="30"/>
      <c r="Y54" s="30"/>
      <c r="Z54" s="30"/>
    </row>
    <row r="55" ht="15.0" customHeight="1" outlineLevel="1">
      <c r="A55" s="111">
        <f t="shared" si="6"/>
        <v>55</v>
      </c>
      <c r="B55" s="30" t="s">
        <v>608</v>
      </c>
      <c r="C55" s="775">
        <v>58401.0</v>
      </c>
      <c r="D55" s="30"/>
      <c r="E55" s="30" t="s">
        <v>609</v>
      </c>
      <c r="F55" s="30"/>
      <c r="G55" s="776">
        <v>0.0</v>
      </c>
      <c r="H55" s="30" t="s">
        <v>610</v>
      </c>
      <c r="I55" s="30"/>
      <c r="J55" s="30"/>
      <c r="K55" s="30"/>
      <c r="L55" s="30"/>
      <c r="M55" s="460"/>
      <c r="N55" s="119"/>
      <c r="O55" s="30"/>
      <c r="P55" s="30"/>
      <c r="Q55" s="30"/>
      <c r="R55" s="30"/>
      <c r="S55" s="30"/>
      <c r="T55" s="30"/>
      <c r="U55" s="30"/>
      <c r="V55" s="30"/>
      <c r="W55" s="30"/>
      <c r="X55" s="30"/>
      <c r="Y55" s="30"/>
      <c r="Z55" s="30"/>
    </row>
    <row r="56" ht="15.0" customHeight="1" outlineLevel="1">
      <c r="A56" s="111">
        <f t="shared" si="6"/>
        <v>56</v>
      </c>
      <c r="B56" s="30" t="s">
        <v>611</v>
      </c>
      <c r="C56" s="758">
        <v>0.0</v>
      </c>
      <c r="D56" s="30" t="s">
        <v>577</v>
      </c>
      <c r="E56" s="30" t="s">
        <v>612</v>
      </c>
      <c r="F56" s="30"/>
      <c r="G56" s="175">
        <f>C60*(1-G55)</f>
        <v>0</v>
      </c>
      <c r="H56" s="30"/>
      <c r="I56" s="777"/>
      <c r="J56" s="777"/>
      <c r="K56" s="777"/>
      <c r="L56" s="777"/>
      <c r="M56" s="460"/>
      <c r="N56" s="119"/>
      <c r="O56" s="30"/>
      <c r="P56" s="30"/>
      <c r="Q56" s="30"/>
      <c r="R56" s="30"/>
      <c r="S56" s="30"/>
      <c r="T56" s="30"/>
      <c r="U56" s="30"/>
      <c r="V56" s="30"/>
      <c r="W56" s="30"/>
      <c r="X56" s="30"/>
      <c r="Y56" s="30"/>
      <c r="Z56" s="30"/>
    </row>
    <row r="57" ht="15.0" customHeight="1" outlineLevel="1">
      <c r="A57" s="111">
        <f t="shared" si="6"/>
        <v>57</v>
      </c>
      <c r="B57" s="30" t="s">
        <v>613</v>
      </c>
      <c r="C57" s="204">
        <f>C55*C56</f>
        <v>0</v>
      </c>
      <c r="D57" s="30"/>
      <c r="E57" s="30" t="s">
        <v>614</v>
      </c>
      <c r="F57" s="30"/>
      <c r="G57" s="778">
        <v>0.0</v>
      </c>
      <c r="H57" s="66"/>
      <c r="I57" s="30"/>
      <c r="J57" s="30"/>
      <c r="K57" s="30"/>
      <c r="L57" s="30"/>
      <c r="M57" s="460"/>
      <c r="N57" s="119"/>
      <c r="O57" s="30"/>
      <c r="P57" s="30"/>
      <c r="Q57" s="30"/>
      <c r="R57" s="30"/>
      <c r="S57" s="30"/>
      <c r="T57" s="30"/>
      <c r="U57" s="30"/>
      <c r="V57" s="30"/>
      <c r="W57" s="30"/>
      <c r="X57" s="30"/>
      <c r="Y57" s="30"/>
      <c r="Z57" s="30"/>
    </row>
    <row r="58" ht="15.0" customHeight="1" outlineLevel="1">
      <c r="A58" s="111">
        <f t="shared" si="6"/>
        <v>58</v>
      </c>
      <c r="B58" s="30" t="s">
        <v>615</v>
      </c>
      <c r="C58" s="758">
        <v>0.0</v>
      </c>
      <c r="D58" s="30" t="s">
        <v>577</v>
      </c>
      <c r="E58" s="30" t="s">
        <v>616</v>
      </c>
      <c r="F58" s="30"/>
      <c r="G58" s="778">
        <v>0.0</v>
      </c>
      <c r="H58" s="66"/>
      <c r="I58" s="30"/>
      <c r="J58" s="30"/>
      <c r="K58" s="30"/>
      <c r="L58" s="30"/>
      <c r="M58" s="460"/>
      <c r="N58" s="119"/>
      <c r="O58" s="30"/>
      <c r="P58" s="30"/>
      <c r="Q58" s="30"/>
      <c r="R58" s="30"/>
      <c r="S58" s="30"/>
      <c r="T58" s="30"/>
      <c r="U58" s="30"/>
      <c r="V58" s="30"/>
      <c r="W58" s="30"/>
      <c r="X58" s="30"/>
      <c r="Y58" s="30"/>
      <c r="Z58" s="30"/>
    </row>
    <row r="59" ht="15.0" customHeight="1" outlineLevel="1">
      <c r="A59" s="111">
        <f t="shared" si="6"/>
        <v>59</v>
      </c>
      <c r="B59" s="30" t="s">
        <v>617</v>
      </c>
      <c r="C59" s="174">
        <f>C55*C58</f>
        <v>0</v>
      </c>
      <c r="D59" s="30"/>
      <c r="E59" s="30" t="s">
        <v>618</v>
      </c>
      <c r="F59" s="30"/>
      <c r="G59" s="779">
        <v>0.0</v>
      </c>
      <c r="H59" s="30"/>
      <c r="I59" s="30"/>
      <c r="J59" s="30"/>
      <c r="K59" s="30"/>
      <c r="L59" s="30"/>
      <c r="M59" s="460"/>
      <c r="N59" s="119"/>
      <c r="O59" s="30"/>
      <c r="P59" s="30"/>
      <c r="Q59" s="30"/>
      <c r="R59" s="30"/>
      <c r="S59" s="30"/>
      <c r="T59" s="30"/>
      <c r="U59" s="30"/>
      <c r="V59" s="30"/>
      <c r="W59" s="30"/>
      <c r="X59" s="30"/>
      <c r="Y59" s="30"/>
      <c r="Z59" s="30"/>
    </row>
    <row r="60" ht="15.0" customHeight="1" outlineLevel="1">
      <c r="A60" s="111">
        <f t="shared" si="6"/>
        <v>60</v>
      </c>
      <c r="B60" s="63" t="s">
        <v>619</v>
      </c>
      <c r="C60" s="175">
        <f>C57+C59</f>
        <v>0</v>
      </c>
      <c r="D60" s="30"/>
      <c r="E60" s="30"/>
      <c r="F60" s="30"/>
      <c r="G60" s="30"/>
      <c r="H60" s="30"/>
      <c r="I60" s="30"/>
      <c r="J60" s="30"/>
      <c r="K60" s="30"/>
      <c r="L60" s="30"/>
      <c r="M60" s="460"/>
      <c r="N60" s="119"/>
      <c r="O60" s="30"/>
      <c r="P60" s="30"/>
      <c r="Q60" s="30"/>
      <c r="R60" s="30"/>
      <c r="S60" s="30"/>
      <c r="T60" s="30"/>
      <c r="U60" s="30"/>
      <c r="V60" s="30"/>
      <c r="W60" s="30"/>
      <c r="X60" s="30"/>
      <c r="Y60" s="30"/>
      <c r="Z60" s="30"/>
    </row>
    <row r="61" ht="15.0" customHeight="1" outlineLevel="1">
      <c r="A61" s="111">
        <f t="shared" si="6"/>
        <v>61</v>
      </c>
      <c r="B61" s="30" t="s">
        <v>620</v>
      </c>
      <c r="C61" s="30"/>
      <c r="D61" s="780">
        <f>IFERROR(-PMT(G59/12,G57*12,G56,0,1),0)</f>
        <v>0</v>
      </c>
      <c r="E61" s="30"/>
      <c r="F61" s="30"/>
      <c r="G61" s="30"/>
      <c r="H61" s="66"/>
      <c r="I61" s="66"/>
      <c r="J61" s="66"/>
      <c r="K61" s="66"/>
      <c r="L61" s="66"/>
      <c r="M61" s="460"/>
      <c r="N61" s="119"/>
      <c r="O61" s="30"/>
      <c r="P61" s="30"/>
      <c r="Q61" s="30"/>
      <c r="R61" s="30"/>
      <c r="S61" s="30"/>
      <c r="T61" s="30"/>
      <c r="U61" s="30"/>
      <c r="V61" s="30"/>
      <c r="W61" s="30"/>
      <c r="X61" s="30"/>
      <c r="Y61" s="30"/>
      <c r="Z61" s="30"/>
    </row>
    <row r="62" ht="15.0" customHeight="1" outlineLevel="1">
      <c r="A62" s="111">
        <f t="shared" si="6"/>
        <v>62</v>
      </c>
      <c r="B62" s="30" t="s">
        <v>621</v>
      </c>
      <c r="C62" s="30"/>
      <c r="D62" s="175">
        <f>D61*12</f>
        <v>0</v>
      </c>
      <c r="E62" s="781"/>
      <c r="F62" s="781"/>
      <c r="G62" s="782">
        <f>+D62</f>
        <v>0</v>
      </c>
      <c r="H62" s="782">
        <f t="shared" ref="H62:L62" si="32">IF(H7-$G$7&lt;$G$57,$D$62,0)</f>
        <v>0</v>
      </c>
      <c r="I62" s="782">
        <f t="shared" si="32"/>
        <v>0</v>
      </c>
      <c r="J62" s="782">
        <f t="shared" si="32"/>
        <v>0</v>
      </c>
      <c r="K62" s="782">
        <f t="shared" si="32"/>
        <v>0</v>
      </c>
      <c r="L62" s="782">
        <f t="shared" si="32"/>
        <v>0</v>
      </c>
      <c r="M62" s="460"/>
      <c r="N62" s="119"/>
      <c r="O62" s="30"/>
      <c r="P62" s="30"/>
      <c r="Q62" s="30"/>
      <c r="R62" s="30"/>
      <c r="S62" s="30"/>
      <c r="T62" s="30"/>
      <c r="U62" s="30"/>
      <c r="V62" s="30"/>
      <c r="W62" s="30"/>
      <c r="X62" s="30"/>
      <c r="Y62" s="30"/>
      <c r="Z62" s="30"/>
    </row>
    <row r="63" ht="15.0" customHeight="1" outlineLevel="1">
      <c r="A63" s="111">
        <f t="shared" si="6"/>
        <v>63</v>
      </c>
      <c r="B63" s="30" t="s">
        <v>622</v>
      </c>
      <c r="C63" s="30"/>
      <c r="D63" s="175">
        <f>IFERROR((-PV(0.02,G57,0,((D62*G57)-G56),0))/G57,0)</f>
        <v>0</v>
      </c>
      <c r="E63" s="781"/>
      <c r="F63" s="781"/>
      <c r="G63" s="783">
        <f>$D$63</f>
        <v>0</v>
      </c>
      <c r="H63" s="784">
        <f t="shared" ref="H63:L63" si="33">IF(H7-$G$7&lt;$G$57,$D$63,0)</f>
        <v>0</v>
      </c>
      <c r="I63" s="784">
        <f t="shared" si="33"/>
        <v>0</v>
      </c>
      <c r="J63" s="784">
        <f t="shared" si="33"/>
        <v>0</v>
      </c>
      <c r="K63" s="784">
        <f t="shared" si="33"/>
        <v>0</v>
      </c>
      <c r="L63" s="784">
        <f t="shared" si="33"/>
        <v>0</v>
      </c>
      <c r="M63" s="460"/>
      <c r="N63" s="119"/>
      <c r="O63" s="30"/>
      <c r="P63" s="30"/>
      <c r="Q63" s="30"/>
      <c r="R63" s="30"/>
      <c r="S63" s="30"/>
      <c r="T63" s="30"/>
      <c r="U63" s="30"/>
      <c r="V63" s="30"/>
      <c r="W63" s="30"/>
      <c r="X63" s="30"/>
      <c r="Y63" s="30"/>
      <c r="Z63" s="30"/>
    </row>
    <row r="64" ht="15.0" customHeight="1" outlineLevel="1">
      <c r="A64" s="111">
        <f t="shared" si="6"/>
        <v>64</v>
      </c>
      <c r="B64" s="30" t="s">
        <v>623</v>
      </c>
      <c r="C64" s="30"/>
      <c r="D64" s="30"/>
      <c r="E64" s="30"/>
      <c r="F64" s="30"/>
      <c r="G64" s="220"/>
      <c r="H64" s="388"/>
      <c r="I64" s="388"/>
      <c r="J64" s="388"/>
      <c r="K64" s="388"/>
      <c r="L64" s="388"/>
      <c r="M64" s="460"/>
      <c r="N64" s="119"/>
      <c r="O64" s="30"/>
      <c r="P64" s="30"/>
      <c r="Q64" s="30"/>
      <c r="R64" s="30"/>
      <c r="S64" s="30"/>
      <c r="T64" s="30"/>
      <c r="U64" s="30"/>
      <c r="V64" s="30"/>
      <c r="W64" s="30"/>
      <c r="X64" s="30"/>
      <c r="Y64" s="30"/>
      <c r="Z64" s="30"/>
    </row>
    <row r="65" ht="15.0" customHeight="1" outlineLevel="1">
      <c r="A65" s="111">
        <f t="shared" si="6"/>
        <v>65</v>
      </c>
      <c r="B65" s="30" t="s">
        <v>624</v>
      </c>
      <c r="C65" s="758">
        <v>0.0</v>
      </c>
      <c r="D65" s="30" t="s">
        <v>577</v>
      </c>
      <c r="E65" s="30"/>
      <c r="F65" s="30"/>
      <c r="G65" s="115">
        <f t="shared" ref="G65:L65" si="34">$C$65*$C$55</f>
        <v>0</v>
      </c>
      <c r="H65" s="115">
        <f t="shared" si="34"/>
        <v>0</v>
      </c>
      <c r="I65" s="115">
        <f t="shared" si="34"/>
        <v>0</v>
      </c>
      <c r="J65" s="115">
        <f t="shared" si="34"/>
        <v>0</v>
      </c>
      <c r="K65" s="115">
        <f t="shared" si="34"/>
        <v>0</v>
      </c>
      <c r="L65" s="115">
        <f t="shared" si="34"/>
        <v>0</v>
      </c>
      <c r="M65" s="460"/>
      <c r="N65" s="119"/>
      <c r="O65" s="30"/>
      <c r="P65" s="30"/>
      <c r="Q65" s="30"/>
      <c r="R65" s="30"/>
      <c r="S65" s="30"/>
      <c r="T65" s="30"/>
      <c r="U65" s="30"/>
      <c r="V65" s="30"/>
      <c r="W65" s="30"/>
      <c r="X65" s="30"/>
      <c r="Y65" s="30"/>
      <c r="Z65" s="30"/>
    </row>
    <row r="66" ht="15.0" customHeight="1" outlineLevel="1">
      <c r="A66" s="111">
        <f t="shared" si="6"/>
        <v>66</v>
      </c>
      <c r="B66" s="30" t="s">
        <v>331</v>
      </c>
      <c r="C66" s="758">
        <v>0.0</v>
      </c>
      <c r="D66" s="30" t="s">
        <v>577</v>
      </c>
      <c r="E66" s="30"/>
      <c r="F66" s="30"/>
      <c r="G66" s="115">
        <f t="shared" ref="G66:L66" si="35">$C$66*$C$55</f>
        <v>0</v>
      </c>
      <c r="H66" s="115">
        <f t="shared" si="35"/>
        <v>0</v>
      </c>
      <c r="I66" s="115">
        <f t="shared" si="35"/>
        <v>0</v>
      </c>
      <c r="J66" s="115">
        <f t="shared" si="35"/>
        <v>0</v>
      </c>
      <c r="K66" s="115">
        <f t="shared" si="35"/>
        <v>0</v>
      </c>
      <c r="L66" s="115">
        <f t="shared" si="35"/>
        <v>0</v>
      </c>
      <c r="M66" s="460"/>
      <c r="N66" s="119"/>
      <c r="O66" s="30"/>
      <c r="P66" s="30"/>
      <c r="Q66" s="30"/>
      <c r="R66" s="30"/>
      <c r="S66" s="30"/>
      <c r="T66" s="30"/>
      <c r="U66" s="30"/>
      <c r="V66" s="30"/>
      <c r="W66" s="30"/>
      <c r="X66" s="30"/>
      <c r="Y66" s="30"/>
      <c r="Z66" s="30"/>
    </row>
    <row r="67" ht="15.0" customHeight="1" outlineLevel="1">
      <c r="A67" s="111">
        <f t="shared" si="6"/>
        <v>67</v>
      </c>
      <c r="B67" s="30" t="s">
        <v>586</v>
      </c>
      <c r="C67" s="758">
        <v>0.0</v>
      </c>
      <c r="D67" s="30" t="s">
        <v>577</v>
      </c>
      <c r="E67" s="30"/>
      <c r="F67" s="30"/>
      <c r="G67" s="115">
        <f t="shared" ref="G67:L67" si="36">$C$67*$C$55</f>
        <v>0</v>
      </c>
      <c r="H67" s="115">
        <f t="shared" si="36"/>
        <v>0</v>
      </c>
      <c r="I67" s="115">
        <f t="shared" si="36"/>
        <v>0</v>
      </c>
      <c r="J67" s="115">
        <f t="shared" si="36"/>
        <v>0</v>
      </c>
      <c r="K67" s="115">
        <f t="shared" si="36"/>
        <v>0</v>
      </c>
      <c r="L67" s="115">
        <f t="shared" si="36"/>
        <v>0</v>
      </c>
      <c r="M67" s="460"/>
      <c r="N67" s="119"/>
      <c r="O67" s="30"/>
      <c r="P67" s="30"/>
      <c r="Q67" s="30"/>
      <c r="R67" s="30"/>
      <c r="S67" s="30"/>
      <c r="T67" s="30"/>
      <c r="U67" s="30"/>
      <c r="V67" s="30"/>
      <c r="W67" s="30"/>
      <c r="X67" s="30"/>
      <c r="Y67" s="30"/>
      <c r="Z67" s="30"/>
    </row>
    <row r="68" ht="15.0" customHeight="1" outlineLevel="1">
      <c r="A68" s="111">
        <f t="shared" si="6"/>
        <v>68</v>
      </c>
      <c r="B68" s="30" t="s">
        <v>582</v>
      </c>
      <c r="C68" s="758">
        <v>0.0</v>
      </c>
      <c r="D68" s="30" t="s">
        <v>625</v>
      </c>
      <c r="E68" s="30"/>
      <c r="F68" s="30"/>
      <c r="G68" s="115">
        <f t="shared" ref="G68:L68" si="37">$C$68</f>
        <v>0</v>
      </c>
      <c r="H68" s="115">
        <f t="shared" si="37"/>
        <v>0</v>
      </c>
      <c r="I68" s="115">
        <f t="shared" si="37"/>
        <v>0</v>
      </c>
      <c r="J68" s="115">
        <f t="shared" si="37"/>
        <v>0</v>
      </c>
      <c r="K68" s="115">
        <f t="shared" si="37"/>
        <v>0</v>
      </c>
      <c r="L68" s="115">
        <f t="shared" si="37"/>
        <v>0</v>
      </c>
      <c r="M68" s="460"/>
      <c r="N68" s="119"/>
      <c r="O68" s="30"/>
      <c r="P68" s="30"/>
      <c r="Q68" s="30"/>
      <c r="R68" s="30"/>
      <c r="S68" s="30"/>
      <c r="T68" s="30"/>
      <c r="U68" s="30"/>
      <c r="V68" s="30"/>
      <c r="W68" s="30"/>
      <c r="X68" s="30"/>
      <c r="Y68" s="30"/>
      <c r="Z68" s="30"/>
    </row>
    <row r="69" ht="15.0" customHeight="1" outlineLevel="1">
      <c r="A69" s="111">
        <f t="shared" si="6"/>
        <v>69</v>
      </c>
      <c r="B69" s="30" t="s">
        <v>626</v>
      </c>
      <c r="C69" s="30"/>
      <c r="D69" s="30"/>
      <c r="E69" s="30"/>
      <c r="F69" s="30"/>
      <c r="G69" s="115">
        <f>C57*G55</f>
        <v>0</v>
      </c>
      <c r="H69" s="115"/>
      <c r="I69" s="115"/>
      <c r="J69" s="115"/>
      <c r="K69" s="115"/>
      <c r="L69" s="115"/>
      <c r="M69" s="460"/>
      <c r="N69" s="119"/>
      <c r="O69" s="30"/>
      <c r="P69" s="30"/>
      <c r="Q69" s="30"/>
      <c r="R69" s="30"/>
      <c r="S69" s="30"/>
      <c r="T69" s="30"/>
      <c r="U69" s="30"/>
      <c r="V69" s="30"/>
      <c r="W69" s="30"/>
      <c r="X69" s="30"/>
      <c r="Y69" s="30"/>
      <c r="Z69" s="30"/>
    </row>
    <row r="70" ht="15.0" customHeight="1" outlineLevel="1">
      <c r="A70" s="111">
        <f t="shared" si="6"/>
        <v>70</v>
      </c>
      <c r="B70" s="30" t="s">
        <v>627</v>
      </c>
      <c r="C70" s="30"/>
      <c r="D70" s="30"/>
      <c r="E70" s="30"/>
      <c r="F70" s="30"/>
      <c r="G70" s="115"/>
      <c r="H70" s="115"/>
      <c r="I70" s="115"/>
      <c r="J70" s="115"/>
      <c r="K70" s="115"/>
      <c r="L70" s="115"/>
      <c r="M70" s="460"/>
      <c r="N70" s="119"/>
      <c r="O70" s="30"/>
      <c r="P70" s="30"/>
      <c r="Q70" s="30"/>
      <c r="R70" s="30"/>
      <c r="S70" s="30"/>
      <c r="T70" s="30"/>
      <c r="U70" s="30"/>
      <c r="V70" s="30"/>
      <c r="W70" s="30"/>
      <c r="X70" s="30"/>
      <c r="Y70" s="30"/>
      <c r="Z70" s="30"/>
    </row>
    <row r="71" ht="15.0" customHeight="1" outlineLevel="1">
      <c r="A71" s="111">
        <f t="shared" si="6"/>
        <v>71</v>
      </c>
      <c r="B71" s="689" t="s">
        <v>628</v>
      </c>
      <c r="C71" s="689"/>
      <c r="D71" s="689"/>
      <c r="E71" s="689"/>
      <c r="F71" s="785"/>
      <c r="G71" s="372">
        <f t="shared" ref="G71:L71" si="38">SUM(G62:G70)-G63</f>
        <v>0</v>
      </c>
      <c r="H71" s="372">
        <f t="shared" si="38"/>
        <v>0</v>
      </c>
      <c r="I71" s="372">
        <f t="shared" si="38"/>
        <v>0</v>
      </c>
      <c r="J71" s="372">
        <f t="shared" si="38"/>
        <v>0</v>
      </c>
      <c r="K71" s="372">
        <f t="shared" si="38"/>
        <v>0</v>
      </c>
      <c r="L71" s="372">
        <f t="shared" si="38"/>
        <v>0</v>
      </c>
      <c r="M71" s="460"/>
      <c r="N71" s="119"/>
      <c r="O71" s="30"/>
      <c r="P71" s="30"/>
      <c r="Q71" s="30"/>
      <c r="R71" s="30"/>
      <c r="S71" s="30"/>
      <c r="T71" s="30"/>
      <c r="U71" s="30"/>
      <c r="V71" s="30"/>
      <c r="W71" s="30"/>
      <c r="X71" s="30"/>
      <c r="Y71" s="30"/>
      <c r="Z71" s="30"/>
    </row>
    <row r="72" ht="15.0" customHeight="1" outlineLevel="1">
      <c r="A72" s="111">
        <f t="shared" si="6"/>
        <v>72</v>
      </c>
      <c r="B72" s="63" t="s">
        <v>629</v>
      </c>
      <c r="C72" s="63"/>
      <c r="D72" s="63"/>
      <c r="E72" s="63"/>
      <c r="F72" s="786"/>
      <c r="G72" s="395">
        <f t="shared" ref="G72:L72" si="39">(($C$57+$C$59)/50)+G65+G66+G67+G68</f>
        <v>0</v>
      </c>
      <c r="H72" s="395">
        <f t="shared" si="39"/>
        <v>0</v>
      </c>
      <c r="I72" s="395">
        <f t="shared" si="39"/>
        <v>0</v>
      </c>
      <c r="J72" s="395">
        <f t="shared" si="39"/>
        <v>0</v>
      </c>
      <c r="K72" s="395">
        <f t="shared" si="39"/>
        <v>0</v>
      </c>
      <c r="L72" s="395">
        <f t="shared" si="39"/>
        <v>0</v>
      </c>
      <c r="M72" s="460"/>
      <c r="N72" s="119"/>
      <c r="O72" s="30"/>
      <c r="P72" s="30"/>
      <c r="Q72" s="30"/>
      <c r="R72" s="30"/>
      <c r="S72" s="30"/>
      <c r="T72" s="30"/>
      <c r="U72" s="30"/>
      <c r="V72" s="30"/>
      <c r="W72" s="30"/>
      <c r="X72" s="30"/>
      <c r="Y72" s="30"/>
      <c r="Z72" s="30"/>
    </row>
    <row r="73" ht="13.5" customHeight="1" outlineLevel="1">
      <c r="A73" s="111">
        <f t="shared" si="6"/>
        <v>73</v>
      </c>
      <c r="B73" s="30"/>
      <c r="C73" s="30"/>
      <c r="D73" s="30"/>
      <c r="E73" s="30"/>
      <c r="F73" s="30"/>
      <c r="G73" s="211"/>
      <c r="H73" s="143"/>
      <c r="I73" s="143"/>
      <c r="J73" s="143"/>
      <c r="K73" s="143"/>
      <c r="L73" s="143"/>
      <c r="M73" s="460"/>
      <c r="N73" s="119"/>
      <c r="O73" s="30"/>
      <c r="P73" s="30"/>
      <c r="Q73" s="30"/>
      <c r="R73" s="30"/>
      <c r="S73" s="30"/>
      <c r="T73" s="30"/>
      <c r="U73" s="30"/>
      <c r="V73" s="30"/>
      <c r="W73" s="30"/>
      <c r="X73" s="30"/>
      <c r="Y73" s="30"/>
      <c r="Z73" s="30"/>
    </row>
    <row r="74" ht="13.5" customHeight="1" outlineLevel="1">
      <c r="A74" s="111">
        <f t="shared" si="6"/>
        <v>74</v>
      </c>
      <c r="B74" s="787" t="s">
        <v>630</v>
      </c>
      <c r="C74" s="563"/>
      <c r="D74" s="563"/>
      <c r="E74" s="788">
        <f t="shared" ref="E74:E76" si="41">SUM(F74:L74)</f>
        <v>5689883.9</v>
      </c>
      <c r="F74" s="789">
        <f t="shared" ref="F74:L74" si="40">IF($C$7="Lease",F41,F71)</f>
        <v>812840</v>
      </c>
      <c r="G74" s="789">
        <f t="shared" si="40"/>
        <v>812840.65</v>
      </c>
      <c r="H74" s="789">
        <f t="shared" si="40"/>
        <v>812840.65</v>
      </c>
      <c r="I74" s="789">
        <f t="shared" si="40"/>
        <v>812840.65</v>
      </c>
      <c r="J74" s="789">
        <f t="shared" si="40"/>
        <v>812840.65</v>
      </c>
      <c r="K74" s="789">
        <f t="shared" si="40"/>
        <v>812840.65</v>
      </c>
      <c r="L74" s="789">
        <f t="shared" si="40"/>
        <v>812840.65</v>
      </c>
      <c r="M74" s="460"/>
      <c r="N74" s="119"/>
      <c r="O74" s="30"/>
      <c r="P74" s="30"/>
      <c r="Q74" s="30"/>
      <c r="R74" s="30"/>
      <c r="S74" s="30"/>
      <c r="T74" s="30"/>
      <c r="U74" s="30"/>
      <c r="V74" s="30"/>
      <c r="W74" s="30"/>
      <c r="X74" s="30"/>
      <c r="Y74" s="30"/>
      <c r="Z74" s="30"/>
    </row>
    <row r="75" ht="13.5" customHeight="1" outlineLevel="1">
      <c r="A75" s="111">
        <f t="shared" si="6"/>
        <v>75</v>
      </c>
      <c r="B75" s="790" t="s">
        <v>631</v>
      </c>
      <c r="C75" s="579"/>
      <c r="D75" s="579"/>
      <c r="E75" s="791">
        <f t="shared" si="41"/>
        <v>5689883.9</v>
      </c>
      <c r="F75" s="792">
        <f t="shared" ref="F75:L75" si="42">IF($C$7="Lease",F42,F72)</f>
        <v>812840</v>
      </c>
      <c r="G75" s="792">
        <f t="shared" si="42"/>
        <v>812840.65</v>
      </c>
      <c r="H75" s="792">
        <f t="shared" si="42"/>
        <v>812840.65</v>
      </c>
      <c r="I75" s="792">
        <f t="shared" si="42"/>
        <v>812840.65</v>
      </c>
      <c r="J75" s="792">
        <f t="shared" si="42"/>
        <v>812840.65</v>
      </c>
      <c r="K75" s="792">
        <f t="shared" si="42"/>
        <v>812840.65</v>
      </c>
      <c r="L75" s="792">
        <f t="shared" si="42"/>
        <v>812840.65</v>
      </c>
      <c r="M75" s="460"/>
      <c r="N75" s="119"/>
      <c r="O75" s="30"/>
      <c r="P75" s="30"/>
      <c r="Q75" s="30"/>
      <c r="R75" s="30"/>
      <c r="S75" s="30"/>
      <c r="T75" s="30"/>
      <c r="U75" s="30"/>
      <c r="V75" s="30"/>
      <c r="W75" s="30"/>
      <c r="X75" s="30"/>
      <c r="Y75" s="30"/>
      <c r="Z75" s="30"/>
    </row>
    <row r="76" ht="13.5" customHeight="1">
      <c r="A76" s="111">
        <f t="shared" si="6"/>
        <v>76</v>
      </c>
      <c r="B76" s="787" t="str">
        <f>IF(C7="Lease",$B$42,B75)</f>
        <v>Total lease book expense (shown on Summary tab)</v>
      </c>
      <c r="C76" s="563"/>
      <c r="D76" s="563"/>
      <c r="E76" s="793">
        <f t="shared" si="41"/>
        <v>5689883.9</v>
      </c>
      <c r="F76" s="789">
        <f t="shared" ref="F76:L76" si="43">IF($C$7="Lease",F42,F72)</f>
        <v>812840</v>
      </c>
      <c r="G76" s="789">
        <f t="shared" si="43"/>
        <v>812840.65</v>
      </c>
      <c r="H76" s="789">
        <f t="shared" si="43"/>
        <v>812840.65</v>
      </c>
      <c r="I76" s="789">
        <f t="shared" si="43"/>
        <v>812840.65</v>
      </c>
      <c r="J76" s="789">
        <f t="shared" si="43"/>
        <v>812840.65</v>
      </c>
      <c r="K76" s="789">
        <f t="shared" si="43"/>
        <v>812840.65</v>
      </c>
      <c r="L76" s="789">
        <f t="shared" si="43"/>
        <v>812840.65</v>
      </c>
      <c r="M76" s="460"/>
      <c r="N76" s="119"/>
      <c r="O76" s="30"/>
      <c r="P76" s="30"/>
      <c r="Q76" s="30"/>
      <c r="R76" s="30"/>
      <c r="S76" s="30"/>
      <c r="T76" s="30"/>
      <c r="U76" s="30"/>
      <c r="V76" s="30"/>
      <c r="W76" s="30"/>
      <c r="X76" s="30"/>
      <c r="Y76" s="30"/>
      <c r="Z76" s="30"/>
    </row>
    <row r="77" ht="13.5" customHeight="1">
      <c r="A77" s="111">
        <f t="shared" si="6"/>
        <v>77</v>
      </c>
      <c r="B77" s="30" t="s">
        <v>632</v>
      </c>
      <c r="C77" s="30"/>
      <c r="D77" s="30"/>
      <c r="E77" s="211"/>
      <c r="F77" s="794">
        <f t="shared" ref="F77:L77" si="44">+F76-F74</f>
        <v>0</v>
      </c>
      <c r="G77" s="794">
        <f t="shared" si="44"/>
        <v>0</v>
      </c>
      <c r="H77" s="794">
        <f t="shared" si="44"/>
        <v>0</v>
      </c>
      <c r="I77" s="794">
        <f t="shared" si="44"/>
        <v>0</v>
      </c>
      <c r="J77" s="794">
        <f t="shared" si="44"/>
        <v>0</v>
      </c>
      <c r="K77" s="794">
        <f t="shared" si="44"/>
        <v>0</v>
      </c>
      <c r="L77" s="794">
        <f t="shared" si="44"/>
        <v>0</v>
      </c>
      <c r="M77" s="30"/>
      <c r="N77" s="119"/>
      <c r="O77" s="30"/>
      <c r="P77" s="30"/>
      <c r="Q77" s="30"/>
      <c r="R77" s="30"/>
      <c r="S77" s="30"/>
      <c r="T77" s="30"/>
      <c r="U77" s="30"/>
      <c r="V77" s="30"/>
      <c r="W77" s="30"/>
      <c r="X77" s="30"/>
      <c r="Y77" s="30"/>
      <c r="Z77" s="30"/>
    </row>
    <row r="78" ht="13.5" customHeight="1">
      <c r="A78" s="111">
        <f t="shared" si="6"/>
        <v>78</v>
      </c>
      <c r="B78" s="30"/>
      <c r="C78" s="30"/>
      <c r="D78" s="30"/>
      <c r="E78" s="30"/>
      <c r="F78" s="795"/>
      <c r="G78" s="795"/>
      <c r="H78" s="795"/>
      <c r="I78" s="795"/>
      <c r="J78" s="795"/>
      <c r="K78" s="795"/>
      <c r="L78" s="795"/>
      <c r="M78" s="30"/>
      <c r="N78" s="119"/>
      <c r="O78" s="30"/>
      <c r="P78" s="30"/>
      <c r="Q78" s="30"/>
      <c r="R78" s="30"/>
      <c r="S78" s="30"/>
      <c r="T78" s="30"/>
      <c r="U78" s="30"/>
      <c r="V78" s="30"/>
      <c r="W78" s="30"/>
      <c r="X78" s="30"/>
      <c r="Y78" s="30"/>
      <c r="Z78" s="30"/>
    </row>
    <row r="79" ht="13.5" customHeight="1">
      <c r="A79" s="111">
        <f t="shared" si="6"/>
        <v>79</v>
      </c>
      <c r="B79" s="30"/>
      <c r="C79" s="30"/>
      <c r="D79" s="30"/>
      <c r="E79" s="30"/>
      <c r="F79" s="796">
        <f>Levers!C6</f>
        <v>0</v>
      </c>
      <c r="G79" s="797">
        <f>Levers!D6</f>
        <v>1</v>
      </c>
      <c r="H79" s="797">
        <f>Levers!E6</f>
        <v>2</v>
      </c>
      <c r="I79" s="797">
        <f>Levers!F6</f>
        <v>3</v>
      </c>
      <c r="J79" s="797">
        <f>Levers!G6</f>
        <v>4</v>
      </c>
      <c r="K79" s="797">
        <f>Levers!H6</f>
        <v>5</v>
      </c>
      <c r="L79" s="797">
        <f>Levers!I6</f>
        <v>6</v>
      </c>
      <c r="M79" s="30"/>
      <c r="N79" s="119"/>
      <c r="O79" s="30"/>
      <c r="P79" s="30"/>
      <c r="Q79" s="30"/>
      <c r="R79" s="30"/>
      <c r="S79" s="30"/>
      <c r="T79" s="30"/>
      <c r="U79" s="30"/>
      <c r="V79" s="30"/>
      <c r="W79" s="30"/>
      <c r="X79" s="30"/>
      <c r="Y79" s="30"/>
      <c r="Z79" s="30"/>
    </row>
    <row r="80" ht="13.5" customHeight="1">
      <c r="A80" s="111">
        <f t="shared" si="6"/>
        <v>80</v>
      </c>
      <c r="B80" s="30"/>
      <c r="C80" s="30"/>
      <c r="D80" s="30"/>
      <c r="E80" s="30"/>
      <c r="F80" s="798">
        <f>Levers!C7</f>
        <v>2024</v>
      </c>
      <c r="G80" s="799">
        <f>Levers!D7</f>
        <v>2025</v>
      </c>
      <c r="H80" s="800">
        <f>Levers!E7</f>
        <v>2026</v>
      </c>
      <c r="I80" s="800">
        <f>Levers!F7</f>
        <v>2027</v>
      </c>
      <c r="J80" s="800">
        <f>Levers!G7</f>
        <v>2028</v>
      </c>
      <c r="K80" s="800">
        <f>Levers!H7</f>
        <v>2029</v>
      </c>
      <c r="L80" s="801">
        <f>Levers!I7</f>
        <v>2030</v>
      </c>
      <c r="M80" s="30"/>
      <c r="N80" s="119"/>
      <c r="O80" s="30"/>
      <c r="P80" s="30"/>
      <c r="Q80" s="30"/>
      <c r="R80" s="30"/>
      <c r="S80" s="30"/>
      <c r="T80" s="30"/>
      <c r="U80" s="30"/>
      <c r="V80" s="30"/>
      <c r="W80" s="30"/>
      <c r="X80" s="30"/>
      <c r="Y80" s="30"/>
      <c r="Z80" s="30"/>
    </row>
    <row r="81" ht="13.5" customHeight="1">
      <c r="A81" s="111">
        <f t="shared" si="6"/>
        <v>81</v>
      </c>
      <c r="B81" s="447"/>
      <c r="C81" s="30"/>
      <c r="D81" s="30"/>
      <c r="E81" s="802" t="str">
        <f>Levers!B8</f>
        <v>Totals</v>
      </c>
      <c r="F81" s="803">
        <f>Levers!C8</f>
        <v>2025</v>
      </c>
      <c r="G81" s="804">
        <f>Levers!D8</f>
        <v>2026</v>
      </c>
      <c r="H81" s="805">
        <f>Levers!E8</f>
        <v>2027</v>
      </c>
      <c r="I81" s="805">
        <f>Levers!F8</f>
        <v>2028</v>
      </c>
      <c r="J81" s="805">
        <f>Levers!G8</f>
        <v>2029</v>
      </c>
      <c r="K81" s="805">
        <f>Levers!H8</f>
        <v>2030</v>
      </c>
      <c r="L81" s="806">
        <f>Levers!I8</f>
        <v>2031</v>
      </c>
      <c r="M81" s="30"/>
      <c r="N81" s="119"/>
      <c r="O81" s="30"/>
      <c r="P81" s="30"/>
      <c r="Q81" s="30"/>
      <c r="R81" s="30"/>
      <c r="S81" s="30"/>
      <c r="T81" s="30"/>
      <c r="U81" s="30"/>
      <c r="V81" s="30"/>
      <c r="W81" s="30"/>
      <c r="X81" s="30"/>
      <c r="Y81" s="30"/>
      <c r="Z81" s="30"/>
    </row>
    <row r="82" ht="13.5" customHeight="1">
      <c r="A82" s="111">
        <f t="shared" si="6"/>
        <v>82</v>
      </c>
      <c r="B82" s="807" t="str">
        <f>Levers!A9</f>
        <v>Total Enrollment</v>
      </c>
      <c r="C82" s="30"/>
      <c r="D82" s="30"/>
      <c r="E82" s="808">
        <f>Levers!B9</f>
        <v>4585</v>
      </c>
      <c r="F82" s="809">
        <f>Levers!C9</f>
        <v>607</v>
      </c>
      <c r="G82" s="808">
        <f>Levers!D9</f>
        <v>632</v>
      </c>
      <c r="H82" s="808">
        <f>Levers!E9</f>
        <v>645</v>
      </c>
      <c r="I82" s="808">
        <f>Levers!F9</f>
        <v>667</v>
      </c>
      <c r="J82" s="808">
        <f>Levers!G9</f>
        <v>673</v>
      </c>
      <c r="K82" s="808">
        <f>Levers!H9</f>
        <v>676</v>
      </c>
      <c r="L82" s="808">
        <f>Levers!I9</f>
        <v>685</v>
      </c>
      <c r="M82" s="30"/>
      <c r="N82" s="119"/>
      <c r="O82" s="30"/>
      <c r="P82" s="30"/>
      <c r="Q82" s="30"/>
      <c r="R82" s="30"/>
      <c r="S82" s="30"/>
      <c r="T82" s="30"/>
      <c r="U82" s="30"/>
      <c r="V82" s="30"/>
      <c r="W82" s="30"/>
      <c r="X82" s="30"/>
      <c r="Y82" s="30"/>
      <c r="Z82" s="30"/>
    </row>
    <row r="83" ht="13.5" customHeight="1">
      <c r="A83" s="111">
        <f t="shared" si="6"/>
        <v>83</v>
      </c>
      <c r="B83" s="810" t="str">
        <f>Levers!A10</f>
        <v>Total Revenue</v>
      </c>
      <c r="C83" s="30"/>
      <c r="D83" s="30"/>
      <c r="E83" s="811">
        <f>Levers!B10</f>
        <v>49036598.63</v>
      </c>
      <c r="F83" s="811">
        <f>Levers!C10</f>
        <v>6431812.88</v>
      </c>
      <c r="G83" s="811">
        <f>Levers!D10</f>
        <v>6792118.003</v>
      </c>
      <c r="H83" s="811">
        <f>Levers!E10</f>
        <v>6917370.748</v>
      </c>
      <c r="I83" s="811">
        <f>Levers!F10</f>
        <v>7139336.931</v>
      </c>
      <c r="J83" s="811">
        <f>Levers!G10</f>
        <v>7197145.89</v>
      </c>
      <c r="K83" s="811">
        <f>Levers!H10</f>
        <v>7236050.369</v>
      </c>
      <c r="L83" s="811">
        <f>Levers!I10</f>
        <v>7322763.808</v>
      </c>
      <c r="M83" s="30"/>
      <c r="N83" s="119"/>
      <c r="O83" s="30"/>
      <c r="P83" s="30"/>
      <c r="Q83" s="30"/>
      <c r="R83" s="30"/>
      <c r="S83" s="30"/>
      <c r="T83" s="30"/>
      <c r="U83" s="30"/>
      <c r="V83" s="30"/>
      <c r="W83" s="30"/>
      <c r="X83" s="30"/>
      <c r="Y83" s="30"/>
      <c r="Z83" s="30"/>
    </row>
    <row r="84" ht="13.5" customHeight="1">
      <c r="A84" s="111">
        <f t="shared" si="6"/>
        <v>84</v>
      </c>
      <c r="B84" s="810" t="str">
        <f>Levers!A11</f>
        <v>Rev per student</v>
      </c>
      <c r="C84" s="30"/>
      <c r="D84" s="30"/>
      <c r="E84" s="811">
        <f>Levers!B11</f>
        <v>10695.00515</v>
      </c>
      <c r="F84" s="811"/>
      <c r="G84" s="811">
        <f>Levers!D11</f>
        <v>10747.02216</v>
      </c>
      <c r="H84" s="811">
        <f>Levers!E11</f>
        <v>10724.60581</v>
      </c>
      <c r="I84" s="811">
        <f>Levers!F11</f>
        <v>10703.65357</v>
      </c>
      <c r="J84" s="811">
        <f>Levers!G11</f>
        <v>10694.12465</v>
      </c>
      <c r="K84" s="811">
        <f>Levers!H11</f>
        <v>10704.21652</v>
      </c>
      <c r="L84" s="811">
        <f>Levers!I11</f>
        <v>10690.16614</v>
      </c>
      <c r="M84" s="30"/>
      <c r="N84" s="119"/>
      <c r="O84" s="30"/>
      <c r="P84" s="30"/>
      <c r="Q84" s="30"/>
      <c r="R84" s="30"/>
      <c r="S84" s="30"/>
      <c r="T84" s="30"/>
      <c r="U84" s="30"/>
      <c r="V84" s="30"/>
      <c r="W84" s="30"/>
      <c r="X84" s="30"/>
      <c r="Y84" s="30"/>
      <c r="Z84" s="30"/>
    </row>
    <row r="85" ht="13.5" customHeight="1">
      <c r="A85" s="111">
        <f t="shared" si="6"/>
        <v>85</v>
      </c>
      <c r="B85" s="810" t="str">
        <f>Levers!A20</f>
        <v>Total Facilities</v>
      </c>
      <c r="C85" s="30"/>
      <c r="D85" s="30"/>
      <c r="E85" s="811">
        <f>Levers!B20</f>
        <v>5689883.9</v>
      </c>
      <c r="F85" s="811">
        <f>Levers!C20</f>
        <v>812840</v>
      </c>
      <c r="G85" s="811">
        <f>Levers!D20</f>
        <v>812840.65</v>
      </c>
      <c r="H85" s="811">
        <f>Levers!E20</f>
        <v>812840.65</v>
      </c>
      <c r="I85" s="811">
        <f>Levers!F20</f>
        <v>812840.65</v>
      </c>
      <c r="J85" s="811">
        <f>Levers!G20</f>
        <v>812840.65</v>
      </c>
      <c r="K85" s="811">
        <f>Levers!H20</f>
        <v>812840.65</v>
      </c>
      <c r="L85" s="811">
        <f>Levers!I20</f>
        <v>812840.65</v>
      </c>
      <c r="M85" s="30"/>
      <c r="N85" s="119"/>
      <c r="O85" s="30"/>
      <c r="P85" s="30"/>
      <c r="Q85" s="30"/>
      <c r="R85" s="30"/>
      <c r="S85" s="30"/>
      <c r="T85" s="30"/>
      <c r="U85" s="30"/>
      <c r="V85" s="30"/>
      <c r="W85" s="30"/>
      <c r="X85" s="30"/>
      <c r="Y85" s="30"/>
      <c r="Z85" s="30"/>
    </row>
    <row r="86" ht="13.5" customHeight="1">
      <c r="A86" s="111">
        <f t="shared" si="6"/>
        <v>86</v>
      </c>
      <c r="B86" s="810" t="str">
        <f>Levers!A21</f>
        <v>Facilities per Student</v>
      </c>
      <c r="C86" s="30"/>
      <c r="D86" s="30"/>
      <c r="E86" s="811">
        <f>Levers!B21</f>
        <v>1240.97795</v>
      </c>
      <c r="F86" s="811"/>
      <c r="G86" s="811">
        <f>Levers!D21</f>
        <v>1286.140269</v>
      </c>
      <c r="H86" s="811">
        <f>Levers!E21</f>
        <v>1260.218062</v>
      </c>
      <c r="I86" s="811">
        <f>Levers!F21</f>
        <v>1218.651649</v>
      </c>
      <c r="J86" s="811">
        <f>Levers!G21</f>
        <v>1207.786999</v>
      </c>
      <c r="K86" s="811">
        <f>Levers!H21</f>
        <v>1202.426997</v>
      </c>
      <c r="L86" s="811">
        <f>Levers!I21</f>
        <v>1186.628686</v>
      </c>
      <c r="M86" s="30"/>
      <c r="N86" s="119"/>
      <c r="O86" s="30"/>
      <c r="P86" s="30"/>
      <c r="Q86" s="30"/>
      <c r="R86" s="30"/>
      <c r="S86" s="30"/>
      <c r="T86" s="30"/>
      <c r="U86" s="30"/>
      <c r="V86" s="30"/>
      <c r="W86" s="30"/>
      <c r="X86" s="30"/>
      <c r="Y86" s="30"/>
      <c r="Z86" s="30"/>
    </row>
    <row r="87" ht="13.5" customHeight="1">
      <c r="A87" s="111">
        <f t="shared" si="6"/>
        <v>87</v>
      </c>
      <c r="B87" s="810" t="str">
        <f>Levers!A22</f>
        <v>Net Surplus after Facilities</v>
      </c>
      <c r="C87" s="30"/>
      <c r="D87" s="30"/>
      <c r="E87" s="811">
        <f>Levers!B22</f>
        <v>43346714.73</v>
      </c>
      <c r="F87" s="811">
        <f>Levers!C22</f>
        <v>5618972.88</v>
      </c>
      <c r="G87" s="811">
        <f>Levers!D22</f>
        <v>5979277.353</v>
      </c>
      <c r="H87" s="811">
        <f>Levers!E22</f>
        <v>6104530.098</v>
      </c>
      <c r="I87" s="811">
        <f>Levers!F22</f>
        <v>6326496.281</v>
      </c>
      <c r="J87" s="811">
        <f>Levers!G22</f>
        <v>6384305.24</v>
      </c>
      <c r="K87" s="811">
        <f>Levers!H22</f>
        <v>6423209.719</v>
      </c>
      <c r="L87" s="811">
        <f>Levers!I22</f>
        <v>6509923.158</v>
      </c>
      <c r="M87" s="30"/>
      <c r="N87" s="119"/>
      <c r="O87" s="30"/>
      <c r="P87" s="30"/>
      <c r="Q87" s="30"/>
      <c r="R87" s="30"/>
      <c r="S87" s="30"/>
      <c r="T87" s="30"/>
      <c r="U87" s="30"/>
      <c r="V87" s="30"/>
      <c r="W87" s="30"/>
      <c r="X87" s="30"/>
      <c r="Y87" s="30"/>
      <c r="Z87" s="30"/>
    </row>
    <row r="88" ht="13.5" customHeight="1">
      <c r="A88" s="111">
        <f t="shared" si="6"/>
        <v>88</v>
      </c>
      <c r="B88" s="30" t="str">
        <f>Levers!A23</f>
        <v>Net Surplus after Facilities per Student</v>
      </c>
      <c r="C88" s="30"/>
      <c r="D88" s="30"/>
      <c r="E88" s="115">
        <f>Levers!B23</f>
        <v>9454.027203</v>
      </c>
      <c r="F88" s="115"/>
      <c r="G88" s="115">
        <f>Levers!D23</f>
        <v>9460.881888</v>
      </c>
      <c r="H88" s="115">
        <f>Levers!E23</f>
        <v>9464.387748</v>
      </c>
      <c r="I88" s="115">
        <f>Levers!F23</f>
        <v>9485.00192</v>
      </c>
      <c r="J88" s="115">
        <f>Levers!G23</f>
        <v>9486.337652</v>
      </c>
      <c r="K88" s="115">
        <f>Levers!H23</f>
        <v>9501.789525</v>
      </c>
      <c r="L88" s="115">
        <f>Levers!I23</f>
        <v>9503.537456</v>
      </c>
      <c r="M88" s="30"/>
      <c r="N88" s="119"/>
      <c r="O88" s="30"/>
      <c r="P88" s="30"/>
      <c r="Q88" s="30"/>
      <c r="R88" s="30"/>
      <c r="S88" s="30"/>
      <c r="T88" s="30"/>
      <c r="U88" s="30"/>
      <c r="V88" s="30"/>
      <c r="W88" s="30"/>
      <c r="X88" s="30"/>
      <c r="Y88" s="30"/>
      <c r="Z88" s="30"/>
    </row>
    <row r="89" ht="13.5" customHeight="1">
      <c r="A89" s="111">
        <f t="shared" si="6"/>
        <v>89</v>
      </c>
      <c r="B89" s="30" t="s">
        <v>633</v>
      </c>
      <c r="C89" s="30"/>
      <c r="D89" s="30"/>
      <c r="E89" s="115">
        <f>Levers!B38</f>
        <v>1869434.156</v>
      </c>
      <c r="F89" s="115">
        <f>Levers!C38</f>
        <v>26180.0113</v>
      </c>
      <c r="G89" s="115">
        <f>Levers!D38</f>
        <v>239028.9313</v>
      </c>
      <c r="H89" s="115">
        <f>Levers!E38</f>
        <v>243129.4016</v>
      </c>
      <c r="I89" s="115">
        <f>Levers!F38</f>
        <v>431611.6831</v>
      </c>
      <c r="J89" s="115">
        <f>Levers!G38</f>
        <v>378880.2193</v>
      </c>
      <c r="K89" s="115">
        <f>Levers!H38</f>
        <v>295358.2485</v>
      </c>
      <c r="L89" s="115">
        <f>Levers!I38</f>
        <v>255245.6612</v>
      </c>
      <c r="M89" s="30"/>
      <c r="N89" s="119"/>
      <c r="O89" s="30"/>
      <c r="P89" s="30"/>
      <c r="Q89" s="30"/>
      <c r="R89" s="30"/>
      <c r="S89" s="30"/>
      <c r="T89" s="30"/>
      <c r="U89" s="30"/>
      <c r="V89" s="30"/>
      <c r="W89" s="30"/>
      <c r="X89" s="30"/>
      <c r="Y89" s="30"/>
      <c r="Z89" s="30"/>
    </row>
    <row r="90" ht="13.5" customHeight="1">
      <c r="A90" s="111">
        <f t="shared" si="6"/>
        <v>90</v>
      </c>
      <c r="B90" s="702" t="s">
        <v>634</v>
      </c>
      <c r="C90" s="30"/>
      <c r="D90" s="30"/>
      <c r="E90" s="115">
        <f>Levers!B39</f>
        <v>407.7282784</v>
      </c>
      <c r="F90" s="115"/>
      <c r="G90" s="115">
        <f>Levers!D39</f>
        <v>378.2103344</v>
      </c>
      <c r="H90" s="115">
        <f>Levers!E39</f>
        <v>376.9448086</v>
      </c>
      <c r="I90" s="115">
        <f>Levers!F39</f>
        <v>647.0939777</v>
      </c>
      <c r="J90" s="115">
        <f>Levers!G39</f>
        <v>562.972094</v>
      </c>
      <c r="K90" s="115">
        <f>Levers!H39</f>
        <v>436.9204859</v>
      </c>
      <c r="L90" s="115">
        <f>Levers!I39</f>
        <v>372.6214032</v>
      </c>
      <c r="M90" s="30"/>
      <c r="N90" s="119"/>
      <c r="O90" s="30"/>
      <c r="P90" s="30"/>
      <c r="Q90" s="30"/>
      <c r="R90" s="30"/>
      <c r="S90" s="30"/>
      <c r="T90" s="30"/>
      <c r="U90" s="30"/>
      <c r="V90" s="30"/>
      <c r="W90" s="30"/>
      <c r="X90" s="30"/>
      <c r="Y90" s="30"/>
      <c r="Z90" s="30"/>
    </row>
    <row r="91" ht="13.5" customHeight="1">
      <c r="A91" s="111">
        <f t="shared" si="6"/>
        <v>91</v>
      </c>
      <c r="B91" s="30"/>
      <c r="C91" s="30"/>
      <c r="D91" s="30"/>
      <c r="E91" s="30"/>
      <c r="F91" s="30"/>
      <c r="G91" s="30"/>
      <c r="H91" s="30"/>
      <c r="I91" s="30"/>
      <c r="J91" s="30"/>
      <c r="K91" s="30"/>
      <c r="L91" s="30"/>
      <c r="M91" s="30"/>
      <c r="N91" s="119"/>
      <c r="O91" s="30"/>
      <c r="P91" s="30"/>
      <c r="Q91" s="30"/>
      <c r="R91" s="30"/>
      <c r="S91" s="30"/>
      <c r="T91" s="30"/>
      <c r="U91" s="30"/>
      <c r="V91" s="30"/>
      <c r="W91" s="30"/>
      <c r="X91" s="30"/>
      <c r="Y91" s="30"/>
      <c r="Z91" s="30"/>
    </row>
    <row r="92" ht="13.5" customHeight="1">
      <c r="A92" s="111">
        <f t="shared" si="6"/>
        <v>92</v>
      </c>
      <c r="B92" s="34" t="s">
        <v>635</v>
      </c>
      <c r="C92" s="34"/>
      <c r="D92" s="34"/>
      <c r="E92" s="34"/>
      <c r="F92" s="34" t="s">
        <v>636</v>
      </c>
      <c r="G92" s="812" t="s">
        <v>637</v>
      </c>
      <c r="H92" s="812" t="s">
        <v>638</v>
      </c>
      <c r="I92" s="812" t="s">
        <v>639</v>
      </c>
      <c r="J92" s="812" t="s">
        <v>640</v>
      </c>
      <c r="K92" s="812" t="s">
        <v>641</v>
      </c>
      <c r="L92" s="812" t="s">
        <v>642</v>
      </c>
      <c r="M92" s="30"/>
      <c r="N92" s="119"/>
      <c r="O92" s="30"/>
      <c r="P92" s="30"/>
      <c r="Q92" s="30"/>
      <c r="R92" s="30"/>
      <c r="S92" s="30"/>
      <c r="T92" s="30"/>
      <c r="U92" s="30"/>
      <c r="V92" s="30"/>
      <c r="W92" s="30"/>
      <c r="X92" s="30"/>
      <c r="Y92" s="30"/>
      <c r="Z92" s="30"/>
    </row>
    <row r="93" ht="13.5" customHeight="1">
      <c r="A93" s="111">
        <f t="shared" si="6"/>
        <v>93</v>
      </c>
      <c r="B93" s="30" t="s">
        <v>643</v>
      </c>
      <c r="C93" s="30"/>
      <c r="D93" s="30"/>
      <c r="E93" s="30"/>
      <c r="F93" s="220">
        <f t="shared" ref="F93:L93" si="45">IF($C$7="lease",F11,$C$55)</f>
        <v>58401</v>
      </c>
      <c r="G93" s="220">
        <f t="shared" si="45"/>
        <v>58401</v>
      </c>
      <c r="H93" s="220">
        <f t="shared" si="45"/>
        <v>58401</v>
      </c>
      <c r="I93" s="220">
        <f t="shared" si="45"/>
        <v>58401</v>
      </c>
      <c r="J93" s="220">
        <f t="shared" si="45"/>
        <v>58401</v>
      </c>
      <c r="K93" s="220">
        <f t="shared" si="45"/>
        <v>58401</v>
      </c>
      <c r="L93" s="220">
        <f t="shared" si="45"/>
        <v>58401</v>
      </c>
      <c r="M93" s="30"/>
      <c r="N93" s="119"/>
      <c r="O93" s="30"/>
      <c r="P93" s="30"/>
      <c r="Q93" s="30"/>
      <c r="R93" s="30"/>
      <c r="S93" s="30"/>
      <c r="T93" s="30"/>
      <c r="U93" s="30"/>
      <c r="V93" s="30"/>
      <c r="W93" s="30"/>
      <c r="X93" s="30"/>
      <c r="Y93" s="30"/>
      <c r="Z93" s="30"/>
    </row>
    <row r="94" ht="13.5" customHeight="1">
      <c r="A94" s="111">
        <f t="shared" si="6"/>
        <v>94</v>
      </c>
      <c r="B94" s="226" t="s">
        <v>329</v>
      </c>
      <c r="C94" s="30"/>
      <c r="D94" s="30"/>
      <c r="E94" s="30"/>
      <c r="F94" s="30"/>
      <c r="G94" s="220">
        <f t="shared" ref="G94:L94" si="46">IF($C$7="lease",G23,G62)</f>
        <v>658076</v>
      </c>
      <c r="H94" s="220">
        <f t="shared" si="46"/>
        <v>658076</v>
      </c>
      <c r="I94" s="220">
        <f t="shared" si="46"/>
        <v>658076</v>
      </c>
      <c r="J94" s="220">
        <f t="shared" si="46"/>
        <v>658076</v>
      </c>
      <c r="K94" s="220">
        <f t="shared" si="46"/>
        <v>658076</v>
      </c>
      <c r="L94" s="220">
        <f t="shared" si="46"/>
        <v>658076</v>
      </c>
      <c r="M94" s="30"/>
      <c r="N94" s="119"/>
      <c r="O94" s="30"/>
      <c r="P94" s="30"/>
      <c r="Q94" s="30"/>
      <c r="R94" s="30"/>
      <c r="S94" s="30"/>
      <c r="T94" s="30"/>
      <c r="U94" s="30"/>
      <c r="V94" s="30"/>
      <c r="W94" s="30"/>
      <c r="X94" s="30"/>
      <c r="Y94" s="30"/>
      <c r="Z94" s="30"/>
    </row>
    <row r="95" ht="13.5" customHeight="1">
      <c r="A95" s="111">
        <f t="shared" si="6"/>
        <v>95</v>
      </c>
      <c r="B95" s="226" t="s">
        <v>330</v>
      </c>
      <c r="C95" s="30"/>
      <c r="D95" s="30"/>
      <c r="E95" s="30"/>
      <c r="F95" s="30"/>
      <c r="G95" s="220">
        <f t="shared" ref="G95:L95" si="47">IF($C$7="lease",G25,G65)</f>
        <v>0</v>
      </c>
      <c r="H95" s="220">
        <f t="shared" si="47"/>
        <v>0</v>
      </c>
      <c r="I95" s="220">
        <f t="shared" si="47"/>
        <v>0</v>
      </c>
      <c r="J95" s="220">
        <f t="shared" si="47"/>
        <v>0</v>
      </c>
      <c r="K95" s="220">
        <f t="shared" si="47"/>
        <v>0</v>
      </c>
      <c r="L95" s="220">
        <f t="shared" si="47"/>
        <v>0</v>
      </c>
      <c r="M95" s="30"/>
      <c r="N95" s="119"/>
      <c r="O95" s="30"/>
      <c r="P95" s="30"/>
      <c r="Q95" s="30"/>
      <c r="R95" s="30"/>
      <c r="S95" s="30"/>
      <c r="T95" s="30"/>
      <c r="U95" s="30"/>
      <c r="V95" s="30"/>
      <c r="W95" s="30"/>
      <c r="X95" s="30"/>
      <c r="Y95" s="30"/>
      <c r="Z95" s="30"/>
    </row>
    <row r="96" ht="13.5" customHeight="1">
      <c r="A96" s="111">
        <f t="shared" si="6"/>
        <v>96</v>
      </c>
      <c r="B96" s="226" t="s">
        <v>331</v>
      </c>
      <c r="C96" s="30"/>
      <c r="D96" s="30"/>
      <c r="E96" s="30"/>
      <c r="F96" s="30"/>
      <c r="G96" s="220">
        <f t="shared" ref="G96:L96" si="48">IF($C$7="lease",G26,G66)</f>
        <v>125562.15</v>
      </c>
      <c r="H96" s="220">
        <f t="shared" si="48"/>
        <v>125562.15</v>
      </c>
      <c r="I96" s="220">
        <f t="shared" si="48"/>
        <v>125562.15</v>
      </c>
      <c r="J96" s="220">
        <f t="shared" si="48"/>
        <v>125562.15</v>
      </c>
      <c r="K96" s="220">
        <f t="shared" si="48"/>
        <v>125562.15</v>
      </c>
      <c r="L96" s="220">
        <f t="shared" si="48"/>
        <v>125562.15</v>
      </c>
      <c r="M96" s="30"/>
      <c r="N96" s="119"/>
      <c r="O96" s="30"/>
      <c r="P96" s="30"/>
      <c r="Q96" s="30"/>
      <c r="R96" s="30"/>
      <c r="S96" s="30"/>
      <c r="T96" s="30"/>
      <c r="U96" s="30"/>
      <c r="V96" s="30"/>
      <c r="W96" s="30"/>
      <c r="X96" s="30"/>
      <c r="Y96" s="30"/>
      <c r="Z96" s="30"/>
    </row>
    <row r="97" ht="13.5" customHeight="1">
      <c r="A97" s="111">
        <f t="shared" si="6"/>
        <v>97</v>
      </c>
      <c r="B97" s="226" t="s">
        <v>332</v>
      </c>
      <c r="C97" s="30"/>
      <c r="D97" s="30"/>
      <c r="E97" s="30"/>
      <c r="F97" s="30"/>
      <c r="G97" s="220">
        <f t="shared" ref="G97:L97" si="49">IF($C$7="lease",G27,G67)</f>
        <v>0</v>
      </c>
      <c r="H97" s="220">
        <f t="shared" si="49"/>
        <v>0</v>
      </c>
      <c r="I97" s="220">
        <f t="shared" si="49"/>
        <v>0</v>
      </c>
      <c r="J97" s="220">
        <f t="shared" si="49"/>
        <v>0</v>
      </c>
      <c r="K97" s="220">
        <f t="shared" si="49"/>
        <v>0</v>
      </c>
      <c r="L97" s="220">
        <f t="shared" si="49"/>
        <v>0</v>
      </c>
      <c r="M97" s="30"/>
      <c r="N97" s="119"/>
      <c r="O97" s="30"/>
      <c r="P97" s="30"/>
      <c r="Q97" s="30"/>
      <c r="R97" s="30"/>
      <c r="S97" s="30"/>
      <c r="T97" s="30"/>
      <c r="U97" s="30"/>
      <c r="V97" s="30"/>
      <c r="W97" s="30"/>
      <c r="X97" s="30"/>
      <c r="Y97" s="30"/>
      <c r="Z97" s="30"/>
    </row>
    <row r="98" ht="13.5" customHeight="1">
      <c r="A98" s="111">
        <f t="shared" si="6"/>
        <v>98</v>
      </c>
      <c r="B98" s="226" t="s">
        <v>333</v>
      </c>
      <c r="C98" s="30"/>
      <c r="D98" s="30"/>
      <c r="E98" s="30"/>
      <c r="F98" s="30"/>
      <c r="G98" s="220">
        <f t="shared" ref="G98:L98" si="50">IF($C$7="lease",G29,G68)</f>
        <v>2</v>
      </c>
      <c r="H98" s="220">
        <f t="shared" si="50"/>
        <v>2</v>
      </c>
      <c r="I98" s="220">
        <f t="shared" si="50"/>
        <v>2</v>
      </c>
      <c r="J98" s="220">
        <f t="shared" si="50"/>
        <v>2</v>
      </c>
      <c r="K98" s="220">
        <f t="shared" si="50"/>
        <v>2</v>
      </c>
      <c r="L98" s="220">
        <f t="shared" si="50"/>
        <v>2</v>
      </c>
      <c r="M98" s="30"/>
      <c r="N98" s="119"/>
      <c r="O98" s="30"/>
      <c r="P98" s="30"/>
      <c r="Q98" s="30"/>
      <c r="R98" s="30"/>
      <c r="S98" s="30"/>
      <c r="T98" s="30"/>
      <c r="U98" s="30"/>
      <c r="V98" s="30"/>
      <c r="W98" s="30"/>
      <c r="X98" s="30"/>
      <c r="Y98" s="30"/>
      <c r="Z98" s="30"/>
    </row>
    <row r="99" ht="13.5" customHeight="1">
      <c r="A99" s="111">
        <f t="shared" si="6"/>
        <v>99</v>
      </c>
      <c r="B99" s="226" t="s">
        <v>334</v>
      </c>
      <c r="C99" s="30"/>
      <c r="D99" s="30"/>
      <c r="E99" s="30"/>
      <c r="F99" s="30"/>
      <c r="G99" s="220" t="str">
        <f t="shared" ref="G99:L99" si="51">IF($C$7="lease",G35,0)</f>
        <v/>
      </c>
      <c r="H99" s="220" t="str">
        <f t="shared" si="51"/>
        <v/>
      </c>
      <c r="I99" s="220" t="str">
        <f t="shared" si="51"/>
        <v/>
      </c>
      <c r="J99" s="220" t="str">
        <f t="shared" si="51"/>
        <v/>
      </c>
      <c r="K99" s="220" t="str">
        <f t="shared" si="51"/>
        <v/>
      </c>
      <c r="L99" s="220" t="str">
        <f t="shared" si="51"/>
        <v/>
      </c>
      <c r="M99" s="30"/>
      <c r="N99" s="119"/>
      <c r="O99" s="30"/>
      <c r="P99" s="30"/>
      <c r="Q99" s="30"/>
      <c r="R99" s="30"/>
      <c r="S99" s="30"/>
      <c r="T99" s="30"/>
      <c r="U99" s="30"/>
      <c r="V99" s="30"/>
      <c r="W99" s="30"/>
      <c r="X99" s="30"/>
      <c r="Y99" s="30"/>
      <c r="Z99" s="30"/>
    </row>
    <row r="100" ht="13.5" customHeight="1">
      <c r="A100" s="111">
        <f t="shared" si="6"/>
        <v>100</v>
      </c>
      <c r="B100" s="226" t="s">
        <v>297</v>
      </c>
      <c r="C100" s="30"/>
      <c r="D100" s="30"/>
      <c r="E100" s="30"/>
      <c r="F100" s="30"/>
      <c r="G100" s="220">
        <f t="shared" ref="G100:L100" si="52">IF($C$7="lease",G34,0)</f>
        <v>0</v>
      </c>
      <c r="H100" s="220" t="str">
        <f t="shared" si="52"/>
        <v/>
      </c>
      <c r="I100" s="220" t="str">
        <f t="shared" si="52"/>
        <v/>
      </c>
      <c r="J100" s="220" t="str">
        <f t="shared" si="52"/>
        <v/>
      </c>
      <c r="K100" s="220" t="str">
        <f t="shared" si="52"/>
        <v/>
      </c>
      <c r="L100" s="220" t="str">
        <f t="shared" si="52"/>
        <v/>
      </c>
      <c r="M100" s="30"/>
      <c r="N100" s="119"/>
      <c r="O100" s="30"/>
      <c r="P100" s="30"/>
      <c r="Q100" s="30"/>
      <c r="R100" s="30"/>
      <c r="S100" s="30"/>
      <c r="T100" s="30"/>
      <c r="U100" s="30"/>
      <c r="V100" s="30"/>
      <c r="W100" s="30"/>
      <c r="X100" s="30"/>
      <c r="Y100" s="30"/>
      <c r="Z100" s="30"/>
    </row>
    <row r="101" ht="13.5" customHeight="1">
      <c r="A101" s="111"/>
      <c r="B101" s="226"/>
      <c r="C101" s="30"/>
      <c r="D101" s="30"/>
      <c r="E101" s="30"/>
      <c r="F101" s="30"/>
      <c r="G101" s="30"/>
      <c r="H101" s="30"/>
      <c r="I101" s="30"/>
      <c r="J101" s="30"/>
      <c r="K101" s="30"/>
      <c r="L101" s="30"/>
      <c r="M101" s="30"/>
      <c r="N101" s="119"/>
      <c r="O101" s="30"/>
      <c r="P101" s="30"/>
      <c r="Q101" s="30"/>
      <c r="R101" s="30"/>
      <c r="S101" s="30"/>
      <c r="T101" s="30"/>
      <c r="U101" s="30"/>
      <c r="V101" s="30"/>
      <c r="W101" s="30"/>
      <c r="X101" s="30"/>
      <c r="Y101" s="30"/>
      <c r="Z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3.5" customHeight="1">
      <c r="A103" s="30"/>
      <c r="B103" s="30"/>
      <c r="C103" s="30"/>
      <c r="D103" s="30"/>
      <c r="E103" s="30"/>
      <c r="F103" s="30"/>
      <c r="G103" s="30"/>
      <c r="H103" s="30"/>
      <c r="I103" s="30"/>
      <c r="J103" s="30"/>
      <c r="K103" s="30"/>
      <c r="L103" s="30"/>
      <c r="N103" s="30"/>
      <c r="O103" s="30"/>
      <c r="P103" s="30"/>
      <c r="Q103" s="30"/>
      <c r="R103" s="30"/>
      <c r="S103" s="30"/>
      <c r="T103" s="30"/>
      <c r="U103" s="30"/>
      <c r="V103" s="30"/>
      <c r="W103" s="30"/>
      <c r="X103" s="30"/>
      <c r="Y103" s="30"/>
      <c r="Z103" s="30"/>
    </row>
    <row r="104" ht="13.5" customHeight="1">
      <c r="A104" s="30"/>
      <c r="B104" s="30"/>
      <c r="C104" s="30"/>
      <c r="D104" s="30"/>
      <c r="E104" s="30"/>
      <c r="F104" s="30"/>
      <c r="G104" s="30"/>
      <c r="H104" s="30"/>
      <c r="I104" s="30"/>
      <c r="J104" s="30"/>
      <c r="K104" s="30"/>
      <c r="L104" s="30"/>
      <c r="M104" s="12"/>
      <c r="N104" s="30"/>
      <c r="O104" s="30"/>
      <c r="P104" s="30"/>
      <c r="Q104" s="30"/>
      <c r="R104" s="30"/>
      <c r="S104" s="30"/>
      <c r="T104" s="30"/>
      <c r="U104" s="30"/>
      <c r="V104" s="30"/>
      <c r="W104" s="30"/>
      <c r="X104" s="30"/>
      <c r="Y104" s="30"/>
      <c r="Z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3.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3.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3.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3.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3.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3.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3.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3.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3.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3.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3.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3.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3.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3.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3.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3.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3.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3.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3.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3.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3.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3.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3.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3.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3.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3.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3.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3.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3.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3.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3.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3.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3.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3.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3.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3.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3.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3.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3.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3.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3.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3.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3.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3.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3.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3.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3.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3.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3.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3.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3.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3.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3.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3.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3.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3.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3.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3.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3.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3.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3.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3.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3.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3.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3.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3.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3.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3.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3.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3.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3.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3.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3.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3.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3.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3.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3.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3.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3.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3.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3.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3.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3.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3.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3.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3.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3.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3.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3.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3.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3.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3.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3.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3.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3.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3.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3.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3.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3.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3.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3.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3.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3.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3.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3.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3.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3.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3.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3.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3.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3.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3.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3.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3.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3.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3.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3.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3.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3.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3.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3.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3.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3.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3.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3.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3.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3.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3.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3.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3.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3.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3.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3.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3.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3.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3.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3.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3.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3.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3.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3.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3.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3.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3.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3.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3.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3.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3.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3.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3.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3.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3.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3.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3.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3.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3.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3.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3.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3.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3.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3.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3.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3.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3.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3.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3.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3.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3.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3.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3.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3.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3.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3.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3.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3.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3.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3.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3.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3.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3.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3.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3.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3.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3.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3.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3.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3.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3.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3.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3.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3.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3.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3.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3.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3.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3.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3.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3.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3.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3.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3.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3.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3.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3.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3.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3.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3.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3.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3.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3.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3.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3.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3.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3.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3.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3.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3.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3.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3.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3.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3.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3.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3.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3.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3.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3.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3.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3.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3.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3.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3.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3.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3.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3.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3.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3.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3.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3.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3.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3.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3.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3.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3.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3.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3.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3.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3.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3.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3.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3.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3.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3.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3.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3.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3.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3.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3.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3.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3.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3.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3.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3.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3.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3.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3.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3.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3.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3.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3.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3.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3.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3.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3.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3.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3.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3.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3.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3.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3.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3.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3.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3.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3.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3.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3.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3.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3.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3.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3.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3.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3.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3.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3.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3.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3.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3.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3.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3.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3.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3.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3.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3.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3.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3.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3.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3.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3.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3.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3.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3.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3.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3.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3.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3.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3.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3.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3.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3.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3.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3.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3.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3.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3.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3.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3.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3.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3.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3.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3.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3.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3.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3.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3.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3.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3.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3.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3.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3.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3.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3.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3.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3.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3.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3.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3.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3.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3.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3.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3.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3.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3.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3.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3.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3.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3.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3.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3.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3.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3.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3.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3.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3.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3.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3.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3.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3.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3.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3.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3.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3.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3.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3.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3.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3.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3.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3.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3.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3.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3.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3.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3.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3.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3.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3.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3.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3.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3.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3.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3.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3.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3.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3.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3.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3.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3.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3.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3.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3.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3.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3.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3.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3.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3.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3.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3.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3.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3.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3.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3.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3.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3.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3.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3.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3.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3.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3.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3.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3.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3.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3.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3.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3.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3.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3.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3.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3.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3.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3.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3.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3.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3.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3.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3.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3.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3.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3.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3.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3.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3.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3.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3.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3.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3.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3.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3.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3.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3.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3.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3.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3.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3.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3.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3.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3.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3.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3.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3.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3.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3.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3.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3.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3.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3.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3.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3.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3.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3.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3.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3.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3.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3.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3.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3.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3.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3.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3.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3.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3.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3.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3.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3.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3.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3.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3.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3.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3.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3.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3.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3.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3.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3.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3.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3.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3.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3.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3.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3.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3.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3.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3.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3.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3.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3.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3.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3.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3.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3.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3.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3.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3.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3.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3.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3.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3.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3.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3.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3.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3.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3.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3.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3.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3.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3.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3.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3.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3.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3.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3.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3.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3.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3.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3.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3.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3.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3.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3.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3.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3.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3.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3.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3.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3.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3.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3.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3.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3.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3.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3.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3.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3.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3.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3.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3.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3.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3.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3.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3.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3.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3.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3.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3.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3.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3.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3.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3.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3.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3.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3.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3.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3.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3.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3.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3.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3.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3.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3.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3.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3.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3.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3.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3.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3.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3.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3.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3.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3.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3.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3.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3.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3.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3.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3.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3.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3.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3.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3.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3.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3.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3.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3.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3.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3.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3.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3.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3.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3.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3.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3.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3.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3.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3.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3.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3.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3.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3.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3.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3.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3.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3.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3.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3.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3.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3.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3.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3.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3.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3.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3.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3.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3.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3.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3.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3.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3.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3.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3.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3.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3.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3.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3.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3.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3.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3.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3.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3.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3.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3.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3.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3.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3.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3.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3.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3.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3.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3.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3.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3.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3.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3.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3.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3.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3.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3.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3.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3.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3.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3.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3.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3.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3.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3.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3.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3.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3.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3.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3.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3.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3.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3.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3.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3.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3.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3.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3.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3.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3.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3.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3.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3.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3.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3.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3.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3.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3.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3.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3.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3.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3.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3.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3.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3.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3.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3.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3.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3.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3.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3.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3.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3.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3.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3.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3.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3.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3.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3.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3.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3.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3.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3.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3.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3.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3.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3.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3.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3.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3.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3.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3.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3.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3.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3.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3.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3.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3.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3.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3.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3.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3.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3.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3.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3.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3.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3.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3.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3.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3.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3.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3.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3.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3.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3.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3.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3.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3.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3.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3.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3.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3.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3.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3.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3.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3.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3.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3.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3.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3.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3.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3.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3.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3.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3.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3.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3.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3.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3.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3.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3.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3.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3.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3.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3.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3.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3.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3.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3.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3.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3.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3.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3.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3.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3.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3.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3.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3.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3.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3.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3.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3.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3.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3.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3.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3.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3.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3.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3.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3.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3.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3.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3.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3.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3.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3.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3.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3.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3.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3.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3.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3.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3.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3.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3.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3.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3.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3.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3.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3.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3.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3.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3.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3.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3.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3.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3.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3.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3.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3.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3.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3.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3.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3.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3.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3.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3.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3.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3.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3.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3.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3.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3.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3.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3.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3.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3.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3.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3.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3.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3.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3.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3.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3.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3.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3.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3.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3.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3.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3.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3.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3.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3.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3.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3.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3.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3.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3.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3.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3.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3.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3.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3.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3.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3.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3.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3.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3.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G2:K2"/>
    <mergeCell ref="G3:K3"/>
  </mergeCells>
  <conditionalFormatting sqref="D1">
    <cfRule type="expression" dxfId="2" priority="1" stopIfTrue="1">
      <formula>MOD(ROW(),2)=0</formula>
    </cfRule>
  </conditionalFormatting>
  <conditionalFormatting sqref="F71:F72">
    <cfRule type="cellIs" dxfId="3" priority="2" stopIfTrue="1" operator="equal">
      <formula>0</formula>
    </cfRule>
  </conditionalFormatting>
  <conditionalFormatting sqref="G57">
    <cfRule type="expression" dxfId="6" priority="3">
      <formula>"'=or(&lt;0.95*Facilities!$I$16,&gt;1.05*Facilities!$I$16,&lt;0.95*Facilities!$I$51,&gt;1.05*Facilities!$I$51)"</formula>
    </cfRule>
  </conditionalFormatting>
  <conditionalFormatting sqref="G57">
    <cfRule type="expression" dxfId="7" priority="4">
      <formula>"'=or(&lt;.95*Facilities!$I$16,&gt;1.05*Facilities!$I$16,&lt;.95*Facilities!$I$51,&gt;1.05*Facilities!$I$51)"</formula>
    </cfRule>
  </conditionalFormatting>
  <conditionalFormatting sqref="Z1:Z6">
    <cfRule type="cellIs" dxfId="1" priority="5" stopIfTrue="1" operator="equal">
      <formula>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rowBreaks count="1" manualBreakCount="1">
    <brk id="5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7" ma:contentTypeDescription="Create a new document." ma:contentTypeScope="" ma:versionID="a461ea5d2484736acc45bfcb9cf30d18">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8247d748e6d79b0805e49deee670f41f"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NOC_x002d_FIP" minOccurs="0"/>
                <xsd:element ref="ns2:DateTimeM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Time"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NOC_x002d_FIP" ma:index="29" nillable="true" ma:displayName="NOC-FIP" ma:description="School received or is continuing under a Notice Of Concern (NOC) or is required to submit a Financial Improvement Plan (FIP)" ma:format="Dropdown" ma:internalName="NOC_x002d_FIP">
      <xsd:simpleType>
        <xsd:restriction base="dms:Text">
          <xsd:maxLength value="255"/>
        </xsd:restriction>
      </xsd:simpleType>
    </xsd:element>
    <xsd:element name="DateTimeMod" ma:index="30" nillable="true" ma:displayName="Date &amp; Time Mod" ma:format="DateTime" ma:internalName="DateTimeMo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TimeMod xmlns="edb173ee-3fb8-4f75-bf43-79a22ca96f2e" xsi:nil="true"/>
    <Dateandtime xmlns="edb173ee-3fb8-4f75-bf43-79a22ca96f2e" xsi:nil="true"/>
    <NOC_x002d_FIP xmlns="edb173ee-3fb8-4f75-bf43-79a22ca96f2e" xsi:nil="true"/>
  </documentManagement>
</p:properties>
</file>

<file path=customXml/itemProps1.xml><?xml version="1.0" encoding="utf-8"?>
<ds:datastoreItem xmlns:ds="http://schemas.openxmlformats.org/officeDocument/2006/customXml" ds:itemID="{4081A556-E49C-4133-85B7-007F7E353838}"/>
</file>

<file path=customXml/itemProps2.xml><?xml version="1.0" encoding="utf-8"?>
<ds:datastoreItem xmlns:ds="http://schemas.openxmlformats.org/officeDocument/2006/customXml" ds:itemID="{3E5D27AB-5931-413B-BAB3-61A9367DC73A}"/>
</file>

<file path=customXml/itemProps3.xml><?xml version="1.0" encoding="utf-8"?>
<ds:datastoreItem xmlns:ds="http://schemas.openxmlformats.org/officeDocument/2006/customXml" ds:itemID="{16DD7BCA-D4D0-436B-BE6D-1561C9177F77}"/>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