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E:\Sponsorship Change\"/>
    </mc:Choice>
  </mc:AlternateContent>
  <bookViews>
    <workbookView xWindow="0" yWindow="0" windowWidth="28800" windowHeight="12708" activeTab="3"/>
  </bookViews>
  <sheets>
    <sheet name="Instructions" sheetId="36" r:id="rId1"/>
    <sheet name="Cover" sheetId="52" r:id="rId2"/>
    <sheet name="Checklist &amp; TOC" sheetId="66" r:id="rId3"/>
    <sheet name="Summary" sheetId="18" r:id="rId4"/>
    <sheet name="Statistics" sheetId="67" r:id="rId5"/>
    <sheet name="Mkt Res" sheetId="41" r:id="rId6"/>
    <sheet name=" Enrol &amp; Rev" sheetId="13" r:id="rId7"/>
    <sheet name="Pre Y1 (Incubation)" sheetId="39" state="hidden" r:id="rId8"/>
    <sheet name="CF Y1 Mo" sheetId="38" r:id="rId9"/>
    <sheet name="Staff" sheetId="62" r:id="rId10"/>
    <sheet name="Facilities" sheetId="46" r:id="rId11"/>
    <sheet name="Gen Optg" sheetId="61" r:id="rId12"/>
    <sheet name="FFE&amp;T" sheetId="34" r:id="rId13"/>
    <sheet name="Ins" sheetId="47" r:id="rId14"/>
    <sheet name="Marketing" sheetId="48" r:id="rId15"/>
    <sheet name="EMO-CMO-BOSP" sheetId="45" r:id="rId16"/>
    <sheet name="Info--&gt;" sheetId="75" r:id="rId17"/>
    <sheet name="Demographics" sheetId="71" r:id="rId18"/>
    <sheet name="PCFP Rates" sheetId="35" r:id="rId19"/>
    <sheet name="Facilities wkst" sheetId="53" r:id="rId20"/>
    <sheet name="Dev Notes" sheetId="57" r:id="rId21"/>
    <sheet name="Note FFE" sheetId="54" state="hidden" r:id="rId22"/>
    <sheet name="Eq wip" sheetId="55" state="hidden" r:id="rId23"/>
    <sheet name="Scratchpad (2)" sheetId="69" state="hidden" r:id="rId24"/>
    <sheet name="Levers" sheetId="63" r:id="rId25"/>
    <sheet name="Scratchpad" sheetId="68" r:id="rId26"/>
    <sheet name="Transp" sheetId="72" r:id="rId27"/>
    <sheet name="Sheet1" sheetId="76" r:id="rId28"/>
    <sheet name="Star Ratings" sheetId="74" r:id="rId29"/>
    <sheet name="Sheet2" sheetId="77" r:id="rId30"/>
  </sheets>
  <definedNames>
    <definedName name="Counties">'PCFP Rates'!$O$49:$O$79</definedName>
    <definedName name="County">'PCFP Rates'!$O$49:$O$79</definedName>
    <definedName name="DSA">'PCFP Rates'!#REF!</definedName>
    <definedName name="FICA_Rate">Staff!$C$59</definedName>
    <definedName name="HypLink1">#REF!</definedName>
    <definedName name="HypLink10">'CF Y1 Mo'!$A$1</definedName>
    <definedName name="HypLink11">Staff!$A$1</definedName>
    <definedName name="HypLink12">Facilities!$A$1</definedName>
    <definedName name="HypLink13">'Gen Optg'!$A$1</definedName>
    <definedName name="HypLink14">'FFE&amp;T'!$A$1</definedName>
    <definedName name="HypLink15">Ins!$A$1</definedName>
    <definedName name="HypLink16">Marketing!$A$1</definedName>
    <definedName name="HypLink17">'EMO-CMO-BOSP'!$A$1</definedName>
    <definedName name="HypLink18">'PCFP Rates'!$A$1</definedName>
    <definedName name="HypLink19">'Facilities wkst'!$A$1</definedName>
    <definedName name="HypLink2">Instructions!$A$1</definedName>
    <definedName name="HypLink20">'Dev Notes'!$A$1</definedName>
    <definedName name="HypLink21">'Note FFE'!$A$1</definedName>
    <definedName name="HypLink22">'Eq wip'!$A$1</definedName>
    <definedName name="HypLink23">'Scratchpad (2)'!$A$1</definedName>
    <definedName name="HypLink24">Levers!$A$1</definedName>
    <definedName name="HypLink25">Scratchpad!$A$1</definedName>
    <definedName name="HypLink26">Demographics!$A$1</definedName>
    <definedName name="HypLink3">Cover!$A$1</definedName>
    <definedName name="HypLink4">'Checklist &amp; TOC'!$A$1</definedName>
    <definedName name="HypLink5">Summary!$A$1</definedName>
    <definedName name="HypLink6" localSheetId="11">'Gen Optg'!$A$1</definedName>
    <definedName name="HypLink6" localSheetId="9">Staff!$A$1</definedName>
    <definedName name="HypLink6">Statistics!$A$1</definedName>
    <definedName name="HypLink7">'Mkt Res'!$A$1</definedName>
    <definedName name="HypLink8">' Enrol &amp; Rev'!$A$1</definedName>
    <definedName name="HypLink9">'Pre Y1 (Incubation)'!$A$1</definedName>
    <definedName name="_xlnm.Print_Area" localSheetId="6">' Enrol &amp; Rev'!$A$1:$M$146</definedName>
    <definedName name="_xlnm.Print_Area" localSheetId="8">'CF Y1 Mo'!$A$1:$R$130</definedName>
    <definedName name="_xlnm.Print_Area" localSheetId="2">'Checklist &amp; TOC'!$A$1:$K$35</definedName>
    <definedName name="_xlnm.Print_Area" localSheetId="1">Cover!$A$1:$G$23</definedName>
    <definedName name="_xlnm.Print_Area" localSheetId="17">Demographics!$A$1:$M$6</definedName>
    <definedName name="_xlnm.Print_Area" localSheetId="20">'Dev Notes'!$A$1:$T$90</definedName>
    <definedName name="_xlnm.Print_Area" localSheetId="15">'EMO-CMO-BOSP'!$A$1:$L$85</definedName>
    <definedName name="_xlnm.Print_Area" localSheetId="22">'Eq wip'!$A$1:$N$50</definedName>
    <definedName name="_xlnm.Print_Area" localSheetId="10">Facilities!$A$1:$L$77</definedName>
    <definedName name="_xlnm.Print_Area" localSheetId="12">'FFE&amp;T'!$A$1:$L$55</definedName>
    <definedName name="_xlnm.Print_Area" localSheetId="11">'Gen Optg'!$A$1:$L$181</definedName>
    <definedName name="_xlnm.Print_Area" localSheetId="13">Ins!$A$1:$L$51</definedName>
    <definedName name="_xlnm.Print_Area" localSheetId="0">Instructions!$A$2:$A$108</definedName>
    <definedName name="_xlnm.Print_Area" localSheetId="24">Levers!$A$1:$I$39</definedName>
    <definedName name="_xlnm.Print_Area" localSheetId="14">Marketing!$A$1:$N$46</definedName>
    <definedName name="_xlnm.Print_Area" localSheetId="5">'Mkt Res'!$A$1:$K$88</definedName>
    <definedName name="_xlnm.Print_Area" localSheetId="21">'Note FFE'!$A$1:$I$43</definedName>
    <definedName name="_xlnm.Print_Area" localSheetId="18">'PCFP Rates'!$A$1:$M$472</definedName>
    <definedName name="_xlnm.Print_Area" localSheetId="7">'Pre Y1 (Incubation)'!$A$1:$F$8</definedName>
    <definedName name="_xlnm.Print_Area" localSheetId="25">Scratchpad!$A$1:$L$44</definedName>
    <definedName name="_xlnm.Print_Area" localSheetId="23">'Scratchpad (2)'!$A$1:$Q$44</definedName>
    <definedName name="_xlnm.Print_Area" localSheetId="9">Staff!$A$1:$M$477</definedName>
    <definedName name="_xlnm.Print_Area" localSheetId="28">'Star Ratings'!$A$1:$K$43</definedName>
    <definedName name="_xlnm.Print_Area" localSheetId="4">Statistics!$A$1:$L$126</definedName>
    <definedName name="_xlnm.Print_Area" localSheetId="3">Summary!$A$1:$L$101</definedName>
    <definedName name="_xlnm.Print_Area" localSheetId="26">Transp!$A$1:$K$42</definedName>
    <definedName name="_xlnm.Print_Titles" localSheetId="6">' Enrol &amp; Rev'!$9:$11</definedName>
    <definedName name="_xlnm.Print_Titles" localSheetId="8">'CF Y1 Mo'!$7:$12</definedName>
    <definedName name="_xlnm.Print_Titles" localSheetId="15">'EMO-CMO-BOSP'!$9:$11</definedName>
    <definedName name="_xlnm.Print_Titles" localSheetId="10">Facilities!$6:$8</definedName>
    <definedName name="_xlnm.Print_Titles" localSheetId="19">'Facilities wkst'!$A:$A</definedName>
    <definedName name="_xlnm.Print_Titles" localSheetId="12">'FFE&amp;T'!$6:$8</definedName>
    <definedName name="_xlnm.Print_Titles" localSheetId="11">'Gen Optg'!$9:$11</definedName>
    <definedName name="_xlnm.Print_Titles" localSheetId="24">Levers!$7:$8</definedName>
    <definedName name="_xlnm.Print_Titles" localSheetId="14">Marketing!$11:$13</definedName>
    <definedName name="_xlnm.Print_Titles" localSheetId="5">'Mkt Res'!$7:$9</definedName>
    <definedName name="_xlnm.Print_Titles" localSheetId="9">Staff!$8:$10</definedName>
    <definedName name="_xlnm.Print_Titles" localSheetId="3">Summary!$6:$8</definedName>
    <definedName name="SchoolName">Cover!$C$9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8" l="1"/>
  <c r="H29" i="47" l="1"/>
  <c r="I29" i="47" s="1"/>
  <c r="J29" i="47" s="1"/>
  <c r="K29" i="47" s="1"/>
  <c r="L29" i="47" s="1"/>
  <c r="G29" i="47"/>
  <c r="G19" i="47"/>
  <c r="H19" i="47" s="1"/>
  <c r="I19" i="47" s="1"/>
  <c r="J19" i="47" s="1"/>
  <c r="K19" i="47" s="1"/>
  <c r="L19" i="47" s="1"/>
  <c r="I13" i="47"/>
  <c r="J13" i="47" s="1"/>
  <c r="K13" i="47" s="1"/>
  <c r="L13" i="47" s="1"/>
  <c r="H13" i="47"/>
  <c r="G13" i="47"/>
  <c r="H246" i="62" l="1"/>
  <c r="J288" i="62"/>
  <c r="K288" i="62" s="1"/>
  <c r="L288" i="62" s="1"/>
  <c r="M288" i="62" s="1"/>
  <c r="I288" i="62"/>
  <c r="J324" i="62"/>
  <c r="K324" i="62" s="1"/>
  <c r="L324" i="62" s="1"/>
  <c r="M324" i="62" s="1"/>
  <c r="I324" i="62"/>
  <c r="F41" i="38" l="1"/>
  <c r="G90" i="18" l="1"/>
  <c r="G87" i="18"/>
  <c r="L140" i="61" l="1"/>
  <c r="K140" i="61"/>
  <c r="J140" i="61"/>
  <c r="I140" i="61"/>
  <c r="H140" i="61"/>
  <c r="G140" i="61"/>
  <c r="G31" i="46" l="1"/>
  <c r="G30" i="46"/>
  <c r="G28" i="46"/>
  <c r="G26" i="46"/>
  <c r="G25" i="46"/>
  <c r="G110" i="61"/>
  <c r="G139" i="61"/>
  <c r="G138" i="61"/>
  <c r="G137" i="61"/>
  <c r="G136" i="61"/>
  <c r="G135" i="61"/>
  <c r="G134" i="61"/>
  <c r="G133" i="61"/>
  <c r="G132" i="61"/>
  <c r="G131" i="61"/>
  <c r="G130" i="61"/>
  <c r="G129" i="61"/>
  <c r="I86" i="61" l="1"/>
  <c r="J86" i="61"/>
  <c r="K86" i="61"/>
  <c r="L86" i="61" s="1"/>
  <c r="H86" i="61"/>
  <c r="G86" i="61"/>
  <c r="I72" i="61"/>
  <c r="J72" i="61"/>
  <c r="K72" i="61"/>
  <c r="L72" i="61" s="1"/>
  <c r="H72" i="61"/>
  <c r="G72" i="61"/>
  <c r="H69" i="61"/>
  <c r="I69" i="61"/>
  <c r="J69" i="61"/>
  <c r="K69" i="61"/>
  <c r="L69" i="61"/>
  <c r="G69" i="61"/>
  <c r="I71" i="61"/>
  <c r="J71" i="61"/>
  <c r="K71" i="61"/>
  <c r="L71" i="61"/>
  <c r="H71" i="61"/>
  <c r="I67" i="61"/>
  <c r="J67" i="61"/>
  <c r="K67" i="61"/>
  <c r="L67" i="61"/>
  <c r="H67" i="61"/>
  <c r="G67" i="61"/>
  <c r="I396" i="62"/>
  <c r="J396" i="62" s="1"/>
  <c r="K396" i="62" s="1"/>
  <c r="L396" i="62" s="1"/>
  <c r="M396" i="62" s="1"/>
  <c r="J299" i="62"/>
  <c r="K299" i="62"/>
  <c r="L299" i="62"/>
  <c r="M299" i="62"/>
  <c r="J301" i="62"/>
  <c r="K301" i="62"/>
  <c r="L301" i="62" s="1"/>
  <c r="M301" i="62" s="1"/>
  <c r="J302" i="62"/>
  <c r="K302" i="62"/>
  <c r="L302" i="62"/>
  <c r="M302" i="62"/>
  <c r="J305" i="62"/>
  <c r="K305" i="62"/>
  <c r="L305" i="62"/>
  <c r="M305" i="62"/>
  <c r="J306" i="62"/>
  <c r="K306" i="62"/>
  <c r="L306" i="62"/>
  <c r="M306" i="62"/>
  <c r="J307" i="62"/>
  <c r="K307" i="62"/>
  <c r="L307" i="62"/>
  <c r="M307" i="62"/>
  <c r="J308" i="62"/>
  <c r="K308" i="62"/>
  <c r="L308" i="62"/>
  <c r="M308" i="62"/>
  <c r="J309" i="62"/>
  <c r="K309" i="62"/>
  <c r="L309" i="62"/>
  <c r="M309" i="62"/>
  <c r="J310" i="62"/>
  <c r="K310" i="62"/>
  <c r="L310" i="62"/>
  <c r="M310" i="62"/>
  <c r="J311" i="62"/>
  <c r="K311" i="62"/>
  <c r="L311" i="62"/>
  <c r="M311" i="62"/>
  <c r="J312" i="62"/>
  <c r="K312" i="62"/>
  <c r="L312" i="62"/>
  <c r="M312" i="62"/>
  <c r="J313" i="62"/>
  <c r="K313" i="62"/>
  <c r="L313" i="62"/>
  <c r="M313" i="62"/>
  <c r="J314" i="62"/>
  <c r="K314" i="62"/>
  <c r="L314" i="62"/>
  <c r="M314" i="62"/>
  <c r="J316" i="62"/>
  <c r="K316" i="62"/>
  <c r="L316" i="62" s="1"/>
  <c r="M316" i="62" s="1"/>
  <c r="J318" i="62"/>
  <c r="K318" i="62"/>
  <c r="L318" i="62"/>
  <c r="M318" i="62"/>
  <c r="J320" i="62"/>
  <c r="K320" i="62"/>
  <c r="L320" i="62"/>
  <c r="M320" i="62"/>
  <c r="J321" i="62"/>
  <c r="K321" i="62"/>
  <c r="L321" i="62"/>
  <c r="M321" i="62"/>
  <c r="J322" i="62"/>
  <c r="K322" i="62"/>
  <c r="L322" i="62"/>
  <c r="M322" i="62"/>
  <c r="J323" i="62"/>
  <c r="K323" i="62"/>
  <c r="L323" i="62"/>
  <c r="M323" i="62"/>
  <c r="H300" i="62"/>
  <c r="I300" i="62" s="1"/>
  <c r="J300" i="62" s="1"/>
  <c r="K300" i="62" s="1"/>
  <c r="L300" i="62" s="1"/>
  <c r="M300" i="62" s="1"/>
  <c r="H301" i="62"/>
  <c r="I301" i="62" s="1"/>
  <c r="H302" i="62"/>
  <c r="I302" i="62"/>
  <c r="H303" i="62"/>
  <c r="I303" i="62" s="1"/>
  <c r="J303" i="62" s="1"/>
  <c r="K303" i="62" s="1"/>
  <c r="L303" i="62" s="1"/>
  <c r="M303" i="62" s="1"/>
  <c r="H304" i="62"/>
  <c r="I304" i="62" s="1"/>
  <c r="J304" i="62" s="1"/>
  <c r="K304" i="62" s="1"/>
  <c r="L304" i="62" s="1"/>
  <c r="M304" i="62" s="1"/>
  <c r="H305" i="62"/>
  <c r="I305" i="62"/>
  <c r="H306" i="62"/>
  <c r="I306" i="62"/>
  <c r="H307" i="62"/>
  <c r="I307" i="62" s="1"/>
  <c r="H308" i="62"/>
  <c r="I308" i="62"/>
  <c r="H309" i="62"/>
  <c r="I309" i="62"/>
  <c r="H310" i="62"/>
  <c r="I310" i="62"/>
  <c r="H311" i="62"/>
  <c r="I311" i="62"/>
  <c r="H312" i="62"/>
  <c r="I312" i="62"/>
  <c r="H313" i="62"/>
  <c r="I313" i="62" s="1"/>
  <c r="H314" i="62"/>
  <c r="I314" i="62"/>
  <c r="H315" i="62"/>
  <c r="I315" i="62" s="1"/>
  <c r="J315" i="62" s="1"/>
  <c r="K315" i="62" s="1"/>
  <c r="L315" i="62" s="1"/>
  <c r="M315" i="62" s="1"/>
  <c r="H316" i="62"/>
  <c r="I316" i="62"/>
  <c r="H317" i="62"/>
  <c r="I317" i="62" s="1"/>
  <c r="J317" i="62" s="1"/>
  <c r="K317" i="62" s="1"/>
  <c r="L317" i="62" s="1"/>
  <c r="M317" i="62" s="1"/>
  <c r="H318" i="62"/>
  <c r="I318" i="62"/>
  <c r="H319" i="62"/>
  <c r="I319" i="62" s="1"/>
  <c r="J319" i="62" s="1"/>
  <c r="K319" i="62" s="1"/>
  <c r="L319" i="62" s="1"/>
  <c r="M319" i="62" s="1"/>
  <c r="H320" i="62"/>
  <c r="I320" i="62"/>
  <c r="H321" i="62"/>
  <c r="I321" i="62"/>
  <c r="H322" i="62"/>
  <c r="I322" i="62"/>
  <c r="H323" i="62"/>
  <c r="I323" i="62"/>
  <c r="I299" i="62"/>
  <c r="H299" i="62"/>
  <c r="J286" i="62"/>
  <c r="K286" i="62"/>
  <c r="L286" i="62"/>
  <c r="M286" i="62"/>
  <c r="J287" i="62"/>
  <c r="K287" i="62"/>
  <c r="L287" i="62"/>
  <c r="M287" i="62"/>
  <c r="I287" i="62"/>
  <c r="I286" i="62"/>
  <c r="H287" i="62"/>
  <c r="H286" i="62"/>
  <c r="H274" i="62"/>
  <c r="I274" i="62" s="1"/>
  <c r="J274" i="62" s="1"/>
  <c r="K274" i="62" s="1"/>
  <c r="L274" i="62" s="1"/>
  <c r="M274" i="62" s="1"/>
  <c r="J262" i="62"/>
  <c r="K262" i="62"/>
  <c r="L262" i="62"/>
  <c r="M262" i="62"/>
  <c r="J264" i="62"/>
  <c r="K264" i="62"/>
  <c r="L264" i="62"/>
  <c r="M264" i="62"/>
  <c r="J265" i="62"/>
  <c r="K265" i="62"/>
  <c r="L265" i="62"/>
  <c r="M265" i="62"/>
  <c r="J266" i="62"/>
  <c r="K266" i="62"/>
  <c r="L266" i="62"/>
  <c r="M266" i="62"/>
  <c r="J267" i="62"/>
  <c r="K267" i="62"/>
  <c r="L267" i="62"/>
  <c r="M267" i="62"/>
  <c r="J268" i="62"/>
  <c r="K268" i="62"/>
  <c r="L268" i="62"/>
  <c r="M268" i="62"/>
  <c r="J269" i="62"/>
  <c r="K269" i="62"/>
  <c r="L269" i="62"/>
  <c r="M269" i="62"/>
  <c r="J270" i="62"/>
  <c r="K270" i="62"/>
  <c r="L270" i="62"/>
  <c r="M270" i="62"/>
  <c r="I264" i="62"/>
  <c r="I265" i="62"/>
  <c r="I266" i="62"/>
  <c r="I267" i="62"/>
  <c r="I268" i="62"/>
  <c r="I269" i="62"/>
  <c r="I270" i="62"/>
  <c r="H263" i="62"/>
  <c r="I263" i="62" s="1"/>
  <c r="J263" i="62" s="1"/>
  <c r="K263" i="62" s="1"/>
  <c r="L263" i="62" s="1"/>
  <c r="M263" i="62" s="1"/>
  <c r="H264" i="62"/>
  <c r="H265" i="62"/>
  <c r="H266" i="62"/>
  <c r="H267" i="62"/>
  <c r="H268" i="62"/>
  <c r="H269" i="62"/>
  <c r="H270" i="62"/>
  <c r="I262" i="62"/>
  <c r="H262" i="62"/>
  <c r="J244" i="62"/>
  <c r="K244" i="62"/>
  <c r="L244" i="62"/>
  <c r="M244" i="62"/>
  <c r="J245" i="62"/>
  <c r="K245" i="62"/>
  <c r="L245" i="62"/>
  <c r="M245" i="62"/>
  <c r="I245" i="62"/>
  <c r="I244" i="62"/>
  <c r="H248" i="62"/>
  <c r="I248" i="62" s="1"/>
  <c r="J248" i="62" s="1"/>
  <c r="K248" i="62" s="1"/>
  <c r="L248" i="62" s="1"/>
  <c r="M248" i="62" s="1"/>
  <c r="H247" i="62"/>
  <c r="I247" i="62" s="1"/>
  <c r="J247" i="62" s="1"/>
  <c r="K247" i="62" s="1"/>
  <c r="L247" i="62" s="1"/>
  <c r="M247" i="62" s="1"/>
  <c r="I246" i="62"/>
  <c r="J246" i="62" s="1"/>
  <c r="K246" i="62" s="1"/>
  <c r="L246" i="62" s="1"/>
  <c r="M246" i="62" s="1"/>
  <c r="H245" i="62"/>
  <c r="H244" i="62"/>
  <c r="G38" i="34"/>
  <c r="G35" i="34"/>
  <c r="H35" i="34" s="1"/>
  <c r="I35" i="34" s="1"/>
  <c r="J35" i="34" s="1"/>
  <c r="K35" i="34" s="1"/>
  <c r="L35" i="34" s="1"/>
  <c r="G41" i="34"/>
  <c r="H41" i="34" s="1"/>
  <c r="I41" i="34" s="1"/>
  <c r="J41" i="34" s="1"/>
  <c r="K41" i="34" s="1"/>
  <c r="L41" i="34" s="1"/>
  <c r="H129" i="61"/>
  <c r="I129" i="61" s="1"/>
  <c r="J129" i="61" s="1"/>
  <c r="K129" i="61" s="1"/>
  <c r="L129" i="61" s="1"/>
  <c r="H130" i="61"/>
  <c r="I130" i="61" s="1"/>
  <c r="J130" i="61" s="1"/>
  <c r="K130" i="61" s="1"/>
  <c r="L130" i="61" s="1"/>
  <c r="H131" i="61"/>
  <c r="I131" i="61" s="1"/>
  <c r="J131" i="61" s="1"/>
  <c r="K131" i="61" s="1"/>
  <c r="L131" i="61" s="1"/>
  <c r="H132" i="61"/>
  <c r="I132" i="61" s="1"/>
  <c r="J132" i="61" s="1"/>
  <c r="K132" i="61" s="1"/>
  <c r="L132" i="61" s="1"/>
  <c r="H133" i="61"/>
  <c r="I133" i="61"/>
  <c r="J133" i="61"/>
  <c r="K133" i="61"/>
  <c r="L133" i="61" s="1"/>
  <c r="H134" i="61"/>
  <c r="I134" i="61" s="1"/>
  <c r="J134" i="61" s="1"/>
  <c r="K134" i="61" s="1"/>
  <c r="L134" i="61" s="1"/>
  <c r="H135" i="61"/>
  <c r="I135" i="61"/>
  <c r="J135" i="61"/>
  <c r="K135" i="61"/>
  <c r="L135" i="61"/>
  <c r="H136" i="61"/>
  <c r="I136" i="61" s="1"/>
  <c r="J136" i="61" s="1"/>
  <c r="K136" i="61" s="1"/>
  <c r="L136" i="61" s="1"/>
  <c r="H137" i="61"/>
  <c r="I137" i="61"/>
  <c r="J137" i="61" s="1"/>
  <c r="K137" i="61" s="1"/>
  <c r="L137" i="61" s="1"/>
  <c r="H138" i="61"/>
  <c r="I138" i="61" s="1"/>
  <c r="J138" i="61" s="1"/>
  <c r="K138" i="61" s="1"/>
  <c r="L138" i="61" s="1"/>
  <c r="H139" i="61"/>
  <c r="I139" i="61" s="1"/>
  <c r="J139" i="61" s="1"/>
  <c r="K139" i="61" s="1"/>
  <c r="L139" i="61" s="1"/>
  <c r="H110" i="61"/>
  <c r="I110" i="61" s="1"/>
  <c r="J110" i="61" s="1"/>
  <c r="K110" i="61" s="1"/>
  <c r="L110" i="61" s="1"/>
  <c r="G40" i="34"/>
  <c r="H40" i="34"/>
  <c r="I40" i="34" s="1"/>
  <c r="J40" i="34" s="1"/>
  <c r="K40" i="34" s="1"/>
  <c r="L40" i="34" s="1"/>
  <c r="G37" i="34"/>
  <c r="H37" i="34" s="1"/>
  <c r="I37" i="34" s="1"/>
  <c r="J37" i="34" s="1"/>
  <c r="K37" i="34" s="1"/>
  <c r="L37" i="34" s="1"/>
  <c r="H38" i="34"/>
  <c r="I38" i="34" s="1"/>
  <c r="J38" i="34" s="1"/>
  <c r="K38" i="34" s="1"/>
  <c r="L38" i="34" s="1"/>
  <c r="G33" i="34"/>
  <c r="G32" i="34"/>
  <c r="G19" i="34"/>
  <c r="G17" i="34"/>
  <c r="I34" i="34"/>
  <c r="J34" i="34"/>
  <c r="K34" i="34"/>
  <c r="L34" i="34" s="1"/>
  <c r="H34" i="34"/>
  <c r="G34" i="34"/>
  <c r="H33" i="34"/>
  <c r="I33" i="34" s="1"/>
  <c r="J33" i="34" s="1"/>
  <c r="K33" i="34" s="1"/>
  <c r="L33" i="34" s="1"/>
  <c r="H32" i="34"/>
  <c r="I32" i="34" s="1"/>
  <c r="J32" i="34" s="1"/>
  <c r="K32" i="34" s="1"/>
  <c r="L32" i="34" s="1"/>
  <c r="H19" i="34"/>
  <c r="I19" i="34" s="1"/>
  <c r="J19" i="34" s="1"/>
  <c r="K19" i="34" s="1"/>
  <c r="L19" i="34" s="1"/>
  <c r="I17" i="34"/>
  <c r="J17" i="34" s="1"/>
  <c r="K17" i="34" s="1"/>
  <c r="L17" i="34" s="1"/>
  <c r="H17" i="34"/>
  <c r="I15" i="34"/>
  <c r="J15" i="34"/>
  <c r="K15" i="34"/>
  <c r="L15" i="34" s="1"/>
  <c r="H15" i="34"/>
  <c r="H66" i="61"/>
  <c r="I66" i="61"/>
  <c r="J66" i="61"/>
  <c r="K66" i="61"/>
  <c r="L66" i="61"/>
  <c r="H30" i="46"/>
  <c r="I30" i="46"/>
  <c r="J30" i="46" s="1"/>
  <c r="K30" i="46" s="1"/>
  <c r="L30" i="46" s="1"/>
  <c r="H31" i="46"/>
  <c r="I31" i="46"/>
  <c r="J31" i="46" s="1"/>
  <c r="K31" i="46" s="1"/>
  <c r="L31" i="46" s="1"/>
  <c r="H28" i="46"/>
  <c r="I28" i="46" s="1"/>
  <c r="J28" i="46" s="1"/>
  <c r="K28" i="46" s="1"/>
  <c r="L28" i="46" s="1"/>
  <c r="H26" i="46"/>
  <c r="I26" i="46" s="1"/>
  <c r="J26" i="46" s="1"/>
  <c r="K26" i="46" s="1"/>
  <c r="L26" i="46" s="1"/>
  <c r="H25" i="46"/>
  <c r="I25" i="46"/>
  <c r="J25" i="46" s="1"/>
  <c r="K25" i="46" s="1"/>
  <c r="L25" i="46" s="1"/>
  <c r="G112" i="62" l="1"/>
  <c r="H112" i="62"/>
  <c r="G432" i="62" l="1"/>
  <c r="C89" i="13" l="1"/>
  <c r="C88" i="13"/>
  <c r="D84" i="13" l="1"/>
  <c r="A13" i="35" l="1"/>
  <c r="A14" i="35" s="1"/>
  <c r="A15" i="35" s="1"/>
  <c r="A16" i="35" s="1"/>
  <c r="A17" i="35" s="1"/>
  <c r="A18" i="35" s="1"/>
  <c r="A19" i="35" s="1"/>
  <c r="A20" i="35" s="1"/>
  <c r="A112" i="13" l="1"/>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61" i="45"/>
  <c r="A60" i="45"/>
  <c r="A59" i="45"/>
  <c r="A75" i="45"/>
  <c r="A70" i="45"/>
  <c r="G8" i="62"/>
  <c r="F65" i="38"/>
  <c r="G9" i="38"/>
  <c r="H9" i="38" s="1"/>
  <c r="I9" i="38" s="1"/>
  <c r="J9" i="38" s="1"/>
  <c r="K9" i="38" s="1"/>
  <c r="L9" i="38" s="1"/>
  <c r="M9" i="38" s="1"/>
  <c r="N9" i="38" s="1"/>
  <c r="O9" i="38" s="1"/>
  <c r="P9" i="38" s="1"/>
  <c r="Q9" i="38" s="1"/>
  <c r="A55" i="41"/>
  <c r="A43" i="41"/>
  <c r="A62" i="45" l="1"/>
  <c r="A72" i="45"/>
  <c r="L103" i="18" l="1" a="1"/>
  <c r="L103" i="18" s="1"/>
  <c r="K103" i="18" a="1"/>
  <c r="K103" i="18" s="1"/>
  <c r="J103" i="18" a="1"/>
  <c r="J103" i="18" s="1"/>
  <c r="I103" i="18" a="1"/>
  <c r="I103" i="18" s="1"/>
  <c r="H103" i="18" a="1"/>
  <c r="H103" i="18" s="1"/>
  <c r="F103" i="18" a="1"/>
  <c r="F103" i="18" s="1"/>
  <c r="A61" i="41" l="1"/>
  <c r="A86" i="45" l="1"/>
  <c r="A34" i="34"/>
  <c r="A40" i="13"/>
  <c r="A41" i="13"/>
  <c r="A42" i="13"/>
  <c r="F11" i="52"/>
  <c r="A66" i="41" l="1"/>
  <c r="A64" i="41"/>
  <c r="A63" i="41"/>
  <c r="A62" i="41"/>
  <c r="A60" i="41"/>
  <c r="A59" i="41"/>
  <c r="A58" i="41"/>
  <c r="A57" i="41"/>
  <c r="L97" i="18"/>
  <c r="K97" i="18"/>
  <c r="J97" i="18"/>
  <c r="I97" i="18"/>
  <c r="H97" i="18"/>
  <c r="G97" i="18"/>
  <c r="F97" i="18"/>
  <c r="A98" i="18"/>
  <c r="A100" i="18"/>
  <c r="A77" i="41" l="1"/>
  <c r="A78" i="41"/>
  <c r="A79" i="41"/>
  <c r="A80" i="41"/>
  <c r="A81" i="41"/>
  <c r="A82" i="41"/>
  <c r="A83" i="41"/>
  <c r="A71" i="41"/>
  <c r="A72" i="41"/>
  <c r="A73" i="41"/>
  <c r="A74" i="41"/>
  <c r="A50" i="41"/>
  <c r="A51" i="41"/>
  <c r="A41" i="41"/>
  <c r="A42" i="41"/>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B24" i="52"/>
  <c r="B25" i="52"/>
  <c r="B26" i="52"/>
  <c r="B27" i="52"/>
  <c r="A179" i="61" l="1"/>
  <c r="F11" i="67" l="1"/>
  <c r="A10" i="67"/>
  <c r="A39" i="18"/>
  <c r="A40" i="18"/>
  <c r="A41" i="18"/>
  <c r="A13" i="13"/>
  <c r="B296" i="62" l="1"/>
  <c r="B295" i="62"/>
  <c r="B294" i="62"/>
  <c r="B293" i="62"/>
  <c r="A296" i="62"/>
  <c r="A295" i="62"/>
  <c r="A294" i="62"/>
  <c r="G107" i="62"/>
  <c r="A131" i="62"/>
  <c r="A130" i="62"/>
  <c r="A39" i="13"/>
  <c r="A38" i="13"/>
  <c r="A37" i="13"/>
  <c r="A5" i="74"/>
  <c r="A5" i="72" l="1"/>
  <c r="A101" i="18"/>
  <c r="A102" i="18"/>
  <c r="A103" i="18"/>
  <c r="A104" i="18"/>
  <c r="A105" i="18"/>
  <c r="A106" i="18"/>
  <c r="A84" i="18"/>
  <c r="A85" i="18"/>
  <c r="A86" i="18"/>
  <c r="A87" i="18"/>
  <c r="A88" i="18"/>
  <c r="A89" i="18"/>
  <c r="A90" i="18"/>
  <c r="A91" i="18"/>
  <c r="A92" i="18"/>
  <c r="A93" i="18"/>
  <c r="A94" i="18"/>
  <c r="A95" i="18"/>
  <c r="A96" i="18"/>
  <c r="A97" i="18"/>
  <c r="A99" i="18"/>
  <c r="F88" i="18" l="1"/>
  <c r="F91" i="18" s="1"/>
  <c r="F99" i="18" s="1"/>
  <c r="L88" i="18"/>
  <c r="L91" i="18" s="1"/>
  <c r="K88" i="18"/>
  <c r="K91" i="18" s="1"/>
  <c r="J88" i="18"/>
  <c r="J91" i="18" s="1"/>
  <c r="I88" i="18"/>
  <c r="I91" i="18" s="1"/>
  <c r="H88" i="18"/>
  <c r="H91" i="18" s="1"/>
  <c r="G88" i="18"/>
  <c r="A59" i="18"/>
  <c r="A13" i="18"/>
  <c r="F12" i="67"/>
  <c r="A12" i="67"/>
  <c r="D147" i="35"/>
  <c r="F71" i="35"/>
  <c r="F59" i="35"/>
  <c r="I104" i="18" l="1"/>
  <c r="I99" i="18"/>
  <c r="I100" i="18" s="1"/>
  <c r="I101" i="18" s="1"/>
  <c r="J104" i="18"/>
  <c r="J99" i="18"/>
  <c r="J100" i="18" s="1"/>
  <c r="J101" i="18" s="1"/>
  <c r="K104" i="18"/>
  <c r="K99" i="18"/>
  <c r="K100" i="18" s="1"/>
  <c r="K101" i="18" s="1"/>
  <c r="H104" i="18"/>
  <c r="H99" i="18"/>
  <c r="H100" i="18" s="1"/>
  <c r="H101" i="18" s="1"/>
  <c r="F100" i="18"/>
  <c r="F101" i="18" s="1"/>
  <c r="F104" i="18"/>
  <c r="L104" i="18"/>
  <c r="L99" i="18"/>
  <c r="L100" i="18" s="1"/>
  <c r="L101" i="18" s="1"/>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Q127" i="38"/>
  <c r="I11" i="18"/>
  <c r="H11" i="18"/>
  <c r="G11" i="18"/>
  <c r="F11" i="18"/>
  <c r="A2" i="71"/>
  <c r="A64" i="13"/>
  <c r="A63" i="13" l="1"/>
  <c r="A5" i="71" l="1"/>
  <c r="A83" i="13" l="1"/>
  <c r="A62" i="13"/>
  <c r="A65" i="13"/>
  <c r="A61" i="13"/>
  <c r="A2" i="68" l="1"/>
  <c r="I15" i="69"/>
  <c r="I16" i="69" s="1"/>
  <c r="H15" i="69"/>
  <c r="H16" i="69" s="1"/>
  <c r="G15" i="69"/>
  <c r="G16" i="69" s="1"/>
  <c r="F15" i="69"/>
  <c r="F16" i="69" s="1"/>
  <c r="J14" i="69"/>
  <c r="K14" i="69" s="1"/>
  <c r="K15" i="69" s="1"/>
  <c r="K16" i="69" s="1"/>
  <c r="A5" i="69"/>
  <c r="A34" i="18"/>
  <c r="A35" i="18"/>
  <c r="A36" i="18"/>
  <c r="A37" i="18"/>
  <c r="A38" i="18"/>
  <c r="A42" i="18"/>
  <c r="A46" i="13"/>
  <c r="J15" i="69" l="1"/>
  <c r="J16" i="69" s="1"/>
  <c r="A123" i="61"/>
  <c r="A121" i="61"/>
  <c r="A118" i="61"/>
  <c r="A129" i="61"/>
  <c r="A128" i="61"/>
  <c r="A127" i="61"/>
  <c r="A126" i="61"/>
  <c r="A125" i="61"/>
  <c r="A124" i="61"/>
  <c r="A122" i="61"/>
  <c r="A120" i="61"/>
  <c r="A119" i="61"/>
  <c r="A117" i="61"/>
  <c r="A116" i="61"/>
  <c r="A115" i="61"/>
  <c r="A114" i="61"/>
  <c r="A113" i="61"/>
  <c r="A112" i="61"/>
  <c r="A111" i="61"/>
  <c r="A110" i="61"/>
  <c r="A141" i="61"/>
  <c r="A38" i="46"/>
  <c r="A34" i="62" l="1"/>
  <c r="A33" i="62"/>
  <c r="A32" i="62"/>
  <c r="A31" i="62"/>
  <c r="A39" i="39" l="1"/>
  <c r="A80" i="13"/>
  <c r="C71" i="13"/>
  <c r="C70" i="13"/>
  <c r="C69" i="13"/>
  <c r="C68" i="13"/>
  <c r="A58" i="13"/>
  <c r="A54" i="18"/>
  <c r="B72" i="67" l="1"/>
  <c r="A72" i="67"/>
  <c r="B71" i="67"/>
  <c r="A71" i="67"/>
  <c r="B70" i="67"/>
  <c r="A70" i="67"/>
  <c r="B69" i="67"/>
  <c r="A69" i="67"/>
  <c r="B68" i="67"/>
  <c r="B67" i="67"/>
  <c r="B66" i="67"/>
  <c r="B65" i="67"/>
  <c r="B63" i="67"/>
  <c r="B62" i="67"/>
  <c r="B61" i="67"/>
  <c r="B60" i="67"/>
  <c r="B59" i="67"/>
  <c r="B58" i="67"/>
  <c r="B57" i="67"/>
  <c r="B56" i="67"/>
  <c r="B55" i="67"/>
  <c r="B54" i="67"/>
  <c r="B53" i="67"/>
  <c r="F18" i="18" l="1"/>
  <c r="A144" i="13"/>
  <c r="A62" i="18" l="1"/>
  <c r="E21" i="38"/>
  <c r="A21" i="38"/>
  <c r="E70" i="13"/>
  <c r="E69" i="13"/>
  <c r="A18" i="62"/>
  <c r="A17" i="62"/>
  <c r="A16" i="62"/>
  <c r="A66" i="18" l="1"/>
  <c r="A67" i="18"/>
  <c r="A68" i="18"/>
  <c r="A69" i="18"/>
  <c r="A70" i="18"/>
  <c r="A71" i="18"/>
  <c r="A72" i="18"/>
  <c r="A73" i="18"/>
  <c r="A74" i="18"/>
  <c r="A65" i="18"/>
  <c r="A64" i="18"/>
  <c r="A63" i="18"/>
  <c r="A61" i="18"/>
  <c r="A60" i="18"/>
  <c r="A127" i="13"/>
  <c r="A101" i="13"/>
  <c r="A5" i="68" l="1"/>
  <c r="A47" i="13" l="1"/>
  <c r="A48" i="13"/>
  <c r="A49" i="13"/>
  <c r="A50" i="13"/>
  <c r="A51" i="13"/>
  <c r="A52" i="13"/>
  <c r="A53" i="13"/>
  <c r="A54" i="13"/>
  <c r="A55" i="13"/>
  <c r="A56" i="13"/>
  <c r="A57" i="13"/>
  <c r="A59" i="13"/>
  <c r="A60" i="13"/>
  <c r="G475" i="62" l="1"/>
  <c r="G468" i="62"/>
  <c r="G476" i="62" s="1"/>
  <c r="F475" i="62"/>
  <c r="F468" i="62"/>
  <c r="E475" i="62"/>
  <c r="E468" i="62"/>
  <c r="E476" i="62" s="1"/>
  <c r="D475" i="62"/>
  <c r="D468" i="62"/>
  <c r="D476" i="62" s="1"/>
  <c r="C475" i="62"/>
  <c r="C468" i="62"/>
  <c r="C476" i="62" s="1"/>
  <c r="A452" i="62"/>
  <c r="A451" i="62"/>
  <c r="A450" i="62"/>
  <c r="F476" i="62" l="1"/>
  <c r="G471" i="62"/>
  <c r="F471" i="62"/>
  <c r="E471" i="62"/>
  <c r="D471" i="62"/>
  <c r="C471" i="62"/>
  <c r="A198" i="61" l="1"/>
  <c r="A199" i="61"/>
  <c r="A14" i="67" l="1"/>
  <c r="A13" i="67" l="1"/>
  <c r="A11" i="67"/>
  <c r="A9" i="67"/>
  <c r="A126" i="67"/>
  <c r="A125" i="67"/>
  <c r="A124" i="67"/>
  <c r="A123" i="67"/>
  <c r="A122" i="67"/>
  <c r="A121" i="67"/>
  <c r="A120" i="67"/>
  <c r="A119" i="67"/>
  <c r="A118" i="67"/>
  <c r="A117" i="67"/>
  <c r="A116" i="67"/>
  <c r="A115" i="67"/>
  <c r="A114" i="67"/>
  <c r="A113" i="67"/>
  <c r="A112" i="67"/>
  <c r="A111" i="67"/>
  <c r="A110" i="67"/>
  <c r="A109" i="67"/>
  <c r="A108" i="67"/>
  <c r="A107" i="67"/>
  <c r="A106" i="67"/>
  <c r="A105" i="67"/>
  <c r="A104" i="67"/>
  <c r="A103" i="67"/>
  <c r="A102" i="67"/>
  <c r="A101" i="67"/>
  <c r="A100" i="67"/>
  <c r="A99" i="67"/>
  <c r="A98" i="67"/>
  <c r="A97" i="67"/>
  <c r="A96" i="67"/>
  <c r="A95" i="67"/>
  <c r="B94" i="67"/>
  <c r="A94" i="67"/>
  <c r="B93" i="67"/>
  <c r="A93" i="67"/>
  <c r="A92" i="67"/>
  <c r="A91" i="67"/>
  <c r="A90" i="67"/>
  <c r="C89" i="67"/>
  <c r="A89" i="67"/>
  <c r="A88" i="67"/>
  <c r="F87" i="67"/>
  <c r="A87" i="67"/>
  <c r="A86" i="67"/>
  <c r="A85" i="67"/>
  <c r="A84" i="67"/>
  <c r="A83" i="67"/>
  <c r="A82" i="67"/>
  <c r="A81" i="67"/>
  <c r="A80" i="67"/>
  <c r="A79" i="67"/>
  <c r="A78" i="67"/>
  <c r="A77" i="67"/>
  <c r="A76" i="67"/>
  <c r="A75" i="67"/>
  <c r="A74" i="67"/>
  <c r="A73" i="67"/>
  <c r="A68"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30" i="67"/>
  <c r="A29" i="67"/>
  <c r="A28" i="67"/>
  <c r="A27" i="67"/>
  <c r="A26" i="67"/>
  <c r="A25" i="67"/>
  <c r="A24" i="67"/>
  <c r="A23" i="67"/>
  <c r="A22" i="67"/>
  <c r="A21" i="67"/>
  <c r="F20" i="67"/>
  <c r="A20" i="67"/>
  <c r="A19" i="67"/>
  <c r="A18" i="67"/>
  <c r="A17" i="67"/>
  <c r="A16" i="67"/>
  <c r="A15" i="67"/>
  <c r="A75" i="18"/>
  <c r="A23" i="39" l="1"/>
  <c r="E68" i="13"/>
  <c r="E71" i="13" s="1"/>
  <c r="A15" i="13" l="1"/>
  <c r="A122" i="13"/>
  <c r="F143" i="13"/>
  <c r="F145" i="13" s="1"/>
  <c r="F36" i="18" s="1"/>
  <c r="F24" i="18"/>
  <c r="F62" i="67" s="1"/>
  <c r="L117" i="13"/>
  <c r="K117" i="13"/>
  <c r="J117" i="13"/>
  <c r="I117" i="13"/>
  <c r="H117" i="13"/>
  <c r="G117" i="13"/>
  <c r="A117" i="13"/>
  <c r="A116" i="13"/>
  <c r="A115" i="13"/>
  <c r="A143" i="13"/>
  <c r="A124" i="13"/>
  <c r="A90" i="13"/>
  <c r="A91" i="13"/>
  <c r="A81" i="13"/>
  <c r="D142" i="35"/>
  <c r="G84" i="13"/>
  <c r="G116" i="13" s="1"/>
  <c r="G92" i="13"/>
  <c r="A75" i="13"/>
  <c r="A74" i="13"/>
  <c r="G94" i="13"/>
  <c r="C73" i="13"/>
  <c r="C74" i="13" s="1"/>
  <c r="E73" i="13"/>
  <c r="G24" i="18" l="1"/>
  <c r="F15" i="18"/>
  <c r="G93" i="13"/>
  <c r="L34" i="18"/>
  <c r="L72" i="67" s="1"/>
  <c r="K34" i="18"/>
  <c r="K72" i="67" s="1"/>
  <c r="J34" i="18"/>
  <c r="J72" i="67" s="1"/>
  <c r="I34" i="18"/>
  <c r="I72" i="67" s="1"/>
  <c r="H34" i="18"/>
  <c r="H72" i="67" s="1"/>
  <c r="G34" i="18"/>
  <c r="G72" i="67" s="1"/>
  <c r="F34" i="18"/>
  <c r="F72" i="67" s="1"/>
  <c r="A139" i="61"/>
  <c r="A138" i="61"/>
  <c r="A137" i="61"/>
  <c r="A136" i="61"/>
  <c r="A135" i="61"/>
  <c r="A134" i="61"/>
  <c r="A133" i="61"/>
  <c r="C34" i="18" l="1"/>
  <c r="D34" i="18"/>
  <c r="A21" i="45" l="1"/>
  <c r="A11" i="18" l="1"/>
  <c r="A36" i="46" l="1"/>
  <c r="A37" i="46"/>
  <c r="A39" i="46"/>
  <c r="A37" i="39"/>
  <c r="A36" i="39"/>
  <c r="A35" i="39"/>
  <c r="A34" i="39"/>
  <c r="A33" i="39"/>
  <c r="L100" i="61" l="1"/>
  <c r="K100" i="61"/>
  <c r="J100" i="61"/>
  <c r="I100" i="61"/>
  <c r="H100" i="61"/>
  <c r="G100" i="61"/>
  <c r="G99" i="61"/>
  <c r="H99" i="61"/>
  <c r="I99" i="61"/>
  <c r="J99" i="61"/>
  <c r="K99" i="61"/>
  <c r="L99" i="61"/>
  <c r="A132" i="61"/>
  <c r="A76" i="13"/>
  <c r="A73" i="13"/>
  <c r="A72" i="13"/>
  <c r="A71" i="13"/>
  <c r="A70" i="13"/>
  <c r="A69" i="13"/>
  <c r="A68" i="13"/>
  <c r="A67" i="13"/>
  <c r="A66" i="13"/>
  <c r="A25" i="39" l="1"/>
  <c r="A24" i="39"/>
  <c r="A21" i="39"/>
  <c r="A22" i="39"/>
  <c r="A131" i="61" l="1"/>
  <c r="A130" i="61"/>
  <c r="B26" i="18" l="1"/>
  <c r="B64" i="67" s="1"/>
  <c r="L26" i="18"/>
  <c r="L64" i="67" s="1"/>
  <c r="K26" i="18"/>
  <c r="K64" i="67" s="1"/>
  <c r="J26" i="18"/>
  <c r="J64" i="67" s="1"/>
  <c r="I26" i="18"/>
  <c r="I64" i="67" s="1"/>
  <c r="H26" i="18"/>
  <c r="H64" i="67" s="1"/>
  <c r="G26" i="18"/>
  <c r="G64" i="67" s="1"/>
  <c r="F26" i="18"/>
  <c r="A26" i="18"/>
  <c r="C134" i="13"/>
  <c r="A146" i="13"/>
  <c r="A145" i="13"/>
  <c r="A142" i="13"/>
  <c r="A141" i="13"/>
  <c r="A140" i="13"/>
  <c r="A139" i="13"/>
  <c r="A138" i="13"/>
  <c r="A137" i="13"/>
  <c r="A136" i="13"/>
  <c r="A135" i="13"/>
  <c r="A134" i="13"/>
  <c r="G78" i="62"/>
  <c r="A66" i="45"/>
  <c r="D26" i="18" l="1"/>
  <c r="C26" i="18"/>
  <c r="D56" i="13" l="1"/>
  <c r="A40" i="39"/>
  <c r="E39" i="39"/>
  <c r="A38" i="39"/>
  <c r="A32" i="39"/>
  <c r="A31" i="39"/>
  <c r="A30" i="39"/>
  <c r="A29" i="39"/>
  <c r="A28" i="39"/>
  <c r="A27" i="39"/>
  <c r="A26" i="39"/>
  <c r="A20" i="39"/>
  <c r="A19" i="39"/>
  <c r="A18" i="39"/>
  <c r="A17" i="39"/>
  <c r="A16" i="39"/>
  <c r="A15" i="39"/>
  <c r="A14" i="39"/>
  <c r="A13" i="39"/>
  <c r="A12" i="39"/>
  <c r="A11" i="39"/>
  <c r="M13" i="38"/>
  <c r="N13" i="38" s="1"/>
  <c r="O13" i="38" s="1"/>
  <c r="P13" i="38" s="1"/>
  <c r="Q13" i="38" s="1"/>
  <c r="R13" i="38" s="1"/>
  <c r="G13" i="38"/>
  <c r="H13" i="38" s="1"/>
  <c r="I13" i="38" s="1"/>
  <c r="J13" i="38" s="1"/>
  <c r="K13" i="38" s="1"/>
  <c r="A31" i="34"/>
  <c r="A30" i="34"/>
  <c r="A29" i="34"/>
  <c r="A28" i="34"/>
  <c r="A78" i="61"/>
  <c r="A100" i="61"/>
  <c r="A101" i="61"/>
  <c r="A99" i="61"/>
  <c r="B84" i="13" l="1"/>
  <c r="B145" i="35"/>
  <c r="D153" i="35" l="1"/>
  <c r="D152" i="35" s="1"/>
  <c r="C84" i="13" l="1"/>
  <c r="B76" i="38"/>
  <c r="F61" i="35"/>
  <c r="F60" i="35"/>
  <c r="F58" i="35"/>
  <c r="F57" i="35"/>
  <c r="F56" i="35"/>
  <c r="F55" i="35"/>
  <c r="F16" i="18" l="1"/>
  <c r="F54" i="67" s="1"/>
  <c r="F53" i="67"/>
  <c r="A113" i="13"/>
  <c r="A123" i="13"/>
  <c r="A121" i="13"/>
  <c r="A120" i="13"/>
  <c r="A119" i="13"/>
  <c r="A118" i="13"/>
  <c r="A114" i="13"/>
  <c r="A97" i="13"/>
  <c r="A96" i="13"/>
  <c r="A95" i="13"/>
  <c r="A94" i="13"/>
  <c r="A93" i="13"/>
  <c r="A92" i="13"/>
  <c r="A89" i="13"/>
  <c r="C109" i="13"/>
  <c r="C118" i="13"/>
  <c r="A103" i="13"/>
  <c r="A102" i="13"/>
  <c r="A100" i="13"/>
  <c r="A99" i="13"/>
  <c r="A98" i="13"/>
  <c r="A88" i="13"/>
  <c r="A87" i="13"/>
  <c r="A86" i="13"/>
  <c r="A85" i="13"/>
  <c r="A84" i="13"/>
  <c r="A82" i="13"/>
  <c r="A79" i="13"/>
  <c r="A78" i="13"/>
  <c r="A77" i="13"/>
  <c r="E73" i="35"/>
  <c r="E72" i="35"/>
  <c r="E70" i="35"/>
  <c r="E69" i="35"/>
  <c r="E68" i="35"/>
  <c r="E67" i="35"/>
  <c r="D85" i="13"/>
  <c r="B86" i="13"/>
  <c r="B85" i="13"/>
  <c r="G85" i="13" l="1"/>
  <c r="D86" i="13"/>
  <c r="H92" i="13"/>
  <c r="I92" i="13" s="1"/>
  <c r="J92" i="13" s="1"/>
  <c r="K92" i="13" s="1"/>
  <c r="L92" i="13" s="1"/>
  <c r="H93" i="13"/>
  <c r="I93" i="13" s="1"/>
  <c r="J93" i="13" s="1"/>
  <c r="K93" i="13" s="1"/>
  <c r="L93" i="13" s="1"/>
  <c r="H94" i="13"/>
  <c r="I94" i="13" s="1"/>
  <c r="J94" i="13" s="1"/>
  <c r="K94" i="13" s="1"/>
  <c r="L94" i="13" s="1"/>
  <c r="G87" i="13" l="1"/>
  <c r="G86" i="13"/>
  <c r="K100" i="35"/>
  <c r="K99" i="35"/>
  <c r="K98" i="35"/>
  <c r="K97" i="35"/>
  <c r="G115" i="13" l="1"/>
  <c r="C26" i="38" s="1"/>
  <c r="K101" i="35"/>
  <c r="D92" i="35" l="1"/>
  <c r="D50" i="35"/>
  <c r="G36" i="13" l="1"/>
  <c r="G76" i="61" l="1"/>
  <c r="G77" i="61"/>
  <c r="G147" i="61"/>
  <c r="G78" i="61"/>
  <c r="G38" i="13"/>
  <c r="G169" i="61"/>
  <c r="G170" i="61" s="1"/>
  <c r="G171" i="61" s="1"/>
  <c r="G172" i="61" s="1"/>
  <c r="G12" i="13"/>
  <c r="G69" i="13"/>
  <c r="G127" i="13"/>
  <c r="C21" i="38" s="1"/>
  <c r="D21" i="38" s="1"/>
  <c r="G70" i="13"/>
  <c r="G71" i="13"/>
  <c r="G68" i="13"/>
  <c r="H84" i="13" s="1"/>
  <c r="H116" i="13" s="1"/>
  <c r="H24" i="18" s="1"/>
  <c r="G20" i="67"/>
  <c r="G9" i="67" s="1"/>
  <c r="G19" i="13"/>
  <c r="G53" i="13"/>
  <c r="G51" i="13"/>
  <c r="H107" i="62" s="1"/>
  <c r="G54" i="13"/>
  <c r="G52" i="13"/>
  <c r="G111" i="13"/>
  <c r="G137" i="13" s="1"/>
  <c r="D149" i="35"/>
  <c r="D148" i="35"/>
  <c r="D146" i="35"/>
  <c r="D145" i="35"/>
  <c r="D144" i="35"/>
  <c r="D143" i="35"/>
  <c r="A111" i="13"/>
  <c r="I149" i="35"/>
  <c r="H149" i="35"/>
  <c r="G149" i="35"/>
  <c r="F149" i="35"/>
  <c r="I148" i="35"/>
  <c r="H148" i="35"/>
  <c r="G148" i="35"/>
  <c r="F148" i="35"/>
  <c r="I146" i="35"/>
  <c r="H146" i="35"/>
  <c r="G146" i="35"/>
  <c r="F146" i="35"/>
  <c r="I145" i="35"/>
  <c r="H145" i="35"/>
  <c r="G145" i="35"/>
  <c r="F145" i="35"/>
  <c r="I144" i="35"/>
  <c r="H144" i="35"/>
  <c r="G144" i="35"/>
  <c r="F144" i="35"/>
  <c r="I143" i="35"/>
  <c r="H143" i="35"/>
  <c r="G143" i="35"/>
  <c r="F143" i="35"/>
  <c r="B149" i="35"/>
  <c r="B148" i="35"/>
  <c r="B146" i="35"/>
  <c r="B144" i="35"/>
  <c r="B143" i="35"/>
  <c r="E149" i="35"/>
  <c r="E148" i="35"/>
  <c r="E146" i="35"/>
  <c r="E145" i="35"/>
  <c r="E144" i="35"/>
  <c r="E143" i="35"/>
  <c r="I136" i="35"/>
  <c r="H136" i="35"/>
  <c r="G136" i="35"/>
  <c r="F136" i="35"/>
  <c r="C115" i="35"/>
  <c r="C138" i="35"/>
  <c r="A144" i="35"/>
  <c r="A145" i="35" s="1"/>
  <c r="A146" i="35" s="1"/>
  <c r="A147" i="35" s="1"/>
  <c r="A148" i="35" s="1"/>
  <c r="A149" i="35" s="1"/>
  <c r="C129" i="35"/>
  <c r="I128" i="35"/>
  <c r="H128" i="35"/>
  <c r="G128" i="35"/>
  <c r="F128" i="35"/>
  <c r="I127" i="35"/>
  <c r="H127" i="35"/>
  <c r="G127" i="35"/>
  <c r="F127" i="35"/>
  <c r="I126" i="35"/>
  <c r="H126" i="35"/>
  <c r="G126" i="35"/>
  <c r="F126" i="35"/>
  <c r="I123" i="35"/>
  <c r="H123" i="35"/>
  <c r="G123" i="35"/>
  <c r="I122" i="35"/>
  <c r="H122" i="35"/>
  <c r="G122" i="35"/>
  <c r="F122" i="35"/>
  <c r="F123" i="35"/>
  <c r="E128" i="35"/>
  <c r="E127" i="35"/>
  <c r="E126" i="35"/>
  <c r="E123" i="35"/>
  <c r="E122" i="35"/>
  <c r="B127" i="35"/>
  <c r="B126" i="35"/>
  <c r="B125" i="35"/>
  <c r="B124" i="35"/>
  <c r="B123" i="35"/>
  <c r="B122" i="35"/>
  <c r="A123" i="35"/>
  <c r="A124" i="35" s="1"/>
  <c r="A125" i="35" s="1"/>
  <c r="A126" i="35" s="1"/>
  <c r="A127" i="35" s="1"/>
  <c r="E115" i="35"/>
  <c r="E134" i="35" s="1"/>
  <c r="G109" i="67" l="1"/>
  <c r="G121" i="67"/>
  <c r="G95" i="67"/>
  <c r="D88" i="13"/>
  <c r="J145" i="35"/>
  <c r="J149" i="35"/>
  <c r="J144" i="35"/>
  <c r="J148" i="35"/>
  <c r="J143" i="35"/>
  <c r="J128" i="35"/>
  <c r="J127" i="35"/>
  <c r="J122" i="35"/>
  <c r="G88" i="13" l="1"/>
  <c r="G114" i="13" s="1"/>
  <c r="G56" i="13"/>
  <c r="J146" i="35"/>
  <c r="J126" i="35"/>
  <c r="J123" i="35"/>
  <c r="H117" i="35"/>
  <c r="G117" i="35"/>
  <c r="I117" i="35"/>
  <c r="F117" i="35"/>
  <c r="H115" i="35"/>
  <c r="G115" i="35"/>
  <c r="I115" i="35"/>
  <c r="F115" i="35"/>
  <c r="H134" i="35" l="1"/>
  <c r="I134" i="35"/>
  <c r="F134" i="35"/>
  <c r="G134" i="35"/>
  <c r="J115" i="35"/>
  <c r="I297" i="35"/>
  <c r="H297" i="35"/>
  <c r="G297" i="35"/>
  <c r="F297" i="35"/>
  <c r="E297" i="35"/>
  <c r="I296" i="35"/>
  <c r="H296" i="35"/>
  <c r="G296" i="35"/>
  <c r="F296" i="35"/>
  <c r="E296" i="35"/>
  <c r="E275" i="35" s="1"/>
  <c r="I295" i="35"/>
  <c r="H295" i="35"/>
  <c r="G295" i="35"/>
  <c r="F295" i="35"/>
  <c r="E295" i="35"/>
  <c r="E274" i="35" s="1"/>
  <c r="I294" i="35"/>
  <c r="H294" i="35"/>
  <c r="G294" i="35"/>
  <c r="F294" i="35"/>
  <c r="E294" i="35"/>
  <c r="I293" i="35"/>
  <c r="H293" i="35"/>
  <c r="G293" i="35"/>
  <c r="F293" i="35"/>
  <c r="E293" i="35"/>
  <c r="I292" i="35"/>
  <c r="H292" i="35"/>
  <c r="G292" i="35"/>
  <c r="F292" i="35"/>
  <c r="E292" i="35"/>
  <c r="E271" i="35" s="1"/>
  <c r="E50" i="35"/>
  <c r="D150" i="35" s="1"/>
  <c r="B336" i="35"/>
  <c r="B335" i="35"/>
  <c r="B334" i="35"/>
  <c r="D333" i="35"/>
  <c r="B333" i="35"/>
  <c r="D332" i="35"/>
  <c r="B332" i="35"/>
  <c r="A332" i="35"/>
  <c r="A333" i="35" s="1"/>
  <c r="A334" i="35" s="1"/>
  <c r="A335" i="35" s="1"/>
  <c r="A336" i="35" s="1"/>
  <c r="D331" i="35"/>
  <c r="B331" i="35"/>
  <c r="B326" i="35"/>
  <c r="B325" i="35"/>
  <c r="B324" i="35"/>
  <c r="D323" i="35"/>
  <c r="B323" i="35"/>
  <c r="D322" i="35"/>
  <c r="B322" i="35"/>
  <c r="A322" i="35"/>
  <c r="A323" i="35" s="1"/>
  <c r="A324" i="35" s="1"/>
  <c r="A325" i="35" s="1"/>
  <c r="A326" i="35" s="1"/>
  <c r="D321" i="35"/>
  <c r="B321" i="35"/>
  <c r="I315" i="35"/>
  <c r="H315" i="35"/>
  <c r="G315" i="35"/>
  <c r="F315" i="35"/>
  <c r="E315" i="35"/>
  <c r="B313" i="35"/>
  <c r="B312" i="35"/>
  <c r="B311" i="35"/>
  <c r="D310" i="35"/>
  <c r="B310" i="35"/>
  <c r="D309" i="35"/>
  <c r="B309" i="35"/>
  <c r="A309" i="35"/>
  <c r="A310" i="35" s="1"/>
  <c r="A311" i="35" s="1"/>
  <c r="A312" i="35" s="1"/>
  <c r="A313" i="35" s="1"/>
  <c r="D308" i="35"/>
  <c r="B308" i="35"/>
  <c r="D68" i="35"/>
  <c r="F68" i="35" s="1"/>
  <c r="D73" i="35"/>
  <c r="F73" i="35" s="1"/>
  <c r="D72" i="35"/>
  <c r="D70" i="35"/>
  <c r="F70" i="35" s="1"/>
  <c r="D69" i="35"/>
  <c r="D67" i="35"/>
  <c r="F72" i="35" l="1"/>
  <c r="F69" i="35"/>
  <c r="G80" i="35"/>
  <c r="H80" i="35" s="1"/>
  <c r="G77" i="35"/>
  <c r="H77" i="35" s="1"/>
  <c r="G79" i="35"/>
  <c r="H79" i="35" s="1"/>
  <c r="G78" i="35"/>
  <c r="H78" i="35" s="1"/>
  <c r="F67" i="35"/>
  <c r="I116" i="35"/>
  <c r="K115" i="35"/>
  <c r="G116" i="35"/>
  <c r="I150" i="35"/>
  <c r="I151" i="35" s="1"/>
  <c r="D126" i="35"/>
  <c r="J134" i="35"/>
  <c r="D125" i="35"/>
  <c r="D122" i="35"/>
  <c r="D127" i="35"/>
  <c r="D124" i="35"/>
  <c r="D123" i="35"/>
  <c r="D296" i="35"/>
  <c r="G150" i="35"/>
  <c r="G151" i="35" s="1"/>
  <c r="D128" i="35"/>
  <c r="E121" i="35"/>
  <c r="E125" i="35"/>
  <c r="J116" i="35"/>
  <c r="E116" i="35"/>
  <c r="F116" i="35"/>
  <c r="H116" i="35"/>
  <c r="H298" i="35"/>
  <c r="D273" i="35"/>
  <c r="D285" i="35"/>
  <c r="D274" i="35"/>
  <c r="D282" i="35"/>
  <c r="D286" i="35"/>
  <c r="D294" i="35"/>
  <c r="D293" i="35"/>
  <c r="D271" i="35"/>
  <c r="D275" i="35"/>
  <c r="D283" i="35"/>
  <c r="D287" i="35"/>
  <c r="D295" i="35"/>
  <c r="F298" i="35"/>
  <c r="J293" i="35"/>
  <c r="J297" i="35"/>
  <c r="D297" i="35"/>
  <c r="J315" i="35"/>
  <c r="D272" i="35"/>
  <c r="D276" i="35"/>
  <c r="D284" i="35"/>
  <c r="D292" i="35"/>
  <c r="G298" i="35"/>
  <c r="J294" i="35"/>
  <c r="J295" i="35"/>
  <c r="E272" i="35"/>
  <c r="E276" i="35"/>
  <c r="J292" i="35"/>
  <c r="I298" i="35"/>
  <c r="J296" i="35"/>
  <c r="E273" i="35"/>
  <c r="E298" i="35"/>
  <c r="E277" i="35" l="1"/>
  <c r="F124" i="35"/>
  <c r="G124" i="35"/>
  <c r="I124" i="35"/>
  <c r="H124" i="35"/>
  <c r="E124" i="35"/>
  <c r="E129" i="35" s="1"/>
  <c r="E130" i="35" s="1"/>
  <c r="G135" i="35"/>
  <c r="F135" i="35"/>
  <c r="H150" i="35"/>
  <c r="H151" i="35" s="1"/>
  <c r="I125" i="35"/>
  <c r="F125" i="35"/>
  <c r="G125" i="35"/>
  <c r="H125" i="35"/>
  <c r="F150" i="35"/>
  <c r="F151" i="35" s="1"/>
  <c r="I135" i="35"/>
  <c r="H135" i="35"/>
  <c r="E150" i="35"/>
  <c r="J135" i="35"/>
  <c r="E135" i="35"/>
  <c r="E142" i="35"/>
  <c r="E300" i="35"/>
  <c r="J298" i="35"/>
  <c r="H129" i="35" l="1"/>
  <c r="H130" i="35" s="1"/>
  <c r="G129" i="35"/>
  <c r="G130" i="35" s="1"/>
  <c r="F129" i="35"/>
  <c r="F130" i="35" s="1"/>
  <c r="F131" i="35" s="1"/>
  <c r="I129" i="35"/>
  <c r="I130" i="35" s="1"/>
  <c r="I131" i="35" s="1"/>
  <c r="J124" i="35"/>
  <c r="E131" i="35"/>
  <c r="G131" i="35"/>
  <c r="H131" i="35"/>
  <c r="J125" i="35"/>
  <c r="J150" i="35"/>
  <c r="E151" i="35"/>
  <c r="J151" i="35" s="1"/>
  <c r="D239" i="35"/>
  <c r="D238" i="35"/>
  <c r="D237" i="35"/>
  <c r="D236" i="35"/>
  <c r="D235" i="35"/>
  <c r="D234" i="35"/>
  <c r="D252" i="35"/>
  <c r="D251" i="35"/>
  <c r="D250" i="35"/>
  <c r="D249" i="35"/>
  <c r="D248" i="35"/>
  <c r="D247" i="35"/>
  <c r="I262" i="35"/>
  <c r="H262" i="35"/>
  <c r="G262" i="35"/>
  <c r="F262" i="35"/>
  <c r="E262" i="35"/>
  <c r="I261" i="35"/>
  <c r="H261" i="35"/>
  <c r="G261" i="35"/>
  <c r="F261" i="35"/>
  <c r="E261" i="35"/>
  <c r="E238" i="35" s="1"/>
  <c r="I260" i="35"/>
  <c r="H260" i="35"/>
  <c r="G260" i="35"/>
  <c r="F260" i="35"/>
  <c r="E260" i="35"/>
  <c r="E237" i="35" s="1"/>
  <c r="I259" i="35"/>
  <c r="H259" i="35"/>
  <c r="G259" i="35"/>
  <c r="F259" i="35"/>
  <c r="E259" i="35"/>
  <c r="E236" i="35" s="1"/>
  <c r="I258" i="35"/>
  <c r="H258" i="35"/>
  <c r="G258" i="35"/>
  <c r="F258" i="35"/>
  <c r="E258" i="35"/>
  <c r="E235" i="35" s="1"/>
  <c r="I257" i="35"/>
  <c r="H257" i="35"/>
  <c r="G257" i="35"/>
  <c r="E257" i="35"/>
  <c r="E234" i="35" s="1"/>
  <c r="D262" i="35"/>
  <c r="D261" i="35"/>
  <c r="D260" i="35"/>
  <c r="D259" i="35"/>
  <c r="D258" i="35"/>
  <c r="D257" i="35"/>
  <c r="F257" i="35" s="1"/>
  <c r="B297" i="35"/>
  <c r="B296" i="35"/>
  <c r="B295" i="35"/>
  <c r="B294" i="35"/>
  <c r="B293" i="35"/>
  <c r="B292" i="35"/>
  <c r="B287" i="35"/>
  <c r="B286" i="35"/>
  <c r="B285" i="35"/>
  <c r="B284" i="35"/>
  <c r="B283" i="35"/>
  <c r="B282" i="35"/>
  <c r="B276" i="35"/>
  <c r="B275" i="35"/>
  <c r="B274" i="35"/>
  <c r="B273" i="35"/>
  <c r="B272" i="35"/>
  <c r="B271" i="35"/>
  <c r="B262" i="35"/>
  <c r="B261" i="35"/>
  <c r="B260" i="35"/>
  <c r="B259" i="35"/>
  <c r="B258" i="35"/>
  <c r="B257" i="35"/>
  <c r="B252" i="35"/>
  <c r="B251" i="35"/>
  <c r="B250" i="35"/>
  <c r="B249" i="35"/>
  <c r="B248" i="35"/>
  <c r="B247" i="35"/>
  <c r="B239" i="35"/>
  <c r="B238" i="35"/>
  <c r="B237" i="35"/>
  <c r="B236" i="35"/>
  <c r="B235" i="35"/>
  <c r="B234" i="35"/>
  <c r="B225" i="35"/>
  <c r="B224" i="35"/>
  <c r="B223" i="35"/>
  <c r="B222" i="35"/>
  <c r="B221" i="35"/>
  <c r="B220" i="35"/>
  <c r="B215" i="35"/>
  <c r="B214" i="35"/>
  <c r="B213" i="35"/>
  <c r="B212" i="35"/>
  <c r="B211" i="35"/>
  <c r="B210" i="35"/>
  <c r="B204" i="35"/>
  <c r="B203" i="35"/>
  <c r="B202" i="35"/>
  <c r="B201" i="35"/>
  <c r="B200" i="35"/>
  <c r="B199" i="35"/>
  <c r="B190" i="35"/>
  <c r="B189" i="35"/>
  <c r="B188" i="35"/>
  <c r="B187" i="35"/>
  <c r="B186" i="35"/>
  <c r="B185" i="35"/>
  <c r="B180" i="35"/>
  <c r="B179" i="35"/>
  <c r="B178" i="35"/>
  <c r="B177" i="35"/>
  <c r="B176" i="35"/>
  <c r="B175" i="35"/>
  <c r="B169" i="35"/>
  <c r="B168" i="35"/>
  <c r="B167" i="35"/>
  <c r="B166" i="35"/>
  <c r="B165" i="35"/>
  <c r="B164" i="35"/>
  <c r="A293" i="35"/>
  <c r="A294" i="35" s="1"/>
  <c r="A295" i="35" s="1"/>
  <c r="A296" i="35" s="1"/>
  <c r="A297" i="35" s="1"/>
  <c r="A283" i="35"/>
  <c r="A284" i="35" s="1"/>
  <c r="A285" i="35" s="1"/>
  <c r="A286" i="35" s="1"/>
  <c r="A287" i="35" s="1"/>
  <c r="A272" i="35"/>
  <c r="A273" i="35" s="1"/>
  <c r="A274" i="35" s="1"/>
  <c r="A275" i="35" s="1"/>
  <c r="A276" i="35" s="1"/>
  <c r="A258" i="35"/>
  <c r="A259" i="35" s="1"/>
  <c r="A260" i="35" s="1"/>
  <c r="A261" i="35" s="1"/>
  <c r="A262" i="35" s="1"/>
  <c r="A248" i="35"/>
  <c r="A249" i="35" s="1"/>
  <c r="A250" i="35" s="1"/>
  <c r="A251" i="35" s="1"/>
  <c r="A252" i="35" s="1"/>
  <c r="A235" i="35"/>
  <c r="A236" i="35" s="1"/>
  <c r="A237" i="35" s="1"/>
  <c r="A238" i="35" s="1"/>
  <c r="A239" i="35" s="1"/>
  <c r="I225" i="35"/>
  <c r="H225" i="35"/>
  <c r="G225" i="35"/>
  <c r="F225" i="35"/>
  <c r="E225" i="35"/>
  <c r="I224" i="35"/>
  <c r="H224" i="35"/>
  <c r="G224" i="35"/>
  <c r="F224" i="35"/>
  <c r="E224" i="35"/>
  <c r="I223" i="35"/>
  <c r="H223" i="35"/>
  <c r="G223" i="35"/>
  <c r="F223" i="35"/>
  <c r="E223" i="35"/>
  <c r="I222" i="35"/>
  <c r="H222" i="35"/>
  <c r="G222" i="35"/>
  <c r="F222" i="35"/>
  <c r="E222" i="35"/>
  <c r="I221" i="35"/>
  <c r="H221" i="35"/>
  <c r="G221" i="35"/>
  <c r="F221" i="35"/>
  <c r="E221" i="35"/>
  <c r="A221" i="35"/>
  <c r="A222" i="35" s="1"/>
  <c r="A223" i="35" s="1"/>
  <c r="A224" i="35" s="1"/>
  <c r="A225" i="35" s="1"/>
  <c r="I220" i="35"/>
  <c r="H220" i="35"/>
  <c r="G220" i="35"/>
  <c r="F220" i="35"/>
  <c r="E220" i="35"/>
  <c r="I216" i="35"/>
  <c r="H216" i="35"/>
  <c r="G216" i="35"/>
  <c r="F216" i="35"/>
  <c r="J215" i="35"/>
  <c r="J214" i="35"/>
  <c r="J213" i="35"/>
  <c r="J212" i="35"/>
  <c r="J211" i="35"/>
  <c r="A211" i="35"/>
  <c r="A212" i="35" s="1"/>
  <c r="A213" i="35" s="1"/>
  <c r="A214" i="35" s="1"/>
  <c r="A215" i="35" s="1"/>
  <c r="J210" i="35"/>
  <c r="I205" i="35"/>
  <c r="H205" i="35"/>
  <c r="G205" i="35"/>
  <c r="F205" i="35"/>
  <c r="E205" i="35"/>
  <c r="J204" i="35"/>
  <c r="J203" i="35"/>
  <c r="J202" i="35"/>
  <c r="J201" i="35"/>
  <c r="J200" i="35"/>
  <c r="A200" i="35"/>
  <c r="A201" i="35" s="1"/>
  <c r="A202" i="35" s="1"/>
  <c r="A203" i="35" s="1"/>
  <c r="A204" i="35" s="1"/>
  <c r="J199" i="35"/>
  <c r="I170" i="35"/>
  <c r="I241" i="35" s="1"/>
  <c r="I333" i="35" s="1"/>
  <c r="H170" i="35"/>
  <c r="H241" i="35" s="1"/>
  <c r="H333" i="35" s="1"/>
  <c r="G170" i="35"/>
  <c r="G241" i="35" s="1"/>
  <c r="G333" i="35" s="1"/>
  <c r="E170" i="35"/>
  <c r="E241" i="35" s="1"/>
  <c r="E333" i="35" s="1"/>
  <c r="F170" i="35"/>
  <c r="F241" i="35" s="1"/>
  <c r="F333" i="35" s="1"/>
  <c r="J164" i="35"/>
  <c r="I190" i="35"/>
  <c r="H190" i="35"/>
  <c r="G190" i="35"/>
  <c r="F190" i="35"/>
  <c r="E190" i="35"/>
  <c r="I189" i="35"/>
  <c r="H189" i="35"/>
  <c r="G189" i="35"/>
  <c r="F189" i="35"/>
  <c r="E189" i="35"/>
  <c r="I188" i="35"/>
  <c r="H188" i="35"/>
  <c r="G188" i="35"/>
  <c r="F188" i="35"/>
  <c r="E188" i="35"/>
  <c r="I209" i="35" s="1"/>
  <c r="I187" i="35"/>
  <c r="H187" i="35"/>
  <c r="G187" i="35"/>
  <c r="F187" i="35"/>
  <c r="E187" i="35"/>
  <c r="H209" i="35" s="1"/>
  <c r="I186" i="35"/>
  <c r="H186" i="35"/>
  <c r="G186" i="35"/>
  <c r="F186" i="35"/>
  <c r="E186" i="35"/>
  <c r="G209" i="35" s="1"/>
  <c r="I185" i="35"/>
  <c r="H185" i="35"/>
  <c r="G185" i="35"/>
  <c r="F185" i="35"/>
  <c r="E185" i="35"/>
  <c r="F209" i="35" s="1"/>
  <c r="A186" i="35"/>
  <c r="A187" i="35" s="1"/>
  <c r="A188" i="35" s="1"/>
  <c r="A189" i="35" s="1"/>
  <c r="A190" i="35" s="1"/>
  <c r="A176" i="35"/>
  <c r="A177" i="35" s="1"/>
  <c r="A178" i="35" s="1"/>
  <c r="A179" i="35" s="1"/>
  <c r="A180" i="35" s="1"/>
  <c r="A165" i="35"/>
  <c r="A166" i="35" s="1"/>
  <c r="A167" i="35" s="1"/>
  <c r="A168" i="35" s="1"/>
  <c r="A169" i="35" s="1"/>
  <c r="J169" i="35"/>
  <c r="J168" i="35"/>
  <c r="J167" i="35"/>
  <c r="J166" i="35"/>
  <c r="J165" i="35"/>
  <c r="J180" i="35"/>
  <c r="J179" i="35"/>
  <c r="J178" i="35"/>
  <c r="J177" i="35"/>
  <c r="J176" i="35"/>
  <c r="J175" i="35"/>
  <c r="I181" i="35"/>
  <c r="H181" i="35"/>
  <c r="G181" i="35"/>
  <c r="F181" i="35"/>
  <c r="I174" i="35"/>
  <c r="I246" i="35" s="1"/>
  <c r="H174" i="35"/>
  <c r="H246" i="35" s="1"/>
  <c r="F174" i="35"/>
  <c r="F246" i="35" s="1"/>
  <c r="G174" i="35"/>
  <c r="G246" i="35" s="1"/>
  <c r="G448" i="35"/>
  <c r="J437" i="35"/>
  <c r="J129" i="35" l="1"/>
  <c r="J130" i="35" s="1"/>
  <c r="J131" i="35" s="1"/>
  <c r="J333" i="35"/>
  <c r="E310" i="35"/>
  <c r="J310" i="35" s="1"/>
  <c r="I247" i="35"/>
  <c r="I234" i="35" s="1"/>
  <c r="I248" i="35"/>
  <c r="I235" i="35" s="1"/>
  <c r="I249" i="35"/>
  <c r="I320" i="35" s="1"/>
  <c r="I250" i="35"/>
  <c r="I251" i="35"/>
  <c r="I252" i="35"/>
  <c r="I287" i="35"/>
  <c r="I276" i="35" s="1"/>
  <c r="I283" i="35"/>
  <c r="I272" i="35" s="1"/>
  <c r="I282" i="35"/>
  <c r="I286" i="35"/>
  <c r="I275" i="35" s="1"/>
  <c r="I285" i="35"/>
  <c r="I274" i="35" s="1"/>
  <c r="I284" i="35"/>
  <c r="I273" i="35" s="1"/>
  <c r="G283" i="35"/>
  <c r="G272" i="35" s="1"/>
  <c r="G287" i="35"/>
  <c r="G276" i="35" s="1"/>
  <c r="G247" i="35"/>
  <c r="G234" i="35" s="1"/>
  <c r="G248" i="35"/>
  <c r="G235" i="35" s="1"/>
  <c r="G249" i="35"/>
  <c r="G236" i="35" s="1"/>
  <c r="G250" i="35"/>
  <c r="G251" i="35"/>
  <c r="G322" i="35" s="1"/>
  <c r="G252" i="35"/>
  <c r="G285" i="35"/>
  <c r="G274" i="35" s="1"/>
  <c r="G286" i="35"/>
  <c r="G275" i="35" s="1"/>
  <c r="G282" i="35"/>
  <c r="G284" i="35"/>
  <c r="G273" i="35" s="1"/>
  <c r="H287" i="35"/>
  <c r="H276" i="35" s="1"/>
  <c r="H286" i="35"/>
  <c r="H275" i="35" s="1"/>
  <c r="H284" i="35"/>
  <c r="H273" i="35" s="1"/>
  <c r="H283" i="35"/>
  <c r="H272" i="35" s="1"/>
  <c r="H282" i="35"/>
  <c r="H247" i="35"/>
  <c r="H234" i="35" s="1"/>
  <c r="H248" i="35"/>
  <c r="H235" i="35" s="1"/>
  <c r="H249" i="35"/>
  <c r="H250" i="35"/>
  <c r="H251" i="35"/>
  <c r="H252" i="35"/>
  <c r="H285" i="35"/>
  <c r="H274" i="35" s="1"/>
  <c r="F283" i="35"/>
  <c r="F247" i="35"/>
  <c r="F248" i="35"/>
  <c r="F249" i="35"/>
  <c r="F250" i="35"/>
  <c r="F251" i="35"/>
  <c r="F252" i="35"/>
  <c r="F286" i="35"/>
  <c r="F282" i="35"/>
  <c r="F287" i="35"/>
  <c r="F284" i="35"/>
  <c r="F285" i="35"/>
  <c r="D324" i="35"/>
  <c r="D334" i="35"/>
  <c r="D311" i="35"/>
  <c r="H335" i="35"/>
  <c r="D335" i="35"/>
  <c r="G335" i="35"/>
  <c r="D325" i="35"/>
  <c r="D312" i="35"/>
  <c r="F335" i="35"/>
  <c r="I335" i="35"/>
  <c r="E335" i="35"/>
  <c r="E312" i="35" s="1"/>
  <c r="I336" i="35"/>
  <c r="E336" i="35"/>
  <c r="D313" i="35"/>
  <c r="G336" i="35"/>
  <c r="D326" i="35"/>
  <c r="F336" i="35"/>
  <c r="H336" i="35"/>
  <c r="D336" i="35"/>
  <c r="H281" i="35"/>
  <c r="I281" i="35"/>
  <c r="G281" i="35"/>
  <c r="H226" i="35"/>
  <c r="H228" i="35" s="1"/>
  <c r="J222" i="35"/>
  <c r="I226" i="35"/>
  <c r="I228" i="35" s="1"/>
  <c r="J241" i="35"/>
  <c r="F281" i="35"/>
  <c r="J181" i="35"/>
  <c r="J189" i="35"/>
  <c r="J262" i="35"/>
  <c r="E263" i="35"/>
  <c r="E265" i="35" s="1"/>
  <c r="J186" i="35"/>
  <c r="J259" i="35"/>
  <c r="J220" i="35"/>
  <c r="E226" i="35"/>
  <c r="E228" i="35" s="1"/>
  <c r="J205" i="35"/>
  <c r="D84" i="35" s="1"/>
  <c r="J223" i="35"/>
  <c r="F226" i="35"/>
  <c r="J224" i="35"/>
  <c r="G226" i="35"/>
  <c r="G228" i="35" s="1"/>
  <c r="J221" i="35"/>
  <c r="J225" i="35"/>
  <c r="J261" i="35"/>
  <c r="G263" i="35"/>
  <c r="J260" i="35"/>
  <c r="J258" i="35"/>
  <c r="I263" i="35"/>
  <c r="H263" i="35"/>
  <c r="F263" i="35"/>
  <c r="J257" i="35"/>
  <c r="J216" i="35"/>
  <c r="I191" i="35"/>
  <c r="I193" i="35" s="1"/>
  <c r="G191" i="35"/>
  <c r="G193" i="35" s="1"/>
  <c r="J170" i="35"/>
  <c r="D83" i="35" s="1"/>
  <c r="J188" i="35"/>
  <c r="F191" i="35"/>
  <c r="F193" i="35" s="1"/>
  <c r="H191" i="35"/>
  <c r="H193" i="35" s="1"/>
  <c r="E191" i="35"/>
  <c r="E193" i="35" s="1"/>
  <c r="J190" i="35"/>
  <c r="J187" i="35"/>
  <c r="J185" i="35"/>
  <c r="G119" i="13" l="1"/>
  <c r="G120" i="13"/>
  <c r="I236" i="35"/>
  <c r="G320" i="35"/>
  <c r="J249" i="35"/>
  <c r="D85" i="35"/>
  <c r="J251" i="35"/>
  <c r="J247" i="35"/>
  <c r="F253" i="35"/>
  <c r="J282" i="35"/>
  <c r="F271" i="35"/>
  <c r="F288" i="35"/>
  <c r="F272" i="35"/>
  <c r="J272" i="35" s="1"/>
  <c r="J283" i="35"/>
  <c r="J250" i="35"/>
  <c r="H288" i="35"/>
  <c r="H300" i="35" s="1"/>
  <c r="H271" i="35"/>
  <c r="H277" i="35" s="1"/>
  <c r="I271" i="35"/>
  <c r="I277" i="35" s="1"/>
  <c r="I288" i="35"/>
  <c r="I300" i="35" s="1"/>
  <c r="I253" i="35"/>
  <c r="F276" i="35"/>
  <c r="J276" i="35" s="1"/>
  <c r="J287" i="35"/>
  <c r="F234" i="35"/>
  <c r="J234" i="35" s="1"/>
  <c r="J285" i="35"/>
  <c r="F274" i="35"/>
  <c r="J274" i="35" s="1"/>
  <c r="F275" i="35"/>
  <c r="J275" i="35" s="1"/>
  <c r="J286" i="35"/>
  <c r="H253" i="35"/>
  <c r="F273" i="35"/>
  <c r="J273" i="35" s="1"/>
  <c r="J284" i="35"/>
  <c r="J252" i="35"/>
  <c r="J248" i="35"/>
  <c r="G271" i="35"/>
  <c r="G277" i="35" s="1"/>
  <c r="G288" i="35"/>
  <c r="G300" i="35" s="1"/>
  <c r="G253" i="35"/>
  <c r="E239" i="35"/>
  <c r="I237" i="35"/>
  <c r="I321" i="35"/>
  <c r="H238" i="35"/>
  <c r="H322" i="35"/>
  <c r="F237" i="35"/>
  <c r="F321" i="35"/>
  <c r="F238" i="35"/>
  <c r="F322" i="35"/>
  <c r="G237" i="35"/>
  <c r="G321" i="35"/>
  <c r="G238" i="35"/>
  <c r="F236" i="35"/>
  <c r="F320" i="35"/>
  <c r="H237" i="35"/>
  <c r="H321" i="35"/>
  <c r="I238" i="35"/>
  <c r="I322" i="35"/>
  <c r="H236" i="35"/>
  <c r="H320" i="35"/>
  <c r="J226" i="35"/>
  <c r="F228" i="35"/>
  <c r="J228" i="35" s="1"/>
  <c r="H326" i="35"/>
  <c r="H313" i="35" s="1"/>
  <c r="G326" i="35"/>
  <c r="G313" i="35" s="1"/>
  <c r="I326" i="35"/>
  <c r="I313" i="35" s="1"/>
  <c r="F326" i="35"/>
  <c r="H325" i="35"/>
  <c r="H312" i="35" s="1"/>
  <c r="G325" i="35"/>
  <c r="G312" i="35" s="1"/>
  <c r="I325" i="35"/>
  <c r="I312" i="35" s="1"/>
  <c r="F325" i="35"/>
  <c r="J336" i="35"/>
  <c r="E313" i="35"/>
  <c r="J313" i="35" s="1"/>
  <c r="J335" i="35"/>
  <c r="F235" i="35"/>
  <c r="J193" i="35"/>
  <c r="J191" i="35"/>
  <c r="J263" i="35"/>
  <c r="G15" i="18" l="1"/>
  <c r="G93" i="67" s="1"/>
  <c r="G75" i="61"/>
  <c r="C17" i="38"/>
  <c r="G74" i="61"/>
  <c r="G16" i="18"/>
  <c r="G54" i="67" s="1"/>
  <c r="C18" i="38"/>
  <c r="G121" i="13"/>
  <c r="G122" i="13" s="1"/>
  <c r="J253" i="35"/>
  <c r="J271" i="35"/>
  <c r="F277" i="35"/>
  <c r="J277" i="35" s="1"/>
  <c r="J288" i="35"/>
  <c r="F300" i="35"/>
  <c r="J300" i="35" s="1"/>
  <c r="J238" i="35"/>
  <c r="E331" i="35"/>
  <c r="E308" i="35" s="1"/>
  <c r="E240" i="35"/>
  <c r="J237" i="35"/>
  <c r="J236" i="35"/>
  <c r="J321" i="35"/>
  <c r="J322" i="35"/>
  <c r="F312" i="35"/>
  <c r="J312" i="35" s="1"/>
  <c r="J325" i="35"/>
  <c r="J326" i="35"/>
  <c r="F313" i="35"/>
  <c r="J235" i="35"/>
  <c r="G94" i="67" l="1"/>
  <c r="E242" i="35"/>
  <c r="E334" i="35" s="1"/>
  <c r="E311" i="35" s="1"/>
  <c r="E332" i="35"/>
  <c r="E309" i="35" l="1"/>
  <c r="E314" i="35" s="1"/>
  <c r="E337" i="35"/>
  <c r="J337" i="35" l="1"/>
  <c r="E339" i="35"/>
  <c r="J339" i="35" s="1"/>
  <c r="E316" i="35"/>
  <c r="J314" i="35"/>
  <c r="J316" i="35" s="1"/>
  <c r="A47" i="41" l="1"/>
  <c r="A46" i="41"/>
  <c r="A56" i="41"/>
  <c r="A54" i="41"/>
  <c r="A53" i="41"/>
  <c r="A52" i="41"/>
  <c r="A49" i="41"/>
  <c r="E49" i="38" l="1"/>
  <c r="A194" i="61" l="1"/>
  <c r="A195" i="61"/>
  <c r="A196" i="61"/>
  <c r="A197" i="61"/>
  <c r="F17" i="46"/>
  <c r="F21" i="46" s="1"/>
  <c r="F14" i="46"/>
  <c r="A44" i="38"/>
  <c r="F20" i="46" l="1"/>
  <c r="F41" i="46"/>
  <c r="B255" i="62"/>
  <c r="B254" i="62"/>
  <c r="B253" i="62"/>
  <c r="B252" i="62"/>
  <c r="B248" i="62"/>
  <c r="B247" i="62"/>
  <c r="B246" i="62"/>
  <c r="B244" i="62"/>
  <c r="B245" i="62"/>
  <c r="A15" i="45" l="1"/>
  <c r="C68" i="62"/>
  <c r="L14" i="46" l="1"/>
  <c r="K14" i="46"/>
  <c r="J14" i="46"/>
  <c r="I14" i="46"/>
  <c r="H14" i="46"/>
  <c r="G14" i="46"/>
  <c r="A14" i="46"/>
  <c r="A13" i="46"/>
  <c r="A23" i="45"/>
  <c r="A22" i="45"/>
  <c r="A20" i="45"/>
  <c r="A19" i="45"/>
  <c r="A18" i="45"/>
  <c r="A17" i="45"/>
  <c r="A42" i="45"/>
  <c r="A43" i="45"/>
  <c r="A44" i="45"/>
  <c r="A45" i="45"/>
  <c r="A46" i="45"/>
  <c r="A47" i="45"/>
  <c r="A86" i="41"/>
  <c r="A85" i="41"/>
  <c r="A84" i="41"/>
  <c r="A76" i="41"/>
  <c r="A75" i="41"/>
  <c r="A70" i="41"/>
  <c r="A69" i="41"/>
  <c r="A68" i="41"/>
  <c r="A67" i="41"/>
  <c r="A48" i="41"/>
  <c r="A45" i="41"/>
  <c r="A44" i="41"/>
  <c r="A40" i="41"/>
  <c r="A39" i="41"/>
  <c r="A38" i="41"/>
  <c r="A37" i="41"/>
  <c r="A36" i="41"/>
  <c r="A35" i="41"/>
  <c r="A85" i="45" l="1"/>
  <c r="A84" i="45"/>
  <c r="A83" i="45"/>
  <c r="A82" i="45"/>
  <c r="A81" i="45"/>
  <c r="A80" i="45"/>
  <c r="A79" i="45"/>
  <c r="A78" i="45"/>
  <c r="A77" i="45"/>
  <c r="A76" i="45"/>
  <c r="A74" i="45"/>
  <c r="A73" i="45"/>
  <c r="A71" i="45"/>
  <c r="A69" i="45"/>
  <c r="A68" i="45"/>
  <c r="A67" i="45"/>
  <c r="A65" i="45"/>
  <c r="A64" i="45"/>
  <c r="A63" i="45"/>
  <c r="A58" i="45"/>
  <c r="A57" i="45"/>
  <c r="A56" i="45"/>
  <c r="A55" i="45"/>
  <c r="A54" i="45"/>
  <c r="A53" i="45"/>
  <c r="A52" i="45"/>
  <c r="A51" i="45"/>
  <c r="A50" i="45"/>
  <c r="A49" i="45"/>
  <c r="A48" i="45"/>
  <c r="A41" i="45"/>
  <c r="A40" i="45"/>
  <c r="A39" i="45"/>
  <c r="A38" i="45"/>
  <c r="A37" i="45"/>
  <c r="A36" i="45"/>
  <c r="A35" i="45"/>
  <c r="A34" i="45"/>
  <c r="A33" i="45"/>
  <c r="A32" i="45"/>
  <c r="A31" i="45"/>
  <c r="A30" i="45"/>
  <c r="A29" i="45"/>
  <c r="A28" i="45"/>
  <c r="A27" i="45"/>
  <c r="A26" i="45"/>
  <c r="A25" i="45"/>
  <c r="A24" i="45"/>
  <c r="A16" i="45"/>
  <c r="A14" i="45"/>
  <c r="A13" i="45"/>
  <c r="A12" i="45"/>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5" i="46"/>
  <c r="A34" i="46"/>
  <c r="A33" i="46"/>
  <c r="A32" i="46"/>
  <c r="A31" i="46"/>
  <c r="A30" i="46"/>
  <c r="A29" i="46"/>
  <c r="A28" i="46"/>
  <c r="A27" i="46"/>
  <c r="A26" i="46"/>
  <c r="A25" i="46"/>
  <c r="A24" i="46"/>
  <c r="A23" i="46"/>
  <c r="A22" i="46"/>
  <c r="A21" i="46"/>
  <c r="A20" i="46"/>
  <c r="A19" i="46"/>
  <c r="A18" i="46"/>
  <c r="A17" i="46"/>
  <c r="A16" i="46"/>
  <c r="A11" i="46"/>
  <c r="A10" i="46"/>
  <c r="A9" i="46"/>
  <c r="B23" i="52"/>
  <c r="B22" i="52"/>
  <c r="B21" i="52"/>
  <c r="B20" i="52"/>
  <c r="B19" i="52"/>
  <c r="B18" i="52"/>
  <c r="B17" i="52"/>
  <c r="B16" i="52"/>
  <c r="B15" i="52"/>
  <c r="B14" i="52"/>
  <c r="B13" i="52"/>
  <c r="B12" i="52"/>
  <c r="B11" i="52"/>
  <c r="B10" i="52"/>
  <c r="B9" i="52"/>
  <c r="A83" i="18"/>
  <c r="A82" i="18"/>
  <c r="A81" i="18"/>
  <c r="A80" i="18"/>
  <c r="A79" i="18"/>
  <c r="A78" i="18"/>
  <c r="A77" i="18"/>
  <c r="A76" i="18"/>
  <c r="A58" i="18"/>
  <c r="A57" i="18"/>
  <c r="A56" i="18"/>
  <c r="A55" i="18"/>
  <c r="A53" i="18"/>
  <c r="A52" i="18"/>
  <c r="A51" i="18"/>
  <c r="A50" i="18"/>
  <c r="A49" i="18"/>
  <c r="A48" i="18"/>
  <c r="A47" i="18"/>
  <c r="A46" i="18"/>
  <c r="A45" i="18"/>
  <c r="A44" i="18"/>
  <c r="A43" i="18"/>
  <c r="A33" i="18"/>
  <c r="A32" i="18"/>
  <c r="A31" i="18"/>
  <c r="A30" i="18"/>
  <c r="A29" i="18"/>
  <c r="A28" i="18"/>
  <c r="A27" i="18"/>
  <c r="A25" i="18"/>
  <c r="A24" i="18"/>
  <c r="A23" i="18"/>
  <c r="A22" i="18"/>
  <c r="A21" i="18"/>
  <c r="A20" i="18"/>
  <c r="A19" i="18"/>
  <c r="A18" i="18"/>
  <c r="A17" i="18"/>
  <c r="A16" i="18"/>
  <c r="A15" i="18"/>
  <c r="A14" i="18"/>
  <c r="A12" i="18"/>
  <c r="A10" i="18"/>
  <c r="A9" i="18"/>
  <c r="A31" i="41"/>
  <c r="A30" i="41"/>
  <c r="A29" i="41"/>
  <c r="A28" i="41"/>
  <c r="A27" i="41"/>
  <c r="A26" i="41"/>
  <c r="A25" i="41"/>
  <c r="A24" i="41"/>
  <c r="A23" i="41"/>
  <c r="A22" i="41"/>
  <c r="A21" i="41"/>
  <c r="A20" i="41"/>
  <c r="A19" i="41"/>
  <c r="A18" i="41"/>
  <c r="A17" i="41"/>
  <c r="A16" i="41"/>
  <c r="A15" i="41"/>
  <c r="A14" i="41"/>
  <c r="A13" i="41"/>
  <c r="A12" i="41"/>
  <c r="A11" i="41"/>
  <c r="A10" i="41"/>
  <c r="A48" i="38"/>
  <c r="A47" i="38"/>
  <c r="A46" i="38"/>
  <c r="A45" i="38"/>
  <c r="A43" i="38"/>
  <c r="A42" i="38"/>
  <c r="A41" i="38"/>
  <c r="A40" i="38"/>
  <c r="A39" i="38"/>
  <c r="A38" i="38"/>
  <c r="A37" i="38"/>
  <c r="A36" i="38"/>
  <c r="A35" i="38"/>
  <c r="A34" i="38"/>
  <c r="A33" i="38"/>
  <c r="A32" i="38"/>
  <c r="A31" i="38"/>
  <c r="A30" i="38"/>
  <c r="A29" i="38"/>
  <c r="A28" i="38"/>
  <c r="A27" i="38"/>
  <c r="A26" i="38"/>
  <c r="A25" i="38"/>
  <c r="A24" i="38"/>
  <c r="A23" i="38"/>
  <c r="A22" i="38"/>
  <c r="A20" i="38"/>
  <c r="A19" i="38"/>
  <c r="A18" i="38"/>
  <c r="A17" i="38"/>
  <c r="A16" i="38"/>
  <c r="A193" i="61"/>
  <c r="A192" i="61"/>
  <c r="A191" i="61"/>
  <c r="A190" i="61"/>
  <c r="A189" i="61"/>
  <c r="A188" i="61"/>
  <c r="A187" i="61"/>
  <c r="A186" i="61"/>
  <c r="A185" i="61"/>
  <c r="A184" i="61"/>
  <c r="A183" i="61"/>
  <c r="A182" i="61"/>
  <c r="A181" i="61"/>
  <c r="A180" i="61"/>
  <c r="A178" i="61"/>
  <c r="A177" i="61"/>
  <c r="A176" i="61"/>
  <c r="A175" i="61"/>
  <c r="A174" i="61"/>
  <c r="A173" i="61"/>
  <c r="A172" i="61"/>
  <c r="A171" i="61"/>
  <c r="A170" i="61"/>
  <c r="A169" i="61"/>
  <c r="A168" i="61"/>
  <c r="A167" i="61"/>
  <c r="A166" i="61"/>
  <c r="A165" i="61"/>
  <c r="A164" i="61"/>
  <c r="A163" i="61"/>
  <c r="A162" i="61"/>
  <c r="A161" i="61"/>
  <c r="A160" i="61"/>
  <c r="A159" i="61"/>
  <c r="A158" i="61"/>
  <c r="A157" i="61"/>
  <c r="A156" i="61"/>
  <c r="A155" i="61"/>
  <c r="A154" i="61"/>
  <c r="A153" i="61"/>
  <c r="A152" i="61"/>
  <c r="A151" i="61"/>
  <c r="A150" i="61"/>
  <c r="A149" i="61"/>
  <c r="A148" i="61"/>
  <c r="A147" i="61"/>
  <c r="A146" i="61"/>
  <c r="A145" i="61"/>
  <c r="A144" i="61"/>
  <c r="A143" i="61"/>
  <c r="A142" i="61"/>
  <c r="A140" i="61"/>
  <c r="A109" i="61"/>
  <c r="A108" i="61"/>
  <c r="A107" i="61"/>
  <c r="A106" i="61"/>
  <c r="A105" i="61"/>
  <c r="A104" i="61"/>
  <c r="A103" i="61"/>
  <c r="A102" i="61"/>
  <c r="A98" i="61"/>
  <c r="A97" i="61"/>
  <c r="A96" i="61"/>
  <c r="A95" i="61"/>
  <c r="A94" i="61"/>
  <c r="A93" i="61"/>
  <c r="A92" i="61"/>
  <c r="A91" i="61"/>
  <c r="A90" i="61"/>
  <c r="A89" i="61"/>
  <c r="A88" i="61"/>
  <c r="A87" i="61"/>
  <c r="A86" i="61"/>
  <c r="A85" i="61"/>
  <c r="A84" i="61"/>
  <c r="A83" i="61"/>
  <c r="A82" i="61"/>
  <c r="A81" i="61"/>
  <c r="A80" i="61"/>
  <c r="A79" i="61"/>
  <c r="A77" i="61"/>
  <c r="A76" i="61"/>
  <c r="A75" i="61"/>
  <c r="A74" i="61"/>
  <c r="A73" i="61"/>
  <c r="A72" i="61"/>
  <c r="A71" i="61"/>
  <c r="A70" i="61"/>
  <c r="A69" i="61"/>
  <c r="A68" i="61"/>
  <c r="A67" i="61"/>
  <c r="A66" i="61"/>
  <c r="A65" i="61"/>
  <c r="A64" i="61"/>
  <c r="A63" i="61"/>
  <c r="A62" i="61"/>
  <c r="A61" i="61"/>
  <c r="A60" i="61"/>
  <c r="A59" i="61"/>
  <c r="A58" i="61"/>
  <c r="A57" i="61"/>
  <c r="A56" i="61"/>
  <c r="A55" i="61"/>
  <c r="A54" i="61"/>
  <c r="A53" i="61"/>
  <c r="A52" i="61"/>
  <c r="A51" i="61"/>
  <c r="A50" i="61"/>
  <c r="A49" i="61"/>
  <c r="A48" i="61"/>
  <c r="A47" i="61"/>
  <c r="A46" i="61"/>
  <c r="A45" i="61"/>
  <c r="A44" i="61"/>
  <c r="A43" i="61"/>
  <c r="A42" i="61"/>
  <c r="A41" i="61"/>
  <c r="A40" i="61"/>
  <c r="A39" i="61"/>
  <c r="A38" i="61"/>
  <c r="A37" i="61"/>
  <c r="A36" i="61"/>
  <c r="A35" i="61"/>
  <c r="A34" i="61"/>
  <c r="A33" i="61"/>
  <c r="A32" i="61"/>
  <c r="A31" i="61"/>
  <c r="A30" i="61"/>
  <c r="A29" i="61"/>
  <c r="A28" i="61"/>
  <c r="A27" i="61"/>
  <c r="A26" i="61"/>
  <c r="A25" i="61"/>
  <c r="A24" i="61"/>
  <c r="A23" i="61"/>
  <c r="A22" i="61"/>
  <c r="A21" i="61"/>
  <c r="A20" i="61"/>
  <c r="A19" i="61"/>
  <c r="A18" i="61"/>
  <c r="A17" i="61"/>
  <c r="A16" i="61"/>
  <c r="A15" i="61"/>
  <c r="A14" i="61"/>
  <c r="A13" i="61"/>
  <c r="A461" i="62"/>
  <c r="A460" i="62"/>
  <c r="A459" i="62"/>
  <c r="A458" i="62"/>
  <c r="A457" i="62"/>
  <c r="A456" i="62"/>
  <c r="A455" i="62"/>
  <c r="A449" i="62"/>
  <c r="A448" i="62"/>
  <c r="A447" i="62"/>
  <c r="A446" i="62"/>
  <c r="A445" i="62"/>
  <c r="A444" i="62"/>
  <c r="A443" i="62"/>
  <c r="A442" i="62"/>
  <c r="A441" i="62"/>
  <c r="A440" i="62"/>
  <c r="A439" i="62"/>
  <c r="A438" i="62"/>
  <c r="A437" i="62"/>
  <c r="A436" i="62"/>
  <c r="A435" i="62"/>
  <c r="A434" i="62"/>
  <c r="A433" i="62"/>
  <c r="A432" i="62"/>
  <c r="A431" i="62"/>
  <c r="A430" i="62"/>
  <c r="A429" i="62"/>
  <c r="A428" i="62"/>
  <c r="A427" i="62"/>
  <c r="A426" i="62"/>
  <c r="A425" i="62"/>
  <c r="A424" i="62"/>
  <c r="A423" i="62"/>
  <c r="A422" i="62"/>
  <c r="A421" i="62"/>
  <c r="A420" i="62"/>
  <c r="A419" i="62"/>
  <c r="A418" i="62"/>
  <c r="A417" i="62"/>
  <c r="A416" i="62"/>
  <c r="A415" i="62"/>
  <c r="A414" i="62"/>
  <c r="A413" i="62"/>
  <c r="A412" i="62"/>
  <c r="A411" i="62"/>
  <c r="A410" i="62"/>
  <c r="A409" i="62"/>
  <c r="A408" i="62"/>
  <c r="A407" i="62"/>
  <c r="A406" i="62"/>
  <c r="A405" i="62"/>
  <c r="A404" i="62"/>
  <c r="A403" i="62"/>
  <c r="A402" i="62"/>
  <c r="A401" i="62"/>
  <c r="A400" i="62"/>
  <c r="A399" i="62"/>
  <c r="A398" i="62"/>
  <c r="A397" i="62"/>
  <c r="A396" i="62"/>
  <c r="A395" i="62"/>
  <c r="A394" i="62"/>
  <c r="A393" i="62"/>
  <c r="A392" i="62"/>
  <c r="A391" i="62"/>
  <c r="A390" i="62"/>
  <c r="A389" i="62"/>
  <c r="A388" i="62"/>
  <c r="A387" i="62"/>
  <c r="A386" i="62"/>
  <c r="A385" i="62"/>
  <c r="A384" i="62"/>
  <c r="A383" i="62"/>
  <c r="A382" i="62"/>
  <c r="A381" i="62"/>
  <c r="A380" i="62"/>
  <c r="A379" i="62"/>
  <c r="A378" i="62"/>
  <c r="A377" i="62"/>
  <c r="A376" i="62"/>
  <c r="A375" i="62"/>
  <c r="A374" i="62"/>
  <c r="A373" i="62"/>
  <c r="A372" i="62"/>
  <c r="A371" i="62"/>
  <c r="A370" i="62"/>
  <c r="A369" i="62"/>
  <c r="A368" i="62"/>
  <c r="A367" i="62"/>
  <c r="A366" i="62"/>
  <c r="A365" i="62"/>
  <c r="A364" i="62"/>
  <c r="A363" i="62"/>
  <c r="A362" i="62"/>
  <c r="A361" i="62"/>
  <c r="A360" i="62"/>
  <c r="A359" i="62"/>
  <c r="A358" i="62"/>
  <c r="A357" i="62"/>
  <c r="A356" i="62"/>
  <c r="A355" i="62"/>
  <c r="A354" i="62"/>
  <c r="A353" i="62"/>
  <c r="A352" i="62"/>
  <c r="A351" i="62"/>
  <c r="A350" i="62"/>
  <c r="A349" i="62"/>
  <c r="A348" i="62"/>
  <c r="A347" i="62"/>
  <c r="A346" i="62"/>
  <c r="A345" i="62"/>
  <c r="A344" i="62"/>
  <c r="A343" i="62"/>
  <c r="A342" i="62"/>
  <c r="A341" i="62"/>
  <c r="A340" i="62"/>
  <c r="A339" i="62"/>
  <c r="A338" i="62"/>
  <c r="A337" i="62"/>
  <c r="A336" i="62"/>
  <c r="A335" i="62"/>
  <c r="A334" i="62"/>
  <c r="A333" i="62"/>
  <c r="A332" i="62"/>
  <c r="A331" i="62"/>
  <c r="A330" i="62"/>
  <c r="A329" i="62"/>
  <c r="A328" i="62"/>
  <c r="A327" i="62"/>
  <c r="A326" i="62"/>
  <c r="A325" i="62"/>
  <c r="A324" i="62"/>
  <c r="A323" i="62"/>
  <c r="A322" i="62"/>
  <c r="A321" i="62"/>
  <c r="A320" i="62"/>
  <c r="A319" i="62"/>
  <c r="A318" i="62"/>
  <c r="A317" i="62"/>
  <c r="A316" i="62"/>
  <c r="A315" i="62"/>
  <c r="A314" i="62"/>
  <c r="A313" i="62"/>
  <c r="A312" i="62"/>
  <c r="A311" i="62"/>
  <c r="A310" i="62"/>
  <c r="A309" i="62"/>
  <c r="A308" i="62"/>
  <c r="A307" i="62"/>
  <c r="A306" i="62"/>
  <c r="A305" i="62"/>
  <c r="A304" i="62"/>
  <c r="A303" i="62"/>
  <c r="A302" i="62"/>
  <c r="A301" i="62"/>
  <c r="A300" i="62"/>
  <c r="A299" i="62"/>
  <c r="A298" i="62"/>
  <c r="A297" i="62"/>
  <c r="A293" i="62"/>
  <c r="A292" i="62"/>
  <c r="A291" i="62"/>
  <c r="A290" i="62"/>
  <c r="A289" i="62"/>
  <c r="A288" i="62"/>
  <c r="A287" i="62"/>
  <c r="A286" i="62"/>
  <c r="A285" i="62"/>
  <c r="A284" i="62"/>
  <c r="A283" i="62"/>
  <c r="A282" i="62"/>
  <c r="A281" i="62"/>
  <c r="A280" i="62"/>
  <c r="A279" i="62"/>
  <c r="A278" i="62"/>
  <c r="A277" i="62"/>
  <c r="A276" i="62"/>
  <c r="A275" i="62"/>
  <c r="A274" i="62"/>
  <c r="A273" i="62"/>
  <c r="A272" i="62"/>
  <c r="A271" i="62"/>
  <c r="A270" i="62"/>
  <c r="A269" i="62"/>
  <c r="A268" i="62"/>
  <c r="A267" i="62"/>
  <c r="A266" i="62"/>
  <c r="A265" i="62"/>
  <c r="A264" i="62"/>
  <c r="A263" i="62"/>
  <c r="A262" i="62"/>
  <c r="A261" i="62"/>
  <c r="A260" i="62"/>
  <c r="A259" i="62"/>
  <c r="A258" i="62"/>
  <c r="A257" i="62"/>
  <c r="A256" i="62"/>
  <c r="A255" i="62"/>
  <c r="A253" i="62"/>
  <c r="A252" i="62"/>
  <c r="A251" i="62"/>
  <c r="A250" i="62"/>
  <c r="A249" i="62"/>
  <c r="A248" i="62"/>
  <c r="A247" i="62"/>
  <c r="A246" i="62"/>
  <c r="A245" i="62"/>
  <c r="A244" i="62"/>
  <c r="A243" i="62"/>
  <c r="A242" i="62"/>
  <c r="A241" i="62"/>
  <c r="A240" i="62"/>
  <c r="A239" i="62"/>
  <c r="A238" i="62"/>
  <c r="A237" i="62"/>
  <c r="A236" i="62"/>
  <c r="A235" i="62"/>
  <c r="A234" i="62"/>
  <c r="A233" i="62"/>
  <c r="A232" i="62"/>
  <c r="A231" i="62"/>
  <c r="A230" i="62"/>
  <c r="A229" i="62"/>
  <c r="A228" i="62"/>
  <c r="A227" i="62"/>
  <c r="A226" i="62"/>
  <c r="A225" i="62"/>
  <c r="A224" i="62"/>
  <c r="A223" i="62"/>
  <c r="A222" i="62"/>
  <c r="A221" i="62"/>
  <c r="A220" i="62"/>
  <c r="A219" i="62"/>
  <c r="A218" i="62"/>
  <c r="A217" i="62"/>
  <c r="A216" i="62"/>
  <c r="A215" i="62"/>
  <c r="A214" i="62"/>
  <c r="A213" i="62"/>
  <c r="A212" i="62"/>
  <c r="A211" i="62"/>
  <c r="A210" i="62"/>
  <c r="A209" i="62"/>
  <c r="A208" i="62"/>
  <c r="A207" i="62"/>
  <c r="A206" i="62"/>
  <c r="A205" i="62"/>
  <c r="A204" i="62"/>
  <c r="A203" i="62"/>
  <c r="A202" i="62"/>
  <c r="A201" i="62"/>
  <c r="A200" i="62"/>
  <c r="A199" i="62"/>
  <c r="A198" i="62"/>
  <c r="A197" i="62"/>
  <c r="A196" i="62"/>
  <c r="A195" i="62"/>
  <c r="A194" i="62"/>
  <c r="A193" i="62"/>
  <c r="A192" i="62"/>
  <c r="A191" i="62"/>
  <c r="A190" i="62"/>
  <c r="A189" i="62"/>
  <c r="A188" i="62"/>
  <c r="A187" i="62"/>
  <c r="A186" i="62"/>
  <c r="A185" i="62"/>
  <c r="A184" i="62"/>
  <c r="A183" i="62"/>
  <c r="A182" i="62"/>
  <c r="A181" i="62"/>
  <c r="A180" i="62"/>
  <c r="A179" i="62"/>
  <c r="A178" i="62"/>
  <c r="A177" i="62"/>
  <c r="A176" i="62"/>
  <c r="A175" i="62"/>
  <c r="A174" i="62"/>
  <c r="A173" i="62"/>
  <c r="A172" i="62"/>
  <c r="A171" i="62"/>
  <c r="A170" i="62"/>
  <c r="A169" i="62"/>
  <c r="A168" i="62"/>
  <c r="A167" i="62"/>
  <c r="A166" i="62"/>
  <c r="A165" i="62"/>
  <c r="A164" i="62"/>
  <c r="A163" i="62"/>
  <c r="A162" i="62"/>
  <c r="A161" i="62"/>
  <c r="A160" i="62"/>
  <c r="A159" i="62"/>
  <c r="A158" i="62"/>
  <c r="A157" i="62"/>
  <c r="A156" i="62"/>
  <c r="A155" i="62"/>
  <c r="A154" i="62"/>
  <c r="A153" i="62"/>
  <c r="A152" i="62"/>
  <c r="A151" i="62"/>
  <c r="A150" i="62"/>
  <c r="A149" i="62"/>
  <c r="A148" i="62"/>
  <c r="A147" i="62"/>
  <c r="A146" i="62"/>
  <c r="A145" i="62"/>
  <c r="A144" i="62"/>
  <c r="A143" i="62"/>
  <c r="A142" i="62"/>
  <c r="A141" i="62"/>
  <c r="A140" i="62"/>
  <c r="A139" i="62"/>
  <c r="A138" i="62"/>
  <c r="A137" i="62"/>
  <c r="A136" i="62"/>
  <c r="A135" i="62"/>
  <c r="A134" i="62"/>
  <c r="A133" i="62"/>
  <c r="A132" i="62"/>
  <c r="A129" i="62"/>
  <c r="A128" i="62"/>
  <c r="A127" i="62"/>
  <c r="A126" i="62"/>
  <c r="A125" i="62"/>
  <c r="A124" i="62"/>
  <c r="A123" i="62"/>
  <c r="A122" i="62"/>
  <c r="A121" i="62"/>
  <c r="A120" i="62"/>
  <c r="A119" i="62"/>
  <c r="A118" i="62"/>
  <c r="A117" i="62"/>
  <c r="A116" i="62"/>
  <c r="A115" i="62"/>
  <c r="A114" i="62"/>
  <c r="A113" i="62"/>
  <c r="A112" i="62"/>
  <c r="A111" i="62"/>
  <c r="A110" i="62"/>
  <c r="A109" i="62"/>
  <c r="A106" i="62"/>
  <c r="A105" i="62"/>
  <c r="A104" i="62"/>
  <c r="A103" i="62"/>
  <c r="A102" i="62"/>
  <c r="A101" i="62"/>
  <c r="A100" i="62"/>
  <c r="A99" i="62"/>
  <c r="A98" i="62"/>
  <c r="A97" i="62"/>
  <c r="A96" i="62"/>
  <c r="A95" i="62"/>
  <c r="A94" i="62"/>
  <c r="A93" i="62"/>
  <c r="A92" i="62"/>
  <c r="A91" i="62"/>
  <c r="A90" i="62"/>
  <c r="A89" i="62"/>
  <c r="A88" i="62"/>
  <c r="A87" i="62"/>
  <c r="A86" i="62"/>
  <c r="A85" i="62"/>
  <c r="A84" i="62"/>
  <c r="A83" i="62"/>
  <c r="A82" i="62"/>
  <c r="A81" i="62"/>
  <c r="A80" i="62"/>
  <c r="A79" i="62"/>
  <c r="A78" i="62"/>
  <c r="A77" i="62"/>
  <c r="A76" i="62"/>
  <c r="A75" i="62"/>
  <c r="A74" i="62"/>
  <c r="A73" i="62"/>
  <c r="A72" i="62"/>
  <c r="A71" i="62"/>
  <c r="A70" i="62"/>
  <c r="A69" i="62"/>
  <c r="A68" i="62"/>
  <c r="A67" i="62"/>
  <c r="A66" i="62"/>
  <c r="A65" i="62"/>
  <c r="A64" i="62"/>
  <c r="A63" i="62"/>
  <c r="A62" i="62"/>
  <c r="A61" i="62"/>
  <c r="A60" i="62"/>
  <c r="A59" i="62"/>
  <c r="A58" i="62"/>
  <c r="A57" i="62"/>
  <c r="A56" i="62"/>
  <c r="A55" i="62"/>
  <c r="A54" i="62"/>
  <c r="A53" i="62"/>
  <c r="A52" i="62"/>
  <c r="A51" i="62"/>
  <c r="A50" i="62"/>
  <c r="A49" i="62"/>
  <c r="A48" i="62"/>
  <c r="A47" i="62"/>
  <c r="A46" i="62"/>
  <c r="A45" i="62"/>
  <c r="A44" i="62"/>
  <c r="A43" i="62"/>
  <c r="A42" i="62"/>
  <c r="A41" i="62"/>
  <c r="A40" i="62"/>
  <c r="A39" i="62"/>
  <c r="A38" i="62"/>
  <c r="A37" i="62"/>
  <c r="A36" i="62"/>
  <c r="A35" i="62"/>
  <c r="A30" i="62"/>
  <c r="A29" i="62"/>
  <c r="A28" i="62"/>
  <c r="A27" i="62"/>
  <c r="A26" i="62"/>
  <c r="A25" i="62"/>
  <c r="A24" i="62"/>
  <c r="A23" i="62"/>
  <c r="A22" i="62"/>
  <c r="A21" i="62"/>
  <c r="A20" i="62"/>
  <c r="A19" i="62"/>
  <c r="A15" i="62"/>
  <c r="A14" i="62"/>
  <c r="A12" i="34" l="1"/>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9" i="34"/>
  <c r="A38" i="34"/>
  <c r="A37" i="34"/>
  <c r="A36" i="34"/>
  <c r="A35" i="34"/>
  <c r="A33" i="34"/>
  <c r="A32" i="34"/>
  <c r="A27" i="34"/>
  <c r="A26" i="34"/>
  <c r="A25" i="34"/>
  <c r="A24" i="34"/>
  <c r="A23" i="34"/>
  <c r="A22" i="34"/>
  <c r="A21" i="34"/>
  <c r="A20" i="34"/>
  <c r="A19" i="34"/>
  <c r="A18" i="34"/>
  <c r="A17" i="34"/>
  <c r="A16" i="34"/>
  <c r="A15" i="34"/>
  <c r="A14" i="34"/>
  <c r="A13" i="34"/>
  <c r="A11" i="34"/>
  <c r="A10" i="34"/>
  <c r="A133" i="13" l="1"/>
  <c r="A132" i="13"/>
  <c r="A131" i="13"/>
  <c r="A130" i="13"/>
  <c r="A129" i="13"/>
  <c r="A128" i="13"/>
  <c r="A126" i="13"/>
  <c r="A125" i="13"/>
  <c r="A110" i="13"/>
  <c r="A109" i="13"/>
  <c r="A108" i="13"/>
  <c r="A107" i="13"/>
  <c r="A106" i="13"/>
  <c r="A105" i="13"/>
  <c r="A104" i="13"/>
  <c r="A45" i="13"/>
  <c r="A44" i="13"/>
  <c r="A43" i="13"/>
  <c r="A36" i="13"/>
  <c r="A35" i="13"/>
  <c r="A34" i="13"/>
  <c r="A33" i="13"/>
  <c r="A32" i="13"/>
  <c r="A31" i="13"/>
  <c r="A30" i="13"/>
  <c r="A29" i="13"/>
  <c r="A28" i="13"/>
  <c r="A27" i="13"/>
  <c r="A26" i="13"/>
  <c r="A25" i="13"/>
  <c r="A24" i="13"/>
  <c r="A23" i="13"/>
  <c r="A22" i="13"/>
  <c r="A21" i="13"/>
  <c r="A20" i="13"/>
  <c r="A19" i="13"/>
  <c r="A18" i="13"/>
  <c r="A17" i="13"/>
  <c r="A16" i="13"/>
  <c r="A14" i="13"/>
  <c r="A12" i="13"/>
  <c r="A11" i="13"/>
  <c r="E23" i="47" l="1"/>
  <c r="L36" i="13" l="1"/>
  <c r="K36" i="13"/>
  <c r="J36" i="13"/>
  <c r="I36" i="13"/>
  <c r="G130" i="13"/>
  <c r="H36" i="13"/>
  <c r="A2" i="63"/>
  <c r="A4" i="63"/>
  <c r="H76" i="61" l="1"/>
  <c r="H77" i="61"/>
  <c r="I77" i="61"/>
  <c r="I76" i="61"/>
  <c r="J76" i="61"/>
  <c r="J77" i="61"/>
  <c r="K77" i="61"/>
  <c r="K76" i="61"/>
  <c r="L77" i="61"/>
  <c r="L76" i="61"/>
  <c r="H39" i="13"/>
  <c r="H169" i="61"/>
  <c r="H170" i="61" s="1"/>
  <c r="H12" i="13"/>
  <c r="I169" i="61"/>
  <c r="I170" i="61" s="1"/>
  <c r="I171" i="61" s="1"/>
  <c r="I12" i="13"/>
  <c r="K169" i="61"/>
  <c r="K170" i="61" s="1"/>
  <c r="K171" i="61" s="1"/>
  <c r="K12" i="13"/>
  <c r="J169" i="61"/>
  <c r="J170" i="61" s="1"/>
  <c r="J171" i="61" s="1"/>
  <c r="J12" i="13"/>
  <c r="L39" i="13"/>
  <c r="L169" i="61"/>
  <c r="L170" i="61" s="1"/>
  <c r="L171" i="61" s="1"/>
  <c r="L12" i="13"/>
  <c r="I39" i="13"/>
  <c r="K39" i="13"/>
  <c r="J39" i="13"/>
  <c r="H88" i="13"/>
  <c r="H114" i="13" s="1"/>
  <c r="H38" i="13"/>
  <c r="I88" i="13"/>
  <c r="I114" i="13" s="1"/>
  <c r="I38" i="13"/>
  <c r="K88" i="13"/>
  <c r="K114" i="13" s="1"/>
  <c r="K38" i="13"/>
  <c r="J88" i="13"/>
  <c r="J114" i="13" s="1"/>
  <c r="J38" i="13"/>
  <c r="L88" i="13"/>
  <c r="L114" i="13" s="1"/>
  <c r="L38" i="13"/>
  <c r="H20" i="67"/>
  <c r="H127" i="13"/>
  <c r="K20" i="67"/>
  <c r="K9" i="67" s="1"/>
  <c r="K127" i="13"/>
  <c r="L20" i="67"/>
  <c r="L127" i="13"/>
  <c r="I20" i="67"/>
  <c r="I9" i="67" s="1"/>
  <c r="I127" i="13"/>
  <c r="J20" i="67"/>
  <c r="J127" i="13"/>
  <c r="H54" i="13"/>
  <c r="H51" i="13"/>
  <c r="I107" i="62" s="1"/>
  <c r="H53" i="13"/>
  <c r="H52" i="13"/>
  <c r="K54" i="13"/>
  <c r="K51" i="13"/>
  <c r="L107" i="62" s="1"/>
  <c r="K53" i="13"/>
  <c r="K52" i="13"/>
  <c r="L51" i="13"/>
  <c r="M107" i="62" s="1"/>
  <c r="L54" i="13"/>
  <c r="L52" i="13"/>
  <c r="L53" i="13"/>
  <c r="I51" i="13"/>
  <c r="J107" i="62" s="1"/>
  <c r="I52" i="13"/>
  <c r="I54" i="13"/>
  <c r="I53" i="13"/>
  <c r="J51" i="13"/>
  <c r="K107" i="62" s="1"/>
  <c r="J52" i="13"/>
  <c r="J53" i="13"/>
  <c r="J54" i="13"/>
  <c r="H68" i="13"/>
  <c r="I84" i="13" s="1"/>
  <c r="I116" i="13" s="1"/>
  <c r="I24" i="18" s="1"/>
  <c r="H78" i="61"/>
  <c r="K68" i="13"/>
  <c r="L84" i="13" s="1"/>
  <c r="L116" i="13" s="1"/>
  <c r="L24" i="18" s="1"/>
  <c r="K78" i="61"/>
  <c r="L68" i="13"/>
  <c r="L78" i="61"/>
  <c r="I68" i="13"/>
  <c r="J84" i="13" s="1"/>
  <c r="J116" i="13" s="1"/>
  <c r="J24" i="18" s="1"/>
  <c r="I78" i="61"/>
  <c r="J68" i="13"/>
  <c r="K84" i="13" s="1"/>
  <c r="K116" i="13" s="1"/>
  <c r="K24" i="18" s="1"/>
  <c r="J78" i="61"/>
  <c r="L111" i="13"/>
  <c r="L137" i="13" s="1"/>
  <c r="J111" i="13"/>
  <c r="J137" i="13" s="1"/>
  <c r="H111" i="13"/>
  <c r="H137" i="13" s="1"/>
  <c r="K111" i="13"/>
  <c r="K137" i="13" s="1"/>
  <c r="I111" i="13"/>
  <c r="I137" i="13" s="1"/>
  <c r="G128" i="13"/>
  <c r="G132" i="13"/>
  <c r="G126" i="13"/>
  <c r="G18" i="18" s="1"/>
  <c r="G131" i="13"/>
  <c r="G125" i="13"/>
  <c r="J172" i="61" l="1"/>
  <c r="J109" i="67"/>
  <c r="J9" i="67"/>
  <c r="L109" i="67"/>
  <c r="L9" i="67"/>
  <c r="H23" i="67"/>
  <c r="H9" i="67"/>
  <c r="K172" i="61"/>
  <c r="L172" i="61"/>
  <c r="L121" i="67"/>
  <c r="H109" i="67"/>
  <c r="H121" i="67"/>
  <c r="I23" i="67"/>
  <c r="J121" i="67"/>
  <c r="C20" i="67"/>
  <c r="H95" i="67"/>
  <c r="K23" i="67"/>
  <c r="J23" i="67"/>
  <c r="L23" i="67"/>
  <c r="I109" i="67"/>
  <c r="I121" i="67"/>
  <c r="K109" i="67"/>
  <c r="C127" i="13"/>
  <c r="K121" i="67"/>
  <c r="J95" i="67"/>
  <c r="I95" i="67"/>
  <c r="K95" i="67"/>
  <c r="L95" i="67"/>
  <c r="M457" i="62"/>
  <c r="M25" i="62" s="1"/>
  <c r="L457" i="62"/>
  <c r="L25" i="62" s="1"/>
  <c r="K457" i="62"/>
  <c r="K25" i="62" s="1"/>
  <c r="H457" i="62"/>
  <c r="H25" i="62" s="1"/>
  <c r="G457" i="62"/>
  <c r="G25" i="62" s="1"/>
  <c r="C121" i="67" l="1"/>
  <c r="C109" i="67"/>
  <c r="C95" i="67"/>
  <c r="L56" i="13"/>
  <c r="K56" i="13"/>
  <c r="J56" i="13"/>
  <c r="H56" i="13"/>
  <c r="I56" i="13"/>
  <c r="L78" i="18"/>
  <c r="K78" i="18"/>
  <c r="J78" i="18"/>
  <c r="I78" i="18"/>
  <c r="H78" i="18"/>
  <c r="G78" i="18"/>
  <c r="F78" i="18"/>
  <c r="J457" i="62" l="1"/>
  <c r="J25" i="62" s="1"/>
  <c r="I457" i="62"/>
  <c r="I25" i="62" s="1"/>
  <c r="L30" i="18" l="1"/>
  <c r="L68" i="67" s="1"/>
  <c r="K30" i="18"/>
  <c r="K68" i="67" s="1"/>
  <c r="J30" i="18"/>
  <c r="J68" i="67" s="1"/>
  <c r="I30" i="18"/>
  <c r="I68" i="67" s="1"/>
  <c r="H30" i="18"/>
  <c r="H68" i="67" s="1"/>
  <c r="G30" i="18"/>
  <c r="G68" i="67" s="1"/>
  <c r="F30" i="18"/>
  <c r="F68" i="67" s="1"/>
  <c r="C142" i="13"/>
  <c r="C141" i="13"/>
  <c r="C140" i="13"/>
  <c r="C139" i="13"/>
  <c r="C138" i="13"/>
  <c r="C137" i="13"/>
  <c r="C135" i="13"/>
  <c r="C133" i="13"/>
  <c r="F177" i="61"/>
  <c r="F180" i="61" s="1"/>
  <c r="F50" i="18" s="1"/>
  <c r="I102" i="67" l="1"/>
  <c r="J102" i="67"/>
  <c r="K102" i="67"/>
  <c r="G102" i="67"/>
  <c r="H102" i="67"/>
  <c r="L102" i="67"/>
  <c r="D30" i="18"/>
  <c r="C30" i="18"/>
  <c r="C58" i="18"/>
  <c r="C102" i="67" l="1"/>
  <c r="F193" i="61"/>
  <c r="L193" i="61"/>
  <c r="L89" i="61" s="1"/>
  <c r="K193" i="61"/>
  <c r="K89" i="61" s="1"/>
  <c r="J193" i="61"/>
  <c r="J89" i="61" s="1"/>
  <c r="I193" i="61"/>
  <c r="I89" i="61" s="1"/>
  <c r="H193" i="61"/>
  <c r="G193" i="61"/>
  <c r="G89" i="61" l="1"/>
  <c r="C43" i="38"/>
  <c r="C193" i="61"/>
  <c r="H89" i="61"/>
  <c r="A4" i="66"/>
  <c r="G34" i="46" l="1"/>
  <c r="G29" i="46"/>
  <c r="H29" i="46" s="1"/>
  <c r="I29" i="46" s="1"/>
  <c r="J29" i="46" s="1"/>
  <c r="K29" i="46" s="1"/>
  <c r="L29" i="46" s="1"/>
  <c r="E29" i="46" s="1"/>
  <c r="E28" i="46" l="1"/>
  <c r="E7" i="39"/>
  <c r="I12" i="48"/>
  <c r="G10" i="13"/>
  <c r="F10" i="45" s="1"/>
  <c r="G11" i="13" l="1"/>
  <c r="R127" i="38"/>
  <c r="P127" i="38"/>
  <c r="O127" i="38"/>
  <c r="N127" i="38"/>
  <c r="M127" i="38"/>
  <c r="L127" i="38"/>
  <c r="K127" i="38"/>
  <c r="J127" i="38"/>
  <c r="I127" i="38"/>
  <c r="H127" i="38"/>
  <c r="H10" i="13" l="1"/>
  <c r="H11" i="13" s="1"/>
  <c r="G15" i="41"/>
  <c r="I10" i="13" l="1"/>
  <c r="I11" i="13" s="1"/>
  <c r="E14" i="41"/>
  <c r="F15" i="41"/>
  <c r="AJ55" i="47" a="1"/>
  <c r="AJ55" i="47" s="1"/>
  <c r="AJ54" i="47" a="1"/>
  <c r="AJ54" i="47" s="1"/>
  <c r="AJ53" i="47" a="1"/>
  <c r="AJ53" i="47" s="1"/>
  <c r="AJ52" i="47" a="1"/>
  <c r="AJ52" i="47" s="1"/>
  <c r="AJ51" i="47" a="1"/>
  <c r="AJ51" i="47" s="1"/>
  <c r="AJ50" i="47" a="1"/>
  <c r="AJ50" i="47" s="1"/>
  <c r="AJ49" i="47" a="1"/>
  <c r="AJ49" i="47" s="1"/>
  <c r="AJ48" i="47" a="1"/>
  <c r="AJ48" i="47" s="1"/>
  <c r="AJ47" i="47" a="1"/>
  <c r="AJ47" i="47" s="1"/>
  <c r="AJ46" i="47" a="1"/>
  <c r="AJ46" i="47" s="1"/>
  <c r="AJ45" i="47" a="1"/>
  <c r="AJ45" i="47" s="1"/>
  <c r="AJ44" i="47" a="1"/>
  <c r="AJ44" i="47" s="1"/>
  <c r="AJ43" i="47" a="1"/>
  <c r="AJ43" i="47" s="1"/>
  <c r="AJ42" i="47" a="1"/>
  <c r="AJ42" i="47" s="1"/>
  <c r="AJ41" i="47" a="1"/>
  <c r="AJ41" i="47" s="1"/>
  <c r="AJ40" i="47" a="1"/>
  <c r="AJ40" i="47" s="1"/>
  <c r="AJ39" i="47" a="1"/>
  <c r="AJ39" i="47" s="1"/>
  <c r="AJ38" i="47" a="1"/>
  <c r="AJ38" i="47" s="1"/>
  <c r="AJ37" i="47" a="1"/>
  <c r="AJ37" i="47" s="1"/>
  <c r="AJ36" i="47" a="1"/>
  <c r="AJ36" i="47" s="1"/>
  <c r="AJ35" i="47" a="1"/>
  <c r="AJ35" i="47" s="1"/>
  <c r="AJ34" i="47" a="1"/>
  <c r="AJ34" i="47" s="1"/>
  <c r="AJ33" i="47" a="1"/>
  <c r="AJ33" i="47" s="1"/>
  <c r="AJ32" i="47" a="1"/>
  <c r="AJ32" i="47" s="1"/>
  <c r="AJ31" i="47" a="1"/>
  <c r="AJ31" i="47" s="1"/>
  <c r="AJ30" i="47" a="1"/>
  <c r="AJ30" i="47" s="1"/>
  <c r="AJ29" i="47" a="1"/>
  <c r="AJ29" i="47" s="1"/>
  <c r="AJ28" i="47" a="1"/>
  <c r="AJ28" i="47" s="1"/>
  <c r="AJ27" i="47" a="1"/>
  <c r="AJ27" i="47" s="1"/>
  <c r="AJ26" i="47" a="1"/>
  <c r="AJ26" i="47" s="1"/>
  <c r="AJ21" i="47" a="1"/>
  <c r="AJ21" i="47" s="1"/>
  <c r="AJ20" i="47" a="1"/>
  <c r="AJ20" i="47" s="1"/>
  <c r="AJ19" i="47" a="1"/>
  <c r="AJ19" i="47" s="1"/>
  <c r="AJ18" i="47" a="1"/>
  <c r="AJ18" i="47" s="1"/>
  <c r="AJ17" i="47" a="1"/>
  <c r="AJ17" i="47" s="1"/>
  <c r="AJ16" i="47" a="1"/>
  <c r="AJ16" i="47" s="1"/>
  <c r="AJ15" i="47" a="1"/>
  <c r="AJ15" i="47" s="1"/>
  <c r="AJ14" i="47" a="1"/>
  <c r="AJ14" i="47" s="1"/>
  <c r="AJ13" i="47" a="1"/>
  <c r="AJ13" i="47" s="1"/>
  <c r="AJ12" i="47" a="1"/>
  <c r="AJ12" i="47" s="1"/>
  <c r="AJ11" i="47" a="1"/>
  <c r="AJ11" i="47" s="1"/>
  <c r="AJ10" i="47" a="1"/>
  <c r="AJ10" i="47" s="1"/>
  <c r="AJ9" i="47" a="1"/>
  <c r="AJ9" i="47" s="1"/>
  <c r="AJ7" i="47" a="1"/>
  <c r="AJ7" i="47" s="1"/>
  <c r="AJ6" i="47" a="1"/>
  <c r="AJ6" i="47" s="1"/>
  <c r="AJ5" i="47" a="1"/>
  <c r="AJ5" i="47" s="1"/>
  <c r="AJ4" i="47" a="1"/>
  <c r="AJ4" i="47" s="1"/>
  <c r="AJ3" i="47" a="1"/>
  <c r="AJ3" i="47" s="1"/>
  <c r="AJ2" i="47" a="1"/>
  <c r="AJ2" i="47" s="1"/>
  <c r="AJ1" i="47" a="1"/>
  <c r="AJ1" i="47" s="1"/>
  <c r="AI55" i="47" a="1"/>
  <c r="AI55" i="47" s="1"/>
  <c r="AI54" i="47" a="1"/>
  <c r="AI54" i="47" s="1"/>
  <c r="AI53" i="47" a="1"/>
  <c r="AI53" i="47" s="1"/>
  <c r="AI52" i="47" a="1"/>
  <c r="AI52" i="47" s="1"/>
  <c r="AI51" i="47" a="1"/>
  <c r="AI51" i="47" s="1"/>
  <c r="AI50" i="47" a="1"/>
  <c r="AI50" i="47" s="1"/>
  <c r="AI49" i="47" a="1"/>
  <c r="AI49" i="47" s="1"/>
  <c r="AI48" i="47" a="1"/>
  <c r="AI48" i="47" s="1"/>
  <c r="AI47" i="47" a="1"/>
  <c r="AI47" i="47" s="1"/>
  <c r="AI46" i="47" a="1"/>
  <c r="AI46" i="47" s="1"/>
  <c r="AI45" i="47" a="1"/>
  <c r="AI45" i="47" s="1"/>
  <c r="AI44" i="47" a="1"/>
  <c r="AI44" i="47" s="1"/>
  <c r="AI43" i="47" a="1"/>
  <c r="AI43" i="47" s="1"/>
  <c r="AI42" i="47" a="1"/>
  <c r="AI42" i="47" s="1"/>
  <c r="AI41" i="47" a="1"/>
  <c r="AI41" i="47" s="1"/>
  <c r="AI40" i="47" a="1"/>
  <c r="AI40" i="47" s="1"/>
  <c r="AI39" i="47" a="1"/>
  <c r="AI39" i="47" s="1"/>
  <c r="AI38" i="47" a="1"/>
  <c r="AI38" i="47" s="1"/>
  <c r="AI37" i="47" a="1"/>
  <c r="AI37" i="47" s="1"/>
  <c r="AI36" i="47" a="1"/>
  <c r="AI36" i="47" s="1"/>
  <c r="AI35" i="47" a="1"/>
  <c r="AI35" i="47" s="1"/>
  <c r="AI34" i="47" a="1"/>
  <c r="AI34" i="47" s="1"/>
  <c r="AI33" i="47" a="1"/>
  <c r="AI33" i="47" s="1"/>
  <c r="AI32" i="47" a="1"/>
  <c r="AI32" i="47" s="1"/>
  <c r="AI31" i="47" a="1"/>
  <c r="AI31" i="47" s="1"/>
  <c r="AI30" i="47" a="1"/>
  <c r="AI30" i="47" s="1"/>
  <c r="AI29" i="47" a="1"/>
  <c r="AI29" i="47" s="1"/>
  <c r="AI28" i="47" a="1"/>
  <c r="AI28" i="47" s="1"/>
  <c r="AI27" i="47" a="1"/>
  <c r="AI27" i="47" s="1"/>
  <c r="AI26" i="47" a="1"/>
  <c r="AI26" i="47" s="1"/>
  <c r="AI21" i="47" a="1"/>
  <c r="AI21" i="47" s="1"/>
  <c r="AI20" i="47" a="1"/>
  <c r="AI20" i="47" s="1"/>
  <c r="AI19" i="47" a="1"/>
  <c r="AI19" i="47" s="1"/>
  <c r="AI18" i="47" a="1"/>
  <c r="AI18" i="47" s="1"/>
  <c r="AI17" i="47" a="1"/>
  <c r="AI17" i="47" s="1"/>
  <c r="AI16" i="47" a="1"/>
  <c r="AI16" i="47" s="1"/>
  <c r="AI15" i="47" a="1"/>
  <c r="AI15" i="47" s="1"/>
  <c r="AI14" i="47" a="1"/>
  <c r="AI14" i="47" s="1"/>
  <c r="AI13" i="47" a="1"/>
  <c r="AI13" i="47" s="1"/>
  <c r="AI12" i="47" a="1"/>
  <c r="AI12" i="47" s="1"/>
  <c r="AI11" i="47" a="1"/>
  <c r="AI11" i="47" s="1"/>
  <c r="AI10" i="47" a="1"/>
  <c r="AI10" i="47" s="1"/>
  <c r="AI9" i="47" a="1"/>
  <c r="AI9" i="47" s="1"/>
  <c r="AI7" i="47" a="1"/>
  <c r="AI7" i="47" s="1"/>
  <c r="AI6" i="47" a="1"/>
  <c r="AI6" i="47" s="1"/>
  <c r="AI5" i="47" a="1"/>
  <c r="AI5" i="47" s="1"/>
  <c r="AI4" i="47" a="1"/>
  <c r="AI4" i="47" s="1"/>
  <c r="AI3" i="47" a="1"/>
  <c r="AI3" i="47" s="1"/>
  <c r="AI2" i="47" a="1"/>
  <c r="AI2" i="47" s="1"/>
  <c r="AI1" i="47" a="1"/>
  <c r="AI1" i="47" s="1"/>
  <c r="AH55" i="47" a="1"/>
  <c r="AH55" i="47" s="1"/>
  <c r="AH54" i="47" a="1"/>
  <c r="AH54" i="47" s="1"/>
  <c r="AH53" i="47" a="1"/>
  <c r="AH53" i="47" s="1"/>
  <c r="AH52" i="47" a="1"/>
  <c r="AH52" i="47" s="1"/>
  <c r="AH51" i="47" a="1"/>
  <c r="AH51" i="47" s="1"/>
  <c r="AH50" i="47" a="1"/>
  <c r="AH50" i="47" s="1"/>
  <c r="AH49" i="47" a="1"/>
  <c r="AH49" i="47" s="1"/>
  <c r="AH48" i="47" a="1"/>
  <c r="AH48" i="47" s="1"/>
  <c r="AH47" i="47" a="1"/>
  <c r="AH47" i="47" s="1"/>
  <c r="AH46" i="47" a="1"/>
  <c r="AH46" i="47" s="1"/>
  <c r="AH45" i="47" a="1"/>
  <c r="AH45" i="47" s="1"/>
  <c r="AH44" i="47" a="1"/>
  <c r="AH44" i="47" s="1"/>
  <c r="AH43" i="47" a="1"/>
  <c r="AH43" i="47" s="1"/>
  <c r="AH42" i="47" a="1"/>
  <c r="AH42" i="47" s="1"/>
  <c r="AH41" i="47" a="1"/>
  <c r="AH41" i="47" s="1"/>
  <c r="AH40" i="47" a="1"/>
  <c r="AH40" i="47" s="1"/>
  <c r="AH39" i="47" a="1"/>
  <c r="AH39" i="47" s="1"/>
  <c r="AH38" i="47" a="1"/>
  <c r="AH38" i="47" s="1"/>
  <c r="AH37" i="47" a="1"/>
  <c r="AH37" i="47" s="1"/>
  <c r="AH36" i="47" a="1"/>
  <c r="AH36" i="47" s="1"/>
  <c r="AH35" i="47" a="1"/>
  <c r="AH35" i="47" s="1"/>
  <c r="AH34" i="47" a="1"/>
  <c r="AH34" i="47" s="1"/>
  <c r="AH33" i="47" a="1"/>
  <c r="AH33" i="47" s="1"/>
  <c r="AH32" i="47" a="1"/>
  <c r="AH32" i="47" s="1"/>
  <c r="AH31" i="47" a="1"/>
  <c r="AH31" i="47" s="1"/>
  <c r="AH30" i="47" a="1"/>
  <c r="AH30" i="47" s="1"/>
  <c r="AH29" i="47" a="1"/>
  <c r="AH29" i="47" s="1"/>
  <c r="AH28" i="47" a="1"/>
  <c r="AH28" i="47" s="1"/>
  <c r="AH27" i="47" a="1"/>
  <c r="AH27" i="47" s="1"/>
  <c r="AH26" i="47" a="1"/>
  <c r="AH26" i="47" s="1"/>
  <c r="AH21" i="47" a="1"/>
  <c r="AH21" i="47" s="1"/>
  <c r="AH20" i="47" a="1"/>
  <c r="AH20" i="47" s="1"/>
  <c r="AH19" i="47" a="1"/>
  <c r="AH19" i="47" s="1"/>
  <c r="AH18" i="47" a="1"/>
  <c r="AH18" i="47" s="1"/>
  <c r="AH17" i="47" a="1"/>
  <c r="AH17" i="47" s="1"/>
  <c r="AH16" i="47" a="1"/>
  <c r="AH16" i="47" s="1"/>
  <c r="AH15" i="47" a="1"/>
  <c r="AH15" i="47" s="1"/>
  <c r="AH14" i="47" a="1"/>
  <c r="AH14" i="47" s="1"/>
  <c r="AH13" i="47" a="1"/>
  <c r="AH13" i="47" s="1"/>
  <c r="AH12" i="47" a="1"/>
  <c r="AH12" i="47" s="1"/>
  <c r="AH11" i="47" a="1"/>
  <c r="AH11" i="47" s="1"/>
  <c r="AH10" i="47" a="1"/>
  <c r="AH10" i="47" s="1"/>
  <c r="AH9" i="47" a="1"/>
  <c r="AH9" i="47" s="1"/>
  <c r="AH7" i="47" a="1"/>
  <c r="AH7" i="47" s="1"/>
  <c r="AH6" i="47" a="1"/>
  <c r="AH6" i="47" s="1"/>
  <c r="AH5" i="47" a="1"/>
  <c r="AH5" i="47" s="1"/>
  <c r="AH4" i="47" a="1"/>
  <c r="AH4" i="47" s="1"/>
  <c r="AH3" i="47" a="1"/>
  <c r="AH3" i="47" s="1"/>
  <c r="AH2" i="47" a="1"/>
  <c r="AH2" i="47" s="1"/>
  <c r="AH1" i="47" a="1"/>
  <c r="AH1" i="47" s="1"/>
  <c r="AG55" i="47" a="1"/>
  <c r="AG55" i="47" s="1"/>
  <c r="AG54" i="47" a="1"/>
  <c r="AG54" i="47" s="1"/>
  <c r="AG53" i="47" a="1"/>
  <c r="AG53" i="47" s="1"/>
  <c r="AG52" i="47" a="1"/>
  <c r="AG52" i="47" s="1"/>
  <c r="AG51" i="47" a="1"/>
  <c r="AG51" i="47" s="1"/>
  <c r="AG50" i="47" a="1"/>
  <c r="AG50" i="47" s="1"/>
  <c r="AG49" i="47" a="1"/>
  <c r="AG49" i="47" s="1"/>
  <c r="AG48" i="47" a="1"/>
  <c r="AG48" i="47" s="1"/>
  <c r="AG47" i="47" a="1"/>
  <c r="AG47" i="47" s="1"/>
  <c r="AG46" i="47" a="1"/>
  <c r="AG46" i="47" s="1"/>
  <c r="AG45" i="47" a="1"/>
  <c r="AG45" i="47" s="1"/>
  <c r="AG44" i="47" a="1"/>
  <c r="AG44" i="47" s="1"/>
  <c r="AG43" i="47" a="1"/>
  <c r="AG43" i="47" s="1"/>
  <c r="AG42" i="47" a="1"/>
  <c r="AG42" i="47" s="1"/>
  <c r="AG41" i="47" a="1"/>
  <c r="AG41" i="47" s="1"/>
  <c r="AG40" i="47" a="1"/>
  <c r="AG40" i="47" s="1"/>
  <c r="AG39" i="47" a="1"/>
  <c r="AG39" i="47" s="1"/>
  <c r="AG38" i="47" a="1"/>
  <c r="AG38" i="47" s="1"/>
  <c r="AG37" i="47" a="1"/>
  <c r="AG37" i="47" s="1"/>
  <c r="AG36" i="47" a="1"/>
  <c r="AG36" i="47" s="1"/>
  <c r="AG35" i="47" a="1"/>
  <c r="AG35" i="47" s="1"/>
  <c r="AG34" i="47" a="1"/>
  <c r="AG34" i="47" s="1"/>
  <c r="AG33" i="47" a="1"/>
  <c r="AG33" i="47" s="1"/>
  <c r="AG32" i="47" a="1"/>
  <c r="AG32" i="47" s="1"/>
  <c r="AG31" i="47" a="1"/>
  <c r="AG31" i="47" s="1"/>
  <c r="AG30" i="47" a="1"/>
  <c r="AG30" i="47" s="1"/>
  <c r="AG29" i="47" a="1"/>
  <c r="AG29" i="47" s="1"/>
  <c r="AG28" i="47" a="1"/>
  <c r="AG28" i="47" s="1"/>
  <c r="AG27" i="47" a="1"/>
  <c r="AG27" i="47" s="1"/>
  <c r="AG26" i="47" a="1"/>
  <c r="AG26" i="47" s="1"/>
  <c r="AG21" i="47" a="1"/>
  <c r="AG21" i="47" s="1"/>
  <c r="AG20" i="47" a="1"/>
  <c r="AG20" i="47" s="1"/>
  <c r="AG19" i="47" a="1"/>
  <c r="AG19" i="47" s="1"/>
  <c r="AG18" i="47" a="1"/>
  <c r="AG18" i="47" s="1"/>
  <c r="AG17" i="47" a="1"/>
  <c r="AG17" i="47" s="1"/>
  <c r="AG16" i="47" a="1"/>
  <c r="AG16" i="47" s="1"/>
  <c r="AG15" i="47" a="1"/>
  <c r="AG15" i="47" s="1"/>
  <c r="AG14" i="47" a="1"/>
  <c r="AG14" i="47" s="1"/>
  <c r="AG13" i="47" a="1"/>
  <c r="AG13" i="47" s="1"/>
  <c r="AG12" i="47" a="1"/>
  <c r="AG12" i="47" s="1"/>
  <c r="AG11" i="47" a="1"/>
  <c r="AG11" i="47" s="1"/>
  <c r="AG10" i="47" a="1"/>
  <c r="AG10" i="47" s="1"/>
  <c r="AG9" i="47" a="1"/>
  <c r="AG9" i="47" s="1"/>
  <c r="AG7" i="47" a="1"/>
  <c r="AG7" i="47" s="1"/>
  <c r="AG6" i="47" a="1"/>
  <c r="AG6" i="47" s="1"/>
  <c r="AG5" i="47" a="1"/>
  <c r="AG5" i="47" s="1"/>
  <c r="AG4" i="47" a="1"/>
  <c r="AG4" i="47" s="1"/>
  <c r="AG3" i="47" a="1"/>
  <c r="AG3" i="47" s="1"/>
  <c r="AG2" i="47" a="1"/>
  <c r="AG2" i="47" s="1"/>
  <c r="AG1" i="47" a="1"/>
  <c r="AG1" i="47" s="1"/>
  <c r="AF55" i="47" a="1"/>
  <c r="AF55" i="47" s="1"/>
  <c r="AF54" i="47" a="1"/>
  <c r="AF54" i="47" s="1"/>
  <c r="AF53" i="47" a="1"/>
  <c r="AF53" i="47" s="1"/>
  <c r="AF52" i="47" a="1"/>
  <c r="AF52" i="47" s="1"/>
  <c r="AF51" i="47" a="1"/>
  <c r="AF51" i="47" s="1"/>
  <c r="AF50" i="47" a="1"/>
  <c r="AF50" i="47" s="1"/>
  <c r="AF49" i="47" a="1"/>
  <c r="AF49" i="47" s="1"/>
  <c r="AF48" i="47" a="1"/>
  <c r="AF48" i="47" s="1"/>
  <c r="AF47" i="47" a="1"/>
  <c r="AF47" i="47" s="1"/>
  <c r="AF46" i="47" a="1"/>
  <c r="AF46" i="47" s="1"/>
  <c r="AF45" i="47" a="1"/>
  <c r="AF45" i="47" s="1"/>
  <c r="AF44" i="47" a="1"/>
  <c r="AF44" i="47" s="1"/>
  <c r="AF43" i="47" a="1"/>
  <c r="AF43" i="47" s="1"/>
  <c r="AF42" i="47" a="1"/>
  <c r="AF42" i="47" s="1"/>
  <c r="AF41" i="47" a="1"/>
  <c r="AF41" i="47" s="1"/>
  <c r="AF40" i="47" a="1"/>
  <c r="AF40" i="47" s="1"/>
  <c r="AF39" i="47" a="1"/>
  <c r="AF39" i="47" s="1"/>
  <c r="AF38" i="47" a="1"/>
  <c r="AF38" i="47" s="1"/>
  <c r="AF37" i="47" a="1"/>
  <c r="AF37" i="47" s="1"/>
  <c r="AF36" i="47" a="1"/>
  <c r="AF36" i="47" s="1"/>
  <c r="AF35" i="47" a="1"/>
  <c r="AF35" i="47" s="1"/>
  <c r="AF34" i="47" a="1"/>
  <c r="AF34" i="47" s="1"/>
  <c r="AF33" i="47" a="1"/>
  <c r="AF33" i="47" s="1"/>
  <c r="AF32" i="47" a="1"/>
  <c r="AF32" i="47" s="1"/>
  <c r="AF31" i="47" a="1"/>
  <c r="AF31" i="47" s="1"/>
  <c r="AF30" i="47" a="1"/>
  <c r="AF30" i="47" s="1"/>
  <c r="AF29" i="47" a="1"/>
  <c r="AF29" i="47" s="1"/>
  <c r="AF28" i="47" a="1"/>
  <c r="AF28" i="47" s="1"/>
  <c r="AF27" i="47" a="1"/>
  <c r="AF27" i="47" s="1"/>
  <c r="AF26" i="47" a="1"/>
  <c r="AF26" i="47" s="1"/>
  <c r="AF21" i="47" a="1"/>
  <c r="AF21" i="47" s="1"/>
  <c r="AF20" i="47" a="1"/>
  <c r="AF20" i="47" s="1"/>
  <c r="AF19" i="47" a="1"/>
  <c r="AF19" i="47" s="1"/>
  <c r="AF18" i="47" a="1"/>
  <c r="AF18" i="47" s="1"/>
  <c r="AF17" i="47" a="1"/>
  <c r="AF17" i="47" s="1"/>
  <c r="AF16" i="47" a="1"/>
  <c r="AF16" i="47" s="1"/>
  <c r="AF15" i="47" a="1"/>
  <c r="AF15" i="47" s="1"/>
  <c r="AF14" i="47" a="1"/>
  <c r="AF14" i="47" s="1"/>
  <c r="AF13" i="47" a="1"/>
  <c r="AF13" i="47" s="1"/>
  <c r="AF12" i="47" a="1"/>
  <c r="AF12" i="47" s="1"/>
  <c r="AF11" i="47" a="1"/>
  <c r="AF11" i="47" s="1"/>
  <c r="AF10" i="47" a="1"/>
  <c r="AF10" i="47" s="1"/>
  <c r="AF9" i="47" a="1"/>
  <c r="AF9" i="47" s="1"/>
  <c r="AF7" i="47" a="1"/>
  <c r="AF7" i="47" s="1"/>
  <c r="AF6" i="47" a="1"/>
  <c r="AF6" i="47" s="1"/>
  <c r="AF5" i="47" a="1"/>
  <c r="AF5" i="47" s="1"/>
  <c r="AF4" i="47" a="1"/>
  <c r="AF4" i="47" s="1"/>
  <c r="AF3" i="47" a="1"/>
  <c r="AF3" i="47" s="1"/>
  <c r="AF2" i="47" a="1"/>
  <c r="AF2" i="47" s="1"/>
  <c r="AF1" i="47" a="1"/>
  <c r="AF1" i="47" s="1"/>
  <c r="AE55" i="47" a="1"/>
  <c r="AE55" i="47" s="1"/>
  <c r="AE54" i="47" a="1"/>
  <c r="AE54" i="47" s="1"/>
  <c r="AE53" i="47" a="1"/>
  <c r="AE53" i="47" s="1"/>
  <c r="AE52" i="47" a="1"/>
  <c r="AE52" i="47" s="1"/>
  <c r="AE51" i="47" a="1"/>
  <c r="AE51" i="47" s="1"/>
  <c r="AE50" i="47" a="1"/>
  <c r="AE50" i="47" s="1"/>
  <c r="AE49" i="47" a="1"/>
  <c r="AE49" i="47" s="1"/>
  <c r="AE48" i="47" a="1"/>
  <c r="AE48" i="47" s="1"/>
  <c r="AE47" i="47" a="1"/>
  <c r="AE47" i="47" s="1"/>
  <c r="AE46" i="47" a="1"/>
  <c r="AE46" i="47" s="1"/>
  <c r="AE45" i="47" a="1"/>
  <c r="AE45" i="47" s="1"/>
  <c r="AE44" i="47" a="1"/>
  <c r="AE44" i="47" s="1"/>
  <c r="AE43" i="47" a="1"/>
  <c r="AE43" i="47" s="1"/>
  <c r="AE42" i="47" a="1"/>
  <c r="AE42" i="47" s="1"/>
  <c r="AE41" i="47" a="1"/>
  <c r="AE41" i="47" s="1"/>
  <c r="AE40" i="47" a="1"/>
  <c r="AE40" i="47" s="1"/>
  <c r="AE39" i="47" a="1"/>
  <c r="AE39" i="47" s="1"/>
  <c r="AE38" i="47" a="1"/>
  <c r="AE38" i="47" s="1"/>
  <c r="AE37" i="47" a="1"/>
  <c r="AE37" i="47" s="1"/>
  <c r="AE36" i="47" a="1"/>
  <c r="AE36" i="47" s="1"/>
  <c r="AE35" i="47" a="1"/>
  <c r="AE35" i="47" s="1"/>
  <c r="AE34" i="47" a="1"/>
  <c r="AE34" i="47" s="1"/>
  <c r="AE33" i="47" a="1"/>
  <c r="AE33" i="47" s="1"/>
  <c r="AE32" i="47" a="1"/>
  <c r="AE32" i="47" s="1"/>
  <c r="AE31" i="47" a="1"/>
  <c r="AE31" i="47" s="1"/>
  <c r="AE30" i="47" a="1"/>
  <c r="AE30" i="47" s="1"/>
  <c r="AE29" i="47" a="1"/>
  <c r="AE29" i="47" s="1"/>
  <c r="AE28" i="47" a="1"/>
  <c r="AE28" i="47" s="1"/>
  <c r="AE27" i="47" a="1"/>
  <c r="AE27" i="47" s="1"/>
  <c r="AE26" i="47" a="1"/>
  <c r="AE26" i="47" s="1"/>
  <c r="AE21" i="47" a="1"/>
  <c r="AE21" i="47" s="1"/>
  <c r="AE20" i="47" a="1"/>
  <c r="AE20" i="47" s="1"/>
  <c r="AE19" i="47" a="1"/>
  <c r="AE19" i="47" s="1"/>
  <c r="AE18" i="47" a="1"/>
  <c r="AE18" i="47" s="1"/>
  <c r="AE17" i="47" a="1"/>
  <c r="AE17" i="47" s="1"/>
  <c r="AE16" i="47" a="1"/>
  <c r="AE16" i="47" s="1"/>
  <c r="AE15" i="47" a="1"/>
  <c r="AE15" i="47" s="1"/>
  <c r="AE14" i="47" a="1"/>
  <c r="AE14" i="47" s="1"/>
  <c r="AE13" i="47" a="1"/>
  <c r="AE13" i="47" s="1"/>
  <c r="AE12" i="47" a="1"/>
  <c r="AE12" i="47" s="1"/>
  <c r="AE11" i="47" a="1"/>
  <c r="AE11" i="47" s="1"/>
  <c r="AE10" i="47" a="1"/>
  <c r="AE10" i="47" s="1"/>
  <c r="AE9" i="47" a="1"/>
  <c r="AE9" i="47" s="1"/>
  <c r="AE7" i="47" a="1"/>
  <c r="AE7" i="47" s="1"/>
  <c r="AE6" i="47" a="1"/>
  <c r="AE6" i="47" s="1"/>
  <c r="AE5" i="47" a="1"/>
  <c r="AE5" i="47" s="1"/>
  <c r="AE4" i="47" a="1"/>
  <c r="AE4" i="47" s="1"/>
  <c r="AE3" i="47" a="1"/>
  <c r="AE3" i="47" s="1"/>
  <c r="AE2" i="47" a="1"/>
  <c r="AE2" i="47" s="1"/>
  <c r="AE1" i="47" a="1"/>
  <c r="AE1" i="47" s="1"/>
  <c r="AD55" i="47" a="1"/>
  <c r="AD55" i="47" s="1"/>
  <c r="AD54" i="47" a="1"/>
  <c r="AD54" i="47" s="1"/>
  <c r="AD53" i="47" a="1"/>
  <c r="AD53" i="47" s="1"/>
  <c r="AD52" i="47" a="1"/>
  <c r="AD52" i="47" s="1"/>
  <c r="AD51" i="47" a="1"/>
  <c r="AD51" i="47" s="1"/>
  <c r="AD50" i="47" a="1"/>
  <c r="AD50" i="47" s="1"/>
  <c r="AD49" i="47" a="1"/>
  <c r="AD49" i="47" s="1"/>
  <c r="AD48" i="47" a="1"/>
  <c r="AD48" i="47" s="1"/>
  <c r="AD47" i="47" a="1"/>
  <c r="AD47" i="47" s="1"/>
  <c r="AD46" i="47" a="1"/>
  <c r="AD46" i="47" s="1"/>
  <c r="AD45" i="47" a="1"/>
  <c r="AD45" i="47" s="1"/>
  <c r="AD44" i="47" a="1"/>
  <c r="AD44" i="47" s="1"/>
  <c r="AD43" i="47" a="1"/>
  <c r="AD43" i="47" s="1"/>
  <c r="AD42" i="47" a="1"/>
  <c r="AD42" i="47" s="1"/>
  <c r="AD41" i="47" a="1"/>
  <c r="AD41" i="47" s="1"/>
  <c r="AD40" i="47" a="1"/>
  <c r="AD40" i="47" s="1"/>
  <c r="AD39" i="47" a="1"/>
  <c r="AD39" i="47" s="1"/>
  <c r="AD38" i="47" a="1"/>
  <c r="AD38" i="47" s="1"/>
  <c r="AD37" i="47" a="1"/>
  <c r="AD37" i="47" s="1"/>
  <c r="AD36" i="47" a="1"/>
  <c r="AD36" i="47" s="1"/>
  <c r="AD35" i="47" a="1"/>
  <c r="AD35" i="47" s="1"/>
  <c r="AD34" i="47" a="1"/>
  <c r="AD34" i="47" s="1"/>
  <c r="AD33" i="47" a="1"/>
  <c r="AD33" i="47" s="1"/>
  <c r="AD32" i="47" a="1"/>
  <c r="AD32" i="47" s="1"/>
  <c r="AD31" i="47" a="1"/>
  <c r="AD31" i="47" s="1"/>
  <c r="AD30" i="47" a="1"/>
  <c r="AD30" i="47" s="1"/>
  <c r="AD29" i="47" a="1"/>
  <c r="AD29" i="47" s="1"/>
  <c r="AD28" i="47" a="1"/>
  <c r="AD28" i="47" s="1"/>
  <c r="AD27" i="47" a="1"/>
  <c r="AD27" i="47" s="1"/>
  <c r="AD26" i="47" a="1"/>
  <c r="AD26" i="47" s="1"/>
  <c r="AD21" i="47" a="1"/>
  <c r="AD21" i="47" s="1"/>
  <c r="AD20" i="47" a="1"/>
  <c r="AD20" i="47" s="1"/>
  <c r="AD19" i="47" a="1"/>
  <c r="AD19" i="47" s="1"/>
  <c r="AD18" i="47" a="1"/>
  <c r="AD18" i="47" s="1"/>
  <c r="AD17" i="47" a="1"/>
  <c r="AD17" i="47" s="1"/>
  <c r="AD16" i="47" a="1"/>
  <c r="AD16" i="47" s="1"/>
  <c r="AD15" i="47" a="1"/>
  <c r="AD15" i="47" s="1"/>
  <c r="AD14" i="47" a="1"/>
  <c r="AD14" i="47" s="1"/>
  <c r="AD13" i="47" a="1"/>
  <c r="AD13" i="47" s="1"/>
  <c r="AD12" i="47" a="1"/>
  <c r="AD12" i="47" s="1"/>
  <c r="AD11" i="47" a="1"/>
  <c r="AD11" i="47" s="1"/>
  <c r="AD10" i="47" a="1"/>
  <c r="AD10" i="47" s="1"/>
  <c r="AD9" i="47" a="1"/>
  <c r="AD9" i="47" s="1"/>
  <c r="AD7" i="47" a="1"/>
  <c r="AD7" i="47" s="1"/>
  <c r="AD6" i="47" a="1"/>
  <c r="AD6" i="47" s="1"/>
  <c r="AD5" i="47" a="1"/>
  <c r="AD5" i="47" s="1"/>
  <c r="AD4" i="47" a="1"/>
  <c r="AD4" i="47" s="1"/>
  <c r="AD3" i="47" a="1"/>
  <c r="AD3" i="47" s="1"/>
  <c r="AD2" i="47" a="1"/>
  <c r="AD2" i="47" s="1"/>
  <c r="AD1" i="47" a="1"/>
  <c r="AD1" i="47" s="1"/>
  <c r="AC55" i="47" a="1"/>
  <c r="AC55" i="47" s="1"/>
  <c r="AC54" i="47" a="1"/>
  <c r="AC54" i="47" s="1"/>
  <c r="AC53" i="47" a="1"/>
  <c r="AC53" i="47" s="1"/>
  <c r="AC52" i="47" a="1"/>
  <c r="AC52" i="47" s="1"/>
  <c r="AC51" i="47" a="1"/>
  <c r="AC51" i="47" s="1"/>
  <c r="AC50" i="47" a="1"/>
  <c r="AC50" i="47" s="1"/>
  <c r="AC49" i="47" a="1"/>
  <c r="AC49" i="47" s="1"/>
  <c r="AC48" i="47" a="1"/>
  <c r="AC48" i="47" s="1"/>
  <c r="AC47" i="47" a="1"/>
  <c r="AC47" i="47" s="1"/>
  <c r="AC46" i="47" a="1"/>
  <c r="AC46" i="47" s="1"/>
  <c r="AC45" i="47" a="1"/>
  <c r="AC45" i="47" s="1"/>
  <c r="AC44" i="47" a="1"/>
  <c r="AC44" i="47" s="1"/>
  <c r="AC43" i="47" a="1"/>
  <c r="AC43" i="47" s="1"/>
  <c r="AC42" i="47" a="1"/>
  <c r="AC42" i="47" s="1"/>
  <c r="AC41" i="47" a="1"/>
  <c r="AC41" i="47" s="1"/>
  <c r="AC40" i="47" a="1"/>
  <c r="AC40" i="47" s="1"/>
  <c r="AC39" i="47" a="1"/>
  <c r="AC39" i="47" s="1"/>
  <c r="AC38" i="47" a="1"/>
  <c r="AC38" i="47" s="1"/>
  <c r="AC37" i="47" a="1"/>
  <c r="AC37" i="47" s="1"/>
  <c r="AC36" i="47" a="1"/>
  <c r="AC36" i="47" s="1"/>
  <c r="AC35" i="47" a="1"/>
  <c r="AC35" i="47" s="1"/>
  <c r="AC34" i="47" a="1"/>
  <c r="AC34" i="47" s="1"/>
  <c r="AC33" i="47" a="1"/>
  <c r="AC33" i="47" s="1"/>
  <c r="AC32" i="47" a="1"/>
  <c r="AC32" i="47" s="1"/>
  <c r="AC31" i="47" a="1"/>
  <c r="AC31" i="47" s="1"/>
  <c r="AC30" i="47" a="1"/>
  <c r="AC30" i="47" s="1"/>
  <c r="AC29" i="47" a="1"/>
  <c r="AC29" i="47" s="1"/>
  <c r="AC28" i="47" a="1"/>
  <c r="AC28" i="47" s="1"/>
  <c r="AC27" i="47" a="1"/>
  <c r="AC27" i="47" s="1"/>
  <c r="AC26" i="47" a="1"/>
  <c r="AC26" i="47" s="1"/>
  <c r="AC21" i="47" a="1"/>
  <c r="AC21" i="47" s="1"/>
  <c r="AC20" i="47" a="1"/>
  <c r="AC20" i="47" s="1"/>
  <c r="AC19" i="47" a="1"/>
  <c r="AC19" i="47" s="1"/>
  <c r="AC18" i="47" a="1"/>
  <c r="AC18" i="47" s="1"/>
  <c r="AC17" i="47" a="1"/>
  <c r="AC17" i="47" s="1"/>
  <c r="AC16" i="47" a="1"/>
  <c r="AC16" i="47" s="1"/>
  <c r="AC15" i="47" a="1"/>
  <c r="AC15" i="47" s="1"/>
  <c r="AC14" i="47" a="1"/>
  <c r="AC14" i="47" s="1"/>
  <c r="AC13" i="47" a="1"/>
  <c r="AC13" i="47" s="1"/>
  <c r="AC12" i="47" a="1"/>
  <c r="AC12" i="47" s="1"/>
  <c r="AC11" i="47" a="1"/>
  <c r="AC11" i="47" s="1"/>
  <c r="AC10" i="47" a="1"/>
  <c r="AC10" i="47" s="1"/>
  <c r="AC9" i="47" a="1"/>
  <c r="AC9" i="47" s="1"/>
  <c r="AC7" i="47" a="1"/>
  <c r="AC7" i="47" s="1"/>
  <c r="AC6" i="47" a="1"/>
  <c r="AC6" i="47" s="1"/>
  <c r="AC5" i="47" a="1"/>
  <c r="AC5" i="47" s="1"/>
  <c r="AC4" i="47" a="1"/>
  <c r="AC4" i="47" s="1"/>
  <c r="AC3" i="47" a="1"/>
  <c r="AC3" i="47" s="1"/>
  <c r="AC2" i="47" a="1"/>
  <c r="AC2" i="47" s="1"/>
  <c r="AC1" i="47" a="1"/>
  <c r="AC1" i="47" s="1"/>
  <c r="AB55" i="47" a="1"/>
  <c r="AB55" i="47" s="1"/>
  <c r="AA55" i="47" a="1"/>
  <c r="AA55" i="47" s="1"/>
  <c r="Z55" i="47" a="1"/>
  <c r="Z55" i="47" s="1"/>
  <c r="Y55" i="47" a="1"/>
  <c r="Y55" i="47" s="1"/>
  <c r="AB54" i="47" a="1"/>
  <c r="AB54" i="47" s="1"/>
  <c r="AA54" i="47" a="1"/>
  <c r="AA54" i="47" s="1"/>
  <c r="Z54" i="47" a="1"/>
  <c r="Z54" i="47" s="1"/>
  <c r="Y54" i="47" a="1"/>
  <c r="Y54" i="47" s="1"/>
  <c r="AB53" i="47" a="1"/>
  <c r="AB53" i="47" s="1"/>
  <c r="AA53" i="47" a="1"/>
  <c r="AA53" i="47" s="1"/>
  <c r="Z53" i="47" a="1"/>
  <c r="Z53" i="47" s="1"/>
  <c r="Y53" i="47" a="1"/>
  <c r="Y53" i="47" s="1"/>
  <c r="AB52" i="47" a="1"/>
  <c r="AB52" i="47" s="1"/>
  <c r="AA52" i="47" a="1"/>
  <c r="AA52" i="47" s="1"/>
  <c r="Z52" i="47" a="1"/>
  <c r="Z52" i="47" s="1"/>
  <c r="Y52" i="47" a="1"/>
  <c r="Y52" i="47" s="1"/>
  <c r="AB51" i="47" a="1"/>
  <c r="AB51" i="47" s="1"/>
  <c r="AA51" i="47" a="1"/>
  <c r="AA51" i="47" s="1"/>
  <c r="Z51" i="47" a="1"/>
  <c r="Z51" i="47" s="1"/>
  <c r="Y51" i="47" a="1"/>
  <c r="Y51" i="47" s="1"/>
  <c r="AB50" i="47" a="1"/>
  <c r="AB50" i="47" s="1"/>
  <c r="AA50" i="47" a="1"/>
  <c r="AA50" i="47" s="1"/>
  <c r="Z50" i="47" a="1"/>
  <c r="Z50" i="47" s="1"/>
  <c r="Y50" i="47" a="1"/>
  <c r="Y50" i="47" s="1"/>
  <c r="AB49" i="47" a="1"/>
  <c r="AB49" i="47" s="1"/>
  <c r="AA49" i="47" a="1"/>
  <c r="AA49" i="47" s="1"/>
  <c r="Z49" i="47" a="1"/>
  <c r="Z49" i="47" s="1"/>
  <c r="Y49" i="47" a="1"/>
  <c r="Y49" i="47" s="1"/>
  <c r="AB48" i="47" a="1"/>
  <c r="AB48" i="47" s="1"/>
  <c r="AA48" i="47" a="1"/>
  <c r="AA48" i="47" s="1"/>
  <c r="Z48" i="47" a="1"/>
  <c r="Z48" i="47" s="1"/>
  <c r="Y48" i="47" a="1"/>
  <c r="Y48" i="47" s="1"/>
  <c r="AB47" i="47" a="1"/>
  <c r="AB47" i="47" s="1"/>
  <c r="AA47" i="47" a="1"/>
  <c r="AA47" i="47" s="1"/>
  <c r="Z47" i="47" a="1"/>
  <c r="Z47" i="47" s="1"/>
  <c r="Y47" i="47" a="1"/>
  <c r="Y47" i="47" s="1"/>
  <c r="AB46" i="47" a="1"/>
  <c r="AB46" i="47" s="1"/>
  <c r="AA46" i="47" a="1"/>
  <c r="AA46" i="47" s="1"/>
  <c r="Z46" i="47" a="1"/>
  <c r="Z46" i="47" s="1"/>
  <c r="Y46" i="47" a="1"/>
  <c r="Y46" i="47" s="1"/>
  <c r="AB45" i="47" a="1"/>
  <c r="AB45" i="47" s="1"/>
  <c r="AA45" i="47" a="1"/>
  <c r="AA45" i="47" s="1"/>
  <c r="Z45" i="47" a="1"/>
  <c r="Z45" i="47" s="1"/>
  <c r="Y45" i="47" a="1"/>
  <c r="Y45" i="47" s="1"/>
  <c r="AB44" i="47" a="1"/>
  <c r="AB44" i="47" s="1"/>
  <c r="AA44" i="47" a="1"/>
  <c r="AA44" i="47" s="1"/>
  <c r="Z44" i="47" a="1"/>
  <c r="Z44" i="47" s="1"/>
  <c r="Y44" i="47" a="1"/>
  <c r="Y44" i="47" s="1"/>
  <c r="AB43" i="47" a="1"/>
  <c r="AB43" i="47" s="1"/>
  <c r="AA43" i="47" a="1"/>
  <c r="AA43" i="47" s="1"/>
  <c r="Z43" i="47" a="1"/>
  <c r="Z43" i="47" s="1"/>
  <c r="Y43" i="47" a="1"/>
  <c r="Y43" i="47" s="1"/>
  <c r="AB42" i="47" a="1"/>
  <c r="AB42" i="47" s="1"/>
  <c r="AA42" i="47" a="1"/>
  <c r="AA42" i="47" s="1"/>
  <c r="Z42" i="47" a="1"/>
  <c r="Z42" i="47" s="1"/>
  <c r="Y42" i="47" a="1"/>
  <c r="Y42" i="47" s="1"/>
  <c r="AB41" i="47" a="1"/>
  <c r="AB41" i="47" s="1"/>
  <c r="AA41" i="47" a="1"/>
  <c r="AA41" i="47" s="1"/>
  <c r="Z41" i="47" a="1"/>
  <c r="Z41" i="47" s="1"/>
  <c r="Y41" i="47" a="1"/>
  <c r="Y41" i="47" s="1"/>
  <c r="AB40" i="47" a="1"/>
  <c r="AB40" i="47" s="1"/>
  <c r="AA40" i="47" a="1"/>
  <c r="AA40" i="47" s="1"/>
  <c r="Z40" i="47" a="1"/>
  <c r="Z40" i="47" s="1"/>
  <c r="Y40" i="47" a="1"/>
  <c r="Y40" i="47" s="1"/>
  <c r="AB39" i="47" a="1"/>
  <c r="AB39" i="47" s="1"/>
  <c r="AA39" i="47" a="1"/>
  <c r="AA39" i="47" s="1"/>
  <c r="Z39" i="47" a="1"/>
  <c r="Z39" i="47" s="1"/>
  <c r="Y39" i="47" a="1"/>
  <c r="Y39" i="47" s="1"/>
  <c r="AB38" i="47" a="1"/>
  <c r="AB38" i="47" s="1"/>
  <c r="AA38" i="47" a="1"/>
  <c r="AA38" i="47" s="1"/>
  <c r="Z38" i="47" a="1"/>
  <c r="Z38" i="47" s="1"/>
  <c r="Y38" i="47" a="1"/>
  <c r="Y38" i="47" s="1"/>
  <c r="AB37" i="47" a="1"/>
  <c r="AB37" i="47" s="1"/>
  <c r="AA37" i="47" a="1"/>
  <c r="AA37" i="47" s="1"/>
  <c r="Z37" i="47" a="1"/>
  <c r="Z37" i="47" s="1"/>
  <c r="Y37" i="47" a="1"/>
  <c r="Y37" i="47" s="1"/>
  <c r="AB36" i="47" a="1"/>
  <c r="AB36" i="47" s="1"/>
  <c r="AA36" i="47" a="1"/>
  <c r="AA36" i="47" s="1"/>
  <c r="Z36" i="47" a="1"/>
  <c r="Z36" i="47" s="1"/>
  <c r="Y36" i="47" a="1"/>
  <c r="Y36" i="47" s="1"/>
  <c r="AB35" i="47" a="1"/>
  <c r="AB35" i="47" s="1"/>
  <c r="AA35" i="47" a="1"/>
  <c r="AA35" i="47" s="1"/>
  <c r="Z35" i="47" a="1"/>
  <c r="Z35" i="47" s="1"/>
  <c r="Y35" i="47" a="1"/>
  <c r="Y35" i="47" s="1"/>
  <c r="AB34" i="47" a="1"/>
  <c r="AB34" i="47" s="1"/>
  <c r="AA34" i="47" a="1"/>
  <c r="AA34" i="47" s="1"/>
  <c r="Z34" i="47" a="1"/>
  <c r="Z34" i="47" s="1"/>
  <c r="Y34" i="47" a="1"/>
  <c r="Y34" i="47" s="1"/>
  <c r="AB33" i="47" a="1"/>
  <c r="AB33" i="47" s="1"/>
  <c r="AA33" i="47" a="1"/>
  <c r="AA33" i="47" s="1"/>
  <c r="Z33" i="47" a="1"/>
  <c r="Z33" i="47" s="1"/>
  <c r="Y33" i="47" a="1"/>
  <c r="Y33" i="47" s="1"/>
  <c r="AB32" i="47" a="1"/>
  <c r="AB32" i="47" s="1"/>
  <c r="AA32" i="47" a="1"/>
  <c r="AA32" i="47" s="1"/>
  <c r="Z32" i="47" a="1"/>
  <c r="Z32" i="47" s="1"/>
  <c r="Y32" i="47" a="1"/>
  <c r="Y32" i="47" s="1"/>
  <c r="AB31" i="47" a="1"/>
  <c r="AB31" i="47" s="1"/>
  <c r="AA31" i="47" a="1"/>
  <c r="AA31" i="47" s="1"/>
  <c r="Z31" i="47" a="1"/>
  <c r="Z31" i="47" s="1"/>
  <c r="Y31" i="47" a="1"/>
  <c r="Y31" i="47" s="1"/>
  <c r="AB30" i="47" a="1"/>
  <c r="AB30" i="47" s="1"/>
  <c r="AA30" i="47" a="1"/>
  <c r="AA30" i="47" s="1"/>
  <c r="Z30" i="47" a="1"/>
  <c r="Z30" i="47" s="1"/>
  <c r="Y30" i="47" a="1"/>
  <c r="Y30" i="47" s="1"/>
  <c r="AB29" i="47" a="1"/>
  <c r="AB29" i="47" s="1"/>
  <c r="AA29" i="47" a="1"/>
  <c r="AA29" i="47" s="1"/>
  <c r="Z29" i="47" a="1"/>
  <c r="Z29" i="47" s="1"/>
  <c r="Y29" i="47" a="1"/>
  <c r="Y29" i="47" s="1"/>
  <c r="AB28" i="47" a="1"/>
  <c r="AB28" i="47" s="1"/>
  <c r="AA28" i="47" a="1"/>
  <c r="AA28" i="47" s="1"/>
  <c r="Z28" i="47" a="1"/>
  <c r="Z28" i="47" s="1"/>
  <c r="Y28" i="47" a="1"/>
  <c r="Y28" i="47" s="1"/>
  <c r="AB27" i="47" a="1"/>
  <c r="AB27" i="47" s="1"/>
  <c r="AA27" i="47" a="1"/>
  <c r="AA27" i="47" s="1"/>
  <c r="Z27" i="47" a="1"/>
  <c r="Z27" i="47" s="1"/>
  <c r="Y27" i="47" a="1"/>
  <c r="Y27" i="47" s="1"/>
  <c r="AB26" i="47" a="1"/>
  <c r="AB26" i="47" s="1"/>
  <c r="AA26" i="47" a="1"/>
  <c r="AA26" i="47" s="1"/>
  <c r="Z26" i="47" a="1"/>
  <c r="Z26" i="47" s="1"/>
  <c r="Y26" i="47" a="1"/>
  <c r="Y26" i="47" s="1"/>
  <c r="AB21" i="47" a="1"/>
  <c r="AB21" i="47" s="1"/>
  <c r="AA21" i="47" a="1"/>
  <c r="AA21" i="47" s="1"/>
  <c r="Z21" i="47" a="1"/>
  <c r="Z21" i="47" s="1"/>
  <c r="Y21" i="47" a="1"/>
  <c r="Y21" i="47" s="1"/>
  <c r="AB20" i="47" a="1"/>
  <c r="AB20" i="47" s="1"/>
  <c r="AA20" i="47" a="1"/>
  <c r="AA20" i="47" s="1"/>
  <c r="Z20" i="47" a="1"/>
  <c r="Z20" i="47" s="1"/>
  <c r="Y20" i="47" a="1"/>
  <c r="Y20" i="47" s="1"/>
  <c r="AB19" i="47" a="1"/>
  <c r="AB19" i="47" s="1"/>
  <c r="AA19" i="47" a="1"/>
  <c r="AA19" i="47" s="1"/>
  <c r="Z19" i="47" a="1"/>
  <c r="Z19" i="47" s="1"/>
  <c r="Y19" i="47" a="1"/>
  <c r="Y19" i="47" s="1"/>
  <c r="AB18" i="47" a="1"/>
  <c r="AB18" i="47" s="1"/>
  <c r="AA18" i="47" a="1"/>
  <c r="AA18" i="47" s="1"/>
  <c r="Z18" i="47" a="1"/>
  <c r="Z18" i="47" s="1"/>
  <c r="Y18" i="47" a="1"/>
  <c r="Y18" i="47" s="1"/>
  <c r="AB17" i="47" a="1"/>
  <c r="AB17" i="47" s="1"/>
  <c r="AA17" i="47" a="1"/>
  <c r="AA17" i="47" s="1"/>
  <c r="Z17" i="47" a="1"/>
  <c r="Z17" i="47" s="1"/>
  <c r="Y17" i="47" a="1"/>
  <c r="Y17" i="47" s="1"/>
  <c r="AB16" i="47" a="1"/>
  <c r="AB16" i="47" s="1"/>
  <c r="AA16" i="47" a="1"/>
  <c r="AA16" i="47" s="1"/>
  <c r="Z16" i="47" a="1"/>
  <c r="Z16" i="47" s="1"/>
  <c r="Y16" i="47" a="1"/>
  <c r="Y16" i="47" s="1"/>
  <c r="AB15" i="47" a="1"/>
  <c r="AB15" i="47" s="1"/>
  <c r="AA15" i="47" a="1"/>
  <c r="AA15" i="47" s="1"/>
  <c r="Z15" i="47" a="1"/>
  <c r="Z15" i="47" s="1"/>
  <c r="Y15" i="47" a="1"/>
  <c r="Y15" i="47" s="1"/>
  <c r="AB14" i="47" a="1"/>
  <c r="AB14" i="47" s="1"/>
  <c r="AA14" i="47" a="1"/>
  <c r="AA14" i="47" s="1"/>
  <c r="Z14" i="47" a="1"/>
  <c r="Z14" i="47" s="1"/>
  <c r="Y14" i="47" a="1"/>
  <c r="Y14" i="47" s="1"/>
  <c r="AB13" i="47" a="1"/>
  <c r="AB13" i="47" s="1"/>
  <c r="AA13" i="47" a="1"/>
  <c r="AA13" i="47" s="1"/>
  <c r="Z13" i="47" a="1"/>
  <c r="Z13" i="47" s="1"/>
  <c r="Y13" i="47" a="1"/>
  <c r="Y13" i="47" s="1"/>
  <c r="AB12" i="47" a="1"/>
  <c r="AB12" i="47" s="1"/>
  <c r="AA12" i="47" a="1"/>
  <c r="AA12" i="47" s="1"/>
  <c r="Z12" i="47" a="1"/>
  <c r="Z12" i="47" s="1"/>
  <c r="Y12" i="47" a="1"/>
  <c r="Y12" i="47" s="1"/>
  <c r="AB11" i="47" a="1"/>
  <c r="AB11" i="47" s="1"/>
  <c r="AA11" i="47" a="1"/>
  <c r="AA11" i="47" s="1"/>
  <c r="Z11" i="47" a="1"/>
  <c r="Z11" i="47" s="1"/>
  <c r="Y11" i="47" a="1"/>
  <c r="Y11" i="47" s="1"/>
  <c r="AB10" i="47" a="1"/>
  <c r="AB10" i="47" s="1"/>
  <c r="AA10" i="47" a="1"/>
  <c r="AA10" i="47" s="1"/>
  <c r="Z10" i="47" a="1"/>
  <c r="Z10" i="47" s="1"/>
  <c r="Y10" i="47" a="1"/>
  <c r="Y10" i="47" s="1"/>
  <c r="AB9" i="47" a="1"/>
  <c r="AB9" i="47" s="1"/>
  <c r="AA9" i="47" a="1"/>
  <c r="AA9" i="47" s="1"/>
  <c r="Z9" i="47" a="1"/>
  <c r="Z9" i="47" s="1"/>
  <c r="Y9" i="47" a="1"/>
  <c r="Y9" i="47" s="1"/>
  <c r="AB7" i="47" a="1"/>
  <c r="AB7" i="47" s="1"/>
  <c r="AA7" i="47" a="1"/>
  <c r="AA7" i="47" s="1"/>
  <c r="Z7" i="47" a="1"/>
  <c r="Z7" i="47" s="1"/>
  <c r="Y7" i="47" a="1"/>
  <c r="Y7" i="47" s="1"/>
  <c r="AB6" i="47" a="1"/>
  <c r="AB6" i="47" s="1"/>
  <c r="AA6" i="47" a="1"/>
  <c r="AA6" i="47" s="1"/>
  <c r="Z6" i="47" a="1"/>
  <c r="Z6" i="47" s="1"/>
  <c r="Y6" i="47" a="1"/>
  <c r="Y6" i="47" s="1"/>
  <c r="AB5" i="47" a="1"/>
  <c r="AB5" i="47" s="1"/>
  <c r="AA5" i="47" a="1"/>
  <c r="AA5" i="47" s="1"/>
  <c r="Z5" i="47" a="1"/>
  <c r="Z5" i="47" s="1"/>
  <c r="Y5" i="47" a="1"/>
  <c r="Y5" i="47" s="1"/>
  <c r="AB4" i="47" a="1"/>
  <c r="AB4" i="47" s="1"/>
  <c r="AA4" i="47" a="1"/>
  <c r="AA4" i="47" s="1"/>
  <c r="Z4" i="47" a="1"/>
  <c r="Z4" i="47" s="1"/>
  <c r="Y4" i="47" a="1"/>
  <c r="Y4" i="47" s="1"/>
  <c r="AB3" i="47" a="1"/>
  <c r="AB3" i="47" s="1"/>
  <c r="AA3" i="47" a="1"/>
  <c r="AA3" i="47" s="1"/>
  <c r="Z3" i="47" a="1"/>
  <c r="Z3" i="47" s="1"/>
  <c r="Y3" i="47" a="1"/>
  <c r="Y3" i="47" s="1"/>
  <c r="AB2" i="47" a="1"/>
  <c r="AB2" i="47" s="1"/>
  <c r="AA2" i="47" a="1"/>
  <c r="AA2" i="47" s="1"/>
  <c r="Z2" i="47" a="1"/>
  <c r="Z2" i="47" s="1"/>
  <c r="Y2" i="47" a="1"/>
  <c r="Y2" i="47" s="1"/>
  <c r="AB1" i="47" a="1"/>
  <c r="AB1" i="47" s="1"/>
  <c r="AA1" i="47" a="1"/>
  <c r="AA1" i="47" s="1"/>
  <c r="Z1" i="47" a="1"/>
  <c r="Z1" i="47" s="1"/>
  <c r="Y1" i="47" a="1"/>
  <c r="Y1" i="47" s="1"/>
  <c r="Z1" i="34" a="1"/>
  <c r="Z1" i="34" s="1"/>
  <c r="Y1" i="34" a="1"/>
  <c r="Y1" i="34" s="1"/>
  <c r="X1" i="34" a="1"/>
  <c r="X1" i="34" s="1"/>
  <c r="W1" i="34" a="1"/>
  <c r="W1" i="34" s="1"/>
  <c r="V1" i="34" a="1"/>
  <c r="V1" i="34" s="1"/>
  <c r="U1" i="34" a="1"/>
  <c r="U1" i="34" s="1"/>
  <c r="T1" i="34" a="1"/>
  <c r="T1" i="34" s="1"/>
  <c r="S1" i="34" a="1"/>
  <c r="S1" i="34" s="1"/>
  <c r="R1" i="34" a="1"/>
  <c r="R1" i="34" s="1"/>
  <c r="Q1" i="34" a="1"/>
  <c r="Q1" i="34" s="1"/>
  <c r="P1" i="34" a="1"/>
  <c r="P1" i="34" s="1"/>
  <c r="O1" i="34" a="1"/>
  <c r="O1" i="34" s="1"/>
  <c r="J10" i="13" l="1"/>
  <c r="J11" i="13" s="1"/>
  <c r="A3" i="36"/>
  <c r="A5" i="36"/>
  <c r="G47" i="62"/>
  <c r="F52" i="61"/>
  <c r="F69" i="34"/>
  <c r="B85" i="46"/>
  <c r="B86" i="46"/>
  <c r="B87" i="46"/>
  <c r="B88" i="46"/>
  <c r="B82" i="46"/>
  <c r="F82" i="46"/>
  <c r="B83" i="46"/>
  <c r="B84" i="46"/>
  <c r="E81" i="46"/>
  <c r="K10" i="13" l="1"/>
  <c r="K11" i="13" s="1"/>
  <c r="A436" i="35"/>
  <c r="A437" i="35"/>
  <c r="A438" i="35"/>
  <c r="A439" i="35"/>
  <c r="A440" i="35"/>
  <c r="A441" i="35"/>
  <c r="A442" i="35"/>
  <c r="A443" i="35"/>
  <c r="A444" i="35"/>
  <c r="A445" i="35"/>
  <c r="A446" i="35"/>
  <c r="A447" i="35"/>
  <c r="A448" i="35"/>
  <c r="A449" i="35"/>
  <c r="A450" i="35"/>
  <c r="A451" i="35"/>
  <c r="A435" i="35"/>
  <c r="A2" i="66"/>
  <c r="L10" i="13" l="1"/>
  <c r="L11" i="13" s="1"/>
  <c r="C6" i="63"/>
  <c r="F79" i="46" s="1"/>
  <c r="D6" i="63"/>
  <c r="G79" i="46" s="1"/>
  <c r="E35" i="46" l="1"/>
  <c r="L40" i="61" l="1"/>
  <c r="K40" i="61"/>
  <c r="J40" i="61"/>
  <c r="I40" i="61"/>
  <c r="H40" i="61"/>
  <c r="G40" i="61"/>
  <c r="F40" i="61"/>
  <c r="L38" i="61"/>
  <c r="K38" i="61"/>
  <c r="J38" i="61"/>
  <c r="I38" i="61"/>
  <c r="H38" i="61"/>
  <c r="G38" i="61"/>
  <c r="F38" i="61"/>
  <c r="L36" i="61"/>
  <c r="K36" i="61"/>
  <c r="J36" i="61"/>
  <c r="I36" i="61"/>
  <c r="H36" i="61"/>
  <c r="G36" i="61"/>
  <c r="F36" i="61"/>
  <c r="H33" i="61"/>
  <c r="G33" i="61"/>
  <c r="F33" i="61"/>
  <c r="L30" i="61"/>
  <c r="K30" i="61"/>
  <c r="J30" i="61"/>
  <c r="I30" i="61"/>
  <c r="H30" i="61"/>
  <c r="G30" i="61"/>
  <c r="F30" i="61"/>
  <c r="L29" i="61"/>
  <c r="K29" i="61"/>
  <c r="J29" i="61"/>
  <c r="I29" i="61"/>
  <c r="H29" i="61"/>
  <c r="G29" i="61"/>
  <c r="F29" i="61"/>
  <c r="L28" i="61"/>
  <c r="K28" i="61"/>
  <c r="J28" i="61"/>
  <c r="I28" i="61"/>
  <c r="H28" i="61"/>
  <c r="G28" i="61"/>
  <c r="F28" i="61"/>
  <c r="L27" i="61"/>
  <c r="K27" i="61"/>
  <c r="J27" i="61"/>
  <c r="I27" i="61"/>
  <c r="H27" i="61"/>
  <c r="G27" i="61"/>
  <c r="F27" i="61"/>
  <c r="L26" i="61"/>
  <c r="K26" i="61"/>
  <c r="J26" i="61"/>
  <c r="I26" i="61"/>
  <c r="H26" i="61"/>
  <c r="G26" i="61"/>
  <c r="F26" i="61"/>
  <c r="L25" i="61"/>
  <c r="K25" i="61"/>
  <c r="J25" i="61"/>
  <c r="I25" i="61"/>
  <c r="H25" i="61"/>
  <c r="G25" i="61"/>
  <c r="F25" i="61"/>
  <c r="L24" i="61"/>
  <c r="K24" i="61"/>
  <c r="J24" i="61"/>
  <c r="I24" i="61"/>
  <c r="H24" i="61"/>
  <c r="G24" i="61"/>
  <c r="F24" i="61"/>
  <c r="L23" i="61"/>
  <c r="K23" i="61"/>
  <c r="J23" i="61"/>
  <c r="I23" i="61"/>
  <c r="H23" i="61"/>
  <c r="G23" i="61"/>
  <c r="F23" i="61"/>
  <c r="L22" i="61"/>
  <c r="K22" i="61"/>
  <c r="J22" i="61"/>
  <c r="I22" i="61"/>
  <c r="H22" i="61"/>
  <c r="G22" i="61"/>
  <c r="F22" i="61"/>
  <c r="L21" i="61"/>
  <c r="K21" i="61"/>
  <c r="J21" i="61"/>
  <c r="I21" i="61"/>
  <c r="H21" i="61"/>
  <c r="G21" i="61"/>
  <c r="F21" i="61"/>
  <c r="L20" i="61"/>
  <c r="K20" i="61"/>
  <c r="J20" i="61"/>
  <c r="I20" i="61"/>
  <c r="H20" i="61"/>
  <c r="G20" i="61"/>
  <c r="F20" i="61"/>
  <c r="L19" i="61"/>
  <c r="K19" i="61"/>
  <c r="J19" i="61"/>
  <c r="I19" i="61"/>
  <c r="H19" i="61"/>
  <c r="G19" i="61"/>
  <c r="F19" i="61"/>
  <c r="L18" i="61"/>
  <c r="K18" i="61"/>
  <c r="J18" i="61"/>
  <c r="I18" i="61"/>
  <c r="H18" i="61"/>
  <c r="G18" i="61"/>
  <c r="F18" i="61"/>
  <c r="F16" i="61"/>
  <c r="F15" i="61"/>
  <c r="J11" i="18" l="1"/>
  <c r="K11" i="18" l="1"/>
  <c r="C161" i="61"/>
  <c r="C163" i="61" s="1"/>
  <c r="C165" i="61" s="1"/>
  <c r="G83" i="61"/>
  <c r="H83" i="61"/>
  <c r="I83" i="61"/>
  <c r="J83" i="61"/>
  <c r="K83" i="61"/>
  <c r="L83" i="61"/>
  <c r="G88" i="61"/>
  <c r="H88" i="61"/>
  <c r="I88" i="61"/>
  <c r="J88" i="61"/>
  <c r="K88" i="61"/>
  <c r="L88" i="61"/>
  <c r="G96" i="61"/>
  <c r="H96" i="61"/>
  <c r="I96" i="61"/>
  <c r="J96" i="61"/>
  <c r="K96" i="61"/>
  <c r="L96" i="61"/>
  <c r="H102" i="61"/>
  <c r="I102" i="61"/>
  <c r="J102" i="61"/>
  <c r="K102" i="61"/>
  <c r="L102" i="61"/>
  <c r="H103" i="61"/>
  <c r="I103" i="61"/>
  <c r="J103" i="61"/>
  <c r="K103" i="61"/>
  <c r="L103" i="61"/>
  <c r="F105" i="61"/>
  <c r="F106" i="61" s="1"/>
  <c r="F143" i="61"/>
  <c r="G148" i="61"/>
  <c r="H148" i="61"/>
  <c r="I148" i="61"/>
  <c r="J148" i="61"/>
  <c r="K148" i="61"/>
  <c r="L148" i="61"/>
  <c r="G149" i="61"/>
  <c r="H149" i="61"/>
  <c r="I149" i="61"/>
  <c r="J149" i="61"/>
  <c r="K149" i="61"/>
  <c r="L149" i="61"/>
  <c r="F151" i="61"/>
  <c r="H8" i="62"/>
  <c r="C58" i="62"/>
  <c r="B243" i="62"/>
  <c r="B251" i="62"/>
  <c r="B258" i="62"/>
  <c r="B261" i="62"/>
  <c r="B262" i="62"/>
  <c r="B263" i="62"/>
  <c r="B264" i="62"/>
  <c r="B265" i="62"/>
  <c r="B266" i="62"/>
  <c r="B267" i="62"/>
  <c r="B268" i="62"/>
  <c r="B269" i="62"/>
  <c r="B270" i="62"/>
  <c r="B271" i="62"/>
  <c r="B273" i="62"/>
  <c r="B274" i="62"/>
  <c r="B275" i="62"/>
  <c r="B276" i="62"/>
  <c r="B277" i="62"/>
  <c r="B278" i="62"/>
  <c r="B279" i="62"/>
  <c r="B280" i="62"/>
  <c r="B281" i="62"/>
  <c r="B282" i="62"/>
  <c r="B283" i="62"/>
  <c r="B285" i="62"/>
  <c r="B286" i="62"/>
  <c r="B287" i="62"/>
  <c r="B288" i="62"/>
  <c r="B289" i="62"/>
  <c r="B290" i="62"/>
  <c r="B291" i="62"/>
  <c r="B292" i="62"/>
  <c r="B297" i="62"/>
  <c r="B299" i="62"/>
  <c r="B300" i="62"/>
  <c r="B301" i="62"/>
  <c r="C302" i="62"/>
  <c r="B303" i="62"/>
  <c r="B304" i="62"/>
  <c r="B305" i="62"/>
  <c r="B306" i="62"/>
  <c r="B307" i="62"/>
  <c r="C308" i="62"/>
  <c r="B309" i="62"/>
  <c r="B310" i="62"/>
  <c r="B311" i="62"/>
  <c r="B312" i="62"/>
  <c r="B313" i="62"/>
  <c r="C314" i="62"/>
  <c r="B315" i="62"/>
  <c r="B316" i="62"/>
  <c r="B317" i="62"/>
  <c r="B318" i="62"/>
  <c r="B319" i="62"/>
  <c r="C320" i="62"/>
  <c r="B321" i="62"/>
  <c r="B322" i="62"/>
  <c r="B323" i="62"/>
  <c r="B324" i="62"/>
  <c r="B325" i="62"/>
  <c r="C326" i="62"/>
  <c r="B327" i="62"/>
  <c r="B328" i="62"/>
  <c r="B329" i="62"/>
  <c r="B330" i="62"/>
  <c r="B331" i="62"/>
  <c r="C332" i="62"/>
  <c r="B333" i="62"/>
  <c r="B334" i="62"/>
  <c r="B335" i="62"/>
  <c r="B336" i="62"/>
  <c r="B337" i="62"/>
  <c r="C338" i="62"/>
  <c r="B339" i="62"/>
  <c r="B340" i="62"/>
  <c r="B341" i="62"/>
  <c r="B342" i="62"/>
  <c r="B343" i="62"/>
  <c r="C344" i="62"/>
  <c r="B345" i="62"/>
  <c r="B346" i="62"/>
  <c r="B347" i="62"/>
  <c r="B348" i="62"/>
  <c r="B349" i="62"/>
  <c r="B350" i="62"/>
  <c r="C351" i="62"/>
  <c r="B352" i="62"/>
  <c r="B353" i="62"/>
  <c r="B354" i="62"/>
  <c r="B355" i="62"/>
  <c r="B356" i="62"/>
  <c r="C357" i="62"/>
  <c r="B358" i="62"/>
  <c r="B359" i="62"/>
  <c r="B360" i="62"/>
  <c r="B361" i="62"/>
  <c r="B362" i="62"/>
  <c r="C363" i="62"/>
  <c r="B364" i="62"/>
  <c r="B365" i="62"/>
  <c r="B366" i="62"/>
  <c r="B367" i="62"/>
  <c r="B368" i="62"/>
  <c r="C369" i="62"/>
  <c r="B370" i="62"/>
  <c r="B371" i="62"/>
  <c r="B372" i="62"/>
  <c r="B373" i="62"/>
  <c r="B374" i="62"/>
  <c r="C375" i="62"/>
  <c r="B376" i="62"/>
  <c r="B377" i="62"/>
  <c r="B378" i="62"/>
  <c r="B379" i="62"/>
  <c r="B380" i="62"/>
  <c r="C381" i="62"/>
  <c r="B382" i="62"/>
  <c r="B383" i="62"/>
  <c r="B384" i="62"/>
  <c r="B385" i="62"/>
  <c r="B386" i="62"/>
  <c r="C387" i="62"/>
  <c r="B388" i="62"/>
  <c r="B389" i="62"/>
  <c r="B390" i="62"/>
  <c r="B391" i="62"/>
  <c r="B392" i="62"/>
  <c r="H432" i="62"/>
  <c r="I432" i="62"/>
  <c r="J432" i="62"/>
  <c r="K432" i="62"/>
  <c r="L432" i="62"/>
  <c r="M432" i="62"/>
  <c r="G436" i="62"/>
  <c r="H436" i="62"/>
  <c r="I436" i="62"/>
  <c r="J436" i="62"/>
  <c r="K436" i="62"/>
  <c r="L436" i="62"/>
  <c r="M436" i="62"/>
  <c r="G440" i="62"/>
  <c r="H440" i="62"/>
  <c r="I440" i="62"/>
  <c r="J440" i="62" s="1"/>
  <c r="G444" i="62"/>
  <c r="H444" i="62"/>
  <c r="I444" i="62"/>
  <c r="J444" i="62"/>
  <c r="K444" i="62"/>
  <c r="L444" i="62"/>
  <c r="M444" i="62"/>
  <c r="G448" i="62"/>
  <c r="H448" i="62"/>
  <c r="I448" i="62"/>
  <c r="J448" i="62"/>
  <c r="K448" i="62"/>
  <c r="L448" i="62"/>
  <c r="M448" i="62"/>
  <c r="A5" i="62"/>
  <c r="A2" i="62"/>
  <c r="L31" i="61"/>
  <c r="K31" i="61"/>
  <c r="J31" i="61"/>
  <c r="J39" i="61" s="1"/>
  <c r="I31" i="61"/>
  <c r="H31" i="61"/>
  <c r="G31" i="61"/>
  <c r="H9" i="61"/>
  <c r="I9" i="61" s="1"/>
  <c r="G6" i="61"/>
  <c r="G10" i="61" s="1"/>
  <c r="F10" i="61" s="1"/>
  <c r="A5" i="61"/>
  <c r="A2" i="61"/>
  <c r="H450" i="62" l="1"/>
  <c r="H452" i="62" s="1"/>
  <c r="I450" i="62"/>
  <c r="I452" i="62" s="1"/>
  <c r="G450" i="62"/>
  <c r="G452" i="62" s="1"/>
  <c r="H49" i="62"/>
  <c r="H7" i="62"/>
  <c r="G49" i="62"/>
  <c r="G7" i="62"/>
  <c r="K440" i="62"/>
  <c r="K455" i="62" s="1"/>
  <c r="J450" i="62"/>
  <c r="J452" i="62" s="1"/>
  <c r="L11" i="18"/>
  <c r="C28" i="63"/>
  <c r="G143" i="61"/>
  <c r="H143" i="61"/>
  <c r="J37" i="61"/>
  <c r="G7" i="61"/>
  <c r="J41" i="61"/>
  <c r="G455" i="62"/>
  <c r="C167" i="61"/>
  <c r="G34" i="61"/>
  <c r="I143" i="61"/>
  <c r="I455" i="62"/>
  <c r="H455" i="62"/>
  <c r="J455" i="62"/>
  <c r="K143" i="61"/>
  <c r="J143" i="61"/>
  <c r="G11" i="61"/>
  <c r="F11" i="61" s="1"/>
  <c r="F195" i="61" s="1"/>
  <c r="F197" i="61" s="1"/>
  <c r="F199" i="61" s="1"/>
  <c r="F46" i="18" s="1"/>
  <c r="H34" i="61"/>
  <c r="G37" i="61"/>
  <c r="K37" i="61"/>
  <c r="G39" i="61"/>
  <c r="K39" i="61"/>
  <c r="G41" i="61"/>
  <c r="K41" i="61"/>
  <c r="H37" i="61"/>
  <c r="L37" i="61"/>
  <c r="H39" i="61"/>
  <c r="L39" i="61"/>
  <c r="H41" i="61"/>
  <c r="L41" i="61"/>
  <c r="J9" i="61"/>
  <c r="I37" i="61"/>
  <c r="I39" i="61"/>
  <c r="I41" i="61"/>
  <c r="L440" i="62" l="1"/>
  <c r="K450" i="62"/>
  <c r="K452" i="62" s="1"/>
  <c r="E30" i="46"/>
  <c r="E32" i="46"/>
  <c r="E31" i="46"/>
  <c r="C16" i="63"/>
  <c r="L143" i="61"/>
  <c r="H10" i="61"/>
  <c r="K9" i="61"/>
  <c r="M440" i="62" l="1"/>
  <c r="L450" i="62"/>
  <c r="L452" i="62" s="1"/>
  <c r="L455" i="62"/>
  <c r="F47" i="61"/>
  <c r="L9" i="61"/>
  <c r="H11" i="61"/>
  <c r="F49" i="47"/>
  <c r="F50" i="47" s="1"/>
  <c r="L49" i="46"/>
  <c r="K49" i="46"/>
  <c r="J49" i="46"/>
  <c r="I49" i="46"/>
  <c r="H49" i="46"/>
  <c r="G49" i="46"/>
  <c r="L17" i="46"/>
  <c r="K17" i="46"/>
  <c r="J17" i="46"/>
  <c r="I17" i="46"/>
  <c r="H17" i="46"/>
  <c r="G17" i="46"/>
  <c r="L29" i="18"/>
  <c r="L67" i="67" s="1"/>
  <c r="K29" i="18"/>
  <c r="K67" i="67" s="1"/>
  <c r="J29" i="18"/>
  <c r="J67" i="67" s="1"/>
  <c r="I29" i="18"/>
  <c r="I67" i="67" s="1"/>
  <c r="H29" i="18"/>
  <c r="H67" i="67" s="1"/>
  <c r="G29" i="18"/>
  <c r="F29" i="18"/>
  <c r="L20" i="18"/>
  <c r="K20" i="18"/>
  <c r="J20" i="18"/>
  <c r="I20" i="18"/>
  <c r="H20" i="18"/>
  <c r="G20" i="18"/>
  <c r="F20" i="18"/>
  <c r="F58" i="67" s="1"/>
  <c r="H9" i="13"/>
  <c r="E6" i="63" s="1"/>
  <c r="H79" i="46" s="1"/>
  <c r="M450" i="62" l="1"/>
  <c r="M452" i="62" s="1"/>
  <c r="M455" i="62"/>
  <c r="C455" i="62" s="1"/>
  <c r="D29" i="18"/>
  <c r="D20" i="18"/>
  <c r="I8" i="62"/>
  <c r="I9" i="13"/>
  <c r="F6" i="63" s="1"/>
  <c r="I79" i="46" s="1"/>
  <c r="I10" i="61"/>
  <c r="C29" i="18"/>
  <c r="C20" i="18"/>
  <c r="I49" i="62" l="1"/>
  <c r="I7" i="62"/>
  <c r="J8" i="62"/>
  <c r="J9" i="13"/>
  <c r="G6" i="63" s="1"/>
  <c r="J79" i="46" s="1"/>
  <c r="I11" i="61"/>
  <c r="J49" i="62" l="1"/>
  <c r="J7" i="62"/>
  <c r="K9" i="13"/>
  <c r="H6" i="63" s="1"/>
  <c r="K79" i="46" s="1"/>
  <c r="K8" i="62"/>
  <c r="J10" i="61"/>
  <c r="K49" i="62" l="1"/>
  <c r="K7" i="62"/>
  <c r="L8" i="62"/>
  <c r="L49" i="62" s="1"/>
  <c r="L9" i="13"/>
  <c r="I6" i="63" s="1"/>
  <c r="L79" i="46" s="1"/>
  <c r="J11" i="61"/>
  <c r="M8" i="62" l="1"/>
  <c r="M49" i="62" s="1"/>
  <c r="K10" i="61"/>
  <c r="A5" i="57"/>
  <c r="A2" i="57"/>
  <c r="N39" i="55"/>
  <c r="M39" i="55"/>
  <c r="L39" i="55"/>
  <c r="K39" i="55"/>
  <c r="J39" i="55"/>
  <c r="I39" i="55"/>
  <c r="N26" i="55"/>
  <c r="M26" i="55"/>
  <c r="L26" i="55"/>
  <c r="K26" i="55"/>
  <c r="J26" i="55"/>
  <c r="I26" i="55"/>
  <c r="K11" i="55"/>
  <c r="L11" i="55" s="1"/>
  <c r="M11" i="55" s="1"/>
  <c r="N11" i="55" s="1"/>
  <c r="K11" i="61" l="1"/>
  <c r="L10" i="61" l="1"/>
  <c r="L11" i="61" l="1"/>
  <c r="D38" i="45"/>
  <c r="D35" i="45"/>
  <c r="D34" i="45"/>
  <c r="D32" i="45"/>
  <c r="D31" i="45"/>
  <c r="D29" i="45"/>
  <c r="D28" i="45"/>
  <c r="D26" i="45"/>
  <c r="D25" i="45"/>
  <c r="A2" i="39" l="1"/>
  <c r="L33" i="61" l="1"/>
  <c r="L34" i="61" s="1"/>
  <c r="K33" i="61"/>
  <c r="K34" i="61" s="1"/>
  <c r="J33" i="61"/>
  <c r="J34" i="61" s="1"/>
  <c r="I33" i="61"/>
  <c r="I34" i="61" s="1"/>
  <c r="A2" i="54" l="1"/>
  <c r="A5" i="55"/>
  <c r="G16" i="41" l="1"/>
  <c r="A5" i="54" l="1"/>
  <c r="L41" i="47" l="1"/>
  <c r="K41" i="47"/>
  <c r="J41" i="47"/>
  <c r="I41" i="47"/>
  <c r="H41" i="47"/>
  <c r="G41" i="47"/>
  <c r="L40" i="47"/>
  <c r="K40" i="47"/>
  <c r="J40" i="47"/>
  <c r="I40" i="47"/>
  <c r="H40" i="47"/>
  <c r="G40" i="47"/>
  <c r="L39" i="47"/>
  <c r="K39" i="47"/>
  <c r="J39" i="47"/>
  <c r="I39" i="47"/>
  <c r="H39" i="47"/>
  <c r="G39" i="47"/>
  <c r="L38" i="47"/>
  <c r="K38" i="47"/>
  <c r="J38" i="47"/>
  <c r="I38" i="47"/>
  <c r="H38" i="47"/>
  <c r="G38" i="47"/>
  <c r="L37" i="47"/>
  <c r="K37" i="47"/>
  <c r="J37" i="47"/>
  <c r="I37" i="47"/>
  <c r="H37" i="47"/>
  <c r="G37" i="47"/>
  <c r="L36" i="47"/>
  <c r="K36" i="47"/>
  <c r="J36" i="47"/>
  <c r="I36" i="47"/>
  <c r="H36" i="47"/>
  <c r="G36" i="47"/>
  <c r="L35" i="47"/>
  <c r="K35" i="47"/>
  <c r="J35" i="47"/>
  <c r="I35" i="47"/>
  <c r="H35" i="47"/>
  <c r="G35" i="47"/>
  <c r="L34" i="47"/>
  <c r="K34" i="47"/>
  <c r="J34" i="47"/>
  <c r="I34" i="47"/>
  <c r="H34" i="47"/>
  <c r="G34" i="47"/>
  <c r="L33" i="47"/>
  <c r="K33" i="47"/>
  <c r="J33" i="47"/>
  <c r="I33" i="47"/>
  <c r="H33" i="47"/>
  <c r="G33" i="47"/>
  <c r="L32" i="47"/>
  <c r="K32" i="47"/>
  <c r="J32" i="47"/>
  <c r="I32" i="47"/>
  <c r="H32" i="47"/>
  <c r="G32" i="47"/>
  <c r="L31" i="47"/>
  <c r="K31" i="47"/>
  <c r="J31" i="47"/>
  <c r="I31" i="47"/>
  <c r="H31" i="47"/>
  <c r="G31" i="47"/>
  <c r="L30" i="47"/>
  <c r="K30" i="47"/>
  <c r="J30" i="47"/>
  <c r="I30" i="47"/>
  <c r="H30" i="47"/>
  <c r="G30" i="47"/>
  <c r="L28" i="47"/>
  <c r="K28" i="47"/>
  <c r="J28" i="47"/>
  <c r="I28" i="47"/>
  <c r="H28" i="47"/>
  <c r="G28" i="47"/>
  <c r="L27" i="47"/>
  <c r="K27" i="47"/>
  <c r="J27" i="47"/>
  <c r="I27" i="47"/>
  <c r="H27" i="47"/>
  <c r="G27" i="47"/>
  <c r="L20" i="47"/>
  <c r="K20" i="47"/>
  <c r="J20" i="47"/>
  <c r="I20" i="47"/>
  <c r="H20" i="47"/>
  <c r="G20" i="47"/>
  <c r="L18" i="47"/>
  <c r="K18" i="47"/>
  <c r="J18" i="47"/>
  <c r="I18" i="47"/>
  <c r="H18" i="47"/>
  <c r="G18" i="47"/>
  <c r="L17" i="47"/>
  <c r="K17" i="47"/>
  <c r="J17" i="47"/>
  <c r="I17" i="47"/>
  <c r="H17" i="47"/>
  <c r="G17" i="47"/>
  <c r="L16" i="47"/>
  <c r="K16" i="47"/>
  <c r="J16" i="47"/>
  <c r="I16" i="47"/>
  <c r="H16" i="47"/>
  <c r="G16" i="47"/>
  <c r="L15" i="47"/>
  <c r="K15" i="47"/>
  <c r="J15" i="47"/>
  <c r="I15" i="47"/>
  <c r="H15" i="47"/>
  <c r="G15" i="47"/>
  <c r="L14" i="47"/>
  <c r="K14" i="47"/>
  <c r="J14" i="47"/>
  <c r="I14" i="47"/>
  <c r="H14" i="47"/>
  <c r="G14" i="47"/>
  <c r="N34" i="48"/>
  <c r="M34" i="48"/>
  <c r="L34" i="48"/>
  <c r="K34" i="48"/>
  <c r="J34" i="48"/>
  <c r="I34" i="48"/>
  <c r="H34" i="48"/>
  <c r="B76" i="46" l="1"/>
  <c r="F40" i="46"/>
  <c r="F42" i="46" s="1"/>
  <c r="G40" i="46" l="1"/>
  <c r="F75" i="46"/>
  <c r="G21" i="46"/>
  <c r="H21" i="46" s="1"/>
  <c r="G23" i="46" l="1"/>
  <c r="G45" i="46" s="1"/>
  <c r="H23" i="46"/>
  <c r="H45" i="46" s="1"/>
  <c r="I21" i="46"/>
  <c r="J21" i="46" l="1"/>
  <c r="I23" i="46"/>
  <c r="I45" i="46" s="1"/>
  <c r="E12" i="53"/>
  <c r="I12" i="53" s="1"/>
  <c r="A2" i="53"/>
  <c r="A5" i="53"/>
  <c r="M34" i="53"/>
  <c r="K34" i="53"/>
  <c r="I34" i="53"/>
  <c r="G34" i="53"/>
  <c r="M33" i="53"/>
  <c r="K33" i="53"/>
  <c r="I33" i="53"/>
  <c r="G33" i="53"/>
  <c r="M32" i="53"/>
  <c r="K32" i="53"/>
  <c r="I32" i="53"/>
  <c r="G32" i="53"/>
  <c r="M31" i="53"/>
  <c r="K31" i="53"/>
  <c r="I31" i="53"/>
  <c r="G31" i="53"/>
  <c r="M30" i="53"/>
  <c r="K30" i="53"/>
  <c r="I30" i="53"/>
  <c r="G30" i="53"/>
  <c r="I29" i="53"/>
  <c r="G29" i="53"/>
  <c r="M28" i="53"/>
  <c r="K28" i="53"/>
  <c r="I28" i="53"/>
  <c r="G28" i="53"/>
  <c r="M27" i="53"/>
  <c r="K27" i="53"/>
  <c r="I27" i="53"/>
  <c r="G27" i="53"/>
  <c r="M26" i="53"/>
  <c r="K26" i="53"/>
  <c r="I26" i="53"/>
  <c r="G26" i="53"/>
  <c r="M25" i="53"/>
  <c r="K25" i="53"/>
  <c r="I25" i="53"/>
  <c r="G25" i="53"/>
  <c r="M24" i="53"/>
  <c r="K24" i="53"/>
  <c r="I24" i="53"/>
  <c r="G24" i="53"/>
  <c r="M23" i="53"/>
  <c r="K23" i="53"/>
  <c r="I23" i="53"/>
  <c r="G23" i="53"/>
  <c r="M22" i="53"/>
  <c r="K22" i="53"/>
  <c r="I22" i="53"/>
  <c r="G22" i="53"/>
  <c r="M21" i="53"/>
  <c r="K21" i="53"/>
  <c r="I21" i="53"/>
  <c r="G21" i="53"/>
  <c r="M20" i="53"/>
  <c r="K20" i="53"/>
  <c r="I20" i="53"/>
  <c r="G20" i="53"/>
  <c r="M19" i="53"/>
  <c r="K19" i="53"/>
  <c r="I19" i="53"/>
  <c r="G19" i="53"/>
  <c r="M18" i="53"/>
  <c r="K18" i="53"/>
  <c r="I18" i="53"/>
  <c r="G18" i="53"/>
  <c r="M17" i="53"/>
  <c r="K17" i="53"/>
  <c r="I17" i="53"/>
  <c r="G17" i="53"/>
  <c r="M16" i="53"/>
  <c r="K16" i="53"/>
  <c r="I16" i="53"/>
  <c r="G16" i="53"/>
  <c r="H15" i="53"/>
  <c r="I15" i="53" s="1"/>
  <c r="F15" i="53"/>
  <c r="G15" i="53" s="1"/>
  <c r="K12" i="53" l="1"/>
  <c r="G35" i="53"/>
  <c r="G36" i="53" s="1"/>
  <c r="G37" i="53" s="1"/>
  <c r="I35" i="53"/>
  <c r="M12" i="53"/>
  <c r="G12" i="53"/>
  <c r="K21" i="46"/>
  <c r="J23" i="46"/>
  <c r="J45" i="46" s="1"/>
  <c r="I36" i="53"/>
  <c r="I37" i="53" s="1"/>
  <c r="G43" i="48"/>
  <c r="G42" i="48"/>
  <c r="G41" i="48"/>
  <c r="G40" i="48"/>
  <c r="G39" i="48"/>
  <c r="G38" i="48"/>
  <c r="G37" i="48"/>
  <c r="G36" i="48"/>
  <c r="H44" i="48"/>
  <c r="C32" i="63" s="1"/>
  <c r="I38" i="53" l="1"/>
  <c r="I40" i="53"/>
  <c r="I39" i="53"/>
  <c r="G38" i="53"/>
  <c r="G40" i="53"/>
  <c r="G39" i="53"/>
  <c r="L21" i="46"/>
  <c r="L23" i="46" s="1"/>
  <c r="L45" i="46" s="1"/>
  <c r="K23" i="46"/>
  <c r="K45" i="46" s="1"/>
  <c r="H100" i="46"/>
  <c r="I100" i="46"/>
  <c r="J100" i="46"/>
  <c r="K100" i="46"/>
  <c r="L100" i="46"/>
  <c r="H99" i="46"/>
  <c r="I99" i="46"/>
  <c r="J99" i="46"/>
  <c r="K99" i="46"/>
  <c r="L99" i="46"/>
  <c r="G99" i="46"/>
  <c r="H67" i="46"/>
  <c r="I67" i="46"/>
  <c r="J67" i="46"/>
  <c r="K67" i="46"/>
  <c r="L67" i="46"/>
  <c r="G67" i="46"/>
  <c r="H68" i="46"/>
  <c r="I68" i="46"/>
  <c r="J68" i="46"/>
  <c r="K68" i="46"/>
  <c r="L68" i="46"/>
  <c r="G68" i="46"/>
  <c r="H93" i="46"/>
  <c r="I93" i="46"/>
  <c r="J93" i="46"/>
  <c r="K93" i="46"/>
  <c r="L93" i="46"/>
  <c r="G93" i="46"/>
  <c r="K11" i="67" l="1"/>
  <c r="K12" i="67" s="1"/>
  <c r="K46" i="67"/>
  <c r="K47" i="67" s="1"/>
  <c r="I11" i="67"/>
  <c r="I12" i="67" s="1"/>
  <c r="I46" i="67"/>
  <c r="I47" i="67" s="1"/>
  <c r="H11" i="67"/>
  <c r="H12" i="67" s="1"/>
  <c r="H46" i="67"/>
  <c r="H47" i="67" s="1"/>
  <c r="G11" i="67"/>
  <c r="G12" i="67" s="1"/>
  <c r="G46" i="67"/>
  <c r="L11" i="67"/>
  <c r="L12" i="67" s="1"/>
  <c r="L46" i="67"/>
  <c r="L47" i="67" s="1"/>
  <c r="J11" i="67"/>
  <c r="J12" i="67" s="1"/>
  <c r="J46" i="67"/>
  <c r="J47" i="67" s="1"/>
  <c r="H40" i="46"/>
  <c r="C46" i="67" l="1"/>
  <c r="G47" i="67"/>
  <c r="C47" i="67" s="1"/>
  <c r="I40" i="46"/>
  <c r="F51" i="47"/>
  <c r="E47" i="47"/>
  <c r="E41" i="47"/>
  <c r="E15" i="47"/>
  <c r="E14" i="47"/>
  <c r="F51" i="18" l="1"/>
  <c r="C30" i="63"/>
  <c r="J40" i="46"/>
  <c r="F6" i="34"/>
  <c r="F58" i="34" s="1"/>
  <c r="C34" i="63" l="1"/>
  <c r="K40" i="46"/>
  <c r="D26" i="41"/>
  <c r="D25" i="41"/>
  <c r="D24" i="41"/>
  <c r="D23" i="41"/>
  <c r="D22" i="41"/>
  <c r="D21" i="41"/>
  <c r="D20" i="41"/>
  <c r="D19" i="41"/>
  <c r="D18" i="41"/>
  <c r="D17" i="41"/>
  <c r="D16" i="41"/>
  <c r="D15" i="41"/>
  <c r="D14" i="41"/>
  <c r="D12" i="41"/>
  <c r="D11" i="41" l="1"/>
  <c r="L40" i="46"/>
  <c r="D27" i="41"/>
  <c r="E12" i="52" l="1"/>
  <c r="F12" i="52" s="1"/>
  <c r="G3" i="46" l="1"/>
  <c r="G2" i="46"/>
  <c r="A5" i="52"/>
  <c r="A2" i="52"/>
  <c r="H87" i="41" l="1"/>
  <c r="I87" i="41" s="1"/>
  <c r="H57" i="41"/>
  <c r="I57" i="41" l="1"/>
  <c r="F6" i="46"/>
  <c r="L98" i="46"/>
  <c r="K98" i="46"/>
  <c r="J98" i="46"/>
  <c r="I98" i="46"/>
  <c r="H98" i="46"/>
  <c r="G98" i="46" l="1"/>
  <c r="E47" i="38"/>
  <c r="L20" i="46" l="1"/>
  <c r="K20" i="46"/>
  <c r="J20" i="46"/>
  <c r="I20" i="46"/>
  <c r="H20" i="46"/>
  <c r="G20" i="46"/>
  <c r="L94" i="46"/>
  <c r="K94" i="46"/>
  <c r="J94" i="46"/>
  <c r="I94" i="46"/>
  <c r="H94" i="46"/>
  <c r="G94" i="46"/>
  <c r="E23" i="46" l="1"/>
  <c r="E34" i="46" l="1"/>
  <c r="G100" i="46"/>
  <c r="C47" i="38" s="1"/>
  <c r="F3" i="41"/>
  <c r="F2" i="41"/>
  <c r="C32" i="38" l="1"/>
  <c r="C31" i="38"/>
  <c r="C28" i="38"/>
  <c r="C27" i="38"/>
  <c r="E39" i="45" l="1"/>
  <c r="F47" i="18" l="1"/>
  <c r="F33" i="18" l="1"/>
  <c r="F32" i="18"/>
  <c r="F31" i="18"/>
  <c r="F28" i="18"/>
  <c r="F27" i="18"/>
  <c r="F65" i="67" s="1"/>
  <c r="F25" i="18"/>
  <c r="F23" i="18"/>
  <c r="F61" i="67" s="1"/>
  <c r="F22" i="18"/>
  <c r="F60" i="67" s="1"/>
  <c r="F21" i="18"/>
  <c r="F59" i="67" s="1"/>
  <c r="F19" i="18"/>
  <c r="F57" i="67" s="1"/>
  <c r="F56" i="67"/>
  <c r="F17" i="18"/>
  <c r="F55" i="67" s="1"/>
  <c r="L17" i="13"/>
  <c r="L15" i="61" s="1"/>
  <c r="K17" i="13"/>
  <c r="K15" i="61" s="1"/>
  <c r="J17" i="13"/>
  <c r="J15" i="61" s="1"/>
  <c r="I17" i="13"/>
  <c r="I15" i="61" s="1"/>
  <c r="H17" i="13"/>
  <c r="H15" i="61" s="1"/>
  <c r="G17" i="13"/>
  <c r="G15" i="61" s="1"/>
  <c r="F48" i="18"/>
  <c r="F6" i="18"/>
  <c r="F14" i="67" l="1"/>
  <c r="F112" i="67"/>
  <c r="F75" i="67"/>
  <c r="F51" i="67"/>
  <c r="F70" i="67"/>
  <c r="F14" i="18"/>
  <c r="F91" i="67"/>
  <c r="F43" i="18"/>
  <c r="F9" i="18"/>
  <c r="K97" i="61"/>
  <c r="K98" i="61"/>
  <c r="I98" i="61"/>
  <c r="I97" i="61"/>
  <c r="J97" i="61"/>
  <c r="J98" i="61"/>
  <c r="G97" i="61"/>
  <c r="H98" i="61"/>
  <c r="H97" i="61"/>
  <c r="L98" i="61"/>
  <c r="L97" i="61"/>
  <c r="F12" i="18" l="1"/>
  <c r="E32" i="38"/>
  <c r="D32" i="38" s="1"/>
  <c r="C33" i="38"/>
  <c r="G12" i="47" l="1"/>
  <c r="H12" i="47"/>
  <c r="I12" i="47"/>
  <c r="J12" i="47"/>
  <c r="K12" i="47"/>
  <c r="L12" i="47"/>
  <c r="E20" i="38"/>
  <c r="E29" i="38"/>
  <c r="E30" i="38"/>
  <c r="E31" i="38"/>
  <c r="D31" i="38" s="1"/>
  <c r="E33" i="38"/>
  <c r="D33" i="38" s="1"/>
  <c r="R18" i="38"/>
  <c r="E12" i="47" l="1"/>
  <c r="N44" i="48"/>
  <c r="I32" i="63" s="1"/>
  <c r="M44" i="48"/>
  <c r="H32" i="63" s="1"/>
  <c r="L44" i="48"/>
  <c r="G32" i="63" s="1"/>
  <c r="K44" i="48"/>
  <c r="F32" i="63" s="1"/>
  <c r="J44" i="48"/>
  <c r="E32" i="63" s="1"/>
  <c r="I44" i="48"/>
  <c r="D32" i="63" s="1"/>
  <c r="I13" i="48"/>
  <c r="I35" i="48" s="1"/>
  <c r="A5" i="48"/>
  <c r="A2" i="48"/>
  <c r="B32" i="63" l="1"/>
  <c r="F35" i="18"/>
  <c r="G48" i="18"/>
  <c r="G44" i="48"/>
  <c r="J45" i="48" s="1"/>
  <c r="C45" i="38"/>
  <c r="K48" i="18"/>
  <c r="J48" i="18"/>
  <c r="H48" i="18"/>
  <c r="L48" i="18"/>
  <c r="I48" i="18"/>
  <c r="H12" i="48"/>
  <c r="J12" i="48"/>
  <c r="J13" i="48" s="1"/>
  <c r="H13" i="48"/>
  <c r="H35" i="48" s="1"/>
  <c r="F71" i="67" l="1"/>
  <c r="F67" i="67"/>
  <c r="F66" i="67"/>
  <c r="F69" i="67"/>
  <c r="K45" i="48"/>
  <c r="N45" i="48"/>
  <c r="F37" i="18"/>
  <c r="F41" i="18"/>
  <c r="F63" i="67"/>
  <c r="F64" i="67"/>
  <c r="F73" i="67"/>
  <c r="I117" i="67"/>
  <c r="K117" i="67"/>
  <c r="L117" i="67"/>
  <c r="F84" i="67"/>
  <c r="F82" i="67"/>
  <c r="F78" i="67"/>
  <c r="F83" i="67"/>
  <c r="F79" i="67"/>
  <c r="F80" i="67"/>
  <c r="H117" i="67"/>
  <c r="J117" i="67"/>
  <c r="G117" i="67"/>
  <c r="D48" i="18"/>
  <c r="L45" i="48"/>
  <c r="G45" i="48"/>
  <c r="H45" i="48"/>
  <c r="I45" i="48"/>
  <c r="M45" i="48"/>
  <c r="K12" i="48"/>
  <c r="K13" i="48" s="1"/>
  <c r="J35" i="48"/>
  <c r="C48" i="18"/>
  <c r="C117" i="67" l="1"/>
  <c r="L12" i="48"/>
  <c r="L13" i="48" s="1"/>
  <c r="K35" i="48"/>
  <c r="G66" i="46"/>
  <c r="H66" i="46"/>
  <c r="G65" i="46"/>
  <c r="H65" i="46"/>
  <c r="M12" i="48" l="1"/>
  <c r="M13" i="48" s="1"/>
  <c r="L35" i="48"/>
  <c r="D51" i="47"/>
  <c r="E39" i="47"/>
  <c r="E37" i="47"/>
  <c r="E35" i="47"/>
  <c r="E33" i="47"/>
  <c r="E31" i="47"/>
  <c r="E29" i="47"/>
  <c r="E27" i="47"/>
  <c r="H7" i="47"/>
  <c r="I7" i="47" s="1"/>
  <c r="J7" i="47" s="1"/>
  <c r="K7" i="47" s="1"/>
  <c r="L7" i="47" s="1"/>
  <c r="A5" i="47"/>
  <c r="A2" i="47"/>
  <c r="L66" i="46"/>
  <c r="K66" i="46"/>
  <c r="J66" i="46"/>
  <c r="I66" i="46"/>
  <c r="L65" i="46"/>
  <c r="K65" i="46"/>
  <c r="J65" i="46"/>
  <c r="I65" i="46"/>
  <c r="C59" i="46"/>
  <c r="C57" i="46"/>
  <c r="L27" i="46"/>
  <c r="K27" i="46"/>
  <c r="J27" i="46"/>
  <c r="I27" i="46"/>
  <c r="H27" i="46"/>
  <c r="G27" i="46"/>
  <c r="G33" i="46" s="1"/>
  <c r="L6" i="46"/>
  <c r="K6" i="46"/>
  <c r="J6" i="46"/>
  <c r="I6" i="46"/>
  <c r="H6" i="46"/>
  <c r="G6" i="46"/>
  <c r="A4" i="46"/>
  <c r="A2" i="46"/>
  <c r="G41" i="46" l="1"/>
  <c r="J33" i="46"/>
  <c r="J41" i="46" s="1"/>
  <c r="H33" i="46"/>
  <c r="H41" i="46" s="1"/>
  <c r="I33" i="46"/>
  <c r="I41" i="46" s="1"/>
  <c r="K33" i="46"/>
  <c r="K41" i="46" s="1"/>
  <c r="L33" i="46"/>
  <c r="L41" i="46" s="1"/>
  <c r="K46" i="46"/>
  <c r="H46" i="46"/>
  <c r="I46" i="46"/>
  <c r="G46" i="46"/>
  <c r="L46" i="46"/>
  <c r="J46" i="46"/>
  <c r="I96" i="46"/>
  <c r="I47" i="46"/>
  <c r="G97" i="46"/>
  <c r="G48" i="46"/>
  <c r="K97" i="46"/>
  <c r="K48" i="46"/>
  <c r="L97" i="46"/>
  <c r="L48" i="46"/>
  <c r="J96" i="46"/>
  <c r="J47" i="46"/>
  <c r="H97" i="46"/>
  <c r="H48" i="46"/>
  <c r="G96" i="46"/>
  <c r="G47" i="46"/>
  <c r="K96" i="46"/>
  <c r="K47" i="46"/>
  <c r="I97" i="46"/>
  <c r="I48" i="46"/>
  <c r="H96" i="46"/>
  <c r="H47" i="46"/>
  <c r="L96" i="46"/>
  <c r="L47" i="46"/>
  <c r="J97" i="46"/>
  <c r="J48" i="46"/>
  <c r="H49" i="47"/>
  <c r="H50" i="47" s="1"/>
  <c r="H51" i="47" s="1"/>
  <c r="L49" i="47"/>
  <c r="L50" i="47" s="1"/>
  <c r="L51" i="47" s="1"/>
  <c r="I49" i="47"/>
  <c r="I50" i="47" s="1"/>
  <c r="I51" i="47" s="1"/>
  <c r="J49" i="47"/>
  <c r="J50" i="47" s="1"/>
  <c r="J51" i="47" s="1"/>
  <c r="G49" i="47"/>
  <c r="G50" i="47" s="1"/>
  <c r="G51" i="47" s="1"/>
  <c r="D30" i="63" s="1"/>
  <c r="K49" i="47"/>
  <c r="K50" i="47" s="1"/>
  <c r="K51" i="47" s="1"/>
  <c r="E48" i="47"/>
  <c r="N12" i="48"/>
  <c r="N13" i="48" s="1"/>
  <c r="N35" i="48" s="1"/>
  <c r="M35" i="48"/>
  <c r="E30" i="47"/>
  <c r="E32" i="47"/>
  <c r="E34" i="47"/>
  <c r="E36" i="47"/>
  <c r="E40" i="47"/>
  <c r="E13" i="47"/>
  <c r="E17" i="47"/>
  <c r="E19" i="47"/>
  <c r="E20" i="47"/>
  <c r="E28" i="47"/>
  <c r="E16" i="47"/>
  <c r="E18" i="47"/>
  <c r="G95" i="46"/>
  <c r="J72" i="46"/>
  <c r="I72" i="46"/>
  <c r="L72" i="46"/>
  <c r="H72" i="46"/>
  <c r="K72" i="46"/>
  <c r="G72" i="46"/>
  <c r="H95" i="46"/>
  <c r="L95" i="46"/>
  <c r="K95" i="46"/>
  <c r="I95" i="46"/>
  <c r="J95" i="46"/>
  <c r="E38" i="47"/>
  <c r="E27" i="46"/>
  <c r="E25" i="46"/>
  <c r="G69" i="46"/>
  <c r="C60" i="46"/>
  <c r="G56" i="46" s="1"/>
  <c r="I42" i="46" l="1"/>
  <c r="I75" i="46" s="1"/>
  <c r="H42" i="46"/>
  <c r="H75" i="46" s="1"/>
  <c r="L42" i="46"/>
  <c r="L75" i="46" s="1"/>
  <c r="J42" i="46"/>
  <c r="J75" i="46" s="1"/>
  <c r="K42" i="46"/>
  <c r="K75" i="46" s="1"/>
  <c r="G42" i="46"/>
  <c r="G75" i="46" s="1"/>
  <c r="G74" i="46"/>
  <c r="C46" i="38" s="1"/>
  <c r="F46" i="38" s="1"/>
  <c r="E33" i="46"/>
  <c r="G30" i="63"/>
  <c r="J51" i="18"/>
  <c r="I51" i="18"/>
  <c r="F30" i="63"/>
  <c r="L51" i="18"/>
  <c r="I30" i="63"/>
  <c r="K51" i="18"/>
  <c r="H30" i="63"/>
  <c r="H51" i="18"/>
  <c r="E30" i="63"/>
  <c r="D61" i="46"/>
  <c r="D62" i="46" s="1"/>
  <c r="D63" i="46" s="1"/>
  <c r="F74" i="46"/>
  <c r="F76" i="46"/>
  <c r="C20" i="63" s="1"/>
  <c r="E26" i="46"/>
  <c r="G51" i="18"/>
  <c r="C50" i="38"/>
  <c r="F50" i="38" s="1"/>
  <c r="E51" i="47"/>
  <c r="H120" i="67" l="1"/>
  <c r="G120" i="67"/>
  <c r="K120" i="67"/>
  <c r="L120" i="67"/>
  <c r="I120" i="67"/>
  <c r="J120" i="67"/>
  <c r="J43" i="46"/>
  <c r="H43" i="46"/>
  <c r="L43" i="46"/>
  <c r="I43" i="46"/>
  <c r="E75" i="46"/>
  <c r="K43" i="46"/>
  <c r="D51" i="18"/>
  <c r="G43" i="46"/>
  <c r="F85" i="46"/>
  <c r="E41" i="46"/>
  <c r="B30" i="63"/>
  <c r="G62" i="46"/>
  <c r="G63" i="46"/>
  <c r="G76" i="46" s="1"/>
  <c r="F43" i="46"/>
  <c r="F45" i="18"/>
  <c r="F77" i="67" s="1"/>
  <c r="F77" i="46"/>
  <c r="C51" i="18"/>
  <c r="C120" i="67" l="1"/>
  <c r="G77" i="46"/>
  <c r="D20" i="63"/>
  <c r="G45" i="18"/>
  <c r="G71" i="46"/>
  <c r="E40" i="46"/>
  <c r="G114" i="67" l="1"/>
  <c r="G85" i="46"/>
  <c r="F11" i="45" l="1"/>
  <c r="A5" i="45"/>
  <c r="A2" i="45"/>
  <c r="E10" i="45" l="1"/>
  <c r="E11" i="45"/>
  <c r="G10" i="45"/>
  <c r="G11" i="45" s="1"/>
  <c r="H10" i="45" s="1"/>
  <c r="H11" i="45" s="1"/>
  <c r="I10" i="45" s="1"/>
  <c r="I11" i="45" s="1"/>
  <c r="J10" i="45" s="1"/>
  <c r="J11" i="45" s="1"/>
  <c r="K10" i="45" s="1"/>
  <c r="K11" i="45" s="1"/>
  <c r="E28" i="38" l="1"/>
  <c r="D28" i="38" s="1"/>
  <c r="A2" i="35" l="1"/>
  <c r="A5" i="35"/>
  <c r="A2" i="38"/>
  <c r="A5" i="38"/>
  <c r="A2" i="41"/>
  <c r="A5" i="41"/>
  <c r="A2" i="18"/>
  <c r="A4" i="18"/>
  <c r="A2" i="13"/>
  <c r="A5" i="13"/>
  <c r="A2" i="34"/>
  <c r="A5" i="34"/>
  <c r="L33" i="18"/>
  <c r="L31" i="18"/>
  <c r="L69" i="67" s="1"/>
  <c r="L27" i="18"/>
  <c r="L65" i="67" s="1"/>
  <c r="L25" i="18"/>
  <c r="L6" i="34"/>
  <c r="L58" i="34" s="1"/>
  <c r="K6" i="34"/>
  <c r="K58" i="34" s="1"/>
  <c r="J6" i="34"/>
  <c r="J58" i="34" s="1"/>
  <c r="I6" i="34"/>
  <c r="I58" i="34" s="1"/>
  <c r="H6" i="34"/>
  <c r="H58" i="34" s="1"/>
  <c r="G6" i="34"/>
  <c r="G58" i="34" s="1"/>
  <c r="J26" i="41"/>
  <c r="N30" i="48" s="1"/>
  <c r="I26" i="41"/>
  <c r="M30" i="48" s="1"/>
  <c r="H26" i="41"/>
  <c r="L30" i="48" s="1"/>
  <c r="G26" i="41"/>
  <c r="K30" i="48" s="1"/>
  <c r="F26" i="41"/>
  <c r="J30" i="48" s="1"/>
  <c r="E26" i="41"/>
  <c r="I30" i="48" s="1"/>
  <c r="J25" i="41"/>
  <c r="N29" i="48" s="1"/>
  <c r="I25" i="41"/>
  <c r="M29" i="48" s="1"/>
  <c r="H25" i="41"/>
  <c r="L29" i="48" s="1"/>
  <c r="G25" i="41"/>
  <c r="K29" i="48" s="1"/>
  <c r="F25" i="41"/>
  <c r="J29" i="48" s="1"/>
  <c r="E25" i="41"/>
  <c r="I29" i="48" s="1"/>
  <c r="J24" i="41"/>
  <c r="N28" i="48" s="1"/>
  <c r="I24" i="41"/>
  <c r="M28" i="48" s="1"/>
  <c r="H24" i="41"/>
  <c r="L28" i="48" s="1"/>
  <c r="G24" i="41"/>
  <c r="K28" i="48" s="1"/>
  <c r="F24" i="41"/>
  <c r="J28" i="48" s="1"/>
  <c r="E24" i="41"/>
  <c r="I28" i="48" s="1"/>
  <c r="J23" i="41"/>
  <c r="N27" i="48" s="1"/>
  <c r="I23" i="41"/>
  <c r="M27" i="48" s="1"/>
  <c r="H23" i="41"/>
  <c r="L27" i="48" s="1"/>
  <c r="G23" i="41"/>
  <c r="K27" i="48" s="1"/>
  <c r="F23" i="41"/>
  <c r="J27" i="48" s="1"/>
  <c r="E23" i="41"/>
  <c r="I27" i="48" s="1"/>
  <c r="J22" i="41"/>
  <c r="N26" i="48" s="1"/>
  <c r="I22" i="41"/>
  <c r="M26" i="48" s="1"/>
  <c r="H22" i="41"/>
  <c r="L26" i="48" s="1"/>
  <c r="G22" i="41"/>
  <c r="K26" i="48" s="1"/>
  <c r="F22" i="41"/>
  <c r="J26" i="48" s="1"/>
  <c r="E22" i="41"/>
  <c r="I26" i="48" s="1"/>
  <c r="J21" i="41"/>
  <c r="N25" i="48" s="1"/>
  <c r="I21" i="41"/>
  <c r="M25" i="48" s="1"/>
  <c r="H21" i="41"/>
  <c r="L25" i="48" s="1"/>
  <c r="G21" i="41"/>
  <c r="K25" i="48" s="1"/>
  <c r="F21" i="41"/>
  <c r="J25" i="48" s="1"/>
  <c r="E21" i="41"/>
  <c r="I25" i="48" s="1"/>
  <c r="J20" i="41"/>
  <c r="N24" i="48" s="1"/>
  <c r="I20" i="41"/>
  <c r="M24" i="48" s="1"/>
  <c r="H20" i="41"/>
  <c r="L24" i="48" s="1"/>
  <c r="G20" i="41"/>
  <c r="K24" i="48" s="1"/>
  <c r="F20" i="41"/>
  <c r="J24" i="48" s="1"/>
  <c r="E20" i="41"/>
  <c r="I24" i="48" s="1"/>
  <c r="J19" i="41"/>
  <c r="N23" i="48" s="1"/>
  <c r="I19" i="41"/>
  <c r="M23" i="48" s="1"/>
  <c r="H19" i="41"/>
  <c r="L23" i="48" s="1"/>
  <c r="G19" i="41"/>
  <c r="K23" i="48" s="1"/>
  <c r="F19" i="41"/>
  <c r="J23" i="48" s="1"/>
  <c r="E19" i="41"/>
  <c r="I23" i="48" s="1"/>
  <c r="J18" i="41"/>
  <c r="N22" i="48" s="1"/>
  <c r="I18" i="41"/>
  <c r="M22" i="48" s="1"/>
  <c r="H18" i="41"/>
  <c r="L22" i="48" s="1"/>
  <c r="G18" i="41"/>
  <c r="K22" i="48" s="1"/>
  <c r="F18" i="41"/>
  <c r="J22" i="48" s="1"/>
  <c r="E18" i="41"/>
  <c r="I22" i="48" s="1"/>
  <c r="J17" i="41"/>
  <c r="N21" i="48" s="1"/>
  <c r="I17" i="41"/>
  <c r="M21" i="48" s="1"/>
  <c r="H17" i="41"/>
  <c r="L21" i="48" s="1"/>
  <c r="G17" i="41"/>
  <c r="K21" i="48" s="1"/>
  <c r="F17" i="41"/>
  <c r="J21" i="48" s="1"/>
  <c r="E17" i="41"/>
  <c r="I21" i="48" s="1"/>
  <c r="J16" i="41"/>
  <c r="N20" i="48" s="1"/>
  <c r="I16" i="41"/>
  <c r="M20" i="48" s="1"/>
  <c r="H16" i="41"/>
  <c r="L20" i="48" s="1"/>
  <c r="K20" i="48"/>
  <c r="F16" i="41"/>
  <c r="J20" i="48" s="1"/>
  <c r="E16" i="41"/>
  <c r="I20" i="48" s="1"/>
  <c r="J15" i="41"/>
  <c r="N19" i="48" s="1"/>
  <c r="I15" i="41"/>
  <c r="M19" i="48" s="1"/>
  <c r="H15" i="41"/>
  <c r="L19" i="48" s="1"/>
  <c r="K19" i="48"/>
  <c r="J19" i="48"/>
  <c r="E15" i="41"/>
  <c r="I19" i="48" s="1"/>
  <c r="J14" i="41"/>
  <c r="N18" i="48" s="1"/>
  <c r="I14" i="41"/>
  <c r="M18" i="48" s="1"/>
  <c r="H14" i="41"/>
  <c r="L18" i="48" s="1"/>
  <c r="G14" i="41"/>
  <c r="F14" i="41"/>
  <c r="J18" i="48" s="1"/>
  <c r="I18" i="48"/>
  <c r="L6" i="18"/>
  <c r="L14" i="67" l="1"/>
  <c r="L75" i="67"/>
  <c r="L112" i="67"/>
  <c r="L51" i="67"/>
  <c r="L104" i="67"/>
  <c r="L103" i="67"/>
  <c r="L63" i="67"/>
  <c r="L106" i="67"/>
  <c r="L14" i="18"/>
  <c r="L91" i="67"/>
  <c r="L108" i="67"/>
  <c r="L43" i="18"/>
  <c r="G11" i="41"/>
  <c r="K18" i="48"/>
  <c r="J15" i="48"/>
  <c r="J31" i="48"/>
  <c r="N15" i="48"/>
  <c r="N31" i="48"/>
  <c r="L15" i="48"/>
  <c r="L31" i="48"/>
  <c r="I31" i="48"/>
  <c r="I15" i="48"/>
  <c r="M15" i="48"/>
  <c r="M31" i="48"/>
  <c r="H11" i="41"/>
  <c r="E11" i="41"/>
  <c r="I11" i="41"/>
  <c r="F11" i="41"/>
  <c r="J11" i="41"/>
  <c r="H27" i="41"/>
  <c r="H29" i="41" s="1"/>
  <c r="J40" i="13" s="1"/>
  <c r="F27" i="41"/>
  <c r="F29" i="41" s="1"/>
  <c r="H40" i="13" s="1"/>
  <c r="J27" i="41"/>
  <c r="J29" i="41" s="1"/>
  <c r="L40" i="13" s="1"/>
  <c r="G27" i="41"/>
  <c r="G29" i="41" s="1"/>
  <c r="I40" i="13" s="1"/>
  <c r="E27" i="41"/>
  <c r="E29" i="41" s="1"/>
  <c r="G40" i="13" s="1"/>
  <c r="I27" i="41"/>
  <c r="I29" i="41" s="1"/>
  <c r="K40" i="13" s="1"/>
  <c r="E8" i="39"/>
  <c r="J30" i="41" l="1"/>
  <c r="L41" i="13" s="1"/>
  <c r="I30" i="41"/>
  <c r="K41" i="13" s="1"/>
  <c r="F30" i="41"/>
  <c r="H41" i="13" s="1"/>
  <c r="E30" i="41"/>
  <c r="G41" i="13" s="1"/>
  <c r="H30" i="41"/>
  <c r="J41" i="13" s="1"/>
  <c r="G30" i="41"/>
  <c r="I41" i="13" s="1"/>
  <c r="K31" i="48"/>
  <c r="K15" i="48"/>
  <c r="G12" i="45"/>
  <c r="I12" i="45"/>
  <c r="H12" i="45"/>
  <c r="J12" i="45"/>
  <c r="F12" i="45"/>
  <c r="K12" i="45"/>
  <c r="G33" i="18"/>
  <c r="G31" i="18"/>
  <c r="G69" i="67" s="1"/>
  <c r="G27" i="18"/>
  <c r="G65" i="67" s="1"/>
  <c r="G25" i="18"/>
  <c r="G6" i="18"/>
  <c r="G14" i="67" l="1"/>
  <c r="G112" i="67"/>
  <c r="G51" i="67"/>
  <c r="G75" i="67"/>
  <c r="G103" i="67"/>
  <c r="G63" i="67"/>
  <c r="G106" i="67"/>
  <c r="G104" i="67"/>
  <c r="G14" i="18"/>
  <c r="G91" i="67"/>
  <c r="G108" i="67"/>
  <c r="G43" i="18"/>
  <c r="A5" i="39" l="1"/>
  <c r="D7" i="63" l="1"/>
  <c r="G80" i="46" s="1"/>
  <c r="L10" i="46"/>
  <c r="L19" i="13" l="1"/>
  <c r="L16" i="61" s="1"/>
  <c r="L32" i="61" s="1"/>
  <c r="L21" i="13"/>
  <c r="L29" i="67" s="1"/>
  <c r="F45" i="61"/>
  <c r="C10" i="63"/>
  <c r="L175" i="61"/>
  <c r="I9" i="63"/>
  <c r="L81" i="61"/>
  <c r="L87" i="61"/>
  <c r="L91" i="61"/>
  <c r="L80" i="61"/>
  <c r="L147" i="61"/>
  <c r="L73" i="61"/>
  <c r="L79" i="61"/>
  <c r="L146" i="61"/>
  <c r="H9" i="62"/>
  <c r="H50" i="62" s="1"/>
  <c r="C77" i="62"/>
  <c r="D141" i="62"/>
  <c r="L9" i="46"/>
  <c r="M4" i="53"/>
  <c r="E8" i="41"/>
  <c r="E9" i="41" s="1"/>
  <c r="F8" i="41" s="1"/>
  <c r="F9" i="41" s="1"/>
  <c r="G8" i="41" s="1"/>
  <c r="G9" i="41" s="1"/>
  <c r="H8" i="41" s="1"/>
  <c r="H9" i="41" s="1"/>
  <c r="I8" i="41" s="1"/>
  <c r="H2" i="53"/>
  <c r="H3" i="53" s="1"/>
  <c r="I2" i="53" s="1"/>
  <c r="I3" i="53" s="1"/>
  <c r="J2" i="53" s="1"/>
  <c r="J3" i="53" s="1"/>
  <c r="K2" i="53" s="1"/>
  <c r="K3" i="53" s="1"/>
  <c r="L2" i="53" s="1"/>
  <c r="L3" i="53" s="1"/>
  <c r="M2" i="53" s="1"/>
  <c r="M3" i="53" s="1"/>
  <c r="L45" i="13"/>
  <c r="L95" i="13"/>
  <c r="G7" i="46"/>
  <c r="F7" i="46" s="1"/>
  <c r="F10" i="13"/>
  <c r="C7" i="63" s="1"/>
  <c r="F80" i="46" s="1"/>
  <c r="L11" i="34"/>
  <c r="L131" i="13"/>
  <c r="L22" i="18" s="1"/>
  <c r="G7" i="34"/>
  <c r="G7" i="18"/>
  <c r="G7" i="67" s="1"/>
  <c r="E7" i="38"/>
  <c r="D8" i="63"/>
  <c r="G81" i="46" s="1"/>
  <c r="L128" i="13"/>
  <c r="L19" i="18" s="1"/>
  <c r="L136" i="13"/>
  <c r="L130" i="13"/>
  <c r="L126" i="13"/>
  <c r="L18" i="18" s="1"/>
  <c r="L132" i="13"/>
  <c r="L23" i="18" s="1"/>
  <c r="L125" i="13"/>
  <c r="L17" i="18" s="1"/>
  <c r="L28" i="34" l="1"/>
  <c r="L27" i="34"/>
  <c r="G59" i="34"/>
  <c r="G8" i="47"/>
  <c r="L100" i="67"/>
  <c r="L97" i="67"/>
  <c r="L96" i="67"/>
  <c r="L101" i="67"/>
  <c r="L98" i="67"/>
  <c r="L21" i="18"/>
  <c r="L143" i="13"/>
  <c r="L144" i="13" s="1"/>
  <c r="L31" i="34"/>
  <c r="L29" i="34"/>
  <c r="L30" i="34"/>
  <c r="I33" i="63"/>
  <c r="I31" i="63"/>
  <c r="F62" i="34"/>
  <c r="F83" i="46"/>
  <c r="G34" i="62"/>
  <c r="C18" i="63"/>
  <c r="F49" i="61" s="1"/>
  <c r="C36" i="63"/>
  <c r="C22" i="63"/>
  <c r="F87" i="46" s="1"/>
  <c r="L9" i="18"/>
  <c r="L12" i="18" s="1"/>
  <c r="L174" i="61"/>
  <c r="L173" i="61"/>
  <c r="M30" i="62"/>
  <c r="L61" i="34"/>
  <c r="L82" i="46"/>
  <c r="H10" i="62"/>
  <c r="L151" i="61"/>
  <c r="L32" i="18"/>
  <c r="L70" i="67" s="1"/>
  <c r="F7" i="34"/>
  <c r="G9" i="62"/>
  <c r="G50" i="62" s="1"/>
  <c r="M5" i="53"/>
  <c r="M6" i="53" s="1"/>
  <c r="N16" i="48"/>
  <c r="N32" i="48" s="1"/>
  <c r="J12" i="41"/>
  <c r="J28" i="41" s="1"/>
  <c r="F7" i="18"/>
  <c r="F7" i="67" s="1"/>
  <c r="D8" i="41"/>
  <c r="D9" i="41" s="1"/>
  <c r="F11" i="13"/>
  <c r="C8" i="63" s="1"/>
  <c r="F81" i="46" s="1"/>
  <c r="L28" i="18"/>
  <c r="G8" i="46"/>
  <c r="F8" i="46" s="1"/>
  <c r="G9" i="47"/>
  <c r="G8" i="34"/>
  <c r="G60" i="34" s="1"/>
  <c r="G8" i="18"/>
  <c r="G8" i="67" s="1"/>
  <c r="I9" i="41"/>
  <c r="E8" i="38"/>
  <c r="E12" i="38" s="1"/>
  <c r="E7" i="63"/>
  <c r="H80" i="46" s="1"/>
  <c r="F59" i="34" l="1"/>
  <c r="F8" i="47"/>
  <c r="H131" i="62"/>
  <c r="H294" i="62" s="1"/>
  <c r="H130" i="62"/>
  <c r="H293" i="62" s="1"/>
  <c r="H90" i="62"/>
  <c r="H252" i="62"/>
  <c r="Q14" i="38"/>
  <c r="H16" i="62"/>
  <c r="L107" i="67"/>
  <c r="L99" i="67"/>
  <c r="L49" i="67"/>
  <c r="L105" i="67"/>
  <c r="R14" i="38"/>
  <c r="M14" i="38"/>
  <c r="I14" i="38"/>
  <c r="G14" i="38"/>
  <c r="P14" i="38"/>
  <c r="L14" i="38"/>
  <c r="F14" i="38"/>
  <c r="O14" i="38"/>
  <c r="K14" i="38"/>
  <c r="H14" i="38"/>
  <c r="N14" i="38"/>
  <c r="J14" i="38"/>
  <c r="H143" i="62"/>
  <c r="H91" i="62"/>
  <c r="H254" i="62" s="1"/>
  <c r="H51" i="62"/>
  <c r="H205" i="62"/>
  <c r="H361" i="62" s="1"/>
  <c r="H166" i="62"/>
  <c r="H222" i="62"/>
  <c r="H378" i="62" s="1"/>
  <c r="H187" i="62"/>
  <c r="H343" i="62" s="1"/>
  <c r="H230" i="62"/>
  <c r="H229" i="62"/>
  <c r="H171" i="62"/>
  <c r="H204" i="62"/>
  <c r="H206" i="62"/>
  <c r="H193" i="62"/>
  <c r="H349" i="62" s="1"/>
  <c r="H234" i="62"/>
  <c r="H390" i="62" s="1"/>
  <c r="H157" i="62"/>
  <c r="H128" i="62"/>
  <c r="H291" i="62" s="1"/>
  <c r="H220" i="62"/>
  <c r="H125" i="62"/>
  <c r="H183" i="62"/>
  <c r="H339" i="62" s="1"/>
  <c r="H180" i="62"/>
  <c r="H336" i="62" s="1"/>
  <c r="H172" i="62"/>
  <c r="H328" i="62" s="1"/>
  <c r="H189" i="62"/>
  <c r="H345" i="62" s="1"/>
  <c r="H211" i="62"/>
  <c r="H367" i="62" s="1"/>
  <c r="H150" i="62"/>
  <c r="H227" i="62"/>
  <c r="H383" i="62" s="1"/>
  <c r="H223" i="62"/>
  <c r="H379" i="62" s="1"/>
  <c r="H200" i="62"/>
  <c r="H356" i="62" s="1"/>
  <c r="H203" i="62"/>
  <c r="H359" i="62" s="1"/>
  <c r="H177" i="62"/>
  <c r="H228" i="62"/>
  <c r="H218" i="62"/>
  <c r="H374" i="62" s="1"/>
  <c r="H202" i="62"/>
  <c r="H358" i="62" s="1"/>
  <c r="H155" i="62"/>
  <c r="H198" i="62"/>
  <c r="H354" i="62" s="1"/>
  <c r="H192" i="62"/>
  <c r="H348" i="62" s="1"/>
  <c r="H169" i="62"/>
  <c r="H156" i="62"/>
  <c r="H233" i="62"/>
  <c r="H389" i="62" s="1"/>
  <c r="H210" i="62"/>
  <c r="H366" i="62" s="1"/>
  <c r="H186" i="62"/>
  <c r="H342" i="62" s="1"/>
  <c r="H132" i="62"/>
  <c r="H295" i="62" s="1"/>
  <c r="H149" i="62"/>
  <c r="H126" i="62"/>
  <c r="H119" i="62"/>
  <c r="H115" i="62"/>
  <c r="H278" i="62" s="1"/>
  <c r="H116" i="62"/>
  <c r="H92" i="62"/>
  <c r="H255" i="62" s="1"/>
  <c r="H217" i="62"/>
  <c r="H196" i="62"/>
  <c r="H352" i="62" s="1"/>
  <c r="H197" i="62"/>
  <c r="H353" i="62" s="1"/>
  <c r="H174" i="62"/>
  <c r="H226" i="62"/>
  <c r="H382" i="62" s="1"/>
  <c r="H216" i="62"/>
  <c r="H199" i="62"/>
  <c r="H355" i="62" s="1"/>
  <c r="H129" i="62"/>
  <c r="H178" i="62"/>
  <c r="H191" i="62"/>
  <c r="H347" i="62" s="1"/>
  <c r="H168" i="62"/>
  <c r="H153" i="62"/>
  <c r="H236" i="62"/>
  <c r="H232" i="62"/>
  <c r="H388" i="62" s="1"/>
  <c r="H209" i="62"/>
  <c r="H185" i="62"/>
  <c r="H127" i="62"/>
  <c r="H290" i="62" s="1"/>
  <c r="H124" i="62"/>
  <c r="H123" i="62"/>
  <c r="H118" i="62"/>
  <c r="H281" i="62" s="1"/>
  <c r="H114" i="62"/>
  <c r="H162" i="62"/>
  <c r="H215" i="62"/>
  <c r="H371" i="62" s="1"/>
  <c r="H173" i="62"/>
  <c r="H329" i="62" s="1"/>
  <c r="H181" i="62"/>
  <c r="H337" i="62" s="1"/>
  <c r="H154" i="62"/>
  <c r="H224" i="62"/>
  <c r="H214" i="62"/>
  <c r="H370" i="62" s="1"/>
  <c r="H179" i="62"/>
  <c r="H221" i="62"/>
  <c r="H175" i="62"/>
  <c r="H331" i="62" s="1"/>
  <c r="H194" i="62"/>
  <c r="H350" i="62" s="1"/>
  <c r="H190" i="62"/>
  <c r="H346" i="62" s="1"/>
  <c r="H167" i="62"/>
  <c r="H133" i="62"/>
  <c r="H296" i="62" s="1"/>
  <c r="H235" i="62"/>
  <c r="H391" i="62" s="1"/>
  <c r="H212" i="62"/>
  <c r="H208" i="62"/>
  <c r="H364" i="62" s="1"/>
  <c r="H184" i="62"/>
  <c r="H151" i="62"/>
  <c r="H165" i="62"/>
  <c r="H117" i="62"/>
  <c r="H113" i="62"/>
  <c r="H7" i="46"/>
  <c r="H63" i="46" s="1"/>
  <c r="I9" i="62"/>
  <c r="I50" i="62" s="1"/>
  <c r="F9" i="47"/>
  <c r="G10" i="62"/>
  <c r="F8" i="18"/>
  <c r="F8" i="67" s="1"/>
  <c r="F8" i="34"/>
  <c r="F60" i="34" s="1"/>
  <c r="E8" i="63"/>
  <c r="H81" i="46" s="1"/>
  <c r="H7" i="34"/>
  <c r="J8" i="41"/>
  <c r="Q15" i="38" l="1"/>
  <c r="H59" i="34"/>
  <c r="H8" i="47"/>
  <c r="G130" i="62"/>
  <c r="G293" i="62" s="1"/>
  <c r="G131" i="62"/>
  <c r="G294" i="62" s="1"/>
  <c r="G16" i="62"/>
  <c r="G90" i="62"/>
  <c r="P15" i="38"/>
  <c r="R15" i="38"/>
  <c r="M15" i="38"/>
  <c r="H15" i="38"/>
  <c r="G15" i="38"/>
  <c r="J15" i="38"/>
  <c r="O15" i="38"/>
  <c r="L15" i="38"/>
  <c r="K15" i="38"/>
  <c r="I15" i="38"/>
  <c r="N15" i="38"/>
  <c r="F15" i="38"/>
  <c r="F59" i="38" s="1"/>
  <c r="G51" i="62"/>
  <c r="G91" i="62"/>
  <c r="G254" i="62" s="1"/>
  <c r="H62" i="46"/>
  <c r="H71" i="46" s="1"/>
  <c r="H74" i="46" s="1"/>
  <c r="H327" i="62"/>
  <c r="H368" i="62"/>
  <c r="H362" i="62"/>
  <c r="H385" i="62"/>
  <c r="H253" i="62"/>
  <c r="H386" i="62"/>
  <c r="H341" i="62"/>
  <c r="H325" i="62"/>
  <c r="H376" i="62"/>
  <c r="H334" i="62"/>
  <c r="H373" i="62"/>
  <c r="H333" i="62"/>
  <c r="H377" i="62"/>
  <c r="H106" i="62"/>
  <c r="H108" i="62" s="1"/>
  <c r="H392" i="62"/>
  <c r="H380" i="62"/>
  <c r="H120" i="62"/>
  <c r="H372" i="62"/>
  <c r="H277" i="62"/>
  <c r="H340" i="62"/>
  <c r="H279" i="62"/>
  <c r="H238" i="62"/>
  <c r="H275" i="62"/>
  <c r="H282" i="62"/>
  <c r="H360" i="62"/>
  <c r="H276" i="62"/>
  <c r="H289" i="62"/>
  <c r="H384" i="62"/>
  <c r="H280" i="62"/>
  <c r="H365" i="62"/>
  <c r="H292" i="62"/>
  <c r="H330" i="62"/>
  <c r="H335" i="62"/>
  <c r="H86" i="62"/>
  <c r="H134" i="62"/>
  <c r="H21" i="62" s="1"/>
  <c r="G59" i="61" s="1"/>
  <c r="I10" i="62"/>
  <c r="G92" i="62"/>
  <c r="G255" i="62" s="1"/>
  <c r="G126" i="62"/>
  <c r="G128" i="62"/>
  <c r="G114" i="62"/>
  <c r="G116" i="62"/>
  <c r="G118" i="62"/>
  <c r="G133" i="62"/>
  <c r="G296" i="62" s="1"/>
  <c r="G189" i="62"/>
  <c r="G190" i="62"/>
  <c r="G191" i="62"/>
  <c r="G192" i="62"/>
  <c r="G193" i="62"/>
  <c r="G194" i="62"/>
  <c r="G214" i="62"/>
  <c r="G215" i="62"/>
  <c r="G216" i="62"/>
  <c r="G217" i="62"/>
  <c r="G218" i="62"/>
  <c r="G173" i="62"/>
  <c r="G174" i="62"/>
  <c r="G175" i="62"/>
  <c r="G196" i="62"/>
  <c r="G197" i="62"/>
  <c r="G198" i="62"/>
  <c r="G199" i="62"/>
  <c r="G200" i="62"/>
  <c r="G113" i="62"/>
  <c r="G127" i="62"/>
  <c r="G129" i="62"/>
  <c r="G179" i="62"/>
  <c r="G183" i="62"/>
  <c r="G184" i="62"/>
  <c r="G185" i="62"/>
  <c r="G186" i="62"/>
  <c r="G187" i="62"/>
  <c r="G202" i="62"/>
  <c r="G206" i="62"/>
  <c r="G209" i="62"/>
  <c r="G211" i="62"/>
  <c r="G220" i="62"/>
  <c r="G224" i="62"/>
  <c r="G226" i="62"/>
  <c r="G228" i="62"/>
  <c r="G230" i="62"/>
  <c r="G119" i="62"/>
  <c r="G180" i="62"/>
  <c r="G203" i="62"/>
  <c r="G223" i="62"/>
  <c r="G233" i="62"/>
  <c r="G235" i="62"/>
  <c r="G115" i="62"/>
  <c r="G210" i="62"/>
  <c r="G229" i="62"/>
  <c r="G232" i="62"/>
  <c r="G132" i="62"/>
  <c r="G295" i="62" s="1"/>
  <c r="G208" i="62"/>
  <c r="G221" i="62"/>
  <c r="G222" i="62"/>
  <c r="G227" i="62"/>
  <c r="G177" i="62"/>
  <c r="G181" i="62"/>
  <c r="G204" i="62"/>
  <c r="G212" i="62"/>
  <c r="G205" i="62"/>
  <c r="G178" i="62"/>
  <c r="G117" i="62"/>
  <c r="G236" i="62"/>
  <c r="G234" i="62"/>
  <c r="G390" i="62" s="1"/>
  <c r="F7" i="63"/>
  <c r="I80" i="46" s="1"/>
  <c r="H76" i="46"/>
  <c r="E20" i="63" s="1"/>
  <c r="H8" i="46"/>
  <c r="H9" i="47"/>
  <c r="H8" i="34"/>
  <c r="H60" i="34" s="1"/>
  <c r="H8" i="18"/>
  <c r="H8" i="67" s="1"/>
  <c r="J9" i="41"/>
  <c r="I130" i="62" l="1"/>
  <c r="I293" i="62" s="1"/>
  <c r="I131" i="62"/>
  <c r="I294" i="62" s="1"/>
  <c r="G59" i="38"/>
  <c r="H59" i="38" s="1"/>
  <c r="I59" i="38" s="1"/>
  <c r="J59" i="38" s="1"/>
  <c r="K59" i="38" s="1"/>
  <c r="L59" i="38" s="1"/>
  <c r="M59" i="38" s="1"/>
  <c r="N59" i="38" s="1"/>
  <c r="O59" i="38" s="1"/>
  <c r="P59" i="38" s="1"/>
  <c r="Q59" i="38" s="1"/>
  <c r="R59" i="38" s="1"/>
  <c r="I252" i="62"/>
  <c r="I90" i="62"/>
  <c r="I253" i="62" s="1"/>
  <c r="I16" i="62"/>
  <c r="H17" i="62"/>
  <c r="G55" i="61" s="1"/>
  <c r="G30" i="67"/>
  <c r="H19" i="62"/>
  <c r="G24" i="67"/>
  <c r="H20" i="62"/>
  <c r="G58" i="61" s="1"/>
  <c r="G25" i="67"/>
  <c r="H22" i="62"/>
  <c r="G60" i="61" s="1"/>
  <c r="G26" i="67"/>
  <c r="I143" i="62"/>
  <c r="I91" i="62"/>
  <c r="I254" i="62" s="1"/>
  <c r="H85" i="46"/>
  <c r="I51" i="62"/>
  <c r="I214" i="62"/>
  <c r="I370" i="62" s="1"/>
  <c r="I129" i="62"/>
  <c r="I292" i="62" s="1"/>
  <c r="I230" i="62"/>
  <c r="I386" i="62" s="1"/>
  <c r="I194" i="62"/>
  <c r="I350" i="62" s="1"/>
  <c r="I203" i="62"/>
  <c r="I359" i="62" s="1"/>
  <c r="I166" i="62"/>
  <c r="I236" i="62"/>
  <c r="I392" i="62" s="1"/>
  <c r="I151" i="62"/>
  <c r="I114" i="62"/>
  <c r="I277" i="62" s="1"/>
  <c r="I223" i="62"/>
  <c r="I379" i="62" s="1"/>
  <c r="I165" i="62"/>
  <c r="I199" i="62"/>
  <c r="I355" i="62" s="1"/>
  <c r="I220" i="62"/>
  <c r="I376" i="62" s="1"/>
  <c r="I212" i="62"/>
  <c r="I368" i="62" s="1"/>
  <c r="I193" i="62"/>
  <c r="I349" i="62" s="1"/>
  <c r="I234" i="62"/>
  <c r="I390" i="62" s="1"/>
  <c r="I156" i="62"/>
  <c r="I229" i="62"/>
  <c r="I385" i="62" s="1"/>
  <c r="I202" i="62"/>
  <c r="I358" i="62" s="1"/>
  <c r="I150" i="62"/>
  <c r="I113" i="62"/>
  <c r="I276" i="62" s="1"/>
  <c r="I123" i="62"/>
  <c r="I208" i="62"/>
  <c r="I364" i="62" s="1"/>
  <c r="I221" i="62"/>
  <c r="I377" i="62" s="1"/>
  <c r="I190" i="62"/>
  <c r="I346" i="62" s="1"/>
  <c r="I217" i="62"/>
  <c r="I373" i="62" s="1"/>
  <c r="I185" i="62"/>
  <c r="I341" i="62" s="1"/>
  <c r="I226" i="62"/>
  <c r="I382" i="62" s="1"/>
  <c r="I179" i="62"/>
  <c r="I335" i="62" s="1"/>
  <c r="I118" i="62"/>
  <c r="I281" i="62" s="1"/>
  <c r="I128" i="62"/>
  <c r="I291" i="62" s="1"/>
  <c r="I173" i="62"/>
  <c r="I329" i="62" s="1"/>
  <c r="I218" i="62"/>
  <c r="I374" i="62" s="1"/>
  <c r="I210" i="62"/>
  <c r="I366" i="62" s="1"/>
  <c r="I211" i="62"/>
  <c r="I367" i="62" s="1"/>
  <c r="I189" i="62"/>
  <c r="I345" i="62" s="1"/>
  <c r="I215" i="62"/>
  <c r="I371" i="62" s="1"/>
  <c r="I184" i="62"/>
  <c r="I340" i="62" s="1"/>
  <c r="I206" i="62"/>
  <c r="I362" i="62" s="1"/>
  <c r="I178" i="62"/>
  <c r="I334" i="62" s="1"/>
  <c r="I117" i="62"/>
  <c r="I280" i="62" s="1"/>
  <c r="I127" i="62"/>
  <c r="I290" i="62" s="1"/>
  <c r="H297" i="62"/>
  <c r="H249" i="62"/>
  <c r="H256" i="62"/>
  <c r="H271" i="62"/>
  <c r="G86" i="62"/>
  <c r="H94" i="62"/>
  <c r="I153" i="62"/>
  <c r="I196" i="62"/>
  <c r="I352" i="62" s="1"/>
  <c r="I216" i="62"/>
  <c r="I372" i="62" s="1"/>
  <c r="I172" i="62"/>
  <c r="I328" i="62" s="1"/>
  <c r="I154" i="62"/>
  <c r="I169" i="62"/>
  <c r="I325" i="62" s="1"/>
  <c r="I209" i="62"/>
  <c r="I365" i="62" s="1"/>
  <c r="I192" i="62"/>
  <c r="I348" i="62" s="1"/>
  <c r="I175" i="62"/>
  <c r="I331" i="62" s="1"/>
  <c r="I232" i="62"/>
  <c r="I388" i="62" s="1"/>
  <c r="I197" i="62"/>
  <c r="I353" i="62" s="1"/>
  <c r="I187" i="62"/>
  <c r="I343" i="62" s="1"/>
  <c r="I183" i="62"/>
  <c r="I339" i="62" s="1"/>
  <c r="I228" i="62"/>
  <c r="I384" i="62" s="1"/>
  <c r="I205" i="62"/>
  <c r="I361" i="62" s="1"/>
  <c r="I181" i="62"/>
  <c r="I337" i="62" s="1"/>
  <c r="I177" i="62"/>
  <c r="I333" i="62" s="1"/>
  <c r="I149" i="62"/>
  <c r="I162" i="62"/>
  <c r="I133" i="62"/>
  <c r="I296" i="62" s="1"/>
  <c r="I92" i="62"/>
  <c r="I255" i="62" s="1"/>
  <c r="I116" i="62"/>
  <c r="I279" i="62" s="1"/>
  <c r="I112" i="62"/>
  <c r="I275" i="62" s="1"/>
  <c r="I126" i="62"/>
  <c r="I289" i="62" s="1"/>
  <c r="H394" i="62"/>
  <c r="I224" i="62"/>
  <c r="I380" i="62" s="1"/>
  <c r="I168" i="62"/>
  <c r="I200" i="62"/>
  <c r="I356" i="62" s="1"/>
  <c r="I235" i="62"/>
  <c r="I391" i="62" s="1"/>
  <c r="I233" i="62"/>
  <c r="I389" i="62" s="1"/>
  <c r="I167" i="62"/>
  <c r="I198" i="62"/>
  <c r="I354" i="62" s="1"/>
  <c r="I191" i="62"/>
  <c r="I347" i="62" s="1"/>
  <c r="I171" i="62"/>
  <c r="I327" i="62" s="1"/>
  <c r="I222" i="62"/>
  <c r="I378" i="62" s="1"/>
  <c r="I174" i="62"/>
  <c r="I330" i="62" s="1"/>
  <c r="I186" i="62"/>
  <c r="I342" i="62" s="1"/>
  <c r="I157" i="62"/>
  <c r="I227" i="62"/>
  <c r="I383" i="62" s="1"/>
  <c r="I204" i="62"/>
  <c r="I360" i="62" s="1"/>
  <c r="I180" i="62"/>
  <c r="I336" i="62" s="1"/>
  <c r="I155" i="62"/>
  <c r="I132" i="62"/>
  <c r="I295" i="62" s="1"/>
  <c r="I119" i="62"/>
  <c r="I282" i="62" s="1"/>
  <c r="I115" i="62"/>
  <c r="I278" i="62" s="1"/>
  <c r="I125" i="62"/>
  <c r="H136" i="62"/>
  <c r="H283" i="62"/>
  <c r="G280" i="62"/>
  <c r="G333" i="62"/>
  <c r="G366" i="62"/>
  <c r="G359" i="62"/>
  <c r="G382" i="62"/>
  <c r="G342" i="62"/>
  <c r="G134" i="62"/>
  <c r="G21" i="62" s="1"/>
  <c r="F59" i="61" s="1"/>
  <c r="G286" i="62"/>
  <c r="G330" i="62"/>
  <c r="G372" i="62"/>
  <c r="G345" i="62"/>
  <c r="G322" i="62"/>
  <c r="G245" i="62"/>
  <c r="G304" i="62"/>
  <c r="G266" i="62"/>
  <c r="I7" i="46"/>
  <c r="I62" i="46" s="1"/>
  <c r="J9" i="62"/>
  <c r="J50" i="62" s="1"/>
  <c r="G300" i="62"/>
  <c r="G368" i="62"/>
  <c r="G383" i="62"/>
  <c r="G321" i="62"/>
  <c r="G391" i="62"/>
  <c r="G336" i="62"/>
  <c r="G246" i="62"/>
  <c r="G380" i="62"/>
  <c r="G362" i="62"/>
  <c r="G341" i="62"/>
  <c r="G315" i="62"/>
  <c r="G276" i="62"/>
  <c r="G353" i="62"/>
  <c r="G329" i="62"/>
  <c r="G316" i="62"/>
  <c r="G371" i="62"/>
  <c r="G348" i="62"/>
  <c r="G325" i="62"/>
  <c r="G312" i="62"/>
  <c r="G279" i="62"/>
  <c r="G311" i="62"/>
  <c r="G307" i="62"/>
  <c r="G303" i="62"/>
  <c r="G287" i="62"/>
  <c r="G269" i="62"/>
  <c r="G265" i="62"/>
  <c r="G334" i="62"/>
  <c r="G360" i="62"/>
  <c r="G378" i="62"/>
  <c r="G388" i="62"/>
  <c r="G319" i="62"/>
  <c r="G389" i="62"/>
  <c r="G301" i="62"/>
  <c r="G386" i="62"/>
  <c r="G376" i="62"/>
  <c r="G358" i="62"/>
  <c r="G340" i="62"/>
  <c r="G292" i="62"/>
  <c r="G356" i="62"/>
  <c r="G352" i="62"/>
  <c r="G328" i="62"/>
  <c r="G374" i="62"/>
  <c r="G370" i="62"/>
  <c r="G347" i="62"/>
  <c r="G324" i="62"/>
  <c r="G277" i="62"/>
  <c r="G310" i="62"/>
  <c r="G306" i="62"/>
  <c r="G238" i="62"/>
  <c r="G299" i="62"/>
  <c r="G248" i="62"/>
  <c r="G253" i="62"/>
  <c r="G268" i="62"/>
  <c r="G264" i="62"/>
  <c r="G313" i="62"/>
  <c r="G364" i="62"/>
  <c r="G278" i="62"/>
  <c r="G274" i="62"/>
  <c r="G120" i="62"/>
  <c r="G365" i="62"/>
  <c r="G335" i="62"/>
  <c r="G354" i="62"/>
  <c r="G318" i="62"/>
  <c r="G349" i="62"/>
  <c r="G281" i="62"/>
  <c r="G247" i="62"/>
  <c r="G289" i="62"/>
  <c r="G270" i="62"/>
  <c r="G106" i="62"/>
  <c r="G262" i="62"/>
  <c r="G392" i="62"/>
  <c r="G361" i="62"/>
  <c r="G337" i="62"/>
  <c r="G377" i="62"/>
  <c r="G385" i="62"/>
  <c r="G317" i="62"/>
  <c r="G379" i="62"/>
  <c r="G282" i="62"/>
  <c r="G384" i="62"/>
  <c r="G367" i="62"/>
  <c r="G343" i="62"/>
  <c r="G339" i="62"/>
  <c r="G290" i="62"/>
  <c r="G355" i="62"/>
  <c r="G331" i="62"/>
  <c r="G327" i="62"/>
  <c r="G373" i="62"/>
  <c r="G350" i="62"/>
  <c r="G346" i="62"/>
  <c r="G323" i="62"/>
  <c r="G288" i="62"/>
  <c r="G275" i="62"/>
  <c r="G309" i="62"/>
  <c r="G305" i="62"/>
  <c r="G291" i="62"/>
  <c r="G244" i="62"/>
  <c r="G252" i="62"/>
  <c r="G267" i="62"/>
  <c r="G263" i="62"/>
  <c r="H45" i="18"/>
  <c r="H77" i="46"/>
  <c r="I7" i="34"/>
  <c r="F8" i="63"/>
  <c r="I81" i="46" s="1"/>
  <c r="I59" i="34" l="1"/>
  <c r="I8" i="47"/>
  <c r="G57" i="61"/>
  <c r="H31" i="62"/>
  <c r="G27" i="67"/>
  <c r="G32" i="67" s="1"/>
  <c r="G22" i="62"/>
  <c r="F60" i="61" s="1"/>
  <c r="F26" i="67"/>
  <c r="H18" i="62"/>
  <c r="G56" i="61" s="1"/>
  <c r="G33" i="67"/>
  <c r="G17" i="62"/>
  <c r="F55" i="61" s="1"/>
  <c r="F30" i="67"/>
  <c r="F31" i="67" s="1"/>
  <c r="G39" i="67"/>
  <c r="G36" i="67"/>
  <c r="G31" i="67"/>
  <c r="G40" i="67"/>
  <c r="G19" i="62"/>
  <c r="F24" i="67"/>
  <c r="G20" i="62"/>
  <c r="F58" i="61" s="1"/>
  <c r="F25" i="67"/>
  <c r="G38" i="67"/>
  <c r="H114" i="67"/>
  <c r="I297" i="62"/>
  <c r="I106" i="62"/>
  <c r="I108" i="62" s="1"/>
  <c r="H239" i="62"/>
  <c r="I134" i="62"/>
  <c r="I21" i="62" s="1"/>
  <c r="H59" i="61" s="1"/>
  <c r="H137" i="62"/>
  <c r="I238" i="62"/>
  <c r="H258" i="62"/>
  <c r="H398" i="62" s="1"/>
  <c r="I120" i="62"/>
  <c r="I86" i="62"/>
  <c r="I63" i="46"/>
  <c r="I76" i="46" s="1"/>
  <c r="G249" i="62"/>
  <c r="G136" i="62"/>
  <c r="G239" i="62" s="1"/>
  <c r="I256" i="62"/>
  <c r="I8" i="34"/>
  <c r="I60" i="34" s="1"/>
  <c r="J10" i="62"/>
  <c r="G271" i="62"/>
  <c r="G94" i="62"/>
  <c r="G256" i="62"/>
  <c r="G283" i="62"/>
  <c r="G394" i="62"/>
  <c r="G297" i="62"/>
  <c r="I8" i="46"/>
  <c r="I8" i="18"/>
  <c r="I8" i="67" s="1"/>
  <c r="I9" i="47"/>
  <c r="G7" i="63"/>
  <c r="J80" i="46" s="1"/>
  <c r="J131" i="62" l="1"/>
  <c r="J294" i="62" s="1"/>
  <c r="J130" i="62"/>
  <c r="J293" i="62" s="1"/>
  <c r="J16" i="62"/>
  <c r="J90" i="62"/>
  <c r="J253" i="62" s="1"/>
  <c r="J252" i="62"/>
  <c r="G35" i="67"/>
  <c r="G28" i="67"/>
  <c r="G61" i="61"/>
  <c r="F57" i="61"/>
  <c r="G31" i="62"/>
  <c r="G32" i="62" s="1"/>
  <c r="H23" i="62"/>
  <c r="I17" i="62"/>
  <c r="H55" i="61" s="1"/>
  <c r="H30" i="67"/>
  <c r="G18" i="62"/>
  <c r="G23" i="62" s="1"/>
  <c r="F33" i="67"/>
  <c r="I20" i="62"/>
  <c r="H58" i="61" s="1"/>
  <c r="H25" i="67"/>
  <c r="F27" i="67"/>
  <c r="F32" i="67" s="1"/>
  <c r="I22" i="62"/>
  <c r="H60" i="61" s="1"/>
  <c r="H26" i="67"/>
  <c r="I19" i="62"/>
  <c r="H24" i="67"/>
  <c r="G34" i="67"/>
  <c r="G37" i="67"/>
  <c r="J91" i="62"/>
  <c r="J254" i="62" s="1"/>
  <c r="J51" i="62"/>
  <c r="J143" i="62"/>
  <c r="I394" i="62"/>
  <c r="H400" i="62"/>
  <c r="I45" i="18"/>
  <c r="F20" i="63"/>
  <c r="I71" i="46"/>
  <c r="I74" i="46" s="1"/>
  <c r="I77" i="46" s="1"/>
  <c r="I283" i="62"/>
  <c r="I271" i="62"/>
  <c r="I249" i="62"/>
  <c r="I94" i="62"/>
  <c r="I136" i="62"/>
  <c r="I239" i="62" s="1"/>
  <c r="J92" i="62"/>
  <c r="J255" i="62" s="1"/>
  <c r="J123" i="62"/>
  <c r="J112" i="62"/>
  <c r="J275" i="62" s="1"/>
  <c r="J113" i="62"/>
  <c r="J276" i="62" s="1"/>
  <c r="J114" i="62"/>
  <c r="J277" i="62" s="1"/>
  <c r="J115" i="62"/>
  <c r="J278" i="62" s="1"/>
  <c r="J116" i="62"/>
  <c r="J279" i="62" s="1"/>
  <c r="J117" i="62"/>
  <c r="J280" i="62" s="1"/>
  <c r="J118" i="62"/>
  <c r="J281" i="62" s="1"/>
  <c r="J119" i="62"/>
  <c r="J282" i="62" s="1"/>
  <c r="J125" i="62"/>
  <c r="J127" i="62"/>
  <c r="J290" i="62" s="1"/>
  <c r="J153" i="62"/>
  <c r="J154" i="62"/>
  <c r="J155" i="62"/>
  <c r="J156" i="62"/>
  <c r="J157" i="62"/>
  <c r="J129" i="62"/>
  <c r="J292" i="62" s="1"/>
  <c r="J132" i="62"/>
  <c r="J295" i="62" s="1"/>
  <c r="J133" i="62"/>
  <c r="J296" i="62" s="1"/>
  <c r="J126" i="62"/>
  <c r="J289" i="62" s="1"/>
  <c r="J165" i="62"/>
  <c r="J171" i="62"/>
  <c r="J327" i="62" s="1"/>
  <c r="J172" i="62"/>
  <c r="J328" i="62" s="1"/>
  <c r="J173" i="62"/>
  <c r="J329" i="62" s="1"/>
  <c r="J174" i="62"/>
  <c r="J330" i="62" s="1"/>
  <c r="J175" i="62"/>
  <c r="J331" i="62" s="1"/>
  <c r="J196" i="62"/>
  <c r="J352" i="62" s="1"/>
  <c r="J197" i="62"/>
  <c r="J353" i="62" s="1"/>
  <c r="J198" i="62"/>
  <c r="J354" i="62" s="1"/>
  <c r="J199" i="62"/>
  <c r="J355" i="62" s="1"/>
  <c r="J200" i="62"/>
  <c r="J356" i="62" s="1"/>
  <c r="J220" i="62"/>
  <c r="J376" i="62" s="1"/>
  <c r="J221" i="62"/>
  <c r="J377" i="62" s="1"/>
  <c r="J222" i="62"/>
  <c r="J378" i="62" s="1"/>
  <c r="J223" i="62"/>
  <c r="J379" i="62" s="1"/>
  <c r="J224" i="62"/>
  <c r="J380" i="62" s="1"/>
  <c r="J149" i="62"/>
  <c r="J150" i="62"/>
  <c r="J151" i="62"/>
  <c r="J177" i="62"/>
  <c r="J333" i="62" s="1"/>
  <c r="J178" i="62"/>
  <c r="J334" i="62" s="1"/>
  <c r="J179" i="62"/>
  <c r="J335" i="62" s="1"/>
  <c r="J180" i="62"/>
  <c r="J336" i="62" s="1"/>
  <c r="J181" i="62"/>
  <c r="J337" i="62" s="1"/>
  <c r="J202" i="62"/>
  <c r="J358" i="62" s="1"/>
  <c r="J203" i="62"/>
  <c r="J359" i="62" s="1"/>
  <c r="J204" i="62"/>
  <c r="J360" i="62" s="1"/>
  <c r="J205" i="62"/>
  <c r="J361" i="62" s="1"/>
  <c r="J206" i="62"/>
  <c r="J362" i="62" s="1"/>
  <c r="J162" i="62"/>
  <c r="J166" i="62"/>
  <c r="J167" i="62"/>
  <c r="J168" i="62"/>
  <c r="J169" i="62"/>
  <c r="J325" i="62" s="1"/>
  <c r="J208" i="62"/>
  <c r="J364" i="62" s="1"/>
  <c r="J210" i="62"/>
  <c r="J366" i="62" s="1"/>
  <c r="J212" i="62"/>
  <c r="J368" i="62" s="1"/>
  <c r="J227" i="62"/>
  <c r="J383" i="62" s="1"/>
  <c r="J229" i="62"/>
  <c r="J385" i="62" s="1"/>
  <c r="J183" i="62"/>
  <c r="J339" i="62" s="1"/>
  <c r="J184" i="62"/>
  <c r="J340" i="62" s="1"/>
  <c r="J185" i="62"/>
  <c r="J341" i="62" s="1"/>
  <c r="J186" i="62"/>
  <c r="J342" i="62" s="1"/>
  <c r="J187" i="62"/>
  <c r="J343" i="62" s="1"/>
  <c r="J215" i="62"/>
  <c r="J371" i="62" s="1"/>
  <c r="J217" i="62"/>
  <c r="J373" i="62" s="1"/>
  <c r="J232" i="62"/>
  <c r="J388" i="62" s="1"/>
  <c r="J234" i="62"/>
  <c r="J390" i="62" s="1"/>
  <c r="J236" i="62"/>
  <c r="J392" i="62" s="1"/>
  <c r="J191" i="62"/>
  <c r="J347" i="62" s="1"/>
  <c r="J211" i="62"/>
  <c r="J367" i="62" s="1"/>
  <c r="J216" i="62"/>
  <c r="J372" i="62" s="1"/>
  <c r="J230" i="62"/>
  <c r="J386" i="62" s="1"/>
  <c r="J235" i="62"/>
  <c r="J391" i="62" s="1"/>
  <c r="J190" i="62"/>
  <c r="J346" i="62" s="1"/>
  <c r="J194" i="62"/>
  <c r="J350" i="62" s="1"/>
  <c r="J209" i="62"/>
  <c r="J365" i="62" s="1"/>
  <c r="J214" i="62"/>
  <c r="J370" i="62" s="1"/>
  <c r="J228" i="62"/>
  <c r="J384" i="62" s="1"/>
  <c r="J233" i="62"/>
  <c r="J389" i="62" s="1"/>
  <c r="J128" i="62"/>
  <c r="J291" i="62" s="1"/>
  <c r="J189" i="62"/>
  <c r="J345" i="62" s="1"/>
  <c r="J193" i="62"/>
  <c r="J349" i="62" s="1"/>
  <c r="J218" i="62"/>
  <c r="J374" i="62" s="1"/>
  <c r="J226" i="62"/>
  <c r="J382" i="62" s="1"/>
  <c r="J192" i="62"/>
  <c r="J348" i="62" s="1"/>
  <c r="G258" i="62"/>
  <c r="G398" i="62" s="1"/>
  <c r="J7" i="46"/>
  <c r="J62" i="46" s="1"/>
  <c r="K9" i="62"/>
  <c r="K50" i="62" s="1"/>
  <c r="G137" i="62"/>
  <c r="G8" i="63"/>
  <c r="J81" i="46" s="1"/>
  <c r="J7" i="34"/>
  <c r="G92" i="61" l="1"/>
  <c r="G39" i="34"/>
  <c r="F43" i="34" s="1"/>
  <c r="H423" i="62"/>
  <c r="H420" i="62"/>
  <c r="J59" i="34"/>
  <c r="J8" i="47"/>
  <c r="H27" i="62"/>
  <c r="G21" i="67" s="1"/>
  <c r="G10" i="67" s="1"/>
  <c r="G12" i="34"/>
  <c r="H417" i="62"/>
  <c r="H57" i="61"/>
  <c r="I31" i="62"/>
  <c r="G93" i="61"/>
  <c r="H459" i="62"/>
  <c r="G94" i="61"/>
  <c r="H405" i="62"/>
  <c r="H38" i="62" s="1"/>
  <c r="F56" i="61"/>
  <c r="F61" i="61" s="1"/>
  <c r="H38" i="67"/>
  <c r="G405" i="62"/>
  <c r="G38" i="62" s="1"/>
  <c r="H40" i="67"/>
  <c r="H39" i="67"/>
  <c r="H36" i="67"/>
  <c r="H31" i="67"/>
  <c r="I18" i="62"/>
  <c r="I23" i="62" s="1"/>
  <c r="H65" i="61" s="1"/>
  <c r="H33" i="67"/>
  <c r="H27" i="67"/>
  <c r="I114" i="67"/>
  <c r="J297" i="62"/>
  <c r="I258" i="62"/>
  <c r="I398" i="62" s="1"/>
  <c r="G27" i="62"/>
  <c r="F21" i="67" s="1"/>
  <c r="F10" i="67" s="1"/>
  <c r="G400" i="62"/>
  <c r="I85" i="46"/>
  <c r="H414" i="62"/>
  <c r="H35" i="62"/>
  <c r="G22" i="34"/>
  <c r="J63" i="46"/>
  <c r="J71" i="46" s="1"/>
  <c r="J74" i="46" s="1"/>
  <c r="G417" i="62"/>
  <c r="G459" i="62"/>
  <c r="H408" i="62"/>
  <c r="H411" i="62"/>
  <c r="I137" i="62"/>
  <c r="J238" i="62"/>
  <c r="J134" i="62"/>
  <c r="J21" i="62" s="1"/>
  <c r="I59" i="61" s="1"/>
  <c r="J86" i="62"/>
  <c r="J9" i="47"/>
  <c r="K10" i="62"/>
  <c r="J106" i="62"/>
  <c r="J108" i="62" s="1"/>
  <c r="J120" i="62"/>
  <c r="J8" i="34"/>
  <c r="J60" i="34" s="1"/>
  <c r="H7" i="63"/>
  <c r="K80" i="46" s="1"/>
  <c r="J8" i="46"/>
  <c r="J8" i="18"/>
  <c r="J8" i="67" s="1"/>
  <c r="J76" i="46"/>
  <c r="G20" i="63" s="1"/>
  <c r="E27" i="38"/>
  <c r="D27" i="38" s="1"/>
  <c r="C24" i="63" l="1"/>
  <c r="F49" i="18"/>
  <c r="F81" i="67" s="1"/>
  <c r="G414" i="62"/>
  <c r="G420" i="62"/>
  <c r="G423" i="62"/>
  <c r="K130" i="62"/>
  <c r="K293" i="62" s="1"/>
  <c r="K131" i="62"/>
  <c r="K294" i="62" s="1"/>
  <c r="K16" i="62"/>
  <c r="K252" i="62"/>
  <c r="K90" i="62"/>
  <c r="K253" i="62" s="1"/>
  <c r="G22" i="67"/>
  <c r="G48" i="67" s="1"/>
  <c r="Q128" i="38"/>
  <c r="G128" i="38"/>
  <c r="I128" i="38"/>
  <c r="O128" i="38"/>
  <c r="M128" i="38"/>
  <c r="F128" i="38"/>
  <c r="H128" i="38"/>
  <c r="N128" i="38"/>
  <c r="L128" i="38"/>
  <c r="J128" i="38"/>
  <c r="K128" i="38"/>
  <c r="P128" i="38"/>
  <c r="R128" i="38"/>
  <c r="H56" i="61"/>
  <c r="H61" i="61" s="1"/>
  <c r="H28" i="67"/>
  <c r="H35" i="67"/>
  <c r="H32" i="67"/>
  <c r="J22" i="62"/>
  <c r="I60" i="61" s="1"/>
  <c r="I26" i="67"/>
  <c r="J19" i="62"/>
  <c r="I24" i="67"/>
  <c r="I405" i="62"/>
  <c r="I38" i="62" s="1"/>
  <c r="H37" i="67"/>
  <c r="H34" i="67"/>
  <c r="J20" i="62"/>
  <c r="I58" i="61" s="1"/>
  <c r="I25" i="67"/>
  <c r="J17" i="62"/>
  <c r="I55" i="61" s="1"/>
  <c r="I30" i="67"/>
  <c r="F22" i="67"/>
  <c r="I400" i="62"/>
  <c r="K91" i="62"/>
  <c r="K254" i="62" s="1"/>
  <c r="H12" i="34"/>
  <c r="K51" i="62"/>
  <c r="K143" i="62"/>
  <c r="G35" i="62"/>
  <c r="I27" i="62"/>
  <c r="H21" i="67" s="1"/>
  <c r="H10" i="67" s="1"/>
  <c r="G411" i="62"/>
  <c r="G39" i="62" s="1"/>
  <c r="H94" i="61"/>
  <c r="H92" i="61"/>
  <c r="H93" i="61"/>
  <c r="G408" i="62"/>
  <c r="H425" i="62"/>
  <c r="J85" i="46"/>
  <c r="H39" i="34"/>
  <c r="H39" i="62"/>
  <c r="I417" i="62"/>
  <c r="H22" i="34"/>
  <c r="I459" i="62"/>
  <c r="J283" i="62"/>
  <c r="J271" i="62"/>
  <c r="K7" i="46"/>
  <c r="K63" i="46" s="1"/>
  <c r="L9" i="62"/>
  <c r="L50" i="62" s="1"/>
  <c r="J136" i="62"/>
  <c r="J239" i="62" s="1"/>
  <c r="J94" i="62"/>
  <c r="J256" i="62"/>
  <c r="J249" i="62"/>
  <c r="K92" i="62"/>
  <c r="K255" i="62" s="1"/>
  <c r="K149" i="62"/>
  <c r="K150" i="62"/>
  <c r="K151" i="62"/>
  <c r="K112" i="62"/>
  <c r="K275" i="62" s="1"/>
  <c r="K113" i="62"/>
  <c r="K276" i="62" s="1"/>
  <c r="K114" i="62"/>
  <c r="K277" i="62" s="1"/>
  <c r="K115" i="62"/>
  <c r="K278" i="62" s="1"/>
  <c r="K116" i="62"/>
  <c r="K279" i="62" s="1"/>
  <c r="K117" i="62"/>
  <c r="K280" i="62" s="1"/>
  <c r="K118" i="62"/>
  <c r="K281" i="62" s="1"/>
  <c r="K119" i="62"/>
  <c r="K282" i="62" s="1"/>
  <c r="K123" i="62"/>
  <c r="K125" i="62"/>
  <c r="K127" i="62"/>
  <c r="K290" i="62" s="1"/>
  <c r="K153" i="62"/>
  <c r="K154" i="62"/>
  <c r="K155" i="62"/>
  <c r="K128" i="62"/>
  <c r="K291" i="62" s="1"/>
  <c r="K129" i="62"/>
  <c r="K292" i="62" s="1"/>
  <c r="K162" i="62"/>
  <c r="K166" i="62"/>
  <c r="K167" i="62"/>
  <c r="K168" i="62"/>
  <c r="K169" i="62"/>
  <c r="K325" i="62" s="1"/>
  <c r="K189" i="62"/>
  <c r="K345" i="62" s="1"/>
  <c r="K190" i="62"/>
  <c r="K346" i="62" s="1"/>
  <c r="K191" i="62"/>
  <c r="K347" i="62" s="1"/>
  <c r="K192" i="62"/>
  <c r="K348" i="62" s="1"/>
  <c r="K193" i="62"/>
  <c r="K349" i="62" s="1"/>
  <c r="K194" i="62"/>
  <c r="K350" i="62" s="1"/>
  <c r="K214" i="62"/>
  <c r="K370" i="62" s="1"/>
  <c r="K215" i="62"/>
  <c r="K371" i="62" s="1"/>
  <c r="K216" i="62"/>
  <c r="K372" i="62" s="1"/>
  <c r="K217" i="62"/>
  <c r="K373" i="62" s="1"/>
  <c r="K218" i="62"/>
  <c r="K374" i="62" s="1"/>
  <c r="K126" i="62"/>
  <c r="K289" i="62" s="1"/>
  <c r="K132" i="62"/>
  <c r="K295" i="62" s="1"/>
  <c r="K165" i="62"/>
  <c r="K171" i="62"/>
  <c r="K327" i="62" s="1"/>
  <c r="K172" i="62"/>
  <c r="K328" i="62" s="1"/>
  <c r="K173" i="62"/>
  <c r="K329" i="62" s="1"/>
  <c r="K174" i="62"/>
  <c r="K330" i="62" s="1"/>
  <c r="K175" i="62"/>
  <c r="K331" i="62" s="1"/>
  <c r="K196" i="62"/>
  <c r="K352" i="62" s="1"/>
  <c r="K197" i="62"/>
  <c r="K353" i="62" s="1"/>
  <c r="K198" i="62"/>
  <c r="K354" i="62" s="1"/>
  <c r="K199" i="62"/>
  <c r="K355" i="62" s="1"/>
  <c r="K200" i="62"/>
  <c r="K356" i="62" s="1"/>
  <c r="K157" i="62"/>
  <c r="K177" i="62"/>
  <c r="K333" i="62" s="1"/>
  <c r="K181" i="62"/>
  <c r="K337" i="62" s="1"/>
  <c r="K204" i="62"/>
  <c r="K360" i="62" s="1"/>
  <c r="K223" i="62"/>
  <c r="K379" i="62" s="1"/>
  <c r="K233" i="62"/>
  <c r="K389" i="62" s="1"/>
  <c r="K235" i="62"/>
  <c r="K391" i="62" s="1"/>
  <c r="K156" i="62"/>
  <c r="K178" i="62"/>
  <c r="K334" i="62" s="1"/>
  <c r="K205" i="62"/>
  <c r="K361" i="62" s="1"/>
  <c r="K208" i="62"/>
  <c r="K364" i="62" s="1"/>
  <c r="K210" i="62"/>
  <c r="K366" i="62" s="1"/>
  <c r="K212" i="62"/>
  <c r="K368" i="62" s="1"/>
  <c r="K222" i="62"/>
  <c r="K378" i="62" s="1"/>
  <c r="K227" i="62"/>
  <c r="K383" i="62" s="1"/>
  <c r="K229" i="62"/>
  <c r="K385" i="62" s="1"/>
  <c r="K234" i="62"/>
  <c r="K390" i="62" s="1"/>
  <c r="K179" i="62"/>
  <c r="K335" i="62" s="1"/>
  <c r="K180" i="62"/>
  <c r="K336" i="62" s="1"/>
  <c r="K184" i="62"/>
  <c r="K340" i="62" s="1"/>
  <c r="K186" i="62"/>
  <c r="K342" i="62" s="1"/>
  <c r="K202" i="62"/>
  <c r="K358" i="62" s="1"/>
  <c r="K203" i="62"/>
  <c r="K359" i="62" s="1"/>
  <c r="K206" i="62"/>
  <c r="K362" i="62" s="1"/>
  <c r="K211" i="62"/>
  <c r="K367" i="62" s="1"/>
  <c r="K230" i="62"/>
  <c r="K386" i="62" s="1"/>
  <c r="K232" i="62"/>
  <c r="K388" i="62" s="1"/>
  <c r="K133" i="62"/>
  <c r="K296" i="62" s="1"/>
  <c r="K220" i="62"/>
  <c r="K376" i="62" s="1"/>
  <c r="K224" i="62"/>
  <c r="K380" i="62" s="1"/>
  <c r="K226" i="62"/>
  <c r="K382" i="62" s="1"/>
  <c r="K185" i="62"/>
  <c r="K341" i="62" s="1"/>
  <c r="K209" i="62"/>
  <c r="K365" i="62" s="1"/>
  <c r="K183" i="62"/>
  <c r="K339" i="62" s="1"/>
  <c r="K187" i="62"/>
  <c r="K343" i="62" s="1"/>
  <c r="K221" i="62"/>
  <c r="K377" i="62" s="1"/>
  <c r="K228" i="62"/>
  <c r="K384" i="62" s="1"/>
  <c r="K236" i="62"/>
  <c r="K392" i="62" s="1"/>
  <c r="J394" i="62"/>
  <c r="J45" i="18"/>
  <c r="J77" i="46"/>
  <c r="K7" i="34"/>
  <c r="H8" i="63"/>
  <c r="K81" i="46" s="1"/>
  <c r="K76" i="46"/>
  <c r="H20" i="63" s="1"/>
  <c r="E24" i="38"/>
  <c r="F64" i="34" l="1"/>
  <c r="C26" i="63"/>
  <c r="F66" i="34" s="1"/>
  <c r="I420" i="62"/>
  <c r="I423" i="62"/>
  <c r="K59" i="34"/>
  <c r="K8" i="47"/>
  <c r="H22" i="67"/>
  <c r="H48" i="67" s="1"/>
  <c r="Q129" i="38"/>
  <c r="Q130" i="38"/>
  <c r="I57" i="61"/>
  <c r="J31" i="62"/>
  <c r="I39" i="67"/>
  <c r="I38" i="67"/>
  <c r="I27" i="67"/>
  <c r="I40" i="67"/>
  <c r="J18" i="62"/>
  <c r="I56" i="61" s="1"/>
  <c r="I33" i="67"/>
  <c r="I36" i="67"/>
  <c r="I31" i="67"/>
  <c r="J114" i="67"/>
  <c r="I411" i="62"/>
  <c r="I39" i="62" s="1"/>
  <c r="I414" i="62"/>
  <c r="I35" i="62"/>
  <c r="I408" i="62"/>
  <c r="K297" i="62"/>
  <c r="H461" i="62"/>
  <c r="C39" i="38" s="1"/>
  <c r="G425" i="62"/>
  <c r="G461" i="62" s="1"/>
  <c r="P130" i="38"/>
  <c r="L130" i="38"/>
  <c r="H130" i="38"/>
  <c r="P129" i="38"/>
  <c r="L129" i="38"/>
  <c r="H129" i="38"/>
  <c r="O130" i="38"/>
  <c r="K130" i="38"/>
  <c r="O129" i="38"/>
  <c r="K129" i="38"/>
  <c r="G129" i="38"/>
  <c r="I130" i="38"/>
  <c r="M129" i="38"/>
  <c r="N130" i="38"/>
  <c r="J130" i="38"/>
  <c r="N129" i="38"/>
  <c r="J129" i="38"/>
  <c r="F129" i="38"/>
  <c r="R130" i="38"/>
  <c r="M130" i="38"/>
  <c r="R129" i="38"/>
  <c r="I129" i="38"/>
  <c r="K85" i="46"/>
  <c r="H426" i="62"/>
  <c r="H37" i="62"/>
  <c r="H40" i="62"/>
  <c r="K62" i="46"/>
  <c r="K71" i="46" s="1"/>
  <c r="K74" i="46" s="1"/>
  <c r="K77" i="46" s="1"/>
  <c r="I8" i="63"/>
  <c r="L81" i="46" s="1"/>
  <c r="L10" i="62"/>
  <c r="K106" i="62"/>
  <c r="K108" i="62" s="1"/>
  <c r="J258" i="62"/>
  <c r="J398" i="62" s="1"/>
  <c r="K120" i="62"/>
  <c r="J137" i="62"/>
  <c r="K86" i="62"/>
  <c r="K238" i="62"/>
  <c r="K134" i="62"/>
  <c r="K21" i="62" s="1"/>
  <c r="J59" i="61" s="1"/>
  <c r="K8" i="34"/>
  <c r="K60" i="34" s="1"/>
  <c r="K45" i="18"/>
  <c r="K9" i="47"/>
  <c r="K8" i="18"/>
  <c r="K8" i="67" s="1"/>
  <c r="K8" i="46"/>
  <c r="F39" i="38" l="1"/>
  <c r="F127" i="38" s="1"/>
  <c r="J23" i="62"/>
  <c r="L131" i="62"/>
  <c r="L294" i="62" s="1"/>
  <c r="L130" i="62"/>
  <c r="L293" i="62" s="1"/>
  <c r="L16" i="62"/>
  <c r="L90" i="62"/>
  <c r="L253" i="62" s="1"/>
  <c r="L252" i="62"/>
  <c r="I61" i="61"/>
  <c r="K17" i="62"/>
  <c r="J55" i="61" s="1"/>
  <c r="J30" i="67"/>
  <c r="K19" i="62"/>
  <c r="J24" i="67"/>
  <c r="K20" i="62"/>
  <c r="J58" i="61" s="1"/>
  <c r="J25" i="67"/>
  <c r="I37" i="67"/>
  <c r="I34" i="67"/>
  <c r="K22" i="62"/>
  <c r="J60" i="61" s="1"/>
  <c r="J26" i="67"/>
  <c r="I28" i="67"/>
  <c r="I32" i="67"/>
  <c r="I35" i="67"/>
  <c r="K114" i="67"/>
  <c r="I425" i="62"/>
  <c r="I461" i="62" s="1"/>
  <c r="G37" i="62"/>
  <c r="G40" i="62"/>
  <c r="G426" i="62"/>
  <c r="L91" i="62"/>
  <c r="L254" i="62" s="1"/>
  <c r="L51" i="62"/>
  <c r="L143" i="62"/>
  <c r="I93" i="61"/>
  <c r="I94" i="61"/>
  <c r="J400" i="62"/>
  <c r="L7" i="18"/>
  <c r="L7" i="67" s="1"/>
  <c r="I7" i="63"/>
  <c r="L80" i="46" s="1"/>
  <c r="F44" i="18"/>
  <c r="F76" i="67" s="1"/>
  <c r="G42" i="62"/>
  <c r="C12" i="63" s="1"/>
  <c r="G44" i="18"/>
  <c r="H42" i="62"/>
  <c r="L7" i="34"/>
  <c r="M10" i="62"/>
  <c r="K271" i="62"/>
  <c r="K283" i="62"/>
  <c r="K136" i="62"/>
  <c r="K239" i="62" s="1"/>
  <c r="K394" i="62"/>
  <c r="L112" i="62"/>
  <c r="L275" i="62" s="1"/>
  <c r="L113" i="62"/>
  <c r="L276" i="62" s="1"/>
  <c r="L114" i="62"/>
  <c r="L277" i="62" s="1"/>
  <c r="L115" i="62"/>
  <c r="L278" i="62" s="1"/>
  <c r="L116" i="62"/>
  <c r="L279" i="62" s="1"/>
  <c r="L117" i="62"/>
  <c r="L280" i="62" s="1"/>
  <c r="L118" i="62"/>
  <c r="L281" i="62" s="1"/>
  <c r="L119" i="62"/>
  <c r="L282" i="62" s="1"/>
  <c r="L126" i="62"/>
  <c r="L289" i="62" s="1"/>
  <c r="L128" i="62"/>
  <c r="L291" i="62" s="1"/>
  <c r="L165" i="62"/>
  <c r="L92" i="62"/>
  <c r="L255" i="62" s="1"/>
  <c r="L149" i="62"/>
  <c r="L150" i="62"/>
  <c r="L151" i="62"/>
  <c r="L154" i="62"/>
  <c r="L156" i="62"/>
  <c r="L183" i="62"/>
  <c r="L339" i="62" s="1"/>
  <c r="L184" i="62"/>
  <c r="L340" i="62" s="1"/>
  <c r="L185" i="62"/>
  <c r="L341" i="62" s="1"/>
  <c r="L186" i="62"/>
  <c r="L342" i="62" s="1"/>
  <c r="L187" i="62"/>
  <c r="L343" i="62" s="1"/>
  <c r="L208" i="62"/>
  <c r="L364" i="62" s="1"/>
  <c r="L209" i="62"/>
  <c r="L365" i="62" s="1"/>
  <c r="L210" i="62"/>
  <c r="L366" i="62" s="1"/>
  <c r="L211" i="62"/>
  <c r="L367" i="62" s="1"/>
  <c r="L212" i="62"/>
  <c r="L368" i="62" s="1"/>
  <c r="L232" i="62"/>
  <c r="L388" i="62" s="1"/>
  <c r="L233" i="62"/>
  <c r="L389" i="62" s="1"/>
  <c r="L234" i="62"/>
  <c r="L390" i="62" s="1"/>
  <c r="L235" i="62"/>
  <c r="L391" i="62" s="1"/>
  <c r="L236" i="62"/>
  <c r="L392" i="62" s="1"/>
  <c r="L127" i="62"/>
  <c r="L290" i="62" s="1"/>
  <c r="L129" i="62"/>
  <c r="L292" i="62" s="1"/>
  <c r="L155" i="62"/>
  <c r="L162" i="62"/>
  <c r="L166" i="62"/>
  <c r="L167" i="62"/>
  <c r="L168" i="62"/>
  <c r="L169" i="62"/>
  <c r="L325" i="62" s="1"/>
  <c r="L189" i="62"/>
  <c r="L345" i="62" s="1"/>
  <c r="L190" i="62"/>
  <c r="L346" i="62" s="1"/>
  <c r="L191" i="62"/>
  <c r="L347" i="62" s="1"/>
  <c r="L192" i="62"/>
  <c r="L348" i="62" s="1"/>
  <c r="L193" i="62"/>
  <c r="L349" i="62" s="1"/>
  <c r="L194" i="62"/>
  <c r="L350" i="62" s="1"/>
  <c r="L132" i="62"/>
  <c r="L295" i="62" s="1"/>
  <c r="L153" i="62"/>
  <c r="L173" i="62"/>
  <c r="L329" i="62" s="1"/>
  <c r="L180" i="62"/>
  <c r="L336" i="62" s="1"/>
  <c r="L196" i="62"/>
  <c r="L352" i="62" s="1"/>
  <c r="L200" i="62"/>
  <c r="L356" i="62" s="1"/>
  <c r="L203" i="62"/>
  <c r="L359" i="62" s="1"/>
  <c r="L214" i="62"/>
  <c r="L370" i="62" s="1"/>
  <c r="L216" i="62"/>
  <c r="L372" i="62" s="1"/>
  <c r="L218" i="62"/>
  <c r="L374" i="62" s="1"/>
  <c r="L220" i="62"/>
  <c r="L376" i="62" s="1"/>
  <c r="L224" i="62"/>
  <c r="L380" i="62" s="1"/>
  <c r="L226" i="62"/>
  <c r="L382" i="62" s="1"/>
  <c r="L228" i="62"/>
  <c r="L384" i="62" s="1"/>
  <c r="L230" i="62"/>
  <c r="L386" i="62" s="1"/>
  <c r="L123" i="62"/>
  <c r="L125" i="62"/>
  <c r="L157" i="62"/>
  <c r="L174" i="62"/>
  <c r="L330" i="62" s="1"/>
  <c r="L177" i="62"/>
  <c r="L333" i="62" s="1"/>
  <c r="L181" i="62"/>
  <c r="L337" i="62" s="1"/>
  <c r="L197" i="62"/>
  <c r="L353" i="62" s="1"/>
  <c r="L204" i="62"/>
  <c r="L360" i="62" s="1"/>
  <c r="L223" i="62"/>
  <c r="L379" i="62" s="1"/>
  <c r="L133" i="62"/>
  <c r="L296" i="62" s="1"/>
  <c r="L215" i="62"/>
  <c r="L371" i="62" s="1"/>
  <c r="L172" i="62"/>
  <c r="L328" i="62" s="1"/>
  <c r="L199" i="62"/>
  <c r="L355" i="62" s="1"/>
  <c r="L179" i="62"/>
  <c r="L335" i="62" s="1"/>
  <c r="L202" i="62"/>
  <c r="L358" i="62" s="1"/>
  <c r="L227" i="62"/>
  <c r="L383" i="62" s="1"/>
  <c r="L229" i="62"/>
  <c r="L385" i="62" s="1"/>
  <c r="L175" i="62"/>
  <c r="L331" i="62" s="1"/>
  <c r="L198" i="62"/>
  <c r="L354" i="62" s="1"/>
  <c r="L205" i="62"/>
  <c r="L361" i="62" s="1"/>
  <c r="L171" i="62"/>
  <c r="L327" i="62" s="1"/>
  <c r="L206" i="62"/>
  <c r="L362" i="62" s="1"/>
  <c r="L221" i="62"/>
  <c r="L377" i="62" s="1"/>
  <c r="L178" i="62"/>
  <c r="L334" i="62" s="1"/>
  <c r="L217" i="62"/>
  <c r="L373" i="62" s="1"/>
  <c r="L222" i="62"/>
  <c r="L378" i="62" s="1"/>
  <c r="K94" i="62"/>
  <c r="K249" i="62"/>
  <c r="K256" i="62"/>
  <c r="L7" i="46"/>
  <c r="M9" i="62"/>
  <c r="M50" i="62" s="1"/>
  <c r="L76" i="46"/>
  <c r="L8" i="46"/>
  <c r="L9" i="47"/>
  <c r="L8" i="18"/>
  <c r="L8" i="67" s="1"/>
  <c r="L8" i="34"/>
  <c r="L60" i="34" s="1"/>
  <c r="K10" i="46"/>
  <c r="F130" i="38" l="1"/>
  <c r="I92" i="61"/>
  <c r="I65" i="61"/>
  <c r="J27" i="62"/>
  <c r="I21" i="67" s="1"/>
  <c r="I10" i="67" s="1"/>
  <c r="I12" i="34"/>
  <c r="J417" i="62"/>
  <c r="I39" i="34"/>
  <c r="J459" i="62"/>
  <c r="J405" i="62"/>
  <c r="J38" i="62" s="1"/>
  <c r="I22" i="34"/>
  <c r="J35" i="62"/>
  <c r="J423" i="62"/>
  <c r="J420" i="62"/>
  <c r="L59" i="34"/>
  <c r="L8" i="47"/>
  <c r="M130" i="62"/>
  <c r="M293" i="62" s="1"/>
  <c r="M131" i="62"/>
  <c r="M294" i="62" s="1"/>
  <c r="C294" i="62" s="1"/>
  <c r="M16" i="62"/>
  <c r="M252" i="62"/>
  <c r="M90" i="62"/>
  <c r="M253" i="62" s="1"/>
  <c r="J57" i="61"/>
  <c r="K31" i="62"/>
  <c r="J38" i="67"/>
  <c r="J39" i="67"/>
  <c r="J27" i="67"/>
  <c r="J36" i="67"/>
  <c r="J31" i="67"/>
  <c r="K18" i="62"/>
  <c r="K23" i="62" s="1"/>
  <c r="J65" i="61" s="1"/>
  <c r="J33" i="67"/>
  <c r="J37" i="67" s="1"/>
  <c r="J40" i="67"/>
  <c r="G113" i="67"/>
  <c r="I426" i="62"/>
  <c r="I37" i="62"/>
  <c r="I40" i="62"/>
  <c r="L297" i="62"/>
  <c r="M91" i="62"/>
  <c r="M254" i="62" s="1"/>
  <c r="C254" i="62" s="1"/>
  <c r="E14" i="45"/>
  <c r="M202" i="62"/>
  <c r="M358" i="62" s="1"/>
  <c r="M143" i="62"/>
  <c r="K19" i="13"/>
  <c r="K16" i="61" s="1"/>
  <c r="K32" i="61" s="1"/>
  <c r="K21" i="13"/>
  <c r="K29" i="67" s="1"/>
  <c r="J414" i="62"/>
  <c r="J408" i="62"/>
  <c r="J411" i="62"/>
  <c r="J39" i="62" s="1"/>
  <c r="D12" i="63"/>
  <c r="K174" i="61"/>
  <c r="H9" i="63"/>
  <c r="E76" i="46"/>
  <c r="I20" i="63"/>
  <c r="I21" i="63" s="1"/>
  <c r="C38" i="63"/>
  <c r="C14" i="63"/>
  <c r="G44" i="62" s="1"/>
  <c r="H44" i="18"/>
  <c r="I42" i="62"/>
  <c r="E12" i="63" s="1"/>
  <c r="M51" i="62"/>
  <c r="M216" i="62"/>
  <c r="M372" i="62" s="1"/>
  <c r="M210" i="62"/>
  <c r="M366" i="62" s="1"/>
  <c r="M115" i="62"/>
  <c r="M278" i="62" s="1"/>
  <c r="M166" i="62"/>
  <c r="M190" i="62"/>
  <c r="M346" i="62" s="1"/>
  <c r="M183" i="62"/>
  <c r="M339" i="62" s="1"/>
  <c r="M171" i="62"/>
  <c r="M327" i="62" s="1"/>
  <c r="M229" i="62"/>
  <c r="M385" i="62" s="1"/>
  <c r="M125" i="62"/>
  <c r="M174" i="62"/>
  <c r="M330" i="62" s="1"/>
  <c r="M151" i="62"/>
  <c r="M155" i="62"/>
  <c r="M223" i="62"/>
  <c r="M379" i="62" s="1"/>
  <c r="M200" i="62"/>
  <c r="M356" i="62" s="1"/>
  <c r="M154" i="62"/>
  <c r="M227" i="62"/>
  <c r="M383" i="62" s="1"/>
  <c r="M180" i="62"/>
  <c r="M336" i="62" s="1"/>
  <c r="M132" i="62"/>
  <c r="M295" i="62" s="1"/>
  <c r="C295" i="62" s="1"/>
  <c r="M113" i="62"/>
  <c r="M276" i="62" s="1"/>
  <c r="M123" i="62"/>
  <c r="M194" i="62"/>
  <c r="M350" i="62" s="1"/>
  <c r="M215" i="62"/>
  <c r="M371" i="62" s="1"/>
  <c r="M217" i="62"/>
  <c r="M373" i="62" s="1"/>
  <c r="M233" i="62"/>
  <c r="M389" i="62" s="1"/>
  <c r="M173" i="62"/>
  <c r="M329" i="62" s="1"/>
  <c r="M211" i="62"/>
  <c r="M367" i="62" s="1"/>
  <c r="M187" i="62"/>
  <c r="M343" i="62" s="1"/>
  <c r="M206" i="62"/>
  <c r="M362" i="62" s="1"/>
  <c r="M178" i="62"/>
  <c r="M334" i="62" s="1"/>
  <c r="M119" i="62"/>
  <c r="M282" i="62" s="1"/>
  <c r="M92" i="62"/>
  <c r="M255" i="62" s="1"/>
  <c r="M193" i="62"/>
  <c r="M349" i="62" s="1"/>
  <c r="M197" i="62"/>
  <c r="M353" i="62" s="1"/>
  <c r="M192" i="62"/>
  <c r="M348" i="62" s="1"/>
  <c r="M220" i="62"/>
  <c r="M376" i="62" s="1"/>
  <c r="M168" i="62"/>
  <c r="M199" i="62"/>
  <c r="M355" i="62" s="1"/>
  <c r="M185" i="62"/>
  <c r="M341" i="62" s="1"/>
  <c r="M204" i="62"/>
  <c r="M360" i="62" s="1"/>
  <c r="M157" i="62"/>
  <c r="M117" i="62"/>
  <c r="M280" i="62" s="1"/>
  <c r="M127" i="62"/>
  <c r="M290" i="62" s="1"/>
  <c r="M189" i="62"/>
  <c r="M345" i="62" s="1"/>
  <c r="M232" i="62"/>
  <c r="M388" i="62" s="1"/>
  <c r="M234" i="62"/>
  <c r="M390" i="62" s="1"/>
  <c r="M191" i="62"/>
  <c r="M347" i="62" s="1"/>
  <c r="M222" i="62"/>
  <c r="M378" i="62" s="1"/>
  <c r="M175" i="62"/>
  <c r="M331" i="62" s="1"/>
  <c r="M235" i="62"/>
  <c r="M391" i="62" s="1"/>
  <c r="M218" i="62"/>
  <c r="M374" i="62" s="1"/>
  <c r="M196" i="62"/>
  <c r="M352" i="62" s="1"/>
  <c r="M167" i="62"/>
  <c r="M221" i="62"/>
  <c r="M377" i="62" s="1"/>
  <c r="M172" i="62"/>
  <c r="M328" i="62" s="1"/>
  <c r="M184" i="62"/>
  <c r="M340" i="62" s="1"/>
  <c r="M230" i="62"/>
  <c r="M386" i="62" s="1"/>
  <c r="M226" i="62"/>
  <c r="M382" i="62" s="1"/>
  <c r="M203" i="62"/>
  <c r="M359" i="62" s="1"/>
  <c r="M179" i="62"/>
  <c r="M335" i="62" s="1"/>
  <c r="M153" i="62"/>
  <c r="M129" i="62"/>
  <c r="M292" i="62" s="1"/>
  <c r="M116" i="62"/>
  <c r="M279" i="62" s="1"/>
  <c r="M112" i="62"/>
  <c r="M275" i="62" s="1"/>
  <c r="M126" i="62"/>
  <c r="M289" i="62" s="1"/>
  <c r="K80" i="61"/>
  <c r="K147" i="61"/>
  <c r="K73" i="61"/>
  <c r="K79" i="61"/>
  <c r="K146" i="61"/>
  <c r="K81" i="61"/>
  <c r="K87" i="61"/>
  <c r="K91" i="61"/>
  <c r="L84" i="61"/>
  <c r="M150" i="62"/>
  <c r="M208" i="62"/>
  <c r="M364" i="62" s="1"/>
  <c r="M212" i="62"/>
  <c r="M368" i="62" s="1"/>
  <c r="M236" i="62"/>
  <c r="M392" i="62" s="1"/>
  <c r="M198" i="62"/>
  <c r="M354" i="62" s="1"/>
  <c r="M224" i="62"/>
  <c r="M380" i="62" s="1"/>
  <c r="M214" i="62"/>
  <c r="M370" i="62" s="1"/>
  <c r="M169" i="62"/>
  <c r="M325" i="62" s="1"/>
  <c r="M165" i="62"/>
  <c r="M209" i="62"/>
  <c r="M365" i="62" s="1"/>
  <c r="M149" i="62"/>
  <c r="M186" i="62"/>
  <c r="M342" i="62" s="1"/>
  <c r="M156" i="62"/>
  <c r="M228" i="62"/>
  <c r="M384" i="62" s="1"/>
  <c r="M205" i="62"/>
  <c r="M361" i="62" s="1"/>
  <c r="M181" i="62"/>
  <c r="M337" i="62" s="1"/>
  <c r="M177" i="62"/>
  <c r="M333" i="62" s="1"/>
  <c r="M162" i="62"/>
  <c r="M133" i="62"/>
  <c r="M296" i="62" s="1"/>
  <c r="C296" i="62" s="1"/>
  <c r="M118" i="62"/>
  <c r="M281" i="62" s="1"/>
  <c r="M114" i="62"/>
  <c r="M277" i="62" s="1"/>
  <c r="M128" i="62"/>
  <c r="M291" i="62" s="1"/>
  <c r="L63" i="46"/>
  <c r="L62" i="46"/>
  <c r="K258" i="62"/>
  <c r="K398" i="62" s="1"/>
  <c r="L106" i="62"/>
  <c r="L108" i="62" s="1"/>
  <c r="L120" i="62"/>
  <c r="L134" i="62"/>
  <c r="L21" i="62" s="1"/>
  <c r="K59" i="61" s="1"/>
  <c r="K137" i="62"/>
  <c r="L238" i="62"/>
  <c r="L86" i="62"/>
  <c r="K9" i="46"/>
  <c r="L4" i="53"/>
  <c r="L45" i="18"/>
  <c r="K95" i="13"/>
  <c r="K45" i="13"/>
  <c r="K11" i="34"/>
  <c r="K28" i="34" l="1"/>
  <c r="K27" i="34"/>
  <c r="I22" i="67"/>
  <c r="J56" i="61"/>
  <c r="J61" i="61" s="1"/>
  <c r="L20" i="62"/>
  <c r="K58" i="61" s="1"/>
  <c r="K25" i="67"/>
  <c r="I48" i="67"/>
  <c r="J34" i="67"/>
  <c r="K405" i="62"/>
  <c r="K38" i="62" s="1"/>
  <c r="J32" i="67"/>
  <c r="J35" i="67"/>
  <c r="J28" i="67"/>
  <c r="L17" i="62"/>
  <c r="K55" i="61" s="1"/>
  <c r="K30" i="67"/>
  <c r="L22" i="62"/>
  <c r="K60" i="61" s="1"/>
  <c r="K26" i="67"/>
  <c r="L19" i="62"/>
  <c r="K24" i="67"/>
  <c r="L114" i="67"/>
  <c r="C114" i="67" s="1"/>
  <c r="H113" i="67"/>
  <c r="K30" i="34"/>
  <c r="K31" i="34"/>
  <c r="K29" i="34"/>
  <c r="M297" i="62"/>
  <c r="J12" i="34"/>
  <c r="D45" i="18"/>
  <c r="H33" i="63"/>
  <c r="H31" i="63"/>
  <c r="H21" i="63"/>
  <c r="K86" i="46" s="1"/>
  <c r="K27" i="62"/>
  <c r="J21" i="67" s="1"/>
  <c r="J10" i="67" s="1"/>
  <c r="J425" i="62"/>
  <c r="J461" i="62" s="1"/>
  <c r="J93" i="61"/>
  <c r="J94" i="61"/>
  <c r="J92" i="61"/>
  <c r="K400" i="62"/>
  <c r="K173" i="61"/>
  <c r="J39" i="34"/>
  <c r="K175" i="61"/>
  <c r="L177" i="61"/>
  <c r="L30" i="62"/>
  <c r="K61" i="34"/>
  <c r="K82" i="46"/>
  <c r="F68" i="34"/>
  <c r="G46" i="62"/>
  <c r="F89" i="46"/>
  <c r="F51" i="61"/>
  <c r="L85" i="46"/>
  <c r="L86" i="46"/>
  <c r="B20" i="63"/>
  <c r="J22" i="34"/>
  <c r="K459" i="62"/>
  <c r="K417" i="62"/>
  <c r="C334" i="62"/>
  <c r="C371" i="62"/>
  <c r="C336" i="62"/>
  <c r="C379" i="62"/>
  <c r="C300" i="62"/>
  <c r="C306" i="62"/>
  <c r="C305" i="62"/>
  <c r="C329" i="62"/>
  <c r="C391" i="62"/>
  <c r="C307" i="62"/>
  <c r="C269" i="62"/>
  <c r="C356" i="62"/>
  <c r="C345" i="62"/>
  <c r="C318" i="62"/>
  <c r="C361" i="62"/>
  <c r="C342" i="62"/>
  <c r="C325" i="62"/>
  <c r="C262" i="62"/>
  <c r="C299" i="62"/>
  <c r="C312" i="62"/>
  <c r="K151" i="61"/>
  <c r="C246" i="62"/>
  <c r="C360" i="62"/>
  <c r="C293" i="62"/>
  <c r="M120" i="62"/>
  <c r="C263" i="62"/>
  <c r="M86" i="62"/>
  <c r="C335" i="62"/>
  <c r="C354" i="62"/>
  <c r="C364" i="62"/>
  <c r="M238" i="62"/>
  <c r="M134" i="62"/>
  <c r="M21" i="62" s="1"/>
  <c r="L59" i="61" s="1"/>
  <c r="M106" i="62"/>
  <c r="M108" i="62" s="1"/>
  <c r="L71" i="46"/>
  <c r="L74" i="46" s="1"/>
  <c r="C277" i="62"/>
  <c r="L394" i="62"/>
  <c r="C370" i="62"/>
  <c r="C265" i="62"/>
  <c r="C367" i="62"/>
  <c r="C352" i="62"/>
  <c r="C343" i="62"/>
  <c r="C337" i="62"/>
  <c r="C341" i="62"/>
  <c r="C368" i="62"/>
  <c r="C346" i="62"/>
  <c r="C304" i="62"/>
  <c r="C377" i="62"/>
  <c r="C386" i="62"/>
  <c r="C276" i="62"/>
  <c r="C380" i="62"/>
  <c r="C282" i="62"/>
  <c r="C287" i="62"/>
  <c r="C322" i="62"/>
  <c r="C373" i="62"/>
  <c r="L94" i="62"/>
  <c r="C264" i="62"/>
  <c r="C309" i="62"/>
  <c r="C288" i="62"/>
  <c r="C383" i="62"/>
  <c r="C267" i="62"/>
  <c r="C316" i="62"/>
  <c r="C286" i="62"/>
  <c r="C315" i="62"/>
  <c r="L283" i="62"/>
  <c r="C274" i="62"/>
  <c r="C278" i="62"/>
  <c r="C339" i="62"/>
  <c r="C319" i="62"/>
  <c r="C313" i="62"/>
  <c r="C327" i="62"/>
  <c r="C253" i="62"/>
  <c r="C279" i="62"/>
  <c r="L271" i="62"/>
  <c r="C266" i="62"/>
  <c r="C301" i="62"/>
  <c r="C359" i="62"/>
  <c r="C353" i="62"/>
  <c r="C362" i="62"/>
  <c r="C291" i="62"/>
  <c r="C347" i="62"/>
  <c r="C358" i="62"/>
  <c r="C255" i="62"/>
  <c r="C366" i="62"/>
  <c r="C372" i="62"/>
  <c r="C374" i="62"/>
  <c r="C355" i="62"/>
  <c r="M256" i="62"/>
  <c r="C270" i="62"/>
  <c r="C350" i="62"/>
  <c r="C365" i="62"/>
  <c r="L249" i="62"/>
  <c r="C244" i="62"/>
  <c r="C268" i="62"/>
  <c r="C333" i="62"/>
  <c r="C281" i="62"/>
  <c r="L256" i="62"/>
  <c r="C252" i="62"/>
  <c r="C348" i="62"/>
  <c r="C382" i="62"/>
  <c r="C328" i="62"/>
  <c r="C388" i="62"/>
  <c r="C245" i="62"/>
  <c r="C390" i="62"/>
  <c r="C384" i="62"/>
  <c r="C385" i="62"/>
  <c r="C247" i="62"/>
  <c r="C330" i="62"/>
  <c r="L136" i="62"/>
  <c r="L239" i="62" s="1"/>
  <c r="C289" i="62"/>
  <c r="C340" i="62"/>
  <c r="C317" i="62"/>
  <c r="C331" i="62"/>
  <c r="C392" i="62"/>
  <c r="L5" i="53"/>
  <c r="L6" i="53" s="1"/>
  <c r="M16" i="48"/>
  <c r="M32" i="48" s="1"/>
  <c r="I12" i="41"/>
  <c r="I28" i="41" s="1"/>
  <c r="C45" i="18"/>
  <c r="K35" i="62" l="1"/>
  <c r="K420" i="62"/>
  <c r="K423" i="62"/>
  <c r="L180" i="61"/>
  <c r="L50" i="18" s="1"/>
  <c r="L178" i="61"/>
  <c r="K38" i="67"/>
  <c r="K57" i="61"/>
  <c r="L31" i="62"/>
  <c r="L32" i="62" s="1"/>
  <c r="M19" i="62"/>
  <c r="L24" i="67"/>
  <c r="C24" i="67" s="1"/>
  <c r="M20" i="62"/>
  <c r="L58" i="61" s="1"/>
  <c r="L25" i="67"/>
  <c r="K40" i="67"/>
  <c r="J22" i="67"/>
  <c r="L18" i="62"/>
  <c r="K56" i="61" s="1"/>
  <c r="K33" i="67"/>
  <c r="M22" i="62"/>
  <c r="L60" i="61" s="1"/>
  <c r="L26" i="67"/>
  <c r="M17" i="62"/>
  <c r="L55" i="61" s="1"/>
  <c r="L30" i="67"/>
  <c r="C30" i="67" s="1"/>
  <c r="K27" i="67"/>
  <c r="K36" i="67"/>
  <c r="K31" i="67"/>
  <c r="K39" i="67"/>
  <c r="K411" i="62"/>
  <c r="K39" i="62" s="1"/>
  <c r="K414" i="62"/>
  <c r="K408" i="62"/>
  <c r="I28" i="63"/>
  <c r="E85" i="46"/>
  <c r="M94" i="62"/>
  <c r="J40" i="62"/>
  <c r="J37" i="62"/>
  <c r="C292" i="62"/>
  <c r="C321" i="62"/>
  <c r="M283" i="62"/>
  <c r="C283" i="62" s="1"/>
  <c r="C311" i="62"/>
  <c r="M271" i="62"/>
  <c r="C280" i="62"/>
  <c r="C275" i="62"/>
  <c r="C310" i="62"/>
  <c r="C324" i="62"/>
  <c r="C389" i="62"/>
  <c r="C378" i="62"/>
  <c r="C376" i="62"/>
  <c r="C303" i="62"/>
  <c r="C323" i="62"/>
  <c r="C297" i="62"/>
  <c r="C290" i="62"/>
  <c r="M249" i="62"/>
  <c r="C349" i="62"/>
  <c r="M394" i="62"/>
  <c r="M136" i="62"/>
  <c r="M239" i="62" s="1"/>
  <c r="C248" i="62"/>
  <c r="E74" i="46"/>
  <c r="L77" i="46"/>
  <c r="J426" i="62"/>
  <c r="L258" i="62"/>
  <c r="L398" i="62" s="1"/>
  <c r="L137" i="62"/>
  <c r="C256" i="62"/>
  <c r="K33" i="18"/>
  <c r="K31" i="18"/>
  <c r="K69" i="67" s="1"/>
  <c r="K27" i="18"/>
  <c r="K65" i="67" s="1"/>
  <c r="K25" i="18"/>
  <c r="K7" i="18"/>
  <c r="K7" i="67" s="1"/>
  <c r="K6" i="18"/>
  <c r="J33" i="18"/>
  <c r="J31" i="18"/>
  <c r="J69" i="67" s="1"/>
  <c r="J27" i="18"/>
  <c r="J65" i="67" s="1"/>
  <c r="J25" i="18"/>
  <c r="J7" i="18"/>
  <c r="J7" i="67" s="1"/>
  <c r="J6" i="18"/>
  <c r="J10" i="46"/>
  <c r="J14" i="67" l="1"/>
  <c r="J75" i="67"/>
  <c r="J51" i="67"/>
  <c r="J112" i="67"/>
  <c r="L23" i="62"/>
  <c r="K39" i="34" s="1"/>
  <c r="K14" i="67"/>
  <c r="K75" i="67"/>
  <c r="K112" i="67"/>
  <c r="K51" i="67"/>
  <c r="K61" i="61"/>
  <c r="L57" i="61"/>
  <c r="M31" i="62"/>
  <c r="M32" i="62" s="1"/>
  <c r="L38" i="67"/>
  <c r="C38" i="67" s="1"/>
  <c r="L40" i="67"/>
  <c r="C40" i="67" s="1"/>
  <c r="C26" i="67"/>
  <c r="L39" i="67"/>
  <c r="C39" i="67" s="1"/>
  <c r="C25" i="67"/>
  <c r="M18" i="62"/>
  <c r="L56" i="61" s="1"/>
  <c r="L33" i="67"/>
  <c r="C33" i="67" s="1"/>
  <c r="K32" i="67"/>
  <c r="K35" i="67"/>
  <c r="K28" i="67"/>
  <c r="L36" i="67"/>
  <c r="C36" i="67" s="1"/>
  <c r="L31" i="67"/>
  <c r="C31" i="67" s="1"/>
  <c r="K37" i="67"/>
  <c r="K34" i="67"/>
  <c r="J48" i="67"/>
  <c r="L27" i="67"/>
  <c r="J108" i="67"/>
  <c r="K104" i="67"/>
  <c r="L119" i="67"/>
  <c r="K106" i="67"/>
  <c r="J104" i="67"/>
  <c r="K108" i="67"/>
  <c r="J103" i="67"/>
  <c r="J63" i="67"/>
  <c r="K14" i="18"/>
  <c r="K91" i="67"/>
  <c r="J14" i="18"/>
  <c r="J91" i="67"/>
  <c r="J106" i="67"/>
  <c r="K103" i="67"/>
  <c r="K63" i="67"/>
  <c r="C271" i="62"/>
  <c r="M258" i="62"/>
  <c r="M398" i="62" s="1"/>
  <c r="I34" i="63"/>
  <c r="I35" i="63" s="1"/>
  <c r="I29" i="63"/>
  <c r="J19" i="13"/>
  <c r="J16" i="61" s="1"/>
  <c r="J32" i="61" s="1"/>
  <c r="J21" i="13"/>
  <c r="J29" i="67" s="1"/>
  <c r="K425" i="62"/>
  <c r="K461" i="62" s="1"/>
  <c r="L27" i="62"/>
  <c r="K21" i="67" s="1"/>
  <c r="K10" i="67" s="1"/>
  <c r="K92" i="61"/>
  <c r="K93" i="61"/>
  <c r="K94" i="61"/>
  <c r="C394" i="62"/>
  <c r="L400" i="62"/>
  <c r="K43" i="18"/>
  <c r="J43" i="18"/>
  <c r="J175" i="61"/>
  <c r="G9" i="63"/>
  <c r="I44" i="18"/>
  <c r="J42" i="62"/>
  <c r="C249" i="62"/>
  <c r="M137" i="62"/>
  <c r="J73" i="61"/>
  <c r="J79" i="61"/>
  <c r="J146" i="61"/>
  <c r="J147" i="61"/>
  <c r="J80" i="61"/>
  <c r="J81" i="61"/>
  <c r="J87" i="61"/>
  <c r="J91" i="61"/>
  <c r="K84" i="61"/>
  <c r="J9" i="46"/>
  <c r="K4" i="53"/>
  <c r="J95" i="13"/>
  <c r="J45" i="13"/>
  <c r="J11" i="34"/>
  <c r="J130" i="13"/>
  <c r="J128" i="13"/>
  <c r="J19" i="18" s="1"/>
  <c r="K131" i="13"/>
  <c r="K22" i="18" s="1"/>
  <c r="K128" i="13"/>
  <c r="K19" i="18" s="1"/>
  <c r="K125" i="13"/>
  <c r="K17" i="18" s="1"/>
  <c r="J126" i="13"/>
  <c r="J18" i="18" s="1"/>
  <c r="J125" i="13"/>
  <c r="J17" i="18" s="1"/>
  <c r="K126" i="13"/>
  <c r="K18" i="18" s="1"/>
  <c r="K130" i="13"/>
  <c r="K132" i="13"/>
  <c r="K23" i="18" s="1"/>
  <c r="K136" i="13"/>
  <c r="J131" i="13"/>
  <c r="J22" i="18" s="1"/>
  <c r="J136" i="13"/>
  <c r="J132" i="13"/>
  <c r="J23" i="18" s="1"/>
  <c r="J28" i="34" l="1"/>
  <c r="J27" i="34"/>
  <c r="L417" i="62"/>
  <c r="K65" i="61"/>
  <c r="L459" i="62"/>
  <c r="K12" i="34"/>
  <c r="K22" i="34"/>
  <c r="L405" i="62"/>
  <c r="L38" i="62" s="1"/>
  <c r="L423" i="62"/>
  <c r="L420" i="62"/>
  <c r="M23" i="62"/>
  <c r="L61" i="61"/>
  <c r="L28" i="67"/>
  <c r="C28" i="67" s="1"/>
  <c r="L32" i="67"/>
  <c r="C32" i="67" s="1"/>
  <c r="L35" i="67"/>
  <c r="C35" i="67" s="1"/>
  <c r="L41" i="67"/>
  <c r="K22" i="67"/>
  <c r="C27" i="67"/>
  <c r="L37" i="67"/>
  <c r="C37" i="67" s="1"/>
  <c r="L34" i="67"/>
  <c r="C34" i="67" s="1"/>
  <c r="J101" i="67"/>
  <c r="K96" i="67"/>
  <c r="J100" i="67"/>
  <c r="K97" i="67"/>
  <c r="K41" i="67"/>
  <c r="K98" i="67"/>
  <c r="I113" i="67"/>
  <c r="J96" i="67"/>
  <c r="K100" i="67"/>
  <c r="K101" i="67"/>
  <c r="J97" i="67"/>
  <c r="J41" i="67"/>
  <c r="J98" i="67"/>
  <c r="K21" i="18"/>
  <c r="K143" i="13"/>
  <c r="K144" i="13" s="1"/>
  <c r="J21" i="18"/>
  <c r="J143" i="13"/>
  <c r="J144" i="13" s="1"/>
  <c r="J30" i="34"/>
  <c r="J31" i="34"/>
  <c r="J29" i="34"/>
  <c r="M400" i="62"/>
  <c r="C258" i="62"/>
  <c r="G33" i="63"/>
  <c r="G31" i="63"/>
  <c r="G21" i="63"/>
  <c r="J86" i="46" s="1"/>
  <c r="K177" i="61"/>
  <c r="J174" i="61"/>
  <c r="J173" i="61"/>
  <c r="F12" i="63"/>
  <c r="J9" i="18"/>
  <c r="J12" i="18" s="1"/>
  <c r="K9" i="18"/>
  <c r="K12" i="18" s="1"/>
  <c r="J61" i="34"/>
  <c r="J82" i="46"/>
  <c r="K30" i="62"/>
  <c r="K32" i="62" s="1"/>
  <c r="K426" i="62"/>
  <c r="K37" i="62"/>
  <c r="K40" i="62"/>
  <c r="L414" i="62"/>
  <c r="L35" i="62"/>
  <c r="L408" i="62"/>
  <c r="L411" i="62"/>
  <c r="L39" i="62" s="1"/>
  <c r="J151" i="61"/>
  <c r="J32" i="18"/>
  <c r="J70" i="67" s="1"/>
  <c r="K32" i="18"/>
  <c r="K70" i="67" s="1"/>
  <c r="L9" i="53"/>
  <c r="K5" i="53"/>
  <c r="L16" i="48"/>
  <c r="L32" i="48" s="1"/>
  <c r="H12" i="41"/>
  <c r="H28" i="41" s="1"/>
  <c r="K28" i="18"/>
  <c r="J28" i="18"/>
  <c r="M405" i="62" l="1"/>
  <c r="M38" i="62" s="1"/>
  <c r="L65" i="61"/>
  <c r="L93" i="61"/>
  <c r="L92" i="61"/>
  <c r="L94" i="61"/>
  <c r="L22" i="34"/>
  <c r="L39" i="34"/>
  <c r="M417" i="62"/>
  <c r="M459" i="62"/>
  <c r="C459" i="62" s="1"/>
  <c r="M27" i="62"/>
  <c r="L21" i="67" s="1"/>
  <c r="L10" i="67" s="1"/>
  <c r="L12" i="34"/>
  <c r="M420" i="62"/>
  <c r="M423" i="62"/>
  <c r="K180" i="61"/>
  <c r="K50" i="18" s="1"/>
  <c r="K178" i="61"/>
  <c r="K48" i="67"/>
  <c r="K107" i="67"/>
  <c r="J99" i="67"/>
  <c r="J105" i="67"/>
  <c r="J49" i="67"/>
  <c r="J107" i="67"/>
  <c r="K105" i="67"/>
  <c r="K49" i="67"/>
  <c r="K99" i="67"/>
  <c r="C400" i="62"/>
  <c r="M35" i="62"/>
  <c r="C35" i="62" s="1"/>
  <c r="M414" i="62"/>
  <c r="M408" i="62"/>
  <c r="M411" i="62"/>
  <c r="M39" i="62" s="1"/>
  <c r="H28" i="63"/>
  <c r="L425" i="62"/>
  <c r="L461" i="62" s="1"/>
  <c r="K6" i="53"/>
  <c r="L11" i="53" s="1"/>
  <c r="L15" i="53" s="1"/>
  <c r="M15" i="53" s="1"/>
  <c r="M29" i="53"/>
  <c r="J44" i="18"/>
  <c r="K42" i="62"/>
  <c r="H31" i="18"/>
  <c r="H69" i="67" s="1"/>
  <c r="I31" i="18"/>
  <c r="I69" i="67" s="1"/>
  <c r="C21" i="67" l="1"/>
  <c r="L22" i="67"/>
  <c r="L48" i="67" s="1"/>
  <c r="C48" i="67" s="1"/>
  <c r="J113" i="67"/>
  <c r="K119" i="67"/>
  <c r="I106" i="67"/>
  <c r="H106" i="67"/>
  <c r="M425" i="62"/>
  <c r="M461" i="62" s="1"/>
  <c r="M42" i="62" s="1"/>
  <c r="I12" i="63" s="1"/>
  <c r="H34" i="63"/>
  <c r="H35" i="63" s="1"/>
  <c r="H29" i="63"/>
  <c r="D31" i="18"/>
  <c r="G12" i="63"/>
  <c r="M35" i="53"/>
  <c r="M36" i="53" s="1"/>
  <c r="M37" i="53" s="1"/>
  <c r="M38" i="53" s="1"/>
  <c r="L37" i="62"/>
  <c r="L40" i="62"/>
  <c r="L426" i="62"/>
  <c r="C31" i="18"/>
  <c r="C22" i="67" l="1"/>
  <c r="C106" i="67"/>
  <c r="M37" i="62"/>
  <c r="C37" i="62" s="1"/>
  <c r="M40" i="62"/>
  <c r="M426" i="62"/>
  <c r="G13" i="63"/>
  <c r="K43" i="62" s="1"/>
  <c r="I13" i="63"/>
  <c r="M43" i="62" s="1"/>
  <c r="M39" i="53"/>
  <c r="M40" i="53"/>
  <c r="K44" i="18"/>
  <c r="L42" i="62"/>
  <c r="C461" i="62"/>
  <c r="L44" i="18"/>
  <c r="L113" i="67" l="1"/>
  <c r="K113" i="67"/>
  <c r="D44" i="18"/>
  <c r="H12" i="63"/>
  <c r="C42" i="62"/>
  <c r="E45" i="38"/>
  <c r="E50" i="38"/>
  <c r="D50" i="38" s="1"/>
  <c r="E19" i="38"/>
  <c r="E22" i="38"/>
  <c r="E23" i="38"/>
  <c r="E25" i="38"/>
  <c r="E26" i="38"/>
  <c r="C113" i="67" l="1"/>
  <c r="H13" i="63"/>
  <c r="L43" i="62" s="1"/>
  <c r="B12" i="63"/>
  <c r="D45" i="38"/>
  <c r="K39" i="45" l="1"/>
  <c r="H7" i="18"/>
  <c r="H7" i="67" s="1"/>
  <c r="I7" i="18"/>
  <c r="I7" i="67" s="1"/>
  <c r="H25" i="18"/>
  <c r="I25" i="18"/>
  <c r="H27" i="18"/>
  <c r="H65" i="67" s="1"/>
  <c r="I27" i="18"/>
  <c r="I65" i="67" s="1"/>
  <c r="H33" i="18"/>
  <c r="I33" i="18"/>
  <c r="H6" i="18"/>
  <c r="I6" i="18"/>
  <c r="H10" i="46"/>
  <c r="I10" i="46"/>
  <c r="I14" i="67" l="1"/>
  <c r="I112" i="67"/>
  <c r="I75" i="67"/>
  <c r="I51" i="67"/>
  <c r="H14" i="67"/>
  <c r="H112" i="67"/>
  <c r="H75" i="67"/>
  <c r="H51" i="67"/>
  <c r="I108" i="67"/>
  <c r="H108" i="67"/>
  <c r="H14" i="18"/>
  <c r="H91" i="67"/>
  <c r="H104" i="67"/>
  <c r="I103" i="67"/>
  <c r="I63" i="67"/>
  <c r="H103" i="67"/>
  <c r="H63" i="67"/>
  <c r="I14" i="18"/>
  <c r="I91" i="67"/>
  <c r="I104" i="67"/>
  <c r="G10" i="46"/>
  <c r="H19" i="13"/>
  <c r="H16" i="61" s="1"/>
  <c r="H32" i="61" s="1"/>
  <c r="H21" i="13"/>
  <c r="H29" i="67" s="1"/>
  <c r="G21" i="13"/>
  <c r="G29" i="67" s="1"/>
  <c r="G16" i="61"/>
  <c r="G32" i="61" s="1"/>
  <c r="I19" i="13"/>
  <c r="I16" i="61" s="1"/>
  <c r="I32" i="61" s="1"/>
  <c r="I21" i="13"/>
  <c r="I29" i="67" s="1"/>
  <c r="D33" i="18"/>
  <c r="D25" i="18"/>
  <c r="D27" i="18"/>
  <c r="D9" i="63"/>
  <c r="H43" i="18"/>
  <c r="I43" i="18"/>
  <c r="E9" i="63"/>
  <c r="I173" i="61"/>
  <c r="F9" i="63"/>
  <c r="H81" i="61"/>
  <c r="H87" i="61"/>
  <c r="H91" i="61"/>
  <c r="H80" i="61"/>
  <c r="H147" i="61"/>
  <c r="H73" i="61"/>
  <c r="H79" i="61"/>
  <c r="H146" i="61"/>
  <c r="H84" i="61"/>
  <c r="G80" i="61"/>
  <c r="G73" i="61"/>
  <c r="G79" i="61"/>
  <c r="G146" i="61"/>
  <c r="G91" i="61"/>
  <c r="G81" i="61"/>
  <c r="G87" i="61"/>
  <c r="I84" i="61"/>
  <c r="I81" i="61"/>
  <c r="I87" i="61"/>
  <c r="I91" i="61"/>
  <c r="I146" i="61"/>
  <c r="I80" i="61"/>
  <c r="I147" i="61"/>
  <c r="I73" i="61"/>
  <c r="I79" i="61"/>
  <c r="J84" i="61"/>
  <c r="C27" i="18"/>
  <c r="C33" i="18"/>
  <c r="C25" i="18"/>
  <c r="H9" i="46"/>
  <c r="I4" i="53"/>
  <c r="G9" i="46"/>
  <c r="H4" i="53"/>
  <c r="I9" i="46"/>
  <c r="J4" i="53"/>
  <c r="I39" i="45"/>
  <c r="J39" i="45"/>
  <c r="I45" i="13"/>
  <c r="I95" i="13"/>
  <c r="G95" i="13"/>
  <c r="G45" i="13"/>
  <c r="H45" i="13"/>
  <c r="H95" i="13"/>
  <c r="H11" i="34"/>
  <c r="G11" i="34"/>
  <c r="I11" i="34"/>
  <c r="H128" i="13"/>
  <c r="H19" i="18" s="1"/>
  <c r="H131" i="13"/>
  <c r="H22" i="18" s="1"/>
  <c r="H132" i="13"/>
  <c r="I128" i="13"/>
  <c r="I19" i="18" s="1"/>
  <c r="I130" i="13"/>
  <c r="H130" i="13"/>
  <c r="I126" i="13"/>
  <c r="I18" i="18" s="1"/>
  <c r="I125" i="13"/>
  <c r="H125" i="13"/>
  <c r="H126" i="13"/>
  <c r="H18" i="18" s="1"/>
  <c r="C19" i="38"/>
  <c r="I132" i="13"/>
  <c r="I23" i="18" s="1"/>
  <c r="C25" i="38"/>
  <c r="D25" i="38" s="1"/>
  <c r="I136" i="13"/>
  <c r="C41" i="38"/>
  <c r="G136" i="13"/>
  <c r="G143" i="13" s="1"/>
  <c r="H136" i="13"/>
  <c r="I131" i="13"/>
  <c r="H27" i="34" l="1"/>
  <c r="H28" i="34"/>
  <c r="I28" i="34"/>
  <c r="I27" i="34"/>
  <c r="G27" i="34"/>
  <c r="G28" i="34"/>
  <c r="G29" i="34"/>
  <c r="E41" i="38"/>
  <c r="D41" i="38" s="1"/>
  <c r="H171" i="61"/>
  <c r="H175" i="61" s="1"/>
  <c r="G145" i="13"/>
  <c r="G144" i="13"/>
  <c r="D19" i="38"/>
  <c r="C108" i="67"/>
  <c r="I101" i="67"/>
  <c r="H98" i="67"/>
  <c r="C104" i="67"/>
  <c r="H97" i="67"/>
  <c r="H41" i="67"/>
  <c r="H100" i="67"/>
  <c r="I97" i="67"/>
  <c r="I41" i="67"/>
  <c r="I98" i="67"/>
  <c r="C103" i="67"/>
  <c r="H143" i="13"/>
  <c r="H144" i="13" s="1"/>
  <c r="I21" i="18"/>
  <c r="I143" i="13"/>
  <c r="I144" i="13" s="1"/>
  <c r="H31" i="34"/>
  <c r="H29" i="34"/>
  <c r="H30" i="34"/>
  <c r="I31" i="34"/>
  <c r="I29" i="34"/>
  <c r="I30" i="34"/>
  <c r="G30" i="34"/>
  <c r="G31" i="34"/>
  <c r="E33" i="63"/>
  <c r="E31" i="63"/>
  <c r="E21" i="63"/>
  <c r="H86" i="46" s="1"/>
  <c r="E13" i="63"/>
  <c r="I43" i="62" s="1"/>
  <c r="F33" i="63"/>
  <c r="F31" i="63"/>
  <c r="F21" i="63"/>
  <c r="I86" i="46" s="1"/>
  <c r="F13" i="63"/>
  <c r="J43" i="62" s="1"/>
  <c r="G61" i="34"/>
  <c r="D33" i="63"/>
  <c r="D31" i="63"/>
  <c r="D21" i="63"/>
  <c r="G86" i="46" s="1"/>
  <c r="D13" i="63"/>
  <c r="H43" i="62" s="1"/>
  <c r="H30" i="62"/>
  <c r="H32" i="62" s="1"/>
  <c r="H23" i="18"/>
  <c r="C132" i="13"/>
  <c r="H17" i="18"/>
  <c r="C125" i="13"/>
  <c r="G82" i="46"/>
  <c r="C136" i="13"/>
  <c r="C24" i="38"/>
  <c r="D24" i="38" s="1"/>
  <c r="C131" i="13"/>
  <c r="C23" i="38"/>
  <c r="D23" i="38" s="1"/>
  <c r="C130" i="13"/>
  <c r="C20" i="38"/>
  <c r="D20" i="38" s="1"/>
  <c r="C126" i="13"/>
  <c r="C22" i="38"/>
  <c r="D22" i="38" s="1"/>
  <c r="C128" i="13"/>
  <c r="H9" i="18"/>
  <c r="H12" i="18" s="1"/>
  <c r="I9" i="18"/>
  <c r="I12" i="18" s="1"/>
  <c r="J177" i="61"/>
  <c r="I175" i="61"/>
  <c r="B9" i="63"/>
  <c r="I174" i="61"/>
  <c r="I30" i="62"/>
  <c r="I32" i="62" s="1"/>
  <c r="H61" i="34"/>
  <c r="H82" i="46"/>
  <c r="J30" i="62"/>
  <c r="J32" i="62" s="1"/>
  <c r="I61" i="34"/>
  <c r="I82" i="46"/>
  <c r="G151" i="61"/>
  <c r="G173" i="61"/>
  <c r="G175" i="61"/>
  <c r="G174" i="61"/>
  <c r="H151" i="61"/>
  <c r="I151" i="61"/>
  <c r="C29" i="38"/>
  <c r="D29" i="38" s="1"/>
  <c r="C30" i="38"/>
  <c r="D30" i="38" s="1"/>
  <c r="H32" i="18"/>
  <c r="H70" i="67" s="1"/>
  <c r="I32" i="18"/>
  <c r="I70" i="67" s="1"/>
  <c r="G9" i="18"/>
  <c r="D26" i="38"/>
  <c r="J9" i="53"/>
  <c r="I5" i="53"/>
  <c r="I6" i="53" s="1"/>
  <c r="J16" i="48"/>
  <c r="J32" i="48" s="1"/>
  <c r="F12" i="41"/>
  <c r="F28" i="41" s="1"/>
  <c r="H5" i="53"/>
  <c r="H6" i="53" s="1"/>
  <c r="I16" i="48"/>
  <c r="I32" i="48" s="1"/>
  <c r="E12" i="41"/>
  <c r="E28" i="41" s="1"/>
  <c r="J5" i="53"/>
  <c r="J6" i="53" s="1"/>
  <c r="K16" i="48"/>
  <c r="K32" i="48" s="1"/>
  <c r="G12" i="41"/>
  <c r="G28" i="41" s="1"/>
  <c r="G28" i="18"/>
  <c r="H28" i="18"/>
  <c r="G19" i="18"/>
  <c r="G21" i="18"/>
  <c r="G32" i="18"/>
  <c r="G22" i="18"/>
  <c r="G23" i="18"/>
  <c r="G17" i="18"/>
  <c r="R34" i="38"/>
  <c r="E42" i="38"/>
  <c r="E43" i="38"/>
  <c r="H21" i="18"/>
  <c r="I28" i="18"/>
  <c r="I17" i="18"/>
  <c r="I22" i="18"/>
  <c r="G43" i="34" l="1"/>
  <c r="G12" i="18"/>
  <c r="C9" i="18"/>
  <c r="G35" i="18"/>
  <c r="H173" i="61"/>
  <c r="H172" i="61"/>
  <c r="I172" i="61"/>
  <c r="I177" i="61" s="1"/>
  <c r="J180" i="61"/>
  <c r="J50" i="18" s="1"/>
  <c r="J178" i="61"/>
  <c r="H174" i="61"/>
  <c r="D10" i="63"/>
  <c r="D11" i="63" s="1"/>
  <c r="G36" i="18"/>
  <c r="G70" i="67"/>
  <c r="C32" i="18"/>
  <c r="I96" i="67"/>
  <c r="H99" i="67"/>
  <c r="G107" i="67"/>
  <c r="H107" i="67"/>
  <c r="I99" i="67"/>
  <c r="G96" i="67"/>
  <c r="G99" i="67"/>
  <c r="H105" i="67"/>
  <c r="H49" i="67"/>
  <c r="H96" i="67"/>
  <c r="I100" i="67"/>
  <c r="G101" i="67"/>
  <c r="G98" i="67"/>
  <c r="C98" i="67" s="1"/>
  <c r="G105" i="67"/>
  <c r="G49" i="67"/>
  <c r="I105" i="67"/>
  <c r="I49" i="67"/>
  <c r="G100" i="67"/>
  <c r="D18" i="18"/>
  <c r="G97" i="67"/>
  <c r="C97" i="67" s="1"/>
  <c r="G41" i="67"/>
  <c r="C41" i="67" s="1"/>
  <c r="I107" i="67"/>
  <c r="H101" i="67"/>
  <c r="D19" i="18"/>
  <c r="D61" i="34"/>
  <c r="B33" i="63"/>
  <c r="B31" i="63"/>
  <c r="B21" i="63"/>
  <c r="E86" i="46" s="1"/>
  <c r="B13" i="63"/>
  <c r="C30" i="62"/>
  <c r="D23" i="18"/>
  <c r="D28" i="18"/>
  <c r="D22" i="18"/>
  <c r="D21" i="18"/>
  <c r="D32" i="18"/>
  <c r="R89" i="38"/>
  <c r="R116" i="38"/>
  <c r="R117" i="38"/>
  <c r="R108" i="38"/>
  <c r="R104" i="38"/>
  <c r="R100" i="38"/>
  <c r="R98" i="38"/>
  <c r="R115" i="38"/>
  <c r="R113" i="38"/>
  <c r="R118" i="38"/>
  <c r="R111" i="38"/>
  <c r="R109" i="38"/>
  <c r="R107" i="38"/>
  <c r="R105" i="38"/>
  <c r="R103" i="38"/>
  <c r="R101" i="38"/>
  <c r="R99" i="38"/>
  <c r="R97" i="38"/>
  <c r="R114" i="38"/>
  <c r="R112" i="38"/>
  <c r="R110" i="38"/>
  <c r="R106" i="38"/>
  <c r="R102" i="38"/>
  <c r="D17" i="18"/>
  <c r="G28" i="63"/>
  <c r="C43" i="62"/>
  <c r="E82" i="46"/>
  <c r="K29" i="53"/>
  <c r="J15" i="53"/>
  <c r="K15" i="53" s="1"/>
  <c r="G177" i="61"/>
  <c r="G180" i="61" s="1"/>
  <c r="G50" i="18" s="1"/>
  <c r="G105" i="61"/>
  <c r="G45" i="61"/>
  <c r="D43" i="38"/>
  <c r="C17" i="18"/>
  <c r="C28" i="18"/>
  <c r="C21" i="18"/>
  <c r="C22" i="18"/>
  <c r="C23" i="18"/>
  <c r="C19" i="18"/>
  <c r="C18" i="18"/>
  <c r="G146" i="13"/>
  <c r="G39" i="18" s="1"/>
  <c r="F13" i="45"/>
  <c r="C34" i="38"/>
  <c r="R86" i="38"/>
  <c r="R87" i="38"/>
  <c r="R88" i="38"/>
  <c r="R90" i="38"/>
  <c r="R85" i="38"/>
  <c r="R84" i="38"/>
  <c r="R83" i="38"/>
  <c r="R82" i="38"/>
  <c r="R81" i="38"/>
  <c r="R80" i="38"/>
  <c r="R79" i="38"/>
  <c r="R78" i="38"/>
  <c r="R77" i="38"/>
  <c r="R76" i="38"/>
  <c r="R75" i="38"/>
  <c r="E46" i="38"/>
  <c r="G67" i="67" l="1"/>
  <c r="G62" i="67"/>
  <c r="G66" i="67"/>
  <c r="G71" i="67"/>
  <c r="G195" i="61"/>
  <c r="H177" i="61"/>
  <c r="H180" i="61" s="1"/>
  <c r="I180" i="61"/>
  <c r="I50" i="18" s="1"/>
  <c r="I178" i="61"/>
  <c r="G178" i="61"/>
  <c r="D14" i="63"/>
  <c r="D15" i="63" s="1"/>
  <c r="H45" i="62" s="1"/>
  <c r="G83" i="46"/>
  <c r="D22" i="63"/>
  <c r="D23" i="63" s="1"/>
  <c r="G88" i="46" s="1"/>
  <c r="H34" i="62"/>
  <c r="G62" i="34"/>
  <c r="C100" i="67"/>
  <c r="C99" i="67"/>
  <c r="C49" i="67"/>
  <c r="C96" i="67"/>
  <c r="G110" i="67"/>
  <c r="J119" i="67"/>
  <c r="C105" i="67"/>
  <c r="C101" i="67"/>
  <c r="C107" i="67"/>
  <c r="G106" i="61"/>
  <c r="G34" i="63"/>
  <c r="G29" i="63"/>
  <c r="D24" i="18"/>
  <c r="C24" i="18"/>
  <c r="D28" i="63"/>
  <c r="D29" i="63" s="1"/>
  <c r="F28" i="63"/>
  <c r="F29" i="63" s="1"/>
  <c r="K35" i="53"/>
  <c r="K36" i="53" s="1"/>
  <c r="K37" i="53" s="1"/>
  <c r="K40" i="53" s="1"/>
  <c r="C177" i="61"/>
  <c r="G63" i="34"/>
  <c r="G84" i="46"/>
  <c r="G46" i="61"/>
  <c r="G41" i="18"/>
  <c r="I18" i="38"/>
  <c r="I34" i="38" s="1"/>
  <c r="D46" i="38"/>
  <c r="F39" i="45"/>
  <c r="C49" i="38" s="1"/>
  <c r="D49" i="38" s="1"/>
  <c r="G39" i="45"/>
  <c r="R91" i="38"/>
  <c r="E28" i="63" l="1"/>
  <c r="E29" i="63" s="1"/>
  <c r="H178" i="61"/>
  <c r="H50" i="18"/>
  <c r="H119" i="67" s="1"/>
  <c r="C180" i="61"/>
  <c r="C42" i="38"/>
  <c r="D42" i="38" s="1"/>
  <c r="H44" i="62"/>
  <c r="G87" i="46"/>
  <c r="G73" i="67"/>
  <c r="G37" i="18"/>
  <c r="G58" i="67"/>
  <c r="G38" i="18"/>
  <c r="G40" i="18" s="1"/>
  <c r="G147" i="13"/>
  <c r="G148" i="13" s="1"/>
  <c r="I119" i="67"/>
  <c r="G84" i="67"/>
  <c r="G43" i="67"/>
  <c r="G53" i="67"/>
  <c r="G80" i="67"/>
  <c r="G83" i="67"/>
  <c r="G77" i="67"/>
  <c r="G76" i="67"/>
  <c r="G57" i="67"/>
  <c r="G60" i="67"/>
  <c r="G56" i="67"/>
  <c r="G59" i="67"/>
  <c r="G61" i="67"/>
  <c r="G55" i="67"/>
  <c r="G119" i="67"/>
  <c r="G82" i="67"/>
  <c r="G35" i="63"/>
  <c r="K38" i="53"/>
  <c r="K39" i="53"/>
  <c r="D34" i="63"/>
  <c r="D35" i="63" s="1"/>
  <c r="F34" i="63"/>
  <c r="F35" i="63" s="1"/>
  <c r="L18" i="38"/>
  <c r="L34" i="38" s="1"/>
  <c r="L81" i="38" s="1"/>
  <c r="I113" i="38"/>
  <c r="I112" i="38"/>
  <c r="I116" i="38"/>
  <c r="I115" i="38"/>
  <c r="I114" i="38"/>
  <c r="I89" i="38"/>
  <c r="I118" i="38"/>
  <c r="I117" i="38"/>
  <c r="I111" i="38"/>
  <c r="I107" i="38"/>
  <c r="I103" i="38"/>
  <c r="I99" i="38"/>
  <c r="I109" i="38"/>
  <c r="I105" i="38"/>
  <c r="I101" i="38"/>
  <c r="I97" i="38"/>
  <c r="I108" i="38"/>
  <c r="I110" i="38"/>
  <c r="I106" i="38"/>
  <c r="I102" i="38"/>
  <c r="I98" i="38"/>
  <c r="I104" i="38"/>
  <c r="I100" i="38"/>
  <c r="F10" i="18"/>
  <c r="K10" i="18"/>
  <c r="H39" i="45"/>
  <c r="D39" i="45" s="1"/>
  <c r="I88" i="38"/>
  <c r="I86" i="38"/>
  <c r="I87" i="38"/>
  <c r="I90" i="38"/>
  <c r="I85" i="38"/>
  <c r="I84" i="38"/>
  <c r="I83" i="38"/>
  <c r="I82" i="38"/>
  <c r="I81" i="38"/>
  <c r="I80" i="38"/>
  <c r="I79" i="38"/>
  <c r="I78" i="38"/>
  <c r="I77" i="38"/>
  <c r="I76" i="38"/>
  <c r="I75" i="38"/>
  <c r="F34" i="38"/>
  <c r="E34" i="63" l="1"/>
  <c r="E35" i="63" s="1"/>
  <c r="B28" i="63"/>
  <c r="B34" i="63" s="1"/>
  <c r="B35" i="63" s="1"/>
  <c r="D50" i="18"/>
  <c r="G197" i="61"/>
  <c r="G199" i="61" s="1"/>
  <c r="G46" i="18" s="1"/>
  <c r="G115" i="67" s="1"/>
  <c r="C44" i="38"/>
  <c r="F44" i="38" s="1"/>
  <c r="C119" i="67"/>
  <c r="D36" i="63"/>
  <c r="D37" i="63" s="1"/>
  <c r="O18" i="38"/>
  <c r="F112" i="38"/>
  <c r="F116" i="38"/>
  <c r="F114" i="38"/>
  <c r="F113" i="38"/>
  <c r="L87" i="38"/>
  <c r="L114" i="38"/>
  <c r="L113" i="38"/>
  <c r="L112" i="38"/>
  <c r="L116" i="38"/>
  <c r="L115" i="38"/>
  <c r="L77" i="38"/>
  <c r="L89" i="38"/>
  <c r="L108" i="38"/>
  <c r="L104" i="38"/>
  <c r="L100" i="38"/>
  <c r="L110" i="38"/>
  <c r="L102" i="38"/>
  <c r="L98" i="38"/>
  <c r="L105" i="38"/>
  <c r="L101" i="38"/>
  <c r="L118" i="38"/>
  <c r="L117" i="38"/>
  <c r="L111" i="38"/>
  <c r="L107" i="38"/>
  <c r="L103" i="38"/>
  <c r="L99" i="38"/>
  <c r="L106" i="38"/>
  <c r="L97" i="38"/>
  <c r="L109" i="38"/>
  <c r="L78" i="38"/>
  <c r="L82" i="38"/>
  <c r="L85" i="38"/>
  <c r="L90" i="38"/>
  <c r="F89" i="38"/>
  <c r="F110" i="38"/>
  <c r="F106" i="38"/>
  <c r="F98" i="38"/>
  <c r="F108" i="38"/>
  <c r="F104" i="38"/>
  <c r="F100" i="38"/>
  <c r="F111" i="38"/>
  <c r="F109" i="38"/>
  <c r="F105" i="38"/>
  <c r="F101" i="38"/>
  <c r="F97" i="38"/>
  <c r="F118" i="38"/>
  <c r="F103" i="38"/>
  <c r="F107" i="38"/>
  <c r="F99" i="38"/>
  <c r="L75" i="38"/>
  <c r="L79" i="38"/>
  <c r="L83" i="38"/>
  <c r="L88" i="38"/>
  <c r="L76" i="38"/>
  <c r="L80" i="38"/>
  <c r="L84" i="38"/>
  <c r="L86" i="38"/>
  <c r="L10" i="18"/>
  <c r="C50" i="18"/>
  <c r="F86" i="38"/>
  <c r="F90" i="38"/>
  <c r="F87" i="38"/>
  <c r="F88" i="38"/>
  <c r="F85" i="38"/>
  <c r="I91" i="38"/>
  <c r="F35" i="38"/>
  <c r="F84" i="38"/>
  <c r="F83" i="38"/>
  <c r="F82" i="38"/>
  <c r="F81" i="38"/>
  <c r="F80" i="38"/>
  <c r="F79" i="38"/>
  <c r="F77" i="38"/>
  <c r="F76" i="38"/>
  <c r="F78" i="38"/>
  <c r="F75" i="38"/>
  <c r="B29" i="63" l="1"/>
  <c r="D16" i="63"/>
  <c r="G47" i="61" s="1"/>
  <c r="G78" i="67"/>
  <c r="L91" i="38"/>
  <c r="O34" i="38"/>
  <c r="F91" i="38"/>
  <c r="D18" i="63" l="1"/>
  <c r="D19" i="63" s="1"/>
  <c r="G50" i="61" s="1"/>
  <c r="D17" i="63"/>
  <c r="G48" i="61" s="1"/>
  <c r="O116" i="38"/>
  <c r="O115" i="38"/>
  <c r="O114" i="38"/>
  <c r="O113" i="38"/>
  <c r="O112" i="38"/>
  <c r="O89" i="38"/>
  <c r="O109" i="38"/>
  <c r="O105" i="38"/>
  <c r="O101" i="38"/>
  <c r="O97" i="38"/>
  <c r="O117" i="38"/>
  <c r="O98" i="38"/>
  <c r="O108" i="38"/>
  <c r="O104" i="38"/>
  <c r="O100" i="38"/>
  <c r="O111" i="38"/>
  <c r="O107" i="38"/>
  <c r="O103" i="38"/>
  <c r="O99" i="38"/>
  <c r="O110" i="38"/>
  <c r="O106" i="38"/>
  <c r="O118" i="38"/>
  <c r="O102" i="38"/>
  <c r="O88" i="38"/>
  <c r="O82" i="38"/>
  <c r="O78" i="38"/>
  <c r="O87" i="38"/>
  <c r="O79" i="38"/>
  <c r="O86" i="38"/>
  <c r="O81" i="38"/>
  <c r="O77" i="38"/>
  <c r="O90" i="38"/>
  <c r="O84" i="38"/>
  <c r="O80" i="38"/>
  <c r="O85" i="38"/>
  <c r="O83" i="38"/>
  <c r="O75" i="38"/>
  <c r="O76" i="38"/>
  <c r="I10" i="18"/>
  <c r="H10" i="18"/>
  <c r="L51" i="38"/>
  <c r="L53" i="38" s="1"/>
  <c r="O51" i="38"/>
  <c r="O53" i="38" s="1"/>
  <c r="R51" i="38"/>
  <c r="R53" i="38" s="1"/>
  <c r="I51" i="38"/>
  <c r="I53" i="38" s="1"/>
  <c r="G49" i="61" l="1"/>
  <c r="O91" i="38"/>
  <c r="J10" i="18"/>
  <c r="R52" i="38"/>
  <c r="O52" i="38"/>
  <c r="L52" i="38"/>
  <c r="I52" i="38"/>
  <c r="F64" i="38" l="1"/>
  <c r="E63" i="38"/>
  <c r="L47" i="18" l="1"/>
  <c r="I47" i="18"/>
  <c r="J47" i="18"/>
  <c r="K47" i="18"/>
  <c r="G47" i="18"/>
  <c r="H47" i="18"/>
  <c r="K116" i="67" l="1"/>
  <c r="H116" i="67"/>
  <c r="I116" i="67"/>
  <c r="J116" i="67"/>
  <c r="G79" i="67"/>
  <c r="G116" i="67"/>
  <c r="L116" i="67"/>
  <c r="D47" i="18"/>
  <c r="C47" i="18"/>
  <c r="C116" i="67" l="1"/>
  <c r="G10" i="18"/>
  <c r="C10" i="18" s="1"/>
  <c r="H43" i="34"/>
  <c r="E24" i="63" s="1"/>
  <c r="L43" i="34"/>
  <c r="I24" i="63" s="1"/>
  <c r="I43" i="34"/>
  <c r="F24" i="63" s="1"/>
  <c r="J43" i="34"/>
  <c r="G24" i="63" s="1"/>
  <c r="K43" i="34"/>
  <c r="H24" i="63" s="1"/>
  <c r="K64" i="34" l="1"/>
  <c r="H25" i="63"/>
  <c r="K65" i="34" s="1"/>
  <c r="J64" i="34"/>
  <c r="G25" i="63"/>
  <c r="J65" i="34" s="1"/>
  <c r="I64" i="34"/>
  <c r="F25" i="63"/>
  <c r="I65" i="34" s="1"/>
  <c r="L64" i="34"/>
  <c r="I25" i="63"/>
  <c r="L65" i="34" s="1"/>
  <c r="H64" i="34"/>
  <c r="E25" i="63"/>
  <c r="H65" i="34" s="1"/>
  <c r="C48" i="38"/>
  <c r="F48" i="38" s="1"/>
  <c r="D24" i="63"/>
  <c r="C40" i="38"/>
  <c r="E48" i="38" l="1"/>
  <c r="F117" i="38"/>
  <c r="F115" i="38"/>
  <c r="F40" i="38"/>
  <c r="G64" i="34"/>
  <c r="D25" i="63"/>
  <c r="G65" i="34" s="1"/>
  <c r="B24" i="63"/>
  <c r="B25" i="63" s="1"/>
  <c r="D26" i="63"/>
  <c r="D27" i="63" s="1"/>
  <c r="D38" i="63"/>
  <c r="D39" i="63" s="1"/>
  <c r="G49" i="18"/>
  <c r="H49" i="18"/>
  <c r="E40" i="38" l="1"/>
  <c r="D40" i="38" s="1"/>
  <c r="F102" i="38"/>
  <c r="F51" i="38"/>
  <c r="H118" i="67"/>
  <c r="G118" i="67"/>
  <c r="G81" i="67"/>
  <c r="F14" i="45"/>
  <c r="D64" i="34"/>
  <c r="D65" i="34"/>
  <c r="H46" i="62"/>
  <c r="G51" i="61"/>
  <c r="G89" i="46"/>
  <c r="G68" i="34"/>
  <c r="G67" i="34"/>
  <c r="G66" i="34"/>
  <c r="G52" i="18"/>
  <c r="G53" i="18" s="1"/>
  <c r="D48" i="38"/>
  <c r="C51" i="38"/>
  <c r="C53" i="38" s="1"/>
  <c r="I49" i="18"/>
  <c r="F52" i="38" l="1"/>
  <c r="F66" i="38" s="1"/>
  <c r="F53" i="38"/>
  <c r="F54" i="38" s="1"/>
  <c r="F56" i="38"/>
  <c r="I118" i="67"/>
  <c r="G122" i="67"/>
  <c r="G85" i="67"/>
  <c r="G44" i="67"/>
  <c r="C52" i="38"/>
  <c r="G69" i="34"/>
  <c r="G52" i="61"/>
  <c r="G90" i="46"/>
  <c r="H47" i="62"/>
  <c r="G55" i="18"/>
  <c r="J49" i="18"/>
  <c r="F68" i="38" l="1"/>
  <c r="F67" i="38"/>
  <c r="G64" i="18"/>
  <c r="G124" i="67"/>
  <c r="G125" i="67" s="1"/>
  <c r="G45" i="67"/>
  <c r="G86" i="67"/>
  <c r="G15" i="67"/>
  <c r="G16" i="67" s="1"/>
  <c r="J118" i="67"/>
  <c r="G79" i="18"/>
  <c r="G56" i="18"/>
  <c r="G87" i="67" s="1"/>
  <c r="G81" i="18"/>
  <c r="G82" i="18" s="1"/>
  <c r="C43" i="34"/>
  <c r="K49" i="18"/>
  <c r="L49" i="18"/>
  <c r="F121" i="38" l="1"/>
  <c r="F125" i="38" s="1"/>
  <c r="G123" i="38" s="1"/>
  <c r="G62" i="38"/>
  <c r="K118" i="67"/>
  <c r="G126" i="67"/>
  <c r="L118" i="67"/>
  <c r="D49" i="18"/>
  <c r="C49" i="18"/>
  <c r="G64" i="38" l="1"/>
  <c r="G65" i="38"/>
  <c r="C118" i="67"/>
  <c r="F52" i="18"/>
  <c r="C44" i="18"/>
  <c r="F85" i="67" l="1"/>
  <c r="F53" i="18"/>
  <c r="F55" i="18"/>
  <c r="F64" i="18" l="1"/>
  <c r="F68" i="18" s="1"/>
  <c r="F73" i="18"/>
  <c r="F74" i="18" s="1"/>
  <c r="F70" i="18"/>
  <c r="F86" i="67"/>
  <c r="F17" i="67"/>
  <c r="F79" i="18"/>
  <c r="F81" i="18"/>
  <c r="F57" i="18"/>
  <c r="G57" i="18" s="1"/>
  <c r="G86" i="18" s="1"/>
  <c r="G103" i="18" l="1" a="1"/>
  <c r="G103" i="18" s="1"/>
  <c r="G91" i="18"/>
  <c r="F69" i="18"/>
  <c r="F66" i="18"/>
  <c r="F71" i="18"/>
  <c r="G63" i="18" s="1"/>
  <c r="G65" i="18" s="1"/>
  <c r="F89" i="67"/>
  <c r="G17" i="67"/>
  <c r="G99" i="18" l="1"/>
  <c r="G100" i="18" s="1"/>
  <c r="G101" i="18" s="1"/>
  <c r="G104" i="18"/>
  <c r="G68" i="18"/>
  <c r="G70" i="18" s="1"/>
  <c r="G73" i="18" s="1"/>
  <c r="G74" i="18" s="1"/>
  <c r="G89" i="67"/>
  <c r="G18" i="67"/>
  <c r="G66" i="18" l="1"/>
  <c r="G69" i="18"/>
  <c r="G71" i="18"/>
  <c r="H63" i="18" s="1"/>
  <c r="H65" i="18" s="1"/>
  <c r="F324" i="35"/>
  <c r="F265" i="35" l="1"/>
  <c r="F239" i="35" l="1"/>
  <c r="F323" i="35"/>
  <c r="I265" i="35"/>
  <c r="I324" i="35"/>
  <c r="H265" i="35"/>
  <c r="H324" i="35"/>
  <c r="G265" i="35"/>
  <c r="G324" i="35"/>
  <c r="J265" i="35" l="1"/>
  <c r="F331" i="35"/>
  <c r="F308" i="35" s="1"/>
  <c r="F240" i="35"/>
  <c r="I323" i="35"/>
  <c r="I239" i="35"/>
  <c r="G323" i="35"/>
  <c r="G239" i="35"/>
  <c r="J323" i="35"/>
  <c r="F327" i="35"/>
  <c r="J327" i="35" s="1"/>
  <c r="F310" i="35"/>
  <c r="H323" i="35"/>
  <c r="H239" i="35"/>
  <c r="J324" i="35"/>
  <c r="F332" i="35" l="1"/>
  <c r="F242" i="35"/>
  <c r="F334" i="35" s="1"/>
  <c r="I331" i="35"/>
  <c r="I308" i="35" s="1"/>
  <c r="I240" i="35"/>
  <c r="H331" i="35"/>
  <c r="H308" i="35" s="1"/>
  <c r="H240" i="35"/>
  <c r="G331" i="35"/>
  <c r="G240" i="35"/>
  <c r="J239" i="35"/>
  <c r="G310" i="35"/>
  <c r="G327" i="35"/>
  <c r="H310" i="35"/>
  <c r="H327" i="35"/>
  <c r="I310" i="35"/>
  <c r="I327" i="35"/>
  <c r="J331" i="35" l="1"/>
  <c r="G308" i="35"/>
  <c r="J308" i="35" s="1"/>
  <c r="G242" i="35"/>
  <c r="G334" i="35" s="1"/>
  <c r="G311" i="35" s="1"/>
  <c r="G332" i="35"/>
  <c r="G309" i="35" s="1"/>
  <c r="F311" i="35"/>
  <c r="H332" i="35"/>
  <c r="H242" i="35"/>
  <c r="H334" i="35" s="1"/>
  <c r="H311" i="35" s="1"/>
  <c r="J240" i="35"/>
  <c r="J242" i="35" s="1"/>
  <c r="I332" i="35"/>
  <c r="I242" i="35"/>
  <c r="I334" i="35" s="1"/>
  <c r="I311" i="35" s="1"/>
  <c r="F309" i="35"/>
  <c r="F337" i="35"/>
  <c r="F339" i="35" s="1"/>
  <c r="G314" i="35" l="1"/>
  <c r="G316" i="35" s="1"/>
  <c r="J332" i="35"/>
  <c r="G337" i="35"/>
  <c r="G339" i="35" s="1"/>
  <c r="F314" i="35"/>
  <c r="F316" i="35" s="1"/>
  <c r="H309" i="35"/>
  <c r="H314" i="35" s="1"/>
  <c r="H316" i="35" s="1"/>
  <c r="H337" i="35"/>
  <c r="H339" i="35" s="1"/>
  <c r="I309" i="35"/>
  <c r="I314" i="35" s="1"/>
  <c r="I316" i="35" s="1"/>
  <c r="I337" i="35"/>
  <c r="I339" i="35" s="1"/>
  <c r="J334" i="35"/>
  <c r="J311" i="35"/>
  <c r="J309" i="35" l="1"/>
  <c r="H69" i="13" l="1"/>
  <c r="I85" i="13" s="1"/>
  <c r="H85" i="13" l="1"/>
  <c r="I69" i="13"/>
  <c r="J85" i="13" s="1"/>
  <c r="L69" i="13"/>
  <c r="K69" i="13"/>
  <c r="L85" i="13" s="1"/>
  <c r="J69" i="13"/>
  <c r="K85" i="13" s="1"/>
  <c r="H86" i="13"/>
  <c r="K70" i="13" l="1"/>
  <c r="L86" i="13" s="1"/>
  <c r="H70" i="13"/>
  <c r="I86" i="13" s="1"/>
  <c r="I70" i="13"/>
  <c r="J86" i="13" s="1"/>
  <c r="L70" i="13"/>
  <c r="J70" i="13"/>
  <c r="K86" i="13" s="1"/>
  <c r="H71" i="13"/>
  <c r="H74" i="13" l="1"/>
  <c r="I87" i="13"/>
  <c r="I115" i="13" s="1"/>
  <c r="H72" i="13"/>
  <c r="H76" i="13" s="1"/>
  <c r="I71" i="13"/>
  <c r="J71" i="13"/>
  <c r="K71" i="13"/>
  <c r="L71" i="13"/>
  <c r="L74" i="13" s="1"/>
  <c r="G74" i="13" l="1"/>
  <c r="H87" i="13"/>
  <c r="J74" i="13"/>
  <c r="K87" i="13"/>
  <c r="I74" i="13"/>
  <c r="J87" i="13"/>
  <c r="K74" i="13"/>
  <c r="L87" i="13"/>
  <c r="H73" i="13"/>
  <c r="H75" i="13" s="1"/>
  <c r="J72" i="13"/>
  <c r="J76" i="13" s="1"/>
  <c r="K72" i="13"/>
  <c r="K76" i="13" s="1"/>
  <c r="I72" i="13"/>
  <c r="I76" i="13" s="1"/>
  <c r="L72" i="13"/>
  <c r="L76" i="13" s="1"/>
  <c r="G72" i="13"/>
  <c r="G76" i="13" s="1"/>
  <c r="I118" i="13" l="1"/>
  <c r="I120" i="13"/>
  <c r="L115" i="13"/>
  <c r="L120" i="13"/>
  <c r="K115" i="13"/>
  <c r="K120" i="13"/>
  <c r="H115" i="13"/>
  <c r="J115" i="13"/>
  <c r="J120" i="13"/>
  <c r="G73" i="13"/>
  <c r="G75" i="13" s="1"/>
  <c r="J73" i="13"/>
  <c r="J75" i="13" s="1"/>
  <c r="K73" i="13"/>
  <c r="K75" i="13" s="1"/>
  <c r="L73" i="13"/>
  <c r="L75" i="13" s="1"/>
  <c r="I73" i="13"/>
  <c r="I75" i="13" s="1"/>
  <c r="I119" i="13" l="1"/>
  <c r="I15" i="18" s="1"/>
  <c r="H120" i="13"/>
  <c r="H118" i="13"/>
  <c r="H119" i="13" s="1"/>
  <c r="H15" i="18" s="1"/>
  <c r="I16" i="18"/>
  <c r="I54" i="67" s="1"/>
  <c r="J118" i="13"/>
  <c r="J119" i="13" s="1"/>
  <c r="J15" i="18" s="1"/>
  <c r="L118" i="13"/>
  <c r="L119" i="13" s="1"/>
  <c r="L15" i="18" s="1"/>
  <c r="K118" i="13"/>
  <c r="K119" i="13" s="1"/>
  <c r="K15" i="18" s="1"/>
  <c r="I74" i="61" l="1"/>
  <c r="I75" i="61"/>
  <c r="I121" i="13"/>
  <c r="I145" i="13" s="1"/>
  <c r="I93" i="67"/>
  <c r="I94" i="67"/>
  <c r="I35" i="18"/>
  <c r="I71" i="67" s="1"/>
  <c r="J75" i="61"/>
  <c r="J16" i="18"/>
  <c r="J54" i="67" s="1"/>
  <c r="J74" i="61"/>
  <c r="L74" i="61"/>
  <c r="L16" i="18"/>
  <c r="L54" i="67" s="1"/>
  <c r="L75" i="61"/>
  <c r="H16" i="18"/>
  <c r="H54" i="67" s="1"/>
  <c r="H74" i="61"/>
  <c r="H75" i="61"/>
  <c r="K74" i="61"/>
  <c r="K16" i="18"/>
  <c r="K54" i="67" s="1"/>
  <c r="K75" i="61"/>
  <c r="I41" i="18" l="1"/>
  <c r="I66" i="67"/>
  <c r="I105" i="61"/>
  <c r="I195" i="61" s="1"/>
  <c r="I197" i="61" s="1"/>
  <c r="F16" i="63" s="1"/>
  <c r="H13" i="45"/>
  <c r="I36" i="18"/>
  <c r="I37" i="18" s="1"/>
  <c r="I73" i="67"/>
  <c r="I58" i="67"/>
  <c r="I38" i="18"/>
  <c r="I147" i="13"/>
  <c r="I148" i="13" s="1"/>
  <c r="I122" i="13"/>
  <c r="I45" i="61"/>
  <c r="I46" i="61" s="1"/>
  <c r="L93" i="67"/>
  <c r="J93" i="67"/>
  <c r="H93" i="67"/>
  <c r="H94" i="67"/>
  <c r="L94" i="67"/>
  <c r="I110" i="67"/>
  <c r="K94" i="67"/>
  <c r="J94" i="67"/>
  <c r="K93" i="67"/>
  <c r="I84" i="67"/>
  <c r="I43" i="67"/>
  <c r="I62" i="67"/>
  <c r="I80" i="67"/>
  <c r="I83" i="67"/>
  <c r="I77" i="67"/>
  <c r="I76" i="67"/>
  <c r="I56" i="67"/>
  <c r="I61" i="67"/>
  <c r="I57" i="67"/>
  <c r="I60" i="67"/>
  <c r="I55" i="67"/>
  <c r="I59" i="67"/>
  <c r="I82" i="67"/>
  <c r="I79" i="67"/>
  <c r="I81" i="67"/>
  <c r="I53" i="67"/>
  <c r="F10" i="63"/>
  <c r="J34" i="62" s="1"/>
  <c r="I146" i="13"/>
  <c r="I39" i="18" s="1"/>
  <c r="K105" i="61"/>
  <c r="K121" i="13"/>
  <c r="L105" i="61"/>
  <c r="L121" i="13"/>
  <c r="H121" i="13"/>
  <c r="D15" i="18"/>
  <c r="C15" i="18"/>
  <c r="H35" i="18"/>
  <c r="H71" i="67" s="1"/>
  <c r="L35" i="18"/>
  <c r="L71" i="67" s="1"/>
  <c r="K35" i="18"/>
  <c r="K71" i="67" s="1"/>
  <c r="J121" i="13"/>
  <c r="J35" i="18"/>
  <c r="J71" i="67" s="1"/>
  <c r="D16" i="18"/>
  <c r="C16" i="18"/>
  <c r="H105" i="61"/>
  <c r="J105" i="61"/>
  <c r="L41" i="18" l="1"/>
  <c r="L66" i="67"/>
  <c r="J41" i="18"/>
  <c r="J66" i="67"/>
  <c r="K41" i="18"/>
  <c r="K66" i="67"/>
  <c r="H41" i="18"/>
  <c r="H66" i="67"/>
  <c r="I106" i="61"/>
  <c r="L106" i="61"/>
  <c r="H195" i="61"/>
  <c r="H197" i="61" s="1"/>
  <c r="H199" i="61" s="1"/>
  <c r="K106" i="61"/>
  <c r="K195" i="61"/>
  <c r="K197" i="61" s="1"/>
  <c r="K199" i="61" s="1"/>
  <c r="K46" i="18" s="1"/>
  <c r="I199" i="61"/>
  <c r="I46" i="18" s="1"/>
  <c r="H14" i="45" s="1"/>
  <c r="L73" i="67"/>
  <c r="H73" i="67"/>
  <c r="J73" i="67"/>
  <c r="K73" i="67"/>
  <c r="I40" i="18"/>
  <c r="K110" i="67"/>
  <c r="K58" i="67"/>
  <c r="K38" i="18"/>
  <c r="K147" i="13"/>
  <c r="L147" i="13"/>
  <c r="L38" i="18"/>
  <c r="J58" i="67"/>
  <c r="J38" i="18"/>
  <c r="J147" i="13"/>
  <c r="H58" i="67"/>
  <c r="H147" i="13"/>
  <c r="H38" i="18"/>
  <c r="L53" i="67"/>
  <c r="L58" i="67"/>
  <c r="F22" i="63"/>
  <c r="I87" i="46" s="1"/>
  <c r="F11" i="63"/>
  <c r="I84" i="46" s="1"/>
  <c r="F26" i="63"/>
  <c r="F27" i="63" s="1"/>
  <c r="I67" i="34" s="1"/>
  <c r="F36" i="63"/>
  <c r="F37" i="63" s="1"/>
  <c r="L195" i="61"/>
  <c r="F14" i="63"/>
  <c r="F15" i="63" s="1"/>
  <c r="J45" i="62" s="1"/>
  <c r="F38" i="63"/>
  <c r="J46" i="62" s="1"/>
  <c r="H84" i="67"/>
  <c r="H43" i="67"/>
  <c r="H62" i="67"/>
  <c r="H80" i="67"/>
  <c r="H83" i="67"/>
  <c r="H77" i="67"/>
  <c r="H76" i="67"/>
  <c r="H57" i="67"/>
  <c r="H60" i="67"/>
  <c r="H56" i="67"/>
  <c r="H61" i="67"/>
  <c r="H55" i="67"/>
  <c r="H59" i="67"/>
  <c r="H82" i="67"/>
  <c r="H79" i="67"/>
  <c r="H81" i="67"/>
  <c r="C94" i="67"/>
  <c r="J110" i="67"/>
  <c r="J84" i="67"/>
  <c r="J43" i="67"/>
  <c r="J62" i="67"/>
  <c r="J80" i="67"/>
  <c r="J83" i="67"/>
  <c r="J77" i="67"/>
  <c r="J61" i="67"/>
  <c r="J60" i="67"/>
  <c r="J56" i="67"/>
  <c r="J55" i="67"/>
  <c r="J57" i="67"/>
  <c r="J59" i="67"/>
  <c r="J76" i="67"/>
  <c r="J82" i="67"/>
  <c r="J79" i="67"/>
  <c r="J81" i="67"/>
  <c r="K84" i="67"/>
  <c r="K43" i="67"/>
  <c r="K62" i="67"/>
  <c r="K80" i="67"/>
  <c r="K83" i="67"/>
  <c r="K77" i="67"/>
  <c r="K56" i="67"/>
  <c r="K60" i="67"/>
  <c r="K57" i="67"/>
  <c r="K61" i="67"/>
  <c r="K55" i="67"/>
  <c r="K59" i="67"/>
  <c r="K82" i="67"/>
  <c r="K76" i="67"/>
  <c r="K79" i="67"/>
  <c r="K81" i="67"/>
  <c r="H53" i="67"/>
  <c r="J53" i="67"/>
  <c r="L84" i="67"/>
  <c r="L43" i="67"/>
  <c r="L62" i="67"/>
  <c r="L80" i="67"/>
  <c r="L83" i="67"/>
  <c r="L60" i="67"/>
  <c r="L61" i="67"/>
  <c r="L56" i="67"/>
  <c r="L55" i="67"/>
  <c r="L57" i="67"/>
  <c r="L59" i="67"/>
  <c r="L77" i="67"/>
  <c r="L82" i="67"/>
  <c r="L76" i="67"/>
  <c r="L79" i="67"/>
  <c r="L81" i="67"/>
  <c r="K53" i="67"/>
  <c r="H110" i="67"/>
  <c r="C93" i="67"/>
  <c r="L110" i="67"/>
  <c r="I62" i="34"/>
  <c r="I83" i="46"/>
  <c r="F18" i="63"/>
  <c r="F19" i="63" s="1"/>
  <c r="I50" i="61" s="1"/>
  <c r="L145" i="13"/>
  <c r="L36" i="18" s="1"/>
  <c r="L37" i="18" s="1"/>
  <c r="L122" i="13"/>
  <c r="H145" i="13"/>
  <c r="H122" i="13"/>
  <c r="J145" i="13"/>
  <c r="J122" i="13"/>
  <c r="K145" i="13"/>
  <c r="K36" i="18" s="1"/>
  <c r="K37" i="18" s="1"/>
  <c r="K122" i="13"/>
  <c r="J106" i="61"/>
  <c r="J195" i="61"/>
  <c r="C35" i="18"/>
  <c r="H106" i="61"/>
  <c r="D35" i="18"/>
  <c r="I47" i="61"/>
  <c r="F17" i="63"/>
  <c r="I48" i="61" s="1"/>
  <c r="I115" i="67" l="1"/>
  <c r="I122" i="67" s="1"/>
  <c r="I124" i="67" s="1"/>
  <c r="I125" i="67" s="1"/>
  <c r="I52" i="18"/>
  <c r="I53" i="18" s="1"/>
  <c r="I78" i="67"/>
  <c r="L197" i="61"/>
  <c r="L199" i="61" s="1"/>
  <c r="L46" i="18" s="1"/>
  <c r="J197" i="61"/>
  <c r="J199" i="61" s="1"/>
  <c r="E16" i="18"/>
  <c r="D41" i="18"/>
  <c r="C54" i="67"/>
  <c r="C41" i="18"/>
  <c r="E10" i="63"/>
  <c r="H83" i="46" s="1"/>
  <c r="H36" i="18"/>
  <c r="H37" i="18" s="1"/>
  <c r="G10" i="63"/>
  <c r="G14" i="63" s="1"/>
  <c r="J36" i="18"/>
  <c r="J37" i="18" s="1"/>
  <c r="F23" i="63"/>
  <c r="I88" i="46" s="1"/>
  <c r="J148" i="13"/>
  <c r="L148" i="13"/>
  <c r="C53" i="67"/>
  <c r="C71" i="67"/>
  <c r="C69" i="67"/>
  <c r="C64" i="67"/>
  <c r="C68" i="67"/>
  <c r="C66" i="67"/>
  <c r="C72" i="67"/>
  <c r="C70" i="67"/>
  <c r="C67" i="67"/>
  <c r="C65" i="67"/>
  <c r="K148" i="13"/>
  <c r="H148" i="13"/>
  <c r="I63" i="34"/>
  <c r="I66" i="34"/>
  <c r="H16" i="63"/>
  <c r="K47" i="61" s="1"/>
  <c r="F39" i="63"/>
  <c r="I90" i="46" s="1"/>
  <c r="J44" i="62"/>
  <c r="I89" i="46"/>
  <c r="I68" i="34"/>
  <c r="I51" i="61"/>
  <c r="I49" i="61"/>
  <c r="I13" i="45"/>
  <c r="H46" i="18"/>
  <c r="C110" i="67"/>
  <c r="K115" i="67"/>
  <c r="K122" i="67" s="1"/>
  <c r="K124" i="67" s="1"/>
  <c r="K125" i="67" s="1"/>
  <c r="K78" i="67"/>
  <c r="C43" i="67"/>
  <c r="C73" i="67"/>
  <c r="C58" i="67"/>
  <c r="C80" i="67"/>
  <c r="C83" i="67"/>
  <c r="C84" i="67"/>
  <c r="C77" i="67"/>
  <c r="C63" i="67"/>
  <c r="C60" i="67"/>
  <c r="C55" i="67"/>
  <c r="C56" i="67"/>
  <c r="C57" i="67"/>
  <c r="C59" i="67"/>
  <c r="C61" i="67"/>
  <c r="C62" i="67"/>
  <c r="C82" i="67"/>
  <c r="C79" i="67"/>
  <c r="C81" i="67"/>
  <c r="C76" i="67"/>
  <c r="J146" i="13"/>
  <c r="J39" i="18" s="1"/>
  <c r="J40" i="18" s="1"/>
  <c r="J45" i="61"/>
  <c r="J46" i="61" s="1"/>
  <c r="H146" i="13"/>
  <c r="H39" i="18" s="1"/>
  <c r="H40" i="18" s="1"/>
  <c r="G13" i="45"/>
  <c r="H45" i="61"/>
  <c r="H46" i="61" s="1"/>
  <c r="C145" i="13"/>
  <c r="K146" i="13"/>
  <c r="K39" i="18" s="1"/>
  <c r="K40" i="18" s="1"/>
  <c r="J13" i="45"/>
  <c r="K45" i="61"/>
  <c r="K46" i="61" s="1"/>
  <c r="H10" i="63"/>
  <c r="L45" i="61"/>
  <c r="L46" i="61" s="1"/>
  <c r="L146" i="13"/>
  <c r="L39" i="18" s="1"/>
  <c r="L40" i="18" s="1"/>
  <c r="I10" i="63"/>
  <c r="K13" i="45"/>
  <c r="E34" i="18"/>
  <c r="E50" i="18"/>
  <c r="E51" i="18"/>
  <c r="E33" i="18"/>
  <c r="E22" i="18"/>
  <c r="E19" i="18"/>
  <c r="E30" i="18"/>
  <c r="E45" i="18"/>
  <c r="E32" i="18"/>
  <c r="E26" i="18"/>
  <c r="E20" i="18"/>
  <c r="E48" i="18"/>
  <c r="E27" i="18"/>
  <c r="E23" i="18"/>
  <c r="E17" i="18"/>
  <c r="E18" i="18"/>
  <c r="E24" i="18"/>
  <c r="E44" i="18"/>
  <c r="E31" i="18"/>
  <c r="E28" i="18"/>
  <c r="E21" i="18"/>
  <c r="E29" i="18"/>
  <c r="E35" i="18"/>
  <c r="E25" i="18"/>
  <c r="E47" i="18"/>
  <c r="E49" i="18"/>
  <c r="E16" i="63"/>
  <c r="E15" i="18"/>
  <c r="J14" i="45"/>
  <c r="K52" i="18"/>
  <c r="K53" i="18" s="1"/>
  <c r="I55" i="18" l="1"/>
  <c r="I79" i="18" s="1"/>
  <c r="I44" i="67"/>
  <c r="I45" i="67" s="1"/>
  <c r="I85" i="67"/>
  <c r="I126" i="67"/>
  <c r="G16" i="63"/>
  <c r="G18" i="63" s="1"/>
  <c r="G19" i="63" s="1"/>
  <c r="J50" i="61" s="1"/>
  <c r="I16" i="63"/>
  <c r="L47" i="61" s="1"/>
  <c r="C197" i="61"/>
  <c r="I34" i="62"/>
  <c r="J46" i="18"/>
  <c r="J78" i="67" s="1"/>
  <c r="C199" i="61"/>
  <c r="L52" i="18"/>
  <c r="L53" i="18" s="1"/>
  <c r="K14" i="45"/>
  <c r="L115" i="67"/>
  <c r="L122" i="67" s="1"/>
  <c r="L124" i="67" s="1"/>
  <c r="L126" i="67" s="1"/>
  <c r="L78" i="67"/>
  <c r="K34" i="62"/>
  <c r="E41" i="18"/>
  <c r="E14" i="63"/>
  <c r="E15" i="63" s="1"/>
  <c r="I45" i="62" s="1"/>
  <c r="J83" i="46"/>
  <c r="J62" i="34"/>
  <c r="G11" i="63"/>
  <c r="J63" i="34" s="1"/>
  <c r="G26" i="63"/>
  <c r="G27" i="63" s="1"/>
  <c r="J67" i="34" s="1"/>
  <c r="G22" i="63"/>
  <c r="J87" i="46" s="1"/>
  <c r="G36" i="63"/>
  <c r="G37" i="63" s="1"/>
  <c r="E11" i="63"/>
  <c r="H63" i="34" s="1"/>
  <c r="E26" i="63"/>
  <c r="E27" i="63" s="1"/>
  <c r="H67" i="34" s="1"/>
  <c r="H62" i="34"/>
  <c r="E22" i="63"/>
  <c r="E23" i="63" s="1"/>
  <c r="H88" i="46" s="1"/>
  <c r="E36" i="63"/>
  <c r="E37" i="63" s="1"/>
  <c r="E18" i="63"/>
  <c r="E19" i="63" s="1"/>
  <c r="H50" i="61" s="1"/>
  <c r="J47" i="62"/>
  <c r="I52" i="61"/>
  <c r="H17" i="63"/>
  <c r="K48" i="61" s="1"/>
  <c r="I69" i="34"/>
  <c r="K85" i="67"/>
  <c r="K44" i="67"/>
  <c r="K45" i="67" s="1"/>
  <c r="H115" i="67"/>
  <c r="H78" i="67"/>
  <c r="K126" i="67"/>
  <c r="D13" i="45"/>
  <c r="C45" i="61"/>
  <c r="H36" i="63"/>
  <c r="H37" i="63" s="1"/>
  <c r="K62" i="34"/>
  <c r="H22" i="63"/>
  <c r="K83" i="46"/>
  <c r="H26" i="63"/>
  <c r="L34" i="62"/>
  <c r="H11" i="63"/>
  <c r="H14" i="63"/>
  <c r="B10" i="63"/>
  <c r="H18" i="63"/>
  <c r="H19" i="63" s="1"/>
  <c r="K50" i="61" s="1"/>
  <c r="H38" i="63"/>
  <c r="M34" i="62"/>
  <c r="I14" i="63"/>
  <c r="L62" i="34"/>
  <c r="I36" i="63"/>
  <c r="I37" i="63" s="1"/>
  <c r="I11" i="63"/>
  <c r="I26" i="63"/>
  <c r="L83" i="46"/>
  <c r="I22" i="63"/>
  <c r="G14" i="45"/>
  <c r="H52" i="18"/>
  <c r="H53" i="18" s="1"/>
  <c r="E17" i="63"/>
  <c r="H48" i="61" s="1"/>
  <c r="H47" i="61"/>
  <c r="G15" i="63"/>
  <c r="K45" i="62" s="1"/>
  <c r="K44" i="62"/>
  <c r="K55" i="18"/>
  <c r="E38" i="63"/>
  <c r="I15" i="67" l="1"/>
  <c r="I16" i="67" s="1"/>
  <c r="I86" i="67"/>
  <c r="I56" i="18"/>
  <c r="I87" i="67" s="1"/>
  <c r="I81" i="18"/>
  <c r="I64" i="18"/>
  <c r="I18" i="63"/>
  <c r="L49" i="61" s="1"/>
  <c r="I38" i="63"/>
  <c r="I39" i="63" s="1"/>
  <c r="M47" i="62" s="1"/>
  <c r="I17" i="63"/>
  <c r="L48" i="61" s="1"/>
  <c r="B16" i="63"/>
  <c r="B38" i="63" s="1"/>
  <c r="G17" i="63"/>
  <c r="J48" i="61" s="1"/>
  <c r="J47" i="61"/>
  <c r="C47" i="61" s="1"/>
  <c r="G38" i="63"/>
  <c r="G39" i="63" s="1"/>
  <c r="J52" i="61" s="1"/>
  <c r="J115" i="67"/>
  <c r="J122" i="67" s="1"/>
  <c r="J124" i="67" s="1"/>
  <c r="J125" i="67" s="1"/>
  <c r="C46" i="18"/>
  <c r="C78" i="67" s="1"/>
  <c r="I14" i="45"/>
  <c r="D14" i="45" s="1"/>
  <c r="J52" i="18"/>
  <c r="J53" i="18" s="1"/>
  <c r="D46" i="18"/>
  <c r="E46" i="18" s="1"/>
  <c r="L125" i="67"/>
  <c r="L55" i="18"/>
  <c r="L56" i="18" s="1"/>
  <c r="L87" i="67" s="1"/>
  <c r="L85" i="67"/>
  <c r="L44" i="67"/>
  <c r="L45" i="67" s="1"/>
  <c r="I44" i="62"/>
  <c r="J84" i="46"/>
  <c r="J66" i="34"/>
  <c r="G23" i="63"/>
  <c r="J88" i="46" s="1"/>
  <c r="H66" i="34"/>
  <c r="H49" i="61"/>
  <c r="H84" i="46"/>
  <c r="H87" i="46"/>
  <c r="K64" i="18"/>
  <c r="J49" i="61"/>
  <c r="C34" i="62"/>
  <c r="K49" i="61"/>
  <c r="K86" i="67"/>
  <c r="K15" i="67"/>
  <c r="K16" i="67" s="1"/>
  <c r="H85" i="67"/>
  <c r="H44" i="67"/>
  <c r="H122" i="67"/>
  <c r="I27" i="63"/>
  <c r="L67" i="34" s="1"/>
  <c r="L66" i="34"/>
  <c r="M44" i="62"/>
  <c r="I15" i="63"/>
  <c r="M45" i="62" s="1"/>
  <c r="L84" i="46"/>
  <c r="L63" i="34"/>
  <c r="K84" i="46"/>
  <c r="K63" i="34"/>
  <c r="K87" i="46"/>
  <c r="H23" i="63"/>
  <c r="K88" i="46" s="1"/>
  <c r="H15" i="63"/>
  <c r="L45" i="62" s="1"/>
  <c r="L44" i="62"/>
  <c r="L87" i="46"/>
  <c r="I23" i="63"/>
  <c r="L88" i="46" s="1"/>
  <c r="B11" i="63"/>
  <c r="B22" i="63"/>
  <c r="E83" i="46"/>
  <c r="B36" i="63"/>
  <c r="B37" i="63" s="1"/>
  <c r="B14" i="63"/>
  <c r="B15" i="63" s="1"/>
  <c r="B26" i="63"/>
  <c r="D62" i="34"/>
  <c r="K89" i="46"/>
  <c r="L46" i="62"/>
  <c r="H39" i="63"/>
  <c r="K68" i="34"/>
  <c r="K51" i="61"/>
  <c r="H27" i="63"/>
  <c r="K67" i="34" s="1"/>
  <c r="K66" i="34"/>
  <c r="K79" i="18"/>
  <c r="K56" i="18"/>
  <c r="K87" i="67" s="1"/>
  <c r="K81" i="18"/>
  <c r="E39" i="63"/>
  <c r="H89" i="46"/>
  <c r="H51" i="61"/>
  <c r="H68" i="34"/>
  <c r="I46" i="62"/>
  <c r="H55" i="18"/>
  <c r="L52" i="61" l="1"/>
  <c r="L68" i="34"/>
  <c r="L51" i="61"/>
  <c r="L90" i="46"/>
  <c r="I19" i="63"/>
  <c r="L50" i="61" s="1"/>
  <c r="L89" i="46"/>
  <c r="L69" i="34"/>
  <c r="B18" i="63"/>
  <c r="B19" i="63" s="1"/>
  <c r="C50" i="61" s="1"/>
  <c r="B17" i="63"/>
  <c r="C48" i="61" s="1"/>
  <c r="M46" i="62"/>
  <c r="J69" i="34"/>
  <c r="K47" i="62"/>
  <c r="J89" i="46"/>
  <c r="J68" i="34"/>
  <c r="J90" i="46"/>
  <c r="C52" i="18"/>
  <c r="C85" i="67" s="1"/>
  <c r="K46" i="62"/>
  <c r="J44" i="67"/>
  <c r="J45" i="67" s="1"/>
  <c r="C115" i="67"/>
  <c r="J126" i="67"/>
  <c r="J85" i="67"/>
  <c r="J55" i="18"/>
  <c r="J86" i="67" s="1"/>
  <c r="D52" i="18"/>
  <c r="E52" i="18" s="1"/>
  <c r="J51" i="61"/>
  <c r="L79" i="18"/>
  <c r="L86" i="67"/>
  <c r="L15" i="67"/>
  <c r="L16" i="67" s="1"/>
  <c r="L64" i="18"/>
  <c r="L81" i="18"/>
  <c r="C44" i="62"/>
  <c r="H64" i="18"/>
  <c r="H66" i="18" s="1"/>
  <c r="C49" i="61"/>
  <c r="C45" i="62"/>
  <c r="H86" i="67"/>
  <c r="H15" i="67"/>
  <c r="H16" i="67" s="1"/>
  <c r="H17" i="67"/>
  <c r="H45" i="67"/>
  <c r="C122" i="67"/>
  <c r="C124" i="67" s="1"/>
  <c r="H124" i="67"/>
  <c r="H125" i="67" s="1"/>
  <c r="E84" i="46"/>
  <c r="D63" i="34"/>
  <c r="K69" i="34"/>
  <c r="L47" i="62"/>
  <c r="K52" i="61"/>
  <c r="K90" i="46"/>
  <c r="D66" i="34"/>
  <c r="B27" i="63"/>
  <c r="D67" i="34" s="1"/>
  <c r="B23" i="63"/>
  <c r="E88" i="46" s="1"/>
  <c r="E87" i="46"/>
  <c r="B39" i="63"/>
  <c r="C51" i="61"/>
  <c r="D68" i="34"/>
  <c r="E89" i="46"/>
  <c r="H81" i="18"/>
  <c r="H82" i="18" s="1"/>
  <c r="I82" i="18" s="1"/>
  <c r="H79" i="18"/>
  <c r="H56" i="18"/>
  <c r="H87" i="67" s="1"/>
  <c r="H57" i="18"/>
  <c r="I57" i="18" s="1"/>
  <c r="H90" i="46"/>
  <c r="H69" i="34"/>
  <c r="H52" i="61"/>
  <c r="I47" i="62"/>
  <c r="C46" i="62" l="1"/>
  <c r="H68" i="18"/>
  <c r="H69" i="18" s="1"/>
  <c r="C55" i="18"/>
  <c r="C86" i="67" s="1"/>
  <c r="C44" i="67"/>
  <c r="D55" i="18"/>
  <c r="E55" i="18" s="1"/>
  <c r="J56" i="18"/>
  <c r="J87" i="67" s="1"/>
  <c r="C45" i="67"/>
  <c r="J57" i="18"/>
  <c r="K57" i="18" s="1"/>
  <c r="L57" i="18" s="1"/>
  <c r="J79" i="18"/>
  <c r="J81" i="18"/>
  <c r="J82" i="18" s="1"/>
  <c r="K82" i="18" s="1"/>
  <c r="L82" i="18" s="1"/>
  <c r="J64" i="18"/>
  <c r="J15" i="67"/>
  <c r="J16" i="67" s="1"/>
  <c r="H126" i="67"/>
  <c r="H89" i="67"/>
  <c r="I17" i="67"/>
  <c r="H18" i="67"/>
  <c r="C47" i="62"/>
  <c r="E90" i="46"/>
  <c r="C52" i="61"/>
  <c r="D69" i="34"/>
  <c r="H70" i="18" l="1"/>
  <c r="H71" i="18" s="1"/>
  <c r="I63" i="18" s="1"/>
  <c r="I89" i="67"/>
  <c r="I18" i="67"/>
  <c r="J17" i="67"/>
  <c r="H73" i="18" l="1"/>
  <c r="H74" i="18" s="1"/>
  <c r="I65" i="18"/>
  <c r="I68" i="18" s="1"/>
  <c r="I69" i="18" s="1"/>
  <c r="J89" i="67"/>
  <c r="J18" i="67"/>
  <c r="K17" i="67"/>
  <c r="I66" i="18" l="1"/>
  <c r="I70" i="18"/>
  <c r="I73" i="18" s="1"/>
  <c r="I74" i="18" s="1"/>
  <c r="K89" i="67"/>
  <c r="L17" i="67"/>
  <c r="K18" i="67"/>
  <c r="I71" i="18" l="1"/>
  <c r="J63" i="18" s="1"/>
  <c r="L89" i="67"/>
  <c r="L18" i="67"/>
  <c r="J65" i="18" l="1"/>
  <c r="J68" i="18" l="1"/>
  <c r="J69" i="18" s="1"/>
  <c r="J66" i="18"/>
  <c r="J70" i="18" l="1"/>
  <c r="J73" i="18" l="1"/>
  <c r="J74" i="18" s="1"/>
  <c r="J71" i="18"/>
  <c r="K63" i="18" s="1"/>
  <c r="K65" i="18" l="1"/>
  <c r="K66" i="18" l="1"/>
  <c r="K68" i="18"/>
  <c r="L68" i="18"/>
  <c r="K69" i="18" l="1"/>
  <c r="L69" i="18" s="1"/>
  <c r="K70" i="18"/>
  <c r="K73" i="18" l="1"/>
  <c r="K74" i="18" s="1"/>
  <c r="K71" i="18"/>
  <c r="L63" i="18" s="1"/>
  <c r="L65" i="18" l="1"/>
  <c r="L70" i="18" s="1"/>
  <c r="L73" i="18" s="1"/>
  <c r="L74" i="18" s="1"/>
  <c r="L66" i="18" l="1"/>
  <c r="L71" i="18"/>
  <c r="G127" i="38" l="1"/>
  <c r="G130" i="38"/>
  <c r="E39" i="38"/>
  <c r="D39" i="38" s="1"/>
  <c r="G51" i="38" l="1"/>
  <c r="G56" i="38" s="1"/>
  <c r="K51" i="38"/>
  <c r="H51" i="38"/>
  <c r="P51" i="38"/>
  <c r="N51" i="38"/>
  <c r="M51" i="38"/>
  <c r="J51" i="38"/>
  <c r="Q51" i="38"/>
  <c r="E44" i="38"/>
  <c r="E51" i="38" s="1"/>
  <c r="D44" i="38" l="1"/>
  <c r="D51" i="38" s="1"/>
  <c r="H56" i="38"/>
  <c r="G57" i="38"/>
  <c r="F57" i="38"/>
  <c r="I56" i="38" l="1"/>
  <c r="H57" i="38"/>
  <c r="J56" i="38" l="1"/>
  <c r="I57" i="38"/>
  <c r="K56" i="38" l="1"/>
  <c r="J57" i="38"/>
  <c r="L56" i="38" l="1"/>
  <c r="K57" i="38"/>
  <c r="M56" i="38" l="1"/>
  <c r="L57" i="38"/>
  <c r="N56" i="38" l="1"/>
  <c r="M57" i="38"/>
  <c r="O56" i="38" l="1"/>
  <c r="N57" i="38"/>
  <c r="O57" i="38" l="1"/>
  <c r="P56" i="38"/>
  <c r="Q56" i="38" l="1"/>
  <c r="P57" i="38"/>
  <c r="Q57" i="38" l="1"/>
  <c r="R56" i="38"/>
  <c r="R57" i="38" s="1"/>
  <c r="M81" i="38" l="1"/>
  <c r="M105" i="38"/>
  <c r="M97" i="38"/>
  <c r="M77" i="38"/>
  <c r="M83" i="38"/>
  <c r="M80" i="38"/>
  <c r="N99" i="38"/>
  <c r="N108" i="38"/>
  <c r="N97" i="38"/>
  <c r="N102" i="38"/>
  <c r="N84" i="38"/>
  <c r="N79" i="38"/>
  <c r="N113" i="38"/>
  <c r="N111" i="38"/>
  <c r="N110" i="38"/>
  <c r="N109" i="38"/>
  <c r="N100" i="38"/>
  <c r="N53" i="38"/>
  <c r="N86" i="38"/>
  <c r="P18" i="38"/>
  <c r="Q18" i="38"/>
  <c r="Q34" i="38" s="1"/>
  <c r="Q90" i="38" s="1"/>
  <c r="K18" i="38"/>
  <c r="K34" i="38" s="1"/>
  <c r="G18" i="38"/>
  <c r="P34" i="38"/>
  <c r="P75" i="38" s="1"/>
  <c r="M18" i="38"/>
  <c r="M34" i="38" s="1"/>
  <c r="M111" i="38" s="1"/>
  <c r="M75" i="38"/>
  <c r="N18" i="38"/>
  <c r="N34" i="38" s="1"/>
  <c r="N115" i="38" s="1"/>
  <c r="N76" i="38"/>
  <c r="J18" i="38"/>
  <c r="J34" i="38" s="1"/>
  <c r="H18" i="38"/>
  <c r="N75" i="38"/>
  <c r="E17" i="38"/>
  <c r="D17" i="38" s="1"/>
  <c r="Q75" i="38" l="1"/>
  <c r="Q76" i="38"/>
  <c r="Q85" i="38"/>
  <c r="Q107" i="38"/>
  <c r="P52" i="38"/>
  <c r="P101" i="38"/>
  <c r="P89" i="38"/>
  <c r="P108" i="38"/>
  <c r="P117" i="38"/>
  <c r="P85" i="38"/>
  <c r="P114" i="38"/>
  <c r="N78" i="38"/>
  <c r="M79" i="38"/>
  <c r="M107" i="38"/>
  <c r="M76" i="38"/>
  <c r="M104" i="38"/>
  <c r="M117" i="38"/>
  <c r="M53" i="38"/>
  <c r="M110" i="38"/>
  <c r="M86" i="38"/>
  <c r="M114" i="38"/>
  <c r="M99" i="38"/>
  <c r="M78" i="38"/>
  <c r="M106" i="38"/>
  <c r="M109" i="38"/>
  <c r="K76" i="38"/>
  <c r="K79" i="38"/>
  <c r="K105" i="38"/>
  <c r="K103" i="38"/>
  <c r="K89" i="38"/>
  <c r="K117" i="38"/>
  <c r="G34" i="38"/>
  <c r="J85" i="38"/>
  <c r="J112" i="38"/>
  <c r="J97" i="38"/>
  <c r="J53" i="38"/>
  <c r="J117" i="38"/>
  <c r="J118" i="38"/>
  <c r="J88" i="38"/>
  <c r="J111" i="38"/>
  <c r="J52" i="38"/>
  <c r="J102" i="38"/>
  <c r="J82" i="38"/>
  <c r="J104" i="38"/>
  <c r="J105" i="38"/>
  <c r="J81" i="38"/>
  <c r="J86" i="38"/>
  <c r="J98" i="38"/>
  <c r="J114" i="38"/>
  <c r="J99" i="38"/>
  <c r="J109" i="38"/>
  <c r="J106" i="38"/>
  <c r="J116" i="38"/>
  <c r="J113" i="38"/>
  <c r="J75" i="38"/>
  <c r="J110" i="38"/>
  <c r="J80" i="38"/>
  <c r="J100" i="38"/>
  <c r="J101" i="38"/>
  <c r="J84" i="38"/>
  <c r="J90" i="38"/>
  <c r="J115" i="38"/>
  <c r="J76" i="38"/>
  <c r="J103" i="38"/>
  <c r="J107" i="38"/>
  <c r="J77" i="38"/>
  <c r="J108" i="38"/>
  <c r="J83" i="38"/>
  <c r="J87" i="38"/>
  <c r="J79" i="38"/>
  <c r="J78" i="38"/>
  <c r="J89" i="38"/>
  <c r="H34" i="38"/>
  <c r="H76" i="38" s="1"/>
  <c r="E18" i="38"/>
  <c r="P112" i="38"/>
  <c r="P115" i="38"/>
  <c r="P107" i="38"/>
  <c r="P106" i="38"/>
  <c r="P76" i="38"/>
  <c r="P78" i="38"/>
  <c r="P80" i="38"/>
  <c r="P118" i="38"/>
  <c r="P81" i="38"/>
  <c r="P104" i="38"/>
  <c r="P53" i="38"/>
  <c r="P97" i="38"/>
  <c r="Q98" i="38"/>
  <c r="Q106" i="38"/>
  <c r="Q52" i="38"/>
  <c r="Q105" i="38"/>
  <c r="Q101" i="38"/>
  <c r="Q88" i="38"/>
  <c r="Q78" i="38"/>
  <c r="Q109" i="38"/>
  <c r="Q118" i="38"/>
  <c r="Q100" i="38"/>
  <c r="Q97" i="38"/>
  <c r="Q81" i="38"/>
  <c r="Q108" i="38"/>
  <c r="Q104" i="38"/>
  <c r="Q83" i="38"/>
  <c r="P88" i="38"/>
  <c r="Q102" i="38"/>
  <c r="K99" i="38"/>
  <c r="P111" i="38"/>
  <c r="Q117" i="38"/>
  <c r="K114" i="38"/>
  <c r="P103" i="38"/>
  <c r="Q84" i="38"/>
  <c r="K78" i="38"/>
  <c r="Q86" i="38"/>
  <c r="K118" i="38"/>
  <c r="Q79" i="38"/>
  <c r="K110" i="38"/>
  <c r="K77" i="38"/>
  <c r="P83" i="38"/>
  <c r="Q114" i="38"/>
  <c r="K82" i="38"/>
  <c r="K84" i="38"/>
  <c r="P84" i="38"/>
  <c r="Q116" i="38"/>
  <c r="N117" i="38"/>
  <c r="N112" i="38"/>
  <c r="K80" i="38"/>
  <c r="K87" i="38"/>
  <c r="P109" i="38"/>
  <c r="Q80" i="38"/>
  <c r="N77" i="38"/>
  <c r="N116" i="38"/>
  <c r="Q103" i="38"/>
  <c r="K53" i="38"/>
  <c r="Q89" i="38"/>
  <c r="K88" i="38"/>
  <c r="Q77" i="38"/>
  <c r="Q112" i="38"/>
  <c r="Q99" i="38"/>
  <c r="K116" i="38"/>
  <c r="K52" i="38"/>
  <c r="K104" i="38"/>
  <c r="K102" i="38"/>
  <c r="K109" i="38"/>
  <c r="K113" i="38"/>
  <c r="K81" i="38"/>
  <c r="K98" i="38"/>
  <c r="K100" i="38"/>
  <c r="K108" i="38"/>
  <c r="K112" i="38"/>
  <c r="K97" i="38"/>
  <c r="P77" i="38"/>
  <c r="Q113" i="38"/>
  <c r="K106" i="38"/>
  <c r="Q111" i="38"/>
  <c r="K115" i="38"/>
  <c r="K107" i="38"/>
  <c r="Q87" i="38"/>
  <c r="N107" i="38"/>
  <c r="K86" i="38"/>
  <c r="N88" i="38"/>
  <c r="K83" i="38"/>
  <c r="P102" i="38"/>
  <c r="Q53" i="38"/>
  <c r="M88" i="38"/>
  <c r="M82" i="38"/>
  <c r="M87" i="38"/>
  <c r="M98" i="38"/>
  <c r="M52" i="38"/>
  <c r="M90" i="38"/>
  <c r="M100" i="38"/>
  <c r="M116" i="38"/>
  <c r="M89" i="38"/>
  <c r="M118" i="38"/>
  <c r="M101" i="38"/>
  <c r="M112" i="38"/>
  <c r="M102" i="38"/>
  <c r="M84" i="38"/>
  <c r="M85" i="38"/>
  <c r="M103" i="38"/>
  <c r="K111" i="38"/>
  <c r="P116" i="38"/>
  <c r="P98" i="38"/>
  <c r="Q82" i="38"/>
  <c r="M115" i="38"/>
  <c r="M113" i="38"/>
  <c r="P90" i="38"/>
  <c r="P82" i="38"/>
  <c r="P105" i="38"/>
  <c r="P86" i="38"/>
  <c r="K85" i="38"/>
  <c r="P110" i="38"/>
  <c r="N98" i="38"/>
  <c r="N83" i="38"/>
  <c r="N104" i="38"/>
  <c r="N114" i="38"/>
  <c r="N101" i="38"/>
  <c r="N89" i="38"/>
  <c r="N87" i="38"/>
  <c r="N118" i="38"/>
  <c r="N52" i="38"/>
  <c r="N90" i="38"/>
  <c r="N82" i="38"/>
  <c r="N105" i="38"/>
  <c r="N81" i="38"/>
  <c r="N85" i="38"/>
  <c r="N80" i="38"/>
  <c r="P99" i="38"/>
  <c r="K101" i="38"/>
  <c r="P87" i="38"/>
  <c r="Q110" i="38"/>
  <c r="K75" i="38"/>
  <c r="P79" i="38"/>
  <c r="N106" i="38"/>
  <c r="K90" i="38"/>
  <c r="P100" i="38"/>
  <c r="P113" i="38"/>
  <c r="Q115" i="38"/>
  <c r="N103" i="38"/>
  <c r="M108" i="38"/>
  <c r="G81" i="38"/>
  <c r="G83" i="38"/>
  <c r="G88" i="38"/>
  <c r="G35" i="38"/>
  <c r="G115" i="38"/>
  <c r="G104" i="38"/>
  <c r="G117" i="38"/>
  <c r="G112" i="38"/>
  <c r="G85" i="38"/>
  <c r="G79" i="38"/>
  <c r="N91" i="38" l="1"/>
  <c r="M91" i="38"/>
  <c r="G90" i="38"/>
  <c r="G109" i="38"/>
  <c r="G98" i="38"/>
  <c r="G75" i="38"/>
  <c r="G100" i="38"/>
  <c r="G80" i="38"/>
  <c r="G99" i="38"/>
  <c r="G108" i="38"/>
  <c r="G111" i="38"/>
  <c r="G78" i="38"/>
  <c r="G52" i="38"/>
  <c r="G105" i="38"/>
  <c r="G87" i="38"/>
  <c r="G101" i="38"/>
  <c r="G118" i="38"/>
  <c r="G114" i="38"/>
  <c r="G84" i="38"/>
  <c r="G102" i="38"/>
  <c r="G116" i="38"/>
  <c r="G107" i="38"/>
  <c r="G97" i="38"/>
  <c r="G103" i="38"/>
  <c r="G110" i="38"/>
  <c r="G82" i="38"/>
  <c r="G77" i="38"/>
  <c r="G113" i="38"/>
  <c r="G106" i="38"/>
  <c r="G53" i="38"/>
  <c r="G54" i="38" s="1"/>
  <c r="G86" i="38"/>
  <c r="G89" i="38"/>
  <c r="G76" i="38"/>
  <c r="P91" i="38"/>
  <c r="Q91" i="38"/>
  <c r="J91" i="38"/>
  <c r="H35" i="38"/>
  <c r="D18" i="38"/>
  <c r="E34" i="38"/>
  <c r="K91" i="38"/>
  <c r="H116" i="38"/>
  <c r="H118" i="38"/>
  <c r="H87" i="38"/>
  <c r="H103" i="38"/>
  <c r="H115" i="38"/>
  <c r="H88" i="38"/>
  <c r="H109" i="38"/>
  <c r="H84" i="38"/>
  <c r="H107" i="38"/>
  <c r="H75" i="38"/>
  <c r="H77" i="38"/>
  <c r="H81" i="38"/>
  <c r="H52" i="38"/>
  <c r="H112" i="38"/>
  <c r="H106" i="38"/>
  <c r="H101" i="38"/>
  <c r="H98" i="38"/>
  <c r="H105" i="38"/>
  <c r="H53" i="38"/>
  <c r="H113" i="38"/>
  <c r="H90" i="38"/>
  <c r="H85" i="38"/>
  <c r="H100" i="38"/>
  <c r="H102" i="38"/>
  <c r="H82" i="38"/>
  <c r="H99" i="38"/>
  <c r="H108" i="38"/>
  <c r="H78" i="38"/>
  <c r="H111" i="38"/>
  <c r="H114" i="38"/>
  <c r="H83" i="38"/>
  <c r="H86" i="38"/>
  <c r="H97" i="38"/>
  <c r="H104" i="38"/>
  <c r="H80" i="38"/>
  <c r="H89" i="38"/>
  <c r="H110" i="38"/>
  <c r="H79" i="38"/>
  <c r="H117" i="38"/>
  <c r="G91" i="38" l="1"/>
  <c r="G66" i="38"/>
  <c r="G67" i="38" s="1"/>
  <c r="H54" i="38"/>
  <c r="I54" i="38" s="1"/>
  <c r="J54" i="38" s="1"/>
  <c r="K54" i="38" s="1"/>
  <c r="L54" i="38" s="1"/>
  <c r="M54" i="38" s="1"/>
  <c r="N54" i="38" s="1"/>
  <c r="O54" i="38" s="1"/>
  <c r="P54" i="38" s="1"/>
  <c r="Q54" i="38" s="1"/>
  <c r="R54" i="38" s="1"/>
  <c r="E107" i="38"/>
  <c r="E105" i="38"/>
  <c r="D34" i="38"/>
  <c r="E84" i="38"/>
  <c r="E114" i="38"/>
  <c r="E100" i="38"/>
  <c r="E98" i="38"/>
  <c r="E103" i="38"/>
  <c r="E110" i="38"/>
  <c r="E79" i="38"/>
  <c r="E90" i="38"/>
  <c r="E109" i="38"/>
  <c r="E111" i="38"/>
  <c r="E113" i="38"/>
  <c r="E88" i="38"/>
  <c r="E106" i="38"/>
  <c r="E112" i="38"/>
  <c r="E117" i="38"/>
  <c r="E102" i="38"/>
  <c r="E77" i="38"/>
  <c r="E104" i="38"/>
  <c r="E85" i="38"/>
  <c r="E86" i="38"/>
  <c r="E78" i="38"/>
  <c r="E99" i="38"/>
  <c r="F36" i="38"/>
  <c r="F58" i="38" s="1"/>
  <c r="E83" i="38"/>
  <c r="E81" i="38"/>
  <c r="E75" i="38"/>
  <c r="E115" i="38"/>
  <c r="E53" i="38"/>
  <c r="E121" i="38"/>
  <c r="E125" i="38" s="1"/>
  <c r="E97" i="38"/>
  <c r="E87" i="38"/>
  <c r="E89" i="38"/>
  <c r="F92" i="38"/>
  <c r="E82" i="38"/>
  <c r="E116" i="38"/>
  <c r="E101" i="38"/>
  <c r="E80" i="38"/>
  <c r="E108" i="38"/>
  <c r="H91" i="38"/>
  <c r="E52" i="38"/>
  <c r="E76" i="38"/>
  <c r="G36" i="38"/>
  <c r="G58" i="38" s="1"/>
  <c r="G92" i="38"/>
  <c r="I35" i="38"/>
  <c r="H92" i="38"/>
  <c r="H36" i="38"/>
  <c r="H58" i="38" s="1"/>
  <c r="G121" i="38" l="1"/>
  <c r="G125" i="38" s="1"/>
  <c r="H123" i="38" s="1"/>
  <c r="H62" i="38"/>
  <c r="G68" i="38"/>
  <c r="G70" i="38" s="1"/>
  <c r="J35" i="38"/>
  <c r="I92" i="38"/>
  <c r="I36" i="38"/>
  <c r="I58" i="38" s="1"/>
  <c r="E91" i="38"/>
  <c r="D53" i="38"/>
  <c r="D35" i="38"/>
  <c r="H64" i="38" l="1"/>
  <c r="H65" i="38"/>
  <c r="K35" i="38"/>
  <c r="J36" i="38"/>
  <c r="J58" i="38" s="1"/>
  <c r="J92" i="38"/>
  <c r="H66" i="38" l="1"/>
  <c r="K36" i="38"/>
  <c r="K58" i="38" s="1"/>
  <c r="L35" i="38"/>
  <c r="K92" i="38"/>
  <c r="H67" i="38" l="1"/>
  <c r="H68" i="38"/>
  <c r="H70" i="38" s="1"/>
  <c r="L92" i="38"/>
  <c r="M35" i="38"/>
  <c r="L36" i="38"/>
  <c r="L58" i="38" s="1"/>
  <c r="I62" i="38" l="1"/>
  <c r="H121" i="38"/>
  <c r="H125" i="38" s="1"/>
  <c r="I123" i="38" s="1"/>
  <c r="N35" i="38"/>
  <c r="M36" i="38"/>
  <c r="M58" i="38" s="1"/>
  <c r="M92" i="38"/>
  <c r="I64" i="38" l="1"/>
  <c r="I65" i="38"/>
  <c r="N92" i="38"/>
  <c r="O35" i="38"/>
  <c r="N36" i="38"/>
  <c r="N58" i="38" s="1"/>
  <c r="I66" i="38" l="1"/>
  <c r="I68" i="38" s="1"/>
  <c r="Q35" i="38"/>
  <c r="O36" i="38"/>
  <c r="O58" i="38" s="1"/>
  <c r="O92" i="38"/>
  <c r="P35" i="38"/>
  <c r="I67" i="38" l="1"/>
  <c r="J62" i="38" s="1"/>
  <c r="I70" i="38"/>
  <c r="Q92" i="38"/>
  <c r="Q36" i="38"/>
  <c r="Q58" i="38" s="1"/>
  <c r="P92" i="38"/>
  <c r="R35" i="38"/>
  <c r="P36" i="38"/>
  <c r="P58" i="38" s="1"/>
  <c r="I121" i="38" l="1"/>
  <c r="I125" i="38" s="1"/>
  <c r="J123" i="38" s="1"/>
  <c r="J64" i="38"/>
  <c r="J65" i="38"/>
  <c r="R92" i="38"/>
  <c r="R36" i="38"/>
  <c r="R58" i="38" s="1"/>
  <c r="J66" i="38" l="1"/>
  <c r="J68" i="38" s="1"/>
  <c r="J70" i="38" s="1"/>
  <c r="J67" i="38" l="1"/>
  <c r="K62" i="38" s="1"/>
  <c r="J121" i="38" l="1"/>
  <c r="J125" i="38" s="1"/>
  <c r="K123" i="38" s="1"/>
  <c r="K64" i="38"/>
  <c r="K65" i="38"/>
  <c r="K66" i="38" l="1"/>
  <c r="K68" i="38" s="1"/>
  <c r="K70" i="38" s="1"/>
  <c r="K67" i="38" l="1"/>
  <c r="L62" i="38" s="1"/>
  <c r="K121" i="38" l="1"/>
  <c r="K125" i="38" s="1"/>
  <c r="L123" i="38" s="1"/>
  <c r="L65" i="38"/>
  <c r="L64" i="38"/>
  <c r="L66" i="38" l="1"/>
  <c r="L68" i="38" s="1"/>
  <c r="L70" i="38" s="1"/>
  <c r="L67" i="38" l="1"/>
  <c r="L121" i="38" l="1"/>
  <c r="L125" i="38" s="1"/>
  <c r="M123" i="38" s="1"/>
  <c r="M62" i="38"/>
  <c r="M65" i="38" l="1"/>
  <c r="M64" i="38"/>
  <c r="M66" i="38" l="1"/>
  <c r="M68" i="38" s="1"/>
  <c r="M70" i="38" s="1"/>
  <c r="M67" i="38" l="1"/>
  <c r="N62" i="38"/>
  <c r="M121" i="38"/>
  <c r="M125" i="38" s="1"/>
  <c r="N123" i="38" s="1"/>
  <c r="N65" i="38" l="1"/>
  <c r="N64" i="38"/>
  <c r="N66" i="38" s="1"/>
  <c r="N68" i="38" s="1"/>
  <c r="N70" i="38" s="1"/>
  <c r="N67" i="38" l="1"/>
  <c r="N121" i="38" s="1"/>
  <c r="N125" i="38" s="1"/>
  <c r="O123" i="38" s="1"/>
  <c r="O62" i="38"/>
  <c r="O64" i="38" l="1"/>
  <c r="O65" i="38"/>
  <c r="O66" i="38" l="1"/>
  <c r="O68" i="38" s="1"/>
  <c r="O70" i="38" s="1"/>
  <c r="O67" i="38" l="1"/>
  <c r="P62" i="38"/>
  <c r="O121" i="38"/>
  <c r="O125" i="38" s="1"/>
  <c r="P123" i="38" l="1"/>
  <c r="Q123" i="38"/>
  <c r="P65" i="38"/>
  <c r="P64" i="38"/>
  <c r="P66" i="38" l="1"/>
  <c r="P68" i="38" s="1"/>
  <c r="P70" i="38" s="1"/>
  <c r="P67" i="38" l="1"/>
  <c r="P121" i="38" l="1"/>
  <c r="P125" i="38" s="1"/>
  <c r="R123" i="38" s="1"/>
  <c r="Q62" i="38"/>
  <c r="Q64" i="38" l="1"/>
  <c r="Q65" i="38"/>
  <c r="Q66" i="38" l="1"/>
  <c r="Q68" i="38" s="1"/>
  <c r="Q70" i="38" s="1"/>
  <c r="Q67" i="38" l="1"/>
  <c r="R62" i="38" l="1"/>
  <c r="Q121" i="38"/>
  <c r="Q125" i="38" s="1"/>
  <c r="R64" i="38" l="1"/>
  <c r="R65" i="38"/>
  <c r="E65" i="38" s="1"/>
  <c r="R66" i="38" l="1"/>
  <c r="R68" i="38" l="1"/>
  <c r="R70" i="38" s="1"/>
  <c r="E66" i="38"/>
  <c r="R67" i="38"/>
  <c r="R121" i="38" s="1"/>
  <c r="R125" i="38" s="1"/>
</calcChain>
</file>

<file path=xl/comments1.xml><?xml version="1.0" encoding="utf-8"?>
<comments xmlns="http://schemas.openxmlformats.org/spreadsheetml/2006/main">
  <authors>
    <author>tc={C9720B80-4DE7-4342-B7EE-57EDC974AF12}</author>
    <author>tc={9909DB41-4054-4051-8E9D-3A06A152DDC1}</author>
    <author>Michael Dang</author>
    <author>tc={AE8693CC-D799-40D8-BC0A-DDEFCADE3B8B}</author>
    <author>tc={14D4832A-A429-4B66-9D06-54B3C5043617}</author>
  </authors>
  <commentList>
    <comment ref="C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Freeze pane anchor cell.</t>
        </r>
      </text>
    </comment>
    <comment ref="B15"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renamed to match profile</t>
        </r>
      </text>
    </comment>
    <comment ref="B26" authorId="2" shapeId="0">
      <text>
        <r>
          <rPr>
            <b/>
            <sz val="9"/>
            <color indexed="81"/>
            <rFont val="Tahoma"/>
            <family val="2"/>
          </rPr>
          <t>Michael Dang:</t>
        </r>
        <r>
          <rPr>
            <sz val="9"/>
            <color indexed="81"/>
            <rFont val="Tahoma"/>
            <family val="2"/>
          </rPr>
          <t xml:space="preserve">
Great Schools for Nevada is a federal Charter School Program (CSP) Grant facilitated by Opportunity 180 to lead the launch and expansion of high-quality public charter schools across our state. As a public education champion and advocacy organization based in Southern Nevada, one key portion of our work is to seek out, vet, and support innovative leaders and high-performing school models. 
https://opportunity180.org/great-schools-for-nevada/ </t>
        </r>
      </text>
    </comment>
    <comment ref="B44"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renamed to match profile and other tabs</t>
        </r>
      </text>
    </comment>
    <comment ref="C44"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Numbers now pulling from depreciation based expenses instead of cash acquisition cost.</t>
        </r>
      </text>
    </comment>
  </commentList>
</comments>
</file>

<file path=xl/comments2.xml><?xml version="1.0" encoding="utf-8"?>
<comments xmlns="http://schemas.openxmlformats.org/spreadsheetml/2006/main">
  <authors>
    <author>tc={3C354C26-ABAF-4990-B105-01215F15C21A}</author>
    <author>tc={B6F42B41-A78D-412D-AF3D-9126A5E0D606}</author>
    <author>tc={60129E67-CD70-46E7-91DA-906463589E3F}</author>
    <author>tc={E0B74DCF-2136-4060-977D-5542CAFEBFAB}</author>
  </authors>
  <commentList>
    <comment ref="C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Freeze pane anchor cell.</t>
        </r>
      </text>
    </comment>
    <comment ref="B76"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93"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113"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List>
</comments>
</file>

<file path=xl/comments3.xml><?xml version="1.0" encoding="utf-8"?>
<comments xmlns="http://schemas.openxmlformats.org/spreadsheetml/2006/main">
  <authors>
    <author>tc={87EFE0C2-FEF2-455B-9DF6-67099F02ADE0}</author>
    <author>tc={F01B7D95-1612-4E39-9CC5-6D2B6DA04B58}</author>
    <author>tc={561B544A-2D67-4E3A-99F3-D87FFDF6A489}</author>
    <author>tc={0811A250-739D-43A0-A3B3-E75FBF9A76FD}</author>
  </authors>
  <commentList>
    <comment ref="B34"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r>
      </text>
    </comment>
    <comment ref="I34"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r>
      </text>
    </comment>
    <comment ref="B6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 five mile distance as the crow flies or by google maps travel distance.</t>
        </r>
      </text>
    </comment>
    <comment ref="I66"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Based on Google Maps or another mapping program of your choice.
The distance from the school can be to your targeted location or to nearby cross-streets.</t>
        </r>
      </text>
    </comment>
  </commentList>
</comments>
</file>

<file path=xl/comments4.xml><?xml version="1.0" encoding="utf-8"?>
<comments xmlns="http://schemas.openxmlformats.org/spreadsheetml/2006/main">
  <authors>
    <author>tc={44638AEC-F4AF-481B-B482-D02A8E76DFE4}</author>
    <author>tc={ACFF2C00-C68D-444F-A86C-AF37774166CB}</author>
    <author>Michael Dang</author>
    <author>tc={FAF9EAF0-2408-4BEA-AA7F-D3ED4C6366EF}</author>
    <author>tc={0F7764B7-2B20-4F23-826F-F6F42C20F046}</author>
  </authors>
  <commentList>
    <comment ref="D12"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r>
      </text>
    </comment>
    <comment ref="B4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 would call this "ENROLLMENT BY STUDENT GROUP (Federally Fundable)
Reply:
    Thank you.  It's updated.</t>
        </r>
      </text>
    </comment>
    <comment ref="B60" authorId="2" shapeId="0">
      <text>
        <r>
          <rPr>
            <b/>
            <sz val="9"/>
            <color indexed="81"/>
            <rFont val="Tahoma"/>
            <family val="2"/>
          </rPr>
          <t>Michael Dang:</t>
        </r>
        <r>
          <rPr>
            <sz val="9"/>
            <color indexed="81"/>
            <rFont val="Tahoma"/>
            <family val="2"/>
          </rPr>
          <t xml:space="preserve">
Your revenue estimates begin with the State Adjusted...section.
Fill in the Total Enrollment section first.
Background information: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adjusted funds...</t>
        </r>
      </text>
    </comment>
    <comment ref="B73" authorId="2" shapeId="0">
      <text>
        <r>
          <rPr>
            <b/>
            <sz val="9"/>
            <color indexed="81"/>
            <rFont val="Tahoma"/>
            <family val="2"/>
          </rPr>
          <t>Michael Dang:</t>
        </r>
        <r>
          <rPr>
            <sz val="9"/>
            <color indexed="81"/>
            <rFont val="Tahoma"/>
            <family val="2"/>
          </rPr>
          <t xml:space="preserve">
The Nevada Legislature recently enacted a weighted funding formula. Under this formula, special education students, English learners, gifted and talented students, and at risk students (currently identified as students qualifying for free or reduced-price lunch) receive additional funding. (see SB 439 and SB 458 from the 2021 session of the Nevada Legilsature). Under this funding model, "a pupil who belongs to more than one category of pupils or for whom a school district, charter school or university school for profoundly gifted pupils is eligible to receive the statewide multiplier pursuant to NRS 387.122 must receive only the weighted funding for the single category to which the pupil belongs which has the largest multiplier or the statewide multiplier, whichever is larger. 
(See NRS 387.1214 as amended by section 4 of SB439). Currently, the largest weighted funding is provided for special educaiton students, followed by English learners, followed by gifted and talented students, followed by at risk students. 
The SPCSA has used prior year data to develop a formula for an approximate unduplicated count for the purpose of weighted funding. 
However, schools may choose to override this formula.
There is a one-year lag for these adjusted funds. Schools do not receive these funds in the first year of operation.
</t>
        </r>
      </text>
    </comment>
    <comment ref="C73" authorId="2" shapeId="0">
      <text>
        <r>
          <rPr>
            <b/>
            <sz val="9"/>
            <color indexed="81"/>
            <rFont val="Tahoma"/>
            <family val="2"/>
          </rPr>
          <t>Michael Dang:</t>
        </r>
        <r>
          <rPr>
            <sz val="9"/>
            <color indexed="81"/>
            <rFont val="Tahoma"/>
            <family val="2"/>
          </rPr>
          <t xml:space="preserve">
This may go over 100% as it is showing an estimate of overlap which is addressed in the rest of the table.</t>
        </r>
      </text>
    </comment>
    <comment ref="B76" authorId="2" shapeId="0">
      <text>
        <r>
          <rPr>
            <b/>
            <sz val="9"/>
            <color indexed="81"/>
            <rFont val="Tahoma"/>
            <family val="2"/>
          </rPr>
          <t>Michael Dang:</t>
        </r>
        <r>
          <rPr>
            <sz val="9"/>
            <color indexed="81"/>
            <rFont val="Tahoma"/>
            <family val="2"/>
          </rPr>
          <t xml:space="preserve">
Greater accuracy will reduce over/under payments and payment adjustments.</t>
        </r>
      </text>
    </comment>
    <comment ref="G76" authorId="2" shapeId="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H76" authorId="2" shapeId="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I76" authorId="2" shapeId="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J76" authorId="2" shapeId="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K76" authorId="2" shapeId="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L76" authorId="2" shapeId="0">
      <text>
        <r>
          <rPr>
            <b/>
            <sz val="9"/>
            <color indexed="81"/>
            <rFont val="Tahoma"/>
            <family val="2"/>
          </rPr>
          <t>Michael Dang:</t>
        </r>
        <r>
          <rPr>
            <sz val="9"/>
            <color indexed="81"/>
            <rFont val="Tahoma"/>
            <family val="2"/>
          </rPr>
          <t xml:space="preserve">
An Error message here typically means the applicant is overestimating how many students can receive weighted funding.  A student can only receive weighted funding for one category so if they are shown as receiving in more than one, at a general level, an error flag will show here.</t>
        </r>
      </text>
    </comment>
    <comment ref="B78" authorId="2" shapeId="0">
      <text>
        <r>
          <rPr>
            <b/>
            <sz val="9"/>
            <color indexed="81"/>
            <rFont val="Tahoma"/>
            <family val="2"/>
          </rPr>
          <t>Michael Dang:</t>
        </r>
        <r>
          <rPr>
            <sz val="9"/>
            <color indexed="81"/>
            <rFont val="Tahoma"/>
            <family val="2"/>
          </rPr>
          <t xml:space="preserve">
The same Per Pupil Revenue (PPR) amount is now paid for all Distance Education students--regardless of the county/district they are in.
All other applications should select the appropriate District/County where they will be conducting In Person teaching.</t>
        </r>
      </text>
    </comment>
    <comment ref="D84" authorId="2" shapeId="0">
      <text>
        <r>
          <rPr>
            <b/>
            <sz val="9"/>
            <color indexed="81"/>
            <rFont val="Tahoma"/>
            <family val="2"/>
          </rPr>
          <t>Michael Dang:</t>
        </r>
        <r>
          <rPr>
            <sz val="9"/>
            <color indexed="81"/>
            <rFont val="Tahoma"/>
            <family val="2"/>
          </rPr>
          <t xml:space="preserve">
2025 Rates: $3,845 PP
$3,694 PP w/o inflation, replaces
$2,755.30 per pupil (subject to change depending on actual enrollment of SPED students) 
SPED FY22 Payment Book- 7.6.21</t>
        </r>
      </text>
    </comment>
    <comment ref="C99"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$350. 2019.11.14
Reply:
    August 26, 2021 em from RF: $400 PP
Reply:
    RF 8/26/21 em @ $400</t>
        </r>
      </text>
    </comment>
    <comment ref="C100" authorId="2" shapeId="0">
      <text>
        <r>
          <rPr>
            <b/>
            <sz val="9"/>
            <color indexed="81"/>
            <rFont val="Tahoma"/>
            <family val="2"/>
          </rPr>
          <t>Michael Dang:</t>
        </r>
        <r>
          <rPr>
            <sz val="9"/>
            <color indexed="81"/>
            <rFont val="Tahoma"/>
            <family val="2"/>
          </rPr>
          <t xml:space="preserve">
RF 8/26/21 em @ $66</t>
        </r>
      </text>
    </comment>
    <comment ref="C101" authorId="2" shapeId="0">
      <text>
        <r>
          <rPr>
            <b/>
            <sz val="9"/>
            <color indexed="81"/>
            <rFont val="Tahoma"/>
            <family val="2"/>
          </rPr>
          <t>Michael Dang:</t>
        </r>
        <r>
          <rPr>
            <sz val="9"/>
            <color indexed="81"/>
            <rFont val="Tahoma"/>
            <family val="2"/>
          </rPr>
          <t xml:space="preserve">
RF 8/26/21 em @ $4</t>
        </r>
      </text>
    </comment>
    <comment ref="C102" authorId="2" shapeId="0">
      <text>
        <r>
          <rPr>
            <b/>
            <sz val="9"/>
            <color indexed="81"/>
            <rFont val="Tahoma"/>
            <family val="2"/>
          </rPr>
          <t>Michael Dang:</t>
        </r>
        <r>
          <rPr>
            <sz val="9"/>
            <color indexed="81"/>
            <rFont val="Tahoma"/>
            <family val="2"/>
          </rPr>
          <t xml:space="preserve">
RF 8/26/21 em @ $97</t>
        </r>
      </text>
    </comment>
    <comment ref="C104" authorId="2" shapeId="0">
      <text>
        <r>
          <rPr>
            <b/>
            <sz val="9"/>
            <color indexed="81"/>
            <rFont val="Tahoma"/>
            <family val="2"/>
          </rPr>
          <t>Michael Dang:</t>
        </r>
        <r>
          <rPr>
            <sz val="9"/>
            <color indexed="81"/>
            <rFont val="Tahoma"/>
            <family val="2"/>
          </rPr>
          <t xml:space="preserve">
8/26/2021 RF em
IDEA SPED-B @ $1005/Special Education Student</t>
        </r>
      </text>
    </comment>
    <comment ref="B118"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Inflation adjustor applied to base rate only, to be conservative.</t>
        </r>
      </text>
    </comment>
    <comment ref="B133" authorId="2" shapeId="0">
      <text>
        <r>
          <rPr>
            <b/>
            <sz val="9"/>
            <color indexed="81"/>
            <rFont val="Tahoma"/>
            <family val="2"/>
          </rPr>
          <t>Michael Dang:</t>
        </r>
        <r>
          <rPr>
            <sz val="9"/>
            <color indexed="81"/>
            <rFont val="Tahoma"/>
            <family val="2"/>
          </rPr>
          <t xml:space="preserve">
Replication and Expansion of High-Quality Schools 
Grants for the Replication and Expansion of High-Quality Schools (R&amp;E grants) provide funding for nonprofit charter management organizations (CMOs) serving two or more schools. These funds do not flow through state education agencies; they are awarded directly by the U.S. Department of Education to CMOs that have successful track records in improving student achievement. These charter school leaders must show evidence of increasing academic achievement and attainment for all students, have sound financial and business management plans, and have plans in place to close schools that do not meet high standards of academic performance. Since 2010, 24 nonprofit CMOs have opened more than 400 new schools in 23 states and the District of Columbia. 
http://www.publiccharters.org/sites/default/files/migrated/wp-content/uploads/2016/01/National-Alliance-Federal-Role-Charters.pdf</t>
        </r>
      </text>
    </comment>
    <comment ref="B135" authorId="2" shapeId="0">
      <text>
        <r>
          <rPr>
            <b/>
            <sz val="9"/>
            <color indexed="81"/>
            <rFont val="Tahoma"/>
            <family val="2"/>
          </rPr>
          <t>Michael Dang:</t>
        </r>
        <r>
          <rPr>
            <sz val="9"/>
            <color indexed="81"/>
            <rFont val="Tahoma"/>
            <family val="2"/>
          </rPr>
          <t xml:space="preserve">
State Education Agency grant program (SEA grants)</t>
        </r>
      </text>
    </comment>
  </commentList>
</comments>
</file>

<file path=xl/comments5.xml><?xml version="1.0" encoding="utf-8"?>
<comments xmlns="http://schemas.openxmlformats.org/spreadsheetml/2006/main">
  <authors>
    <author>tc={428C169F-7646-4CB0-B350-6B3997D0EBEC}</author>
    <author>Michael Dang</author>
    <author>tc={747F349B-9CDE-4C7C-8445-7504F225BB0C}</author>
    <author>tc={5F5A5891-0F7E-438F-98FE-D46B19DAAF7A}</author>
    <author>tc={E1B0AABC-FE85-4305-BCDA-D864236FBEFC}</author>
    <author>tc={105A4EF2-9C02-45A7-B312-9628B5927DF1}</author>
  </authors>
  <commentList>
    <comment ref="B17"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to align with profile tab</t>
        </r>
      </text>
    </comment>
    <comment ref="U17" authorId="1" shapeId="0">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U19" authorId="1" shapeId="0">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U21" authorId="1" shapeId="0">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B3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to line up with profile and other tabs</t>
        </r>
      </text>
    </comment>
    <comment ref="E39"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conditional formatting added</t>
        </r>
      </text>
    </comment>
    <comment ref="U42" authorId="1" shapeId="0">
      <text>
        <r>
          <rPr>
            <b/>
            <sz val="9"/>
            <color indexed="81"/>
            <rFont val="Tahoma"/>
            <family val="2"/>
          </rPr>
          <t>Michael Dang:</t>
        </r>
        <r>
          <rPr>
            <sz val="9"/>
            <color indexed="81"/>
            <rFont val="Tahoma"/>
            <family val="2"/>
          </rPr>
          <t xml:space="preserve">
Per NRS 387.124, the Pupil-Centered Funding Plan payments are to be paid on or before the first day of each month in an amount approximating one-twelfth of the respective yearly apportionment. Payments begin August 1 of each year for the upcoming fiscal year.
NRS 387.1241 authorizes a charter school to request their respective apportionment 30 days before the apportionment is required. To do so, the charter school must submit a request in writing to the Superintendent of Public Instruction. To do so, there is a form in addition to the Exceptional Enrollment Growth Adjustment (EEGA) documents. The request for an accelerated payment schedule must be received no less than 60 days in advance of the accelerated payment date of July 1. Final supporting EEGA documents are required no later than 30 days before the date of accelerated payment.
</t>
        </r>
      </text>
    </comment>
    <comment ref="B75"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 ref="B97"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lines changed for consistency</t>
        </r>
      </text>
    </comment>
  </commentList>
</comments>
</file>

<file path=xl/comments6.xml><?xml version="1.0" encoding="utf-8"?>
<comments xmlns="http://schemas.openxmlformats.org/spreadsheetml/2006/main">
  <authors>
    <author>tc={5AB4F22B-B34E-46CC-85F4-92C228ADA667}</author>
    <author>tc={5B5C6FFC-D74F-4D89-957C-272E389EFD53}</author>
    <author>tc={3FB75770-6A7E-41E4-989A-899F878C4E99}</author>
    <author>tc={8B28DE3F-0513-4202-B787-159B600CA677}</author>
    <author>tc={31D788BA-A50C-47FC-8E94-21A195E0BD60}</author>
    <author>tc={9FA39296-9023-4041-80FE-8575CCE2873E}</author>
    <author>Michael Dang</author>
    <author>tc={D1F6324D-8682-456C-9C83-BF47E7B5D48E}</author>
  </authors>
  <commentList>
    <comment ref="C59"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
        </r>
      </text>
    </comment>
    <comment ref="C60"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
        </r>
      </text>
    </comment>
    <comment ref="C62"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
        </r>
      </text>
    </comment>
    <comment ref="C63"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
        </r>
      </text>
    </comment>
    <comment ref="C64"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Employer costs for workers’ compensation insurance (per $100 of covered wages)
https://pieinsurance.com/blog/workers-comp/workers-comp-how-much/
</t>
        </r>
      </text>
    </comment>
    <comment ref="G142"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You may now increase/decrease staff counts in this section of the model.</t>
        </r>
      </text>
    </comment>
    <comment ref="B398" authorId="6" shapeId="0">
      <text>
        <r>
          <rPr>
            <b/>
            <sz val="9"/>
            <color indexed="81"/>
            <rFont val="Tahoma"/>
            <family val="2"/>
          </rPr>
          <t>Michael Dang:</t>
        </r>
        <r>
          <rPr>
            <sz val="9"/>
            <color indexed="81"/>
            <rFont val="Tahoma"/>
            <family val="2"/>
          </rPr>
          <t xml:space="preserve">
This inflation formula provides a compound estimated inflation amount applied to the total of alll salaries above it.  The user does not need to apply a compounding inflator to their salaries as the formula being used here will apply the inflator each year.
We could allow for a custom inflator, if the demand is sufficient for it.
This model allows direct or manual data entry into the data entry cells--though not to the collecting/totalling cells.   </t>
        </r>
      </text>
    </comment>
    <comment ref="B431"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E.g., 0.5 + 0.5 + 0.25 + 0.6 = 1.85 PTE</t>
        </r>
      </text>
    </comment>
  </commentList>
</comments>
</file>

<file path=xl/comments7.xml><?xml version="1.0" encoding="utf-8"?>
<comments xmlns="http://schemas.openxmlformats.org/spreadsheetml/2006/main">
  <authors>
    <author>tc={8EDDD725-5C94-46C0-924D-C11E83DCC10F}</author>
    <author>Michael Dang</author>
    <author>tc={049FD8B7-A556-4458-B741-9CE337C84F58}</author>
    <author>tc={7EE94EAF-B192-4E48-A3B1-248D938F898C}</author>
    <author>tc={DBC2E7CB-2685-404F-A07E-01603B5F45EF}</author>
    <author>tc={4D20B39F-CCD5-40F6-88A7-DA908090EB1A}</author>
    <author>tc={21BECB29-E1AE-4A1A-B3D7-3382A184FF5F}</author>
    <author>tc={CCEB1454-32E8-49D9-8901-DA3D297336F2}</author>
    <author>tc={37ECE0C7-2DF0-4069-83FB-34611AA80C80}</author>
    <author>tc={FEAE4CC4-5BE1-46EA-B674-1643248BBC0F}</author>
    <author>tc={E09D1AC0-CF29-4CCB-8732-58DCF484386E}</author>
    <author>tc={5A1E9927-B689-4F2F-9FDF-9AC411BA394B}</author>
    <author>tc={8B4CE012-06EE-44EF-B9A4-70A151D8CD64}</author>
    <author>tc={4A77444D-2667-414A-ACA6-5CACB9E7392C}</author>
    <author>tc={C044C3D4-0587-448F-AE58-11BAA9E73751}</author>
    <author>tc={CE06D8D1-4B55-4EF4-8B14-2444C8B0CA22}</author>
  </authors>
  <commentList>
    <comment ref="C9"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Freeze Pane Anchor cell</t>
        </r>
      </text>
    </comment>
    <comment ref="F23" authorId="1" shapeId="0">
      <text>
        <r>
          <rPr>
            <b/>
            <sz val="9"/>
            <color indexed="81"/>
            <rFont val="Tahoma"/>
            <family val="2"/>
          </rPr>
          <t>Michael Dang:</t>
        </r>
        <r>
          <rPr>
            <sz val="9"/>
            <color indexed="81"/>
            <rFont val="Tahoma"/>
            <family val="2"/>
          </rPr>
          <t xml:space="preserve">
Overwrite this with the actual lease rate likely for a new occupancy and partial year.</t>
        </r>
      </text>
    </comment>
    <comment ref="F40"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r>
      </text>
    </comment>
    <comment ref="G40"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capitalization assumption for capital outlay.  15 year depreciation schedule used based on Nevada Personal Property Manual (PPM)</t>
        </r>
      </text>
    </comment>
    <comment ref="F41"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G4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H41"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I41" authorId="7"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J41" authorId="8"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K41" authorId="9"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L41" authorId="1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F71" authorId="1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G71" authorId="1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 ref="F72" authorId="1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r>
      </text>
    </comment>
    <comment ref="G72" authorId="1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a depreciation schedule for new building purchase/construction using a 50 year asset life per the Nevada PPM.</t>
        </r>
      </text>
    </comment>
    <comment ref="F76" authorId="1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LIst both the cash cost and the book expense</t>
        </r>
      </text>
    </comment>
  </commentList>
</comments>
</file>

<file path=xl/comments8.xml><?xml version="1.0" encoding="utf-8"?>
<comments xmlns="http://schemas.openxmlformats.org/spreadsheetml/2006/main">
  <authors>
    <author>tc={88D99629-9430-4799-888B-536E1B48C1B0}</author>
    <author>tc={B7BA76B9-72DC-4B51-84FC-DCB653FB95D7}</author>
    <author>tc={9A98AA4F-1C78-4B0C-ADC0-E55A5537B0DC}</author>
    <author>tc={B89FAE20-3CE4-47C1-AE62-E249220CB33F}</author>
    <author>tc={8B1027DD-1690-4078-BE4E-8CCE2602C947}</author>
    <author>tc={081B3B9E-102C-4FB3-AD68-C0B3B1CBEAFF}</author>
    <author>Michael Dang</author>
  </authors>
  <commentList>
    <comment ref="D12"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Freeze Pane Anchor cell.
Place cursor here if you wish to freeze the panes so you can see which e so you can continue to see the years for the columns you want to review. </t>
        </r>
      </text>
    </comment>
    <comment ref="B66"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removed marketing from this section</t>
        </r>
      </text>
    </comment>
    <comment ref="D146"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student</t>
        </r>
      </text>
    </comment>
    <comment ref="D147"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student (not covered by Title I)</t>
        </r>
      </text>
    </comment>
    <comment ref="D148"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Per student</t>
        </r>
      </text>
    </comment>
    <comment ref="D149"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Input "yes or "no"</t>
        </r>
      </text>
    </comment>
    <comment ref="B195" authorId="6" shapeId="0">
      <text>
        <r>
          <rPr>
            <b/>
            <sz val="9"/>
            <color indexed="81"/>
            <rFont val="Tahoma"/>
            <family val="2"/>
          </rPr>
          <t>Michael Dang:</t>
        </r>
        <r>
          <rPr>
            <sz val="9"/>
            <color indexed="81"/>
            <rFont val="Tahoma"/>
            <family val="2"/>
          </rPr>
          <t xml:space="preserve">
Current formula assumes costs above are entered at today's costs and this formula will inflate those costs for future years.
Otherwise we would want to use this formula, starting in G121:
=SUM(G119,G110,G102)*$C$121</t>
        </r>
      </text>
    </comment>
  </commentList>
</comments>
</file>

<file path=xl/comments9.xml><?xml version="1.0" encoding="utf-8"?>
<comments xmlns="http://schemas.openxmlformats.org/spreadsheetml/2006/main">
  <authors>
    <author>tc={F988B70B-290B-4766-ABAF-6F3E355164A9}</author>
    <author>tc={3FF9201C-DBC8-4F22-A8BB-367D4D170A1D}</author>
  </authors>
  <commentList>
    <comment ref="C1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depreciation schedules with asset lives based on their category in the Nevada PPM</t>
        </r>
      </text>
    </comment>
    <comment ref="C18" authorId="1"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you can comment here
Reply:
    It costs $1,200 per laptop for faculty (Latitude 5540) </t>
        </r>
      </text>
    </comment>
  </commentList>
</comments>
</file>

<file path=xl/comments10.xml><?xml version="1.0" encoding="utf-8"?>
<comments xmlns="http://schemas.openxmlformats.org/spreadsheetml/2006/main">
  <authors>
    <author>tc={5A0475E5-6B0D-4D68-9F79-BF251AC40EF8}</author>
  </authors>
  <commentList>
    <comment ref="B36"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Keep at &gt;=1 in FTE section; use PT section for PT, like 0.5 </t>
        </r>
      </text>
    </comment>
  </commentList>
</comments>
</file>

<file path=xl/comments11.xml><?xml version="1.0" encoding="utf-8"?>
<comments xmlns="http://schemas.openxmlformats.org/spreadsheetml/2006/main">
  <authors>
    <author>tc={3A938AAD-556B-4D4E-BDCA-B0961C23113C}</author>
  </authors>
  <commentList>
    <comment ref="B3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Great Teaching &amp; Leading, NV Ready Technology, Teacher Incentives, and other measures in AB309 of the 2019 legislative session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<sst xmlns="http://schemas.openxmlformats.org/spreadsheetml/2006/main" count="2936" uniqueCount="1660">
  <si>
    <t>APPLICATION START PAGE</t>
  </si>
  <si>
    <t>Instructions</t>
  </si>
  <si>
    <t>Mike Dang, 702.486.8879</t>
  </si>
  <si>
    <t>TOC</t>
  </si>
  <si>
    <t>FINANCIAL PLAN WORKBOOK INSTRUCTIONS</t>
  </si>
  <si>
    <t xml:space="preserve">This New School Application Financial Plan/Pro Forma workbook was designed to show the financial implications of a school plan and assumptions before and during a six-year school contract.  It enables the applicant, the SPCSA and other stakeholders to analyze potential fiscal impacts of that plan.  This is a protected workbook and data should only be entered in the unprotected cells (yellow cells). To maximize usage of the Financial Plan Workbook, please familiarize yourself with the following general instructions prior to data entry.  
We have tried to design this to be as simple as possible yet as comprehensive as possible to help applicants think through fiscal impacting assumptions and for reviewers to see the impacts of those assumptions.
Contact us with any questions.  </t>
  </si>
  <si>
    <t>School Inputs</t>
  </si>
  <si>
    <t xml:space="preserve">Enter your assumptions in the light yellow cells of the various tabs of this workbook, beginning with the Cover "tab" or "worksheet."  Overwrite any placeholder assumptions currently in those cells.
FTE stands for Full-Time Equivalent.  If this term is unfamiliar, please consult with an individual experienced in budgeting and pupil accounting. If your budget plans include staff less than full time use a decimal to indicate the portion.  Contact or inform the State Public Charter School Authority of this if you perceive any issues in the related expennses and other impacts in this budget tool. </t>
  </si>
  <si>
    <t>Cover tab</t>
  </si>
  <si>
    <t>Begin filling out your application on this tab. Information loaded there is used and shown on other tabs.</t>
  </si>
  <si>
    <t>Checklist &amp; TOC tab</t>
  </si>
  <si>
    <t>Use this Checklist and Table of Contents tab to help ensure your application is complete and to navigate this pro forma part of your  application.</t>
  </si>
  <si>
    <t>Summary tab</t>
  </si>
  <si>
    <t>No entry needed on this tab</t>
  </si>
  <si>
    <t>Statistics tab</t>
  </si>
  <si>
    <t>Use this tab to review and contextualize your school plan in a fiscal/financial context.</t>
  </si>
  <si>
    <t>Market Research tab</t>
  </si>
  <si>
    <t>Use this tab to show your target market, planned enrollments, potential demand, estimated conversion rates and demographics of the "feeder" schools in your  planned service area.</t>
  </si>
  <si>
    <t>Enrol &amp; Rev tab</t>
  </si>
  <si>
    <t>Basic Information</t>
  </si>
  <si>
    <r>
      <rPr>
        <b/>
        <sz val="11"/>
        <color indexed="8"/>
        <rFont val="Calibri"/>
        <family val="2"/>
      </rPr>
      <t>1.</t>
    </r>
    <r>
      <rPr>
        <sz val="11"/>
        <color theme="1"/>
        <rFont val="Calibri"/>
        <family val="2"/>
        <scheme val="minor"/>
      </rPr>
      <t xml:space="preserve"> Please enter a Base Year into 'H2'. Additionally, please enter the appropriate school years in cells H5 through N5 as well as H6 through N6.</t>
    </r>
  </si>
  <si>
    <r>
      <rPr>
        <b/>
        <sz val="11"/>
        <color indexed="8"/>
        <rFont val="Calibri"/>
        <family val="2"/>
      </rPr>
      <t>2.</t>
    </r>
    <r>
      <rPr>
        <sz val="11"/>
        <color theme="1"/>
        <rFont val="Calibri"/>
        <family val="2"/>
        <scheme val="minor"/>
      </rPr>
      <t xml:space="preserve"> Next, be sure to enter your projected student enrollment in the enrollment section. This section caputres the number of students by grade level (Rows 7-21) and by school year (Columns H-N). </t>
    </r>
  </si>
  <si>
    <r>
      <rPr>
        <b/>
        <sz val="11"/>
        <color indexed="8"/>
        <rFont val="Calibri"/>
        <family val="2"/>
      </rPr>
      <t>3.</t>
    </r>
    <r>
      <rPr>
        <sz val="11"/>
        <color theme="1"/>
        <rFont val="Calibri"/>
        <family val="2"/>
        <scheme val="minor"/>
      </rPr>
      <t xml:space="preserve"> In cells I24 through N25, please enter your school's percentage of Title 1 students. Similarly, in cells I24 through N24, enter your institution's percentage of special education students.</t>
    </r>
  </si>
  <si>
    <t xml:space="preserve">The Pupil Centered Funding Plan (PCFP) funding per student is automatically populated depending on the county where the school is located (Cell F57).   If the school will be a single-district or multi-district  virtual school with a Distance Education program, then under the PCFP, one PPR rate will apply--regardless of NV County/District.  </t>
  </si>
  <si>
    <t>The Inflation Adjuster in 'B67' is designed to account for any increases in PCFP Revenue. Please be sure to enter a cost of inflation in this cell. You may wish to test inflation rates of 0 to 3%.  Be sure you can still operate with a surplus even with a 0% inflator/escalator.</t>
  </si>
  <si>
    <t>Enter your Title 1, IDEA (cost per SPED student) and school level fundraising income per student. Each of these entries will automatically calculate the revenue line items for BEP, Title 1, IDEA and school level funding.</t>
  </si>
  <si>
    <t>Any remaining revenue entries can be manually accounted for in the following subgroups:</t>
  </si>
  <si>
    <t xml:space="preserve">                               Charter Start-Up Funds</t>
  </si>
  <si>
    <t xml:space="preserve">                               Other Start-Up Grant Funds</t>
  </si>
  <si>
    <t xml:space="preserve">                               Student Fees (As allowed by other public schools)</t>
  </si>
  <si>
    <t xml:space="preserve">                               Investment Income</t>
  </si>
  <si>
    <t xml:space="preserve">                               Private fundraising (foundations, corporate)</t>
  </si>
  <si>
    <t xml:space="preserve">                               Private Fundraising</t>
  </si>
  <si>
    <t>Cashflow Year 1 (CF Y1 Mo) tab</t>
  </si>
  <si>
    <t>Use this tab to "spread" your year 1 expenses out on a monthly basis. All funds must be distributed to avoid an error message.</t>
  </si>
  <si>
    <t>Staff tab</t>
  </si>
  <si>
    <t>The staffing and compensation assumptions section will require input data on not only the charter school's staffing levels and average salaries, but it will also require the preparer to provide benefits data in order to provide the charter school with realistic financial projections. Please follow the instructions below:</t>
  </si>
  <si>
    <t>Instructional Days (Staff tab, row 65)</t>
  </si>
  <si>
    <r>
      <rPr>
        <b/>
        <sz val="11"/>
        <color indexed="8"/>
        <rFont val="Calibri"/>
        <family val="2"/>
      </rPr>
      <t>1.</t>
    </r>
    <r>
      <rPr>
        <sz val="11"/>
        <color theme="1"/>
        <rFont val="Calibri"/>
        <family val="2"/>
        <scheme val="minor"/>
      </rPr>
      <t xml:space="preserve"> Enter the average medical benefits for employees with both single and family coverage into cells 'F62' and 'F63'. </t>
    </r>
  </si>
  <si>
    <r>
      <rPr>
        <b/>
        <sz val="11"/>
        <color indexed="8"/>
        <rFont val="Calibri"/>
        <family val="2"/>
      </rPr>
      <t>2.</t>
    </r>
    <r>
      <rPr>
        <sz val="11"/>
        <color theme="1"/>
        <rFont val="Calibri"/>
        <family val="2"/>
        <scheme val="minor"/>
      </rPr>
      <t xml:space="preserve"> Second, enter the school's percentage of coverage.</t>
    </r>
  </si>
  <si>
    <r>
      <rPr>
        <b/>
        <sz val="11"/>
        <color indexed="8"/>
        <rFont val="Calibri"/>
        <family val="2"/>
      </rPr>
      <t>3.</t>
    </r>
    <r>
      <rPr>
        <sz val="11"/>
        <color theme="1"/>
        <rFont val="Calibri"/>
        <family val="2"/>
        <scheme val="minor"/>
      </rPr>
      <t xml:space="preserve"> Enter the assumed percentage of employees choosing single for their health benefits.</t>
    </r>
  </si>
  <si>
    <r>
      <rPr>
        <b/>
        <sz val="11"/>
        <color indexed="8"/>
        <rFont val="Calibri"/>
        <family val="2"/>
      </rPr>
      <t xml:space="preserve">4. </t>
    </r>
    <r>
      <rPr>
        <sz val="11"/>
        <color theme="1"/>
        <rFont val="Calibri"/>
        <family val="2"/>
        <scheme val="minor"/>
      </rPr>
      <t>Enter the percentage of your employee's salaries that will be allocated to FICA, State Retirement for Certified Employees, State Retirement for Non-Certified Employees and Life Insurance.</t>
    </r>
  </si>
  <si>
    <r>
      <rPr>
        <b/>
        <sz val="11"/>
        <color indexed="8"/>
        <rFont val="Calibri"/>
        <family val="2"/>
      </rPr>
      <t>5.</t>
    </r>
    <r>
      <rPr>
        <sz val="11"/>
        <color theme="1"/>
        <rFont val="Calibri"/>
        <family val="2"/>
        <scheme val="minor"/>
      </rPr>
      <t xml:space="preserve"> Enter any per-employee expenses associated with GASB 45 and Unemployment Insurance.</t>
    </r>
  </si>
  <si>
    <r>
      <rPr>
        <b/>
        <sz val="11"/>
        <color indexed="8"/>
        <rFont val="Calibri"/>
        <family val="2"/>
      </rPr>
      <t>6.</t>
    </r>
    <r>
      <rPr>
        <sz val="11"/>
        <color theme="1"/>
        <rFont val="Calibri"/>
        <family val="2"/>
        <scheme val="minor"/>
      </rPr>
      <t xml:space="preserve"> Payroll services are accounted for as a dollar value on a per employee/per month basis.</t>
    </r>
  </si>
  <si>
    <r>
      <rPr>
        <b/>
        <sz val="11"/>
        <color indexed="8"/>
        <rFont val="Calibri"/>
        <family val="2"/>
      </rPr>
      <t>7.</t>
    </r>
    <r>
      <rPr>
        <sz val="11"/>
        <color theme="1"/>
        <rFont val="Calibri"/>
        <family val="2"/>
        <scheme val="minor"/>
      </rPr>
      <t xml:space="preserve"> Any bonuses should be input and will be calculated as a percentage of salaried employees. </t>
    </r>
  </si>
  <si>
    <r>
      <rPr>
        <b/>
        <sz val="11"/>
        <color indexed="8"/>
        <rFont val="Calibri"/>
        <family val="2"/>
      </rPr>
      <t>8.</t>
    </r>
    <r>
      <rPr>
        <sz val="11"/>
        <color theme="1"/>
        <rFont val="Calibri"/>
        <family val="2"/>
        <scheme val="minor"/>
      </rPr>
      <t xml:space="preserve"> Be sure to enter your school's instructional days per year (required) as well as the Saturday schools per year, contractors required for Saturday school and price per contractor (if necessary).</t>
    </r>
  </si>
  <si>
    <r>
      <rPr>
        <b/>
        <sz val="11"/>
        <color indexed="8"/>
        <rFont val="Calibri"/>
        <family val="2"/>
      </rPr>
      <t>9.</t>
    </r>
    <r>
      <rPr>
        <sz val="11"/>
        <color theme="1"/>
        <rFont val="Calibri"/>
        <family val="2"/>
        <scheme val="minor"/>
      </rPr>
      <t xml:space="preserve"> The employee salaries and staffing levels should be entered in each designated area. For example, administrators such as the School Director should be entered into the Administrator section. The positions, salaries and staffing levels in this section are marked for input, so feel free to adjust the position levels, salaries and staffing levels as your charter school finds necessary. Please note that each line represents one position, multiple positions sharing a title will each need to entered on seperate lines.</t>
    </r>
  </si>
  <si>
    <r>
      <rPr>
        <b/>
        <sz val="11"/>
        <color indexed="8"/>
        <rFont val="Calibri"/>
        <family val="2"/>
      </rPr>
      <t>10.</t>
    </r>
    <r>
      <rPr>
        <sz val="11"/>
        <color theme="1"/>
        <rFont val="Calibri"/>
        <family val="2"/>
        <scheme val="minor"/>
      </rPr>
      <t xml:space="preserve"> For part-Time employees simply enter the average salary for each respective position and enter the number of employees per year. </t>
    </r>
  </si>
  <si>
    <r>
      <rPr>
        <b/>
        <sz val="11"/>
        <color indexed="8"/>
        <rFont val="Calibri"/>
        <family val="2"/>
      </rPr>
      <t>11.</t>
    </r>
    <r>
      <rPr>
        <sz val="11"/>
        <color theme="1"/>
        <rFont val="Calibri"/>
        <family val="2"/>
        <scheme val="minor"/>
      </rPr>
      <t xml:space="preserve"> Salaries and staffing levels work in unison with the inputs you entered to get to the total salary and benefits for your charter school. Feel free to adjust any of the staffing and compensation inputs to either decrease or increase your school's total compensation. </t>
    </r>
  </si>
  <si>
    <t>Facilities tab</t>
  </si>
  <si>
    <t>Complete either the Lease or the Purchase section.</t>
  </si>
  <si>
    <t>General Operating ("Gen Optg") Expense tab</t>
  </si>
  <si>
    <t>The general operating expense assumptions section houses the majority of the expenditures that are necessary to operate your charter school.</t>
  </si>
  <si>
    <t>Schools should set aside an amount of 4 to 5% of revenues into a general reserve account.</t>
  </si>
  <si>
    <r>
      <rPr>
        <b/>
        <sz val="11"/>
        <color indexed="8"/>
        <rFont val="Calibri"/>
        <family val="2"/>
      </rPr>
      <t>1.</t>
    </r>
    <r>
      <rPr>
        <sz val="11"/>
        <color theme="1"/>
        <rFont val="Calibri"/>
        <family val="2"/>
        <scheme val="minor"/>
      </rPr>
      <t xml:space="preserve"> This section is user-friendly for data entry. Each general operating expense line item is tied to a driver, i.e. per year or per student. The driver is then multiplied by the dollar value that was entered, which results in the amount of that expense line item for the given year. </t>
    </r>
  </si>
  <si>
    <r>
      <rPr>
        <b/>
        <sz val="11"/>
        <color indexed="8"/>
        <rFont val="Calibri"/>
        <family val="2"/>
      </rPr>
      <t>2.</t>
    </r>
    <r>
      <rPr>
        <sz val="11"/>
        <color theme="1"/>
        <rFont val="Calibri"/>
        <family val="2"/>
        <scheme val="minor"/>
      </rPr>
      <t xml:space="preserve"> The Contracted Services section should be completed in the same manner. Here the driver is per year, therefore any annual audits or legal services need to be calculated on an annual basis. </t>
    </r>
  </si>
  <si>
    <t>Transportation and Food Services are not funded for charter schools.</t>
  </si>
  <si>
    <t>FFE&amp;T (Furniture, Fixtures, Equipment &amp; Technology) tab</t>
  </si>
  <si>
    <t>See "Note FFE" tab for a note regarding the depreciation approach used in this model.</t>
  </si>
  <si>
    <t>Insurance tab</t>
  </si>
  <si>
    <t>Use this tab to show your insurance plan/budget. Note legal insurance requirements</t>
  </si>
  <si>
    <t>Marketing tab</t>
  </si>
  <si>
    <t>Use this tab to show your marketing plan to reach your target market.</t>
  </si>
  <si>
    <t>This tab differs from the Market tab. This  focuses not on where your pupils will come from but on marketing expenses to reach them.</t>
  </si>
  <si>
    <t>EMO-CMO tab</t>
  </si>
  <si>
    <t>Use this tab to show your plan/budget -- if you use a EMO/CMO.</t>
  </si>
  <si>
    <t>Demographics</t>
  </si>
  <si>
    <t>FYI</t>
  </si>
  <si>
    <t>PCFP Rates tab</t>
  </si>
  <si>
    <t>Facilities Wkst tab</t>
  </si>
  <si>
    <t xml:space="preserve">This sheet is optional.  It is provided to help you consider your space requirements.  Some schools may seek more/less space than </t>
  </si>
  <si>
    <t xml:space="preserve">is shown in the sample ranges.  You do not need to include this tab in your print range but leave it in the working Excel file you submit. </t>
  </si>
  <si>
    <t>Levers tab</t>
  </si>
  <si>
    <t xml:space="preserve">This page is intended to be a quick view of how each cost center is affecting overall financial performance. </t>
  </si>
  <si>
    <t>It will automatically populate as you complete the required tabs in the application. The use of this tab is completely optional and at your discretion.</t>
  </si>
  <si>
    <t>Other tabs</t>
  </si>
  <si>
    <t>Questions?  Contact:</t>
  </si>
  <si>
    <t xml:space="preserve">Mike Dang, 702.854.0691 (cell/text) 702.486.8879 (office), mdang@spcsa.nv.gov </t>
  </si>
  <si>
    <t>Michael Hutchins, 775.687.9239, M.Hutchins@spcsa.nv.gov</t>
  </si>
  <si>
    <t>Application Cover Sheet</t>
  </si>
  <si>
    <t>Mike Dang</t>
  </si>
  <si>
    <t>702.486.8879</t>
  </si>
  <si>
    <t>Proposed Name of School</t>
  </si>
  <si>
    <t xml:space="preserve">Planned school year starting in August </t>
  </si>
  <si>
    <t>School Year Ending (SYE)</t>
  </si>
  <si>
    <t>Name of Committee To Form contact(s)</t>
  </si>
  <si>
    <t>Phone number</t>
  </si>
  <si>
    <t xml:space="preserve">  email address</t>
  </si>
  <si>
    <t>Test</t>
  </si>
  <si>
    <t>School Location(s) under consideration: (Addresses or cross streets, City)(1 minimum, 2 maximum)</t>
  </si>
  <si>
    <t>Site 2</t>
  </si>
  <si>
    <t>Specific address recommended but not required .  Target cross streets required at a minimum.</t>
  </si>
  <si>
    <t>Supporting documentation attached? (y/n)</t>
  </si>
  <si>
    <t>Three sample Listings of buildings in targeted/planned zip code being considered.</t>
  </si>
  <si>
    <t>Listing must show available square footage, lease rates, location. (E.g., Loopnet)</t>
  </si>
  <si>
    <t>For start-up funding</t>
  </si>
  <si>
    <t>For fundraising</t>
  </si>
  <si>
    <t>Table of Contents (TOC) &amp; Completeness Check</t>
  </si>
  <si>
    <t>Initialize, print (pdf) and attach:</t>
  </si>
  <si>
    <t>Complete?</t>
  </si>
  <si>
    <t>/Applicant</t>
  </si>
  <si>
    <t>/SPCSA</t>
  </si>
  <si>
    <t>TOC Notes</t>
  </si>
  <si>
    <t>Comments (Applicant/SPCSA) (Not in print range)</t>
  </si>
  <si>
    <t>Enter Initials and attach:</t>
  </si>
  <si>
    <t>Initials</t>
  </si>
  <si>
    <t>Instructions (start page)</t>
  </si>
  <si>
    <t>Instructions -- Start here</t>
  </si>
  <si>
    <t>Cover (School Name) Page</t>
  </si>
  <si>
    <t>Beginning School Year entered on Cover Page?</t>
  </si>
  <si>
    <t>Checklist &amp; Table Of Contents</t>
  </si>
  <si>
    <t>School Financial Plan Summary</t>
  </si>
  <si>
    <t>Complete lower Net Position (Balance Sheet) information</t>
  </si>
  <si>
    <t>School Plan Statistics</t>
  </si>
  <si>
    <t>Market Research</t>
  </si>
  <si>
    <t>Market (Potential Students Populations)</t>
  </si>
  <si>
    <t>Enrollment &amp; Revenue</t>
  </si>
  <si>
    <t>Revenue &amp; Enrollment</t>
  </si>
  <si>
    <t>Cash Flow Year 1 Monthly</t>
  </si>
  <si>
    <t>Expenses: Year One--Month to Month</t>
  </si>
  <si>
    <t>Staff</t>
  </si>
  <si>
    <t>Expenses: Staff</t>
  </si>
  <si>
    <t>Facilities</t>
  </si>
  <si>
    <t>Expenses: Facility Lease/Purchase</t>
  </si>
  <si>
    <t>General Operating Plan</t>
  </si>
  <si>
    <t>Expenses: General Operating</t>
  </si>
  <si>
    <t>Furniture, Fixtures, Equipment 
&amp; Technology (FFE&amp;T)</t>
  </si>
  <si>
    <t>Expenses: Furniture, Fixtures, Equipment &amp; Technology</t>
  </si>
  <si>
    <t>Insurance</t>
  </si>
  <si>
    <t>Expenses: Insurance</t>
  </si>
  <si>
    <t>Marketing</t>
  </si>
  <si>
    <t>Expenses: Marketing Plan &amp; Implementation</t>
  </si>
  <si>
    <t>EMO, CMO, BOSP</t>
  </si>
  <si>
    <t>Expenses: Education/Charter Management Organization, 
Back Office Service Provider (If applicable)</t>
  </si>
  <si>
    <t>PCFP Rates (Information)</t>
  </si>
  <si>
    <t>NA</t>
  </si>
  <si>
    <t>Applicable Per Pupil Revenue estimates (No completion required)</t>
  </si>
  <si>
    <t>Facilities (worksheet)</t>
  </si>
  <si>
    <t>Worksheet which may help calculate Facilities costs (Not required)</t>
  </si>
  <si>
    <t>Scratchpad (worksheet)</t>
  </si>
  <si>
    <t>Free space for applicant tests, notes</t>
  </si>
  <si>
    <t>Special Population and Demographic percentages</t>
  </si>
  <si>
    <t>Attachments</t>
  </si>
  <si>
    <t>Supporting documents referred to below.</t>
  </si>
  <si>
    <t>Market report or Sample Listings of buildings in targeted/planned zip codes</t>
  </si>
  <si>
    <t>Must show building types (/raw land), square footages (/acres), lease rates.</t>
  </si>
  <si>
    <t xml:space="preserve">  </t>
  </si>
  <si>
    <t>Totals/Max'/Avg</t>
  </si>
  <si>
    <t>Key Metrics</t>
  </si>
  <si>
    <t>Comments (SPCSA STAFF) (Not in print range)</t>
  </si>
  <si>
    <t>Number of Students (Enrollment)</t>
  </si>
  <si>
    <t>Number of Employees (FTE)</t>
  </si>
  <si>
    <t>Facility Size (square footage)</t>
  </si>
  <si>
    <t xml:space="preserve">10.29 reointed cells one cell to the right on Facilities tab </t>
  </si>
  <si>
    <t xml:space="preserve">  Square feet PP</t>
  </si>
  <si>
    <t>REVENUE &amp; RESOURCES</t>
  </si>
  <si>
    <t>Total</t>
  </si>
  <si>
    <t>Avg/yr(1-6)</t>
  </si>
  <si>
    <t>%AvTot</t>
  </si>
  <si>
    <t>State &amp; Local Revenue w/o St SpEd</t>
  </si>
  <si>
    <t>CS Sponsorship Fee (Infl' Adj'd)</t>
  </si>
  <si>
    <t>Title I</t>
  </si>
  <si>
    <t>Title IIA</t>
  </si>
  <si>
    <t>Title III</t>
  </si>
  <si>
    <t>Title IV</t>
  </si>
  <si>
    <t>Federal Breakfast Program</t>
  </si>
  <si>
    <t>Federal Lunch Program</t>
  </si>
  <si>
    <t>IDEA</t>
  </si>
  <si>
    <t>State Special Education Funding</t>
  </si>
  <si>
    <t>"Replication &amp; Expansion" start-up funds</t>
  </si>
  <si>
    <t>Supporting documentation required</t>
  </si>
  <si>
    <t>Other start-up funds (incl' SEA grants)</t>
  </si>
  <si>
    <t>Student fees (Net)</t>
  </si>
  <si>
    <t>Food Services</t>
  </si>
  <si>
    <t>Transportation</t>
  </si>
  <si>
    <t>Investment Income</t>
  </si>
  <si>
    <t>School level fundraising</t>
  </si>
  <si>
    <t>Private fundraising (foundations, corporate)</t>
  </si>
  <si>
    <t>Supporting documentation required (Award letters)</t>
  </si>
  <si>
    <t>Private fundraising (individuals)</t>
  </si>
  <si>
    <t>TOTAL REVENUE</t>
  </si>
  <si>
    <t xml:space="preserve">   Enrol &amp; Rev tab</t>
  </si>
  <si>
    <t xml:space="preserve">   In balance check</t>
  </si>
  <si>
    <t xml:space="preserve">   Total Revenue PP </t>
  </si>
  <si>
    <t xml:space="preserve">   Total Revenue PP (Check w/Enrol &amp; Rev tab)</t>
  </si>
  <si>
    <t xml:space="preserve">   In balance check PP</t>
  </si>
  <si>
    <t>Title, Fed Funds/Total Rev'-no CSP</t>
  </si>
  <si>
    <t>EXPENSES</t>
  </si>
  <si>
    <t xml:space="preserve">Personnel </t>
  </si>
  <si>
    <t>General Operating Expenses</t>
  </si>
  <si>
    <t>EMO Payments</t>
  </si>
  <si>
    <t>FFE&amp;T</t>
  </si>
  <si>
    <t>TOTAL EXPENSES</t>
  </si>
  <si>
    <t xml:space="preserve">   Total Expenses PP</t>
  </si>
  <si>
    <t>SURPLUS/(DEFICIT)/Period</t>
  </si>
  <si>
    <t>The school operates only with a surplus</t>
  </si>
  <si>
    <t xml:space="preserve">     Per student</t>
  </si>
  <si>
    <t>SURPLUS/(DEFICIT)(Cumu'; capital rqt)</t>
  </si>
  <si>
    <t>Acts as a temporary estimator of cash fund balance</t>
  </si>
  <si>
    <t xml:space="preserve">    Reserves </t>
  </si>
  <si>
    <t>Additional Funding/Borrowing  required/period</t>
  </si>
  <si>
    <t>Cumulative Additional Funding potentially required</t>
  </si>
  <si>
    <t>SPCSA does not encourage debt but understands borrowing may be required. Supporting documentation of any planned borrowing must be provided.</t>
  </si>
  <si>
    <t>Debt Balance, Beginning</t>
  </si>
  <si>
    <t>Borrowings in Period</t>
  </si>
  <si>
    <t>Interest on borrowings</t>
  </si>
  <si>
    <t>Hold off on this for now; don't want to encourage borrowing too early.</t>
  </si>
  <si>
    <t>Net Surplus (Deficit) and/or Borrowings</t>
  </si>
  <si>
    <t>Cumulative Net Surplus (Deficit) Borrowings/Surplus</t>
  </si>
  <si>
    <t>Debt Payments (Deb payments)</t>
  </si>
  <si>
    <t>Debt Balance, Ending</t>
  </si>
  <si>
    <t>Net Surplus (Deficit) Net of Borrowings and Payments</t>
  </si>
  <si>
    <t>Cumulative Net Surplus (Deficit) Net of Borrowings and Payments</t>
  </si>
  <si>
    <t>Debt Service Payments-Principal</t>
  </si>
  <si>
    <t>Debt Service Payments-Interest</t>
  </si>
  <si>
    <t>Total Debt Service Payments</t>
  </si>
  <si>
    <t>SURPLUS/(DEFICIT) After Debt Service &amp; Reserves</t>
  </si>
  <si>
    <t xml:space="preserve">Surplus/(Deficit)-Schl &amp; Pri' Fundraising-S Fees </t>
  </si>
  <si>
    <t>Surplus/(Deficit) (Cumu')</t>
  </si>
  <si>
    <t>Statement of Net Position / Balance Sheet (June 30)</t>
  </si>
  <si>
    <t>ASSETS</t>
  </si>
  <si>
    <t>Cash</t>
  </si>
  <si>
    <t>Other Current Assets</t>
  </si>
  <si>
    <t>Reserves</t>
  </si>
  <si>
    <t>Facilities (GASB 87 balance if leased)</t>
  </si>
  <si>
    <t>Other Noncurrent Assets</t>
  </si>
  <si>
    <t>Total Assets</t>
  </si>
  <si>
    <t>Liabilities</t>
  </si>
  <si>
    <t>Current Liabilities &amp; Short Term Borrowings</t>
  </si>
  <si>
    <t>x</t>
  </si>
  <si>
    <t>Noncurrent Liabilities &amp; Medium/Long Term Borrowings</t>
  </si>
  <si>
    <t xml:space="preserve">   Total Liabilities</t>
  </si>
  <si>
    <t>Net Position</t>
  </si>
  <si>
    <t>Liabilities &amp; Net Position</t>
  </si>
  <si>
    <t>Assets - Liabilities &amp; Net Position (w/o Net Pension Liabilities; should be 0)</t>
  </si>
  <si>
    <t>Current Ratio</t>
  </si>
  <si>
    <t>Debt to Aseets Ratio</t>
  </si>
  <si>
    <t>ABC Academy</t>
  </si>
  <si>
    <t>https://nv.sharepoint.com/sites/spcsa/Shared Documents/Authorizing/Application Packet/Template Financial Plan Workbook/[SPCSA-New-School-Application-Financial-Plan-Template-PCFP-2021 09 22.xlsx]Sheet1</t>
  </si>
  <si>
    <t>SY 0/Incu</t>
  </si>
  <si>
    <t>Number of Students</t>
  </si>
  <si>
    <t xml:space="preserve">  sq ft PP</t>
  </si>
  <si>
    <t>KEY STATISTICS</t>
  </si>
  <si>
    <t xml:space="preserve">   # students &gt; Bkeven</t>
  </si>
  <si>
    <t xml:space="preserve">   % students &gt; Bkeven</t>
  </si>
  <si>
    <t>Ending Fund Balance (cumulative)</t>
  </si>
  <si>
    <t>Cumulative Reserve/Expense</t>
  </si>
  <si>
    <t>Number of Occupants</t>
  </si>
  <si>
    <t>Growth, # students</t>
  </si>
  <si>
    <t>Number of Teachers (SPED)</t>
  </si>
  <si>
    <t>Number of Teachers (ELL)</t>
  </si>
  <si>
    <t>Number of Teachers (Grade)</t>
  </si>
  <si>
    <t>Number of Teachers (Total)</t>
  </si>
  <si>
    <t xml:space="preserve">   Student/Teacher</t>
  </si>
  <si>
    <t xml:space="preserve">   Student/Classroom w/o Teacher</t>
  </si>
  <si>
    <t>Number of Admin</t>
  </si>
  <si>
    <t xml:space="preserve">   Student/Admin ratio</t>
  </si>
  <si>
    <t xml:space="preserve">   Teacher/Admin ratio</t>
  </si>
  <si>
    <t>Number of Office (non Admin)</t>
  </si>
  <si>
    <t xml:space="preserve">   Student/Office ratio</t>
  </si>
  <si>
    <t xml:space="preserve">   Teacher/Office ratio</t>
  </si>
  <si>
    <t>Salaries: Administrator</t>
  </si>
  <si>
    <t>Salaries: Office staff</t>
  </si>
  <si>
    <t>Salaries: Teachers (SPED)</t>
  </si>
  <si>
    <t>Salaries: Teachers (ELL)</t>
  </si>
  <si>
    <t>Salaries/Teachers-Grade Level</t>
  </si>
  <si>
    <t xml:space="preserve">Title IIA Professional Dev </t>
  </si>
  <si>
    <t>Revenue/pupil</t>
  </si>
  <si>
    <t>Expenses/pupil</t>
  </si>
  <si>
    <t xml:space="preserve">  Net/p</t>
  </si>
  <si>
    <t>Square Feet (Facility, Conditioned)</t>
  </si>
  <si>
    <t>Sq ft / Students</t>
  </si>
  <si>
    <t>Sq ft / Occupants</t>
  </si>
  <si>
    <t>Student fees PP</t>
  </si>
  <si>
    <t>PERCENT TOTAL REVENUE</t>
  </si>
  <si>
    <t>REVENUE</t>
  </si>
  <si>
    <t>EMO/CMO Payments, Net</t>
  </si>
  <si>
    <t>Other Pre-approval &amp; Pre-Opening</t>
  </si>
  <si>
    <t>SURPLUS/(DEFICIT)</t>
  </si>
  <si>
    <t>Ending Fund Balance (Estimator)</t>
  </si>
  <si>
    <t>PER PUPIL (AVERAGES)</t>
  </si>
  <si>
    <t>REVENUE PP</t>
  </si>
  <si>
    <t>(Avg y1-6)</t>
  </si>
  <si>
    <t>R&amp;E start-up funds</t>
  </si>
  <si>
    <t>Other start-up funds</t>
  </si>
  <si>
    <t>Student fees</t>
  </si>
  <si>
    <t>TOTAL REVENUE PP</t>
  </si>
  <si>
    <t>EXPENSES PP</t>
  </si>
  <si>
    <t>TOTAL EXPENSES PP</t>
  </si>
  <si>
    <t>SURPLUS/(DEFICIT) Per Pupil</t>
  </si>
  <si>
    <t xml:space="preserve">     Surplus/(Deficit) Per Pupil</t>
  </si>
  <si>
    <t xml:space="preserve">   Margin: Surplus(Deficit)/Revenue (aka Annual ratio)</t>
  </si>
  <si>
    <t>Location(s) under consideration:</t>
  </si>
  <si>
    <t>Site 1</t>
  </si>
  <si>
    <t>Specific address recommended but not required.</t>
  </si>
  <si>
    <t>This column area may not print but staff will review it for any notes.</t>
  </si>
  <si>
    <t>ENROLLMENT</t>
  </si>
  <si>
    <t>Number of grade levels</t>
  </si>
  <si>
    <t>Number of classrooms</t>
  </si>
  <si>
    <t>K</t>
  </si>
  <si>
    <t>1st</t>
  </si>
  <si>
    <t>2nd</t>
  </si>
  <si>
    <t>3rd</t>
  </si>
  <si>
    <t>4th</t>
  </si>
  <si>
    <t>5th</t>
  </si>
  <si>
    <t>6th</t>
  </si>
  <si>
    <t>7th</t>
  </si>
  <si>
    <t>8th</t>
  </si>
  <si>
    <t>9th</t>
  </si>
  <si>
    <t>10th</t>
  </si>
  <si>
    <t>11th</t>
  </si>
  <si>
    <t>12th</t>
  </si>
  <si>
    <t>Total Student Enrollment</t>
  </si>
  <si>
    <t>Student / Classroom (w/o teachers)</t>
  </si>
  <si>
    <t>Target Enrollment/Available Students Site 1</t>
  </si>
  <si>
    <t>Target Enrollment/Available Students Site 2</t>
  </si>
  <si>
    <t>For more accuracy you should enter below the enrollments of the relevant grades you are targeting. Otherwise, this is a general flag.</t>
  </si>
  <si>
    <t>Potential Site 1</t>
  </si>
  <si>
    <t>Relevant School Choices and/or
Feeders: Public, Private, Charter Schools w/in 4 miles</t>
  </si>
  <si>
    <t>Zip Codes</t>
  </si>
  <si>
    <t>NSPF Rtg</t>
  </si>
  <si>
    <t>Relevant Grade
Level(s)</t>
  </si>
  <si>
    <t xml:space="preserve">
Relevant Enrollments</t>
  </si>
  <si>
    <t>Distance fr school (miles)</t>
  </si>
  <si>
    <t>This section enables staff to understand the market depth in the area you are considering locating your school.</t>
  </si>
  <si>
    <t>Choices/Alternates</t>
  </si>
  <si>
    <t>Include all schools, not just 1 and 2 star schools</t>
  </si>
  <si>
    <t>School 1</t>
  </si>
  <si>
    <t>School 2</t>
  </si>
  <si>
    <t>School 3</t>
  </si>
  <si>
    <t>Feeder/Source Schools</t>
  </si>
  <si>
    <t>The Demographics tab shows district percentages</t>
  </si>
  <si>
    <t>you may consider when developing your estimates for the Enrol &amp; Rev tab inputs.</t>
  </si>
  <si>
    <t>NDE Enrollment information by school and grade with demographic breadkown (xls)</t>
  </si>
  <si>
    <t>School data workbook (for 1-2 star schools by zip code</t>
  </si>
  <si>
    <t>List all schools from where it is reasonable that students could come from, whether or not they are 1 or 2 star schools</t>
  </si>
  <si>
    <t>The Ethnicity and Special Populations sections have been removed as new schools are approved for areas of demonstrated need.</t>
  </si>
  <si>
    <t>Potential Site 2 (if you are considering more than Site 1 above)</t>
  </si>
  <si>
    <t>Grade
Level(s)</t>
  </si>
  <si>
    <t xml:space="preserve">
Enrollment</t>
  </si>
  <si>
    <t>If you have narrowed your site to one location you do not need to fill
out this section.</t>
  </si>
  <si>
    <t>School Year 1 (Fall Start) Teaching Starts</t>
  </si>
  <si>
    <t>SY Ending</t>
  </si>
  <si>
    <t>Totals</t>
  </si>
  <si>
    <t>ENROLLMENT (All Populations)</t>
  </si>
  <si>
    <t>Number of Students per Classroom (Goal)</t>
  </si>
  <si>
    <t>Number of classrooms calculated (Estimate)</t>
  </si>
  <si>
    <t>Number of classrooms (Planned)</t>
  </si>
  <si>
    <t>Student / Classroom, calculated</t>
  </si>
  <si>
    <t>Enrollment @ Target 100% Enrollment (@ "stabilization")</t>
  </si>
  <si>
    <t>% Plan vs. Target</t>
  </si>
  <si>
    <t>Growth in Enrollment, YOY</t>
  </si>
  <si>
    <t>Target Enrollment/Available Students Site 1 (Capture, conversion rate of nearby students)</t>
  </si>
  <si>
    <t>Target Enrollment/Available Students Site 2 (Capture, conversion rate of nearby students)</t>
  </si>
  <si>
    <t>Number of students tentatively committed to enroll, based on community engagement activities</t>
  </si>
  <si>
    <t xml:space="preserve">   Target Reenrollment (NRS 388A.273)</t>
  </si>
  <si>
    <t xml:space="preserve">  Estimated # students to newly enroll (above reenrollment)</t>
  </si>
  <si>
    <t>ENROLLMENT BY STUDENT GROUP (Federally Fundable)</t>
  </si>
  <si>
    <t>Est' with</t>
  </si>
  <si>
    <t>Dupli'n</t>
  </si>
  <si>
    <t>State Special Education (SPED)</t>
  </si>
  <si>
    <t>English Language Learners (EL)</t>
  </si>
  <si>
    <t>Gifted &amp; Talented (GATE)</t>
  </si>
  <si>
    <t>Totals on this line may exceed 100% and planned enrollments</t>
  </si>
  <si>
    <t>FYI: Overlap</t>
  </si>
  <si>
    <t>ENROLLMENT BY STUDENT GROUP (State unique qualifying enrollment estimates)</t>
  </si>
  <si>
    <t>State level weighted funding is provided to help schools educate and support students in special population categories. Categories include English Learners (EL), Gifted And Talented Education (GATE), Free and Reduced Lunch (aka At Risk) learners.</t>
  </si>
  <si>
    <t xml:space="preserve">Additional funding is also provided to help teach students with Special Education needs.  While a student may technically be a member of multiple special populations categories, state funding is provided for only one category, deemed to be the </t>
  </si>
  <si>
    <t>category qualified for which provides the highest additional funding.  The below Duplication calculations section is designed to estimate how many funding qualified students there are among the otherwise category qualified students.</t>
  </si>
  <si>
    <t>The highest funding is provided for SPED, followed by EL, followed by GATE, followed by At Risk.</t>
  </si>
  <si>
    <t>Estimated % w/</t>
  </si>
  <si>
    <t>Undupl'ed</t>
  </si>
  <si>
    <t>Est'd % wo</t>
  </si>
  <si>
    <t>Duplication</t>
  </si>
  <si>
    <t>Default %</t>
  </si>
  <si>
    <t>English Language Learners (ELL)</t>
  </si>
  <si>
    <t>Students not identified in any of the above groups (Adjusted Base funding only)</t>
  </si>
  <si>
    <t>Schools are paid for the higher category when duplication exists</t>
  </si>
  <si>
    <t xml:space="preserve">Students for which weighted funding may be received # </t>
  </si>
  <si>
    <t>Students for which weighted funding may be received %</t>
  </si>
  <si>
    <t xml:space="preserve">Above estimating table allows applicants to overwrite estimating formulas if they have reason to do so. </t>
  </si>
  <si>
    <t>County (In Person) / Distance Ed</t>
  </si>
  <si>
    <t>Carson City</t>
  </si>
  <si>
    <t xml:space="preserve"> &lt;--Select base PCFP payment category here</t>
  </si>
  <si>
    <t>Rates based on SB503, 82nd 2023 Nevada legislative session for FY 25</t>
  </si>
  <si>
    <t>STATE FUNDING PORTION</t>
  </si>
  <si>
    <t>Add'l Funding Wts</t>
  </si>
  <si>
    <t>Note:State Weighted and SpEd funding are paid based on prior year verified special population enrollments.  Schools in year 1 do not receive weighted or SpEd  funds until year 2.</t>
  </si>
  <si>
    <t>Add'l Wts%</t>
  </si>
  <si>
    <t>Add'l Wts$</t>
  </si>
  <si>
    <t>General support base (All students)(FYE 25)</t>
  </si>
  <si>
    <t>Statewide Base Per Pupil</t>
  </si>
  <si>
    <t>ENROLLMENT % (FEDERAL FUNDING PORTION)</t>
  </si>
  <si>
    <t>At Risk (% of students)</t>
  </si>
  <si>
    <t>ELL (% of students)</t>
  </si>
  <si>
    <t>Special Education (% of students) (contact staff if &gt;25% SPED)</t>
  </si>
  <si>
    <t>Special Education (# of students)</t>
  </si>
  <si>
    <t>Inflation adjustor (% per year)</t>
  </si>
  <si>
    <t>Applies to PCFP and Sponsorship fee</t>
  </si>
  <si>
    <t>PCFP Sponsorship Fee</t>
  </si>
  <si>
    <t>% of Base</t>
  </si>
  <si>
    <t>Title IA</t>
  </si>
  <si>
    <t>/FRL Student</t>
  </si>
  <si>
    <t>Title IIA (For FRL students only)</t>
  </si>
  <si>
    <t>Title IIA (Fixed amt for all students)</t>
  </si>
  <si>
    <t>Title III ELL</t>
  </si>
  <si>
    <t>Per ELL student</t>
  </si>
  <si>
    <t>Title IV (Do not use)</t>
  </si>
  <si>
    <t>IDEA (total)</t>
  </si>
  <si>
    <t>Per SPED student</t>
  </si>
  <si>
    <t>Breakfast Program -- Federal Reimbursement</t>
  </si>
  <si>
    <t>yes</t>
  </si>
  <si>
    <t>"yes" or "no"</t>
  </si>
  <si>
    <t>Breakfast Program</t>
  </si>
  <si>
    <t>Per student per day</t>
  </si>
  <si>
    <t>Lunch Program</t>
  </si>
  <si>
    <t>Per student</t>
  </si>
  <si>
    <t>County where school is located</t>
  </si>
  <si>
    <t>Enrollment Detail</t>
  </si>
  <si>
    <t>STATE &amp; LOCAL (PCFP) FUNDING</t>
  </si>
  <si>
    <t>State PCFP Adj' Base Revenue</t>
  </si>
  <si>
    <t>State SPED Funding</t>
  </si>
  <si>
    <t>SpEd revenue set for prior year SpEd count; Y6 would be received in Y7 (aka Y1 of a renewal)</t>
  </si>
  <si>
    <t>Local SPED Funding</t>
  </si>
  <si>
    <t>Inflation adjusted Total Revenue</t>
  </si>
  <si>
    <t>PCFP Sponsorship Fee (on Base)</t>
  </si>
  <si>
    <t xml:space="preserve">   PCFP Revenue Net of Sponsor Fee</t>
  </si>
  <si>
    <t xml:space="preserve">   PCFP Revenue Net of Sponsor Fee pp</t>
  </si>
  <si>
    <t>FEDERAL &amp; OTHER FUNDING PORTION</t>
  </si>
  <si>
    <t>Schools may earn federal revenues in year 1 but not receive it until year 2; plan accordingly</t>
  </si>
  <si>
    <t>Title IIA (FRL only)</t>
  </si>
  <si>
    <t>Title IIA (FRL &amp; Non FRL)</t>
  </si>
  <si>
    <t>Do not use; estimates too difficult to accurately develop</t>
  </si>
  <si>
    <t xml:space="preserve">Federal Lunch Program </t>
  </si>
  <si>
    <t>Start-up funds (Federal Replication &amp; Expansion already awarded to operator--not SEA grant)</t>
  </si>
  <si>
    <t>Charter School Program (CSP) Grant (w/letter)</t>
  </si>
  <si>
    <t>Other start-up grant funds, incl' SEA Grants w/ltr</t>
  </si>
  <si>
    <t>School level fundraising w/supporting documentation</t>
  </si>
  <si>
    <t>Food Services Revenue</t>
  </si>
  <si>
    <t>Transportation Funding</t>
  </si>
  <si>
    <t>Private fundraising (foundations, corporate) w/ltr</t>
  </si>
  <si>
    <t>Fundraising / Donations w/ltrs</t>
  </si>
  <si>
    <t xml:space="preserve">  Per Pupil (Federal Funding Portion)</t>
  </si>
  <si>
    <t>Total PCFP Revenue PP</t>
  </si>
  <si>
    <t>Check (Revenue, Summary tab)</t>
  </si>
  <si>
    <t>Difference - Check (Revenue, Summary tab)</t>
  </si>
  <si>
    <t>Inlcude above only grants which may reasonably be seen as forgiveable</t>
  </si>
  <si>
    <t>Incubation (Pre-Year 1) Sources &amp; Uses Worksheet</t>
  </si>
  <si>
    <t>Nevada State Public Charter School Authority</t>
  </si>
  <si>
    <t>Year 0</t>
  </si>
  <si>
    <t xml:space="preserve">I pulled the Sources info'; it's more clearly handled in the revenues/resources area. </t>
  </si>
  <si>
    <t>UNIQUE YEAR ONE START UP EXPENSES</t>
  </si>
  <si>
    <t>Admissions Lottery</t>
  </si>
  <si>
    <t>Application Costs Consultants:</t>
  </si>
  <si>
    <t>Board Recruitment and Screening</t>
  </si>
  <si>
    <t>Brochures/Information</t>
  </si>
  <si>
    <t>Charter application</t>
  </si>
  <si>
    <t>Curriculum Development</t>
  </si>
  <si>
    <t>Deposits (non facility)</t>
  </si>
  <si>
    <t>Education Consultant</t>
  </si>
  <si>
    <t>Furniture Acquisition</t>
  </si>
  <si>
    <t>Insurance (If not on Insurance tab)</t>
  </si>
  <si>
    <t>Legal</t>
  </si>
  <si>
    <t>Nonprofit Incorporation (not required--but is allowed--may help with grants)</t>
  </si>
  <si>
    <t>Public meeting with hosting</t>
  </si>
  <si>
    <t>Research and Planning</t>
  </si>
  <si>
    <t>Sample items below (erase at will)</t>
  </si>
  <si>
    <t>School leader costs in incubation</t>
  </si>
  <si>
    <t>Staff Recruitment/Hiring</t>
  </si>
  <si>
    <t>Website Development</t>
  </si>
  <si>
    <t>TOTAL USES DURING PRE-OPENING</t>
  </si>
  <si>
    <t>###</t>
  </si>
  <si>
    <t>Use this tab only for unique pre-opening plan/budget costs. Otherwise, use another expense sheet.</t>
  </si>
  <si>
    <t>Year 1 Cash Flow Worksheet</t>
  </si>
  <si>
    <t>Fall</t>
  </si>
  <si>
    <t>School Operations Year 1</t>
  </si>
  <si>
    <t xml:space="preserve">Winter, Spring  </t>
  </si>
  <si>
    <t>(This is a year 1 budget.  It is not a pre-opening budget)</t>
  </si>
  <si>
    <t>Sponsorship Fee</t>
  </si>
  <si>
    <t>(Carry over totals and input to appropriate worksheets)</t>
  </si>
  <si>
    <t>Qtr End</t>
  </si>
  <si>
    <t>Information</t>
  </si>
  <si>
    <t>From</t>
  </si>
  <si>
    <t>SY1 Ending</t>
  </si>
  <si>
    <t>Projected</t>
  </si>
  <si>
    <t>Enrol tab</t>
  </si>
  <si>
    <t>Variance</t>
  </si>
  <si>
    <t>Comments (out of print range)</t>
  </si>
  <si>
    <t>Mo</t>
  </si>
  <si>
    <t>BOM</t>
  </si>
  <si>
    <t>Days</t>
  </si>
  <si>
    <t>REVENUES</t>
  </si>
  <si>
    <t>PCFP Revenue</t>
  </si>
  <si>
    <t>New: Payments now monthly beginning on/before first day of each</t>
  </si>
  <si>
    <t>CS Sponsorship Fee @ 0.0125</t>
  </si>
  <si>
    <t>month, beginning August 1. Unless Accelerated payment approved.</t>
  </si>
  <si>
    <t xml:space="preserve">Adjustments for acceleration must be received no less than 60 days </t>
  </si>
  <si>
    <t>before July 1. Assumptions to left do not assume Accelerated Payment.</t>
  </si>
  <si>
    <t>Lags (variances) may occur in revenue and expense items due to</t>
  </si>
  <si>
    <t>timing</t>
  </si>
  <si>
    <t>Optional: You may add projected revenues in the tan shaded revenue</t>
  </si>
  <si>
    <t xml:space="preserve">cells of column R.  Because they are in a new fiscal year, their fiscal </t>
  </si>
  <si>
    <t>State Weighted Funding</t>
  </si>
  <si>
    <t>impact may be considered for informational purposes.</t>
  </si>
  <si>
    <t>Charter Start up funds</t>
  </si>
  <si>
    <t>Other start-up grant funds</t>
  </si>
  <si>
    <t>Student Fees</t>
  </si>
  <si>
    <t>Private Fundraising (w/Ltr of Support)</t>
  </si>
  <si>
    <t>Fundraising Donations (w/Ltr of Support)</t>
  </si>
  <si>
    <t>Total Revenues</t>
  </si>
  <si>
    <t>Total Revenues Y-T-D</t>
  </si>
  <si>
    <t>% Revenue YTD</t>
  </si>
  <si>
    <t>Expense tabs</t>
  </si>
  <si>
    <t>OPERATING EXPENDITURES &amp; OTHER CASH OUTLAYS</t>
  </si>
  <si>
    <t>Personnel</t>
  </si>
  <si>
    <t>Required--if the above optional section was populated then this</t>
  </si>
  <si>
    <t>Instructional Supplies</t>
  </si>
  <si>
    <t>expense section must be completed also. Information may be</t>
  </si>
  <si>
    <t>Contract Services</t>
  </si>
  <si>
    <t>considered for informational purposes.</t>
  </si>
  <si>
    <t>Food &amp; Transportation Program</t>
  </si>
  <si>
    <t>Athletics</t>
  </si>
  <si>
    <t>General Optg Exp' Inflation</t>
  </si>
  <si>
    <t>Campus (Lease/Mortgage)</t>
  </si>
  <si>
    <t>Security Deposits (Site Lease)</t>
  </si>
  <si>
    <t>EMO-CMO</t>
  </si>
  <si>
    <t>Total Expenditures</t>
  </si>
  <si>
    <t>Net Surplus (Deficit)</t>
  </si>
  <si>
    <t>Net Surplus (Deficit) Check</t>
  </si>
  <si>
    <t>Cumulative Funding-Capital Surplus (Deficit)</t>
  </si>
  <si>
    <t>Total Expenses Y-T-D</t>
  </si>
  <si>
    <t>% Budget YTD</t>
  </si>
  <si>
    <t>YTD ((Rev-Exp)/Rev)(Timing of Revenue Inflows/Expense Outflows)</t>
  </si>
  <si>
    <t>Days YTD</t>
  </si>
  <si>
    <t>SCHOOL FINANCING/BORROWING/FUNDING</t>
  </si>
  <si>
    <t>Beginning Loan Balance</t>
  </si>
  <si>
    <t>Additional Borrowings</t>
  </si>
  <si>
    <t>Period Balance</t>
  </si>
  <si>
    <t>Interest Expense w/APR @</t>
  </si>
  <si>
    <t>Loans/Financing Payments</t>
  </si>
  <si>
    <t>Ending Loan Balance</t>
  </si>
  <si>
    <t>Cumulative Net Surplus Balance (Cash Balance)</t>
  </si>
  <si>
    <t>Cash/Expense X</t>
  </si>
  <si>
    <t>Revenue / Revenue %</t>
  </si>
  <si>
    <t>Private Fundraising</t>
  </si>
  <si>
    <t>Fundraising Donations</t>
  </si>
  <si>
    <t xml:space="preserve">Total Revenue </t>
  </si>
  <si>
    <t>Expense / Revenue %</t>
  </si>
  <si>
    <t>Salaries</t>
  </si>
  <si>
    <t>Benefits</t>
  </si>
  <si>
    <t>Part-Time Wages</t>
  </si>
  <si>
    <t>Performance Bonuses</t>
  </si>
  <si>
    <t>Payroll Services</t>
  </si>
  <si>
    <t>Contracts</t>
  </si>
  <si>
    <t>Food Service</t>
  </si>
  <si>
    <t>Lease/Mortgage</t>
  </si>
  <si>
    <t>Custodial</t>
  </si>
  <si>
    <t>Utilities</t>
  </si>
  <si>
    <t>CAM/Maintenance</t>
  </si>
  <si>
    <t>Campus Security</t>
  </si>
  <si>
    <t>Capital Outlay (TI)</t>
  </si>
  <si>
    <t>Projected Cash Balance Statement</t>
  </si>
  <si>
    <t>Net change in Cash from operations</t>
  </si>
  <si>
    <t>Begin Cash Balance(F/B)</t>
  </si>
  <si>
    <t>End Cash Balance (F/B)</t>
  </si>
  <si>
    <t>Benefits/Salaries Exp</t>
  </si>
  <si>
    <t># Employees</t>
  </si>
  <si>
    <t>Benefits/Employee</t>
  </si>
  <si>
    <t>Salaries/Employee</t>
  </si>
  <si>
    <t>Staffing Expenses</t>
  </si>
  <si>
    <t>You may wish to compare your planned staff compensation plan with what is shown on the Transparent Nevada website--for references.</t>
  </si>
  <si>
    <t>Summary will populate automatically, please begin data entry below in areas with yellow cells.</t>
  </si>
  <si>
    <t>Personnel Summary</t>
  </si>
  <si>
    <t>STAFF FTE COUNT (FT &amp; PT w/Benefits)</t>
  </si>
  <si>
    <t>You may paste this summary section into your narrative --&gt;</t>
  </si>
  <si>
    <t>Staff Summary</t>
  </si>
  <si>
    <t>Staff counts here must match your narrative staff count</t>
  </si>
  <si>
    <t>FTE - Administrators</t>
  </si>
  <si>
    <t>FTE - Office</t>
  </si>
  <si>
    <t>FTE - SPED Teachers</t>
  </si>
  <si>
    <t>FTE - ELL Teachers</t>
  </si>
  <si>
    <t>FTE - Guidance Counselors &amp; Other</t>
  </si>
  <si>
    <t>FTE - Grade Level Teachers</t>
  </si>
  <si>
    <t xml:space="preserve">   Total FTEs w/benefits @ School</t>
  </si>
  <si>
    <t>Part-Time Staff w/o benefits (FTE count)</t>
  </si>
  <si>
    <t>Total Staff w/w/o benefits (FTE count)</t>
  </si>
  <si>
    <t>Avg (no SY 0)</t>
  </si>
  <si>
    <t>Enrollment</t>
  </si>
  <si>
    <t xml:space="preserve">  FTE Teachers (SPED, ELL, Grade Level)</t>
  </si>
  <si>
    <t xml:space="preserve">  Student/Teacher ratio</t>
  </si>
  <si>
    <t>Total Revenue</t>
  </si>
  <si>
    <t>TOTAL SALARIES</t>
  </si>
  <si>
    <t>BENEFITS</t>
  </si>
  <si>
    <t>MEDICAL</t>
  </si>
  <si>
    <t>Retirement (PERS-Required)</t>
  </si>
  <si>
    <t>Other benefits</t>
  </si>
  <si>
    <t>Total Personnel Expense</t>
  </si>
  <si>
    <t>Total Personnel Expense per Student</t>
  </si>
  <si>
    <t>Net Surplus after Personnel</t>
  </si>
  <si>
    <t>Net Surplus after Personnel per Student</t>
  </si>
  <si>
    <t>Net Surplus/Deficit</t>
  </si>
  <si>
    <t>Net Surplus/Deficit per student</t>
  </si>
  <si>
    <t>STAFFING COSTS</t>
  </si>
  <si>
    <t>ASSUMPTIONS</t>
  </si>
  <si>
    <t>Payroll Tax and Benefits</t>
  </si>
  <si>
    <t>Medical</t>
  </si>
  <si>
    <t>Notes, Sources</t>
  </si>
  <si>
    <t>Single Coverage</t>
  </si>
  <si>
    <t>Per year</t>
  </si>
  <si>
    <t>Family Coverage</t>
  </si>
  <si>
    <t xml:space="preserve">School's percentage of coverage </t>
  </si>
  <si>
    <t>Assumed percentage of employees choosing single coverage</t>
    <phoneticPr fontId="7" type="noConversion"/>
  </si>
  <si>
    <t>Weighted avg. cost for medical</t>
  </si>
  <si>
    <t>/ Employee/Year</t>
  </si>
  <si>
    <t>FICA</t>
  </si>
  <si>
    <t>% Wages</t>
  </si>
  <si>
    <t>State Retirement (PERS, Required)</t>
  </si>
  <si>
    <t>Life Insurance</t>
  </si>
  <si>
    <t>GASB 75 (replaces GASB 45)</t>
  </si>
  <si>
    <t>/ Employee</t>
  </si>
  <si>
    <t>Unemployment Insurance</t>
  </si>
  <si>
    <t>Workers' Compensation Insurance</t>
  </si>
  <si>
    <t>/Emp'ee/month</t>
  </si>
  <si>
    <t>Performance Bonus</t>
  </si>
  <si>
    <t>Enter row ~379</t>
  </si>
  <si>
    <t>Inflation (Salaries &amp; related, COLA)</t>
  </si>
  <si>
    <t>Medical benefits costs tied to salaries, rise w/Inflation.</t>
  </si>
  <si>
    <t>Instructional days per year (Minimum)</t>
  </si>
  <si>
    <t>(180 days minimum)</t>
  </si>
  <si>
    <t>Saturday schools per year</t>
  </si>
  <si>
    <t>Contractors required for Saturday School</t>
  </si>
  <si>
    <t>Price per contractor</t>
  </si>
  <si>
    <t>This area and below are not included in print range above.</t>
  </si>
  <si>
    <t>SYEnding</t>
  </si>
  <si>
    <t>Base Salary</t>
  </si>
  <si>
    <t>Fall of School Year 1 =</t>
  </si>
  <si>
    <t>(Input year or "NA")</t>
  </si>
  <si>
    <t xml:space="preserve">FTE Count &amp; Hiring Timing </t>
  </si>
  <si>
    <t>You can overwrite input area formulas with your formula or lump sum amounts.</t>
  </si>
  <si>
    <t>Administrators (Full-time &amp; Part-Time w/benefits)</t>
  </si>
  <si>
    <t>If you do, explain your approach below.</t>
  </si>
  <si>
    <t>year</t>
  </si>
  <si>
    <t xml:space="preserve">Total Administrators </t>
  </si>
  <si>
    <t>Office Staff (Full-time &amp; Part-Time w/benefits)</t>
  </si>
  <si>
    <t>Office Manager</t>
  </si>
  <si>
    <t>Office 2</t>
  </si>
  <si>
    <t>Office 3</t>
  </si>
  <si>
    <t>Office 4</t>
  </si>
  <si>
    <t>Total Administrators and Office Staff</t>
  </si>
  <si>
    <t>Special Education (SPED) Teachers (Full-time &amp; Part-Time w/benefits)</t>
  </si>
  <si>
    <t>Total Special EducationTeachers</t>
  </si>
  <si>
    <t xml:space="preserve">     SPED Students</t>
  </si>
  <si>
    <t xml:space="preserve">     SPED Students/Teacher Ratio</t>
  </si>
  <si>
    <t>English Language Learner (ELL) Teachers (Full-time &amp; Part-Time w/benefits)</t>
  </si>
  <si>
    <t>Total ELL Teachers</t>
  </si>
  <si>
    <t>Guidance Counselor &amp; Other Staff (Full-time &amp; Part-Time w/benefits)</t>
  </si>
  <si>
    <t>Total Guidance Counselors/Other</t>
  </si>
  <si>
    <t xml:space="preserve">Total Special Education/ELL Teachers/Guidance Counselors </t>
  </si>
  <si>
    <t>Total Faculty before Teachers</t>
  </si>
  <si>
    <t>Grade Level (Core) Teachers (Full-time &amp; Part-Time w/benefits)</t>
  </si>
  <si>
    <t>Teacher</t>
  </si>
  <si>
    <t>Grade Level</t>
  </si>
  <si>
    <t>SYE</t>
  </si>
  <si>
    <t>Subject</t>
  </si>
  <si>
    <t>FTE Count</t>
  </si>
  <si>
    <t xml:space="preserve">You may enter more than one person in any cell if the salaries are the same--or if you're using an average salary (and they're starting the same year). </t>
  </si>
  <si>
    <t>Grade Level Teacher</t>
  </si>
  <si>
    <t>na</t>
  </si>
  <si>
    <t>General</t>
  </si>
  <si>
    <t>Total Grade Level Teachers (Count)</t>
  </si>
  <si>
    <t>Total Teachers (SPED, ELL, Grade + Counselors)</t>
  </si>
  <si>
    <t>SALARIES</t>
  </si>
  <si>
    <t xml:space="preserve">   Subtotal</t>
  </si>
  <si>
    <t xml:space="preserve">   Subtotal Office Staff</t>
  </si>
  <si>
    <t>Total Grade Level Teacher Salaries</t>
  </si>
  <si>
    <t>Performance Bonuses (Manually estimate)</t>
  </si>
  <si>
    <t>Total Medical Benefits</t>
  </si>
  <si>
    <t>FICA (Federal Insurance Contributions Act)</t>
  </si>
  <si>
    <t>Total FICA</t>
  </si>
  <si>
    <t>State Retirement (PERS-Required)</t>
  </si>
  <si>
    <t>TOTAL STATE RETIREMENT COSTS</t>
  </si>
  <si>
    <t>TOTAL LIFE INSURANCE</t>
  </si>
  <si>
    <t>GASB 45</t>
  </si>
  <si>
    <t>Total GASB 45</t>
  </si>
  <si>
    <t>Unuemployment Insurance</t>
  </si>
  <si>
    <t>TOTAL UNEMPLOYMENT INSURANCE</t>
  </si>
  <si>
    <t>Total Workers' Comp</t>
  </si>
  <si>
    <t>TOTAL BENEFITS</t>
  </si>
  <si>
    <t xml:space="preserve">     % of Salaries</t>
  </si>
  <si>
    <t>Part-Time Employees (w/o benefits)</t>
  </si>
  <si>
    <t>Annualized Pay</t>
  </si>
  <si>
    <t>1. Input Part-Time Employee(s) (PTE)</t>
  </si>
  <si>
    <t xml:space="preserve">     Count of PTE (FTE equivalent)(calculator below)</t>
  </si>
  <si>
    <t xml:space="preserve">     Annualized salary</t>
  </si>
  <si>
    <t>2. Input part-time employee</t>
  </si>
  <si>
    <t xml:space="preserve">     Count of PTE (FTE equivalence)</t>
  </si>
  <si>
    <t>3. Input part-time employee</t>
  </si>
  <si>
    <t>4. Input part-time employee</t>
  </si>
  <si>
    <t>5. Input part-time employee</t>
  </si>
  <si>
    <t>Subtotal Part-Time Employee Wages</t>
  </si>
  <si>
    <t>FICA on Part-Time Employees wages</t>
  </si>
  <si>
    <t>PART TIME WAGES</t>
  </si>
  <si>
    <t>Total Part-Time Employees (w/o benefits)(FTE Count)</t>
  </si>
  <si>
    <t>PAYROLL SERVICES</t>
  </si>
  <si>
    <t>PERSONNEL (W/PAYROLL)</t>
  </si>
  <si>
    <t>Part-Time Employee calculator (working area for estimating expenses to input above)</t>
  </si>
  <si>
    <t>Staff 1</t>
  </si>
  <si>
    <t>Staff 2</t>
  </si>
  <si>
    <t>Staff 3</t>
  </si>
  <si>
    <t>Staff 4</t>
  </si>
  <si>
    <t>Staff 5</t>
  </si>
  <si>
    <t>Estimated hours per week</t>
  </si>
  <si>
    <t>Estimated weeks to work</t>
  </si>
  <si>
    <t xml:space="preserve">   Estimated total hours worked</t>
  </si>
  <si>
    <t xml:space="preserve">Standard Hours worked per year </t>
  </si>
  <si>
    <t>Portion of Standard Year worked</t>
  </si>
  <si>
    <t xml:space="preserve">Standard school days/year with teaching days </t>
  </si>
  <si>
    <t>Hours per day possible w/o Overtime</t>
  </si>
  <si>
    <t xml:space="preserve">Standard Hours per school year, base for payment </t>
  </si>
  <si>
    <t>Portion of Standard School Year worked</t>
  </si>
  <si>
    <t>Potential location(s) under consideration: (Address or cross street, City, County)</t>
  </si>
  <si>
    <t>FACILITIES</t>
  </si>
  <si>
    <t>SELECT "Purchase" or "Lease"</t>
  </si>
  <si>
    <t>Lease</t>
  </si>
  <si>
    <t>LEASE OPTION</t>
  </si>
  <si>
    <t>SF/pupil (50-55 sf PP common w/charter schools)(20 sf PP common for classrom only space)</t>
  </si>
  <si>
    <t>Lease area (conditioned space)(sq ft)</t>
  </si>
  <si>
    <t>Lease rate/sq ft/Month (Contract--Before waivers/deferrals; w/o escalator)</t>
  </si>
  <si>
    <t>Some firms may charge above market rents but provide waivers for</t>
  </si>
  <si>
    <t>Lease rate/sq ft/Year (Contract--Before waivers/deferrals; w/o escalator)</t>
  </si>
  <si>
    <t xml:space="preserve">a select number of months but base annual rent increases on the </t>
  </si>
  <si>
    <t>Lease rate/sq ft/month (After waivers, w/o escalator)(If applicable)</t>
  </si>
  <si>
    <t>full base rent.  Schools should be mindful of such leases to avoid</t>
  </si>
  <si>
    <t>Lease rate/sq ft/year (After waivers, w/o escalator)</t>
  </si>
  <si>
    <t>paying above market rates.</t>
  </si>
  <si>
    <t>Lease rate escalator</t>
  </si>
  <si>
    <t>Lease cost/sf/month (after waivers)</t>
  </si>
  <si>
    <t>Lease rate /yr w/esca'  (after waivers)</t>
  </si>
  <si>
    <t>Facility lease cost/yr</t>
  </si>
  <si>
    <t>Per sq ft</t>
  </si>
  <si>
    <t>Custodial (Non CAM)/yr</t>
  </si>
  <si>
    <t>/sf/yr</t>
  </si>
  <si>
    <t>Utilities/yr</t>
  </si>
  <si>
    <t>CAM/yr</t>
  </si>
  <si>
    <t>Campus security</t>
  </si>
  <si>
    <t>/yr</t>
  </si>
  <si>
    <t>Insurance (If not on Ins' tab)</t>
  </si>
  <si>
    <t>Internal/major repairs</t>
  </si>
  <si>
    <t xml:space="preserve">Maintenance </t>
  </si>
  <si>
    <t>Property Taxes</t>
  </si>
  <si>
    <t>Escalator on Custodial, Utilities, CAM, Security)</t>
  </si>
  <si>
    <t>Above costs</t>
  </si>
  <si>
    <t>Security Deposit(s)(post to Cashflow ("CF Y1 Mo" tab)</t>
  </si>
  <si>
    <t>Lump sum</t>
  </si>
  <si>
    <t>Tenant Improvement Costs (Initial Capital Outlay for Occupancy)</t>
  </si>
  <si>
    <t xml:space="preserve">     Architecture &amp; Engineering</t>
  </si>
  <si>
    <t xml:space="preserve">     Space Planning</t>
  </si>
  <si>
    <t xml:space="preserve">     Other facility preparation costs</t>
  </si>
  <si>
    <t>Depreciation-Capital Outlay</t>
  </si>
  <si>
    <t>Total cash cost to lease (FYI, not shown on Summary tab)</t>
  </si>
  <si>
    <t>Total lease book expense (shown on Summary tab)</t>
  </si>
  <si>
    <t>Book Expense - Cash Cost</t>
  </si>
  <si>
    <t>Facility lease cost / Month</t>
  </si>
  <si>
    <t>Custodial (Non CAM)/mo</t>
  </si>
  <si>
    <t>Utilities/mo</t>
  </si>
  <si>
    <t>CAM /mo</t>
  </si>
  <si>
    <t>If Lease, then facility type:</t>
  </si>
  <si>
    <t>Retail/shopping, office, industrial, school, church, other__________</t>
  </si>
  <si>
    <t>City/County sign off of improvement plans--all required work identified</t>
  </si>
  <si>
    <t>PURCHASE OPTION</t>
  </si>
  <si>
    <t>Square feet purchased</t>
  </si>
  <si>
    <t>Equity</t>
  </si>
  <si>
    <t>% of purchase price</t>
  </si>
  <si>
    <t>Purchase price per sq ft</t>
  </si>
  <si>
    <t>Amount Financed</t>
  </si>
  <si>
    <t>Purchase price</t>
  </si>
  <si>
    <t>Loan Term (years)</t>
  </si>
  <si>
    <t>Renovation cost per sq ft</t>
  </si>
  <si>
    <t>Bank Fees &amp; Points</t>
  </si>
  <si>
    <t>Total renovation costs</t>
  </si>
  <si>
    <t>Interest Rate</t>
  </si>
  <si>
    <t>Purchase price and renovation costs</t>
  </si>
  <si>
    <t>Monthly Debt Service</t>
  </si>
  <si>
    <t>Annual Debt Service</t>
  </si>
  <si>
    <t xml:space="preserve">Estimated annual interest expense </t>
  </si>
  <si>
    <t>(based on PV of all interest payments)</t>
  </si>
  <si>
    <t>Custodial Services</t>
  </si>
  <si>
    <t>Equity (down payment)</t>
  </si>
  <si>
    <t>Financing costs (6 months during planning year)</t>
  </si>
  <si>
    <t>Total cash costs to purchase</t>
  </si>
  <si>
    <t>Total purchase book  expense</t>
  </si>
  <si>
    <t>TOTAL FACILITIES CASH COSTS</t>
  </si>
  <si>
    <t>TOTAL FACILITIES Book Expense</t>
  </si>
  <si>
    <t>Difference</t>
  </si>
  <si>
    <t>To pull to other sheets</t>
  </si>
  <si>
    <t>SY 0/Incubation</t>
  </si>
  <si>
    <t>SY 1</t>
  </si>
  <si>
    <t>SY 2</t>
  </si>
  <si>
    <t>SY 3</t>
  </si>
  <si>
    <t>SY 4</t>
  </si>
  <si>
    <t>SY 5</t>
  </si>
  <si>
    <t>SY 6</t>
  </si>
  <si>
    <t>Square Feet</t>
  </si>
  <si>
    <t xml:space="preserve">General Operating &amp; Transp' Expenses </t>
  </si>
  <si>
    <t>Fall, Winter</t>
  </si>
  <si>
    <t>Be sure year 1 information below matches with your Year 1 Cashflow Worksheet totals</t>
  </si>
  <si>
    <t>This upper summary section is so you have key information before you to help with your planning.</t>
  </si>
  <si>
    <t>Student / Classroom</t>
  </si>
  <si>
    <t xml:space="preserve">  Estimated # students to newly enroll</t>
  </si>
  <si>
    <t>FRL (% of students)</t>
  </si>
  <si>
    <t xml:space="preserve">   FRL (# of students)</t>
  </si>
  <si>
    <t xml:space="preserve">   ELL (# of students)</t>
  </si>
  <si>
    <t>Total Revenue / Pupil</t>
  </si>
  <si>
    <t>Total GenOp</t>
  </si>
  <si>
    <t>GenOp per Student</t>
  </si>
  <si>
    <t>Net Surplus after Gen Op</t>
  </si>
  <si>
    <t>Net Surplus after Gen Op per Student</t>
  </si>
  <si>
    <t>STAFF FTE COUNT</t>
  </si>
  <si>
    <t xml:space="preserve">   FTE - Total </t>
  </si>
  <si>
    <t>GENERAL OPERATING EXPENSES</t>
  </si>
  <si>
    <t>Instruction</t>
  </si>
  <si>
    <t>Assumptions</t>
  </si>
  <si>
    <t>(Manual entry)</t>
  </si>
  <si>
    <t>You may overide these formulas with more accurate estimates</t>
  </si>
  <si>
    <t>Professional development</t>
  </si>
  <si>
    <t>Per FTE</t>
  </si>
  <si>
    <t>Staff recruitment</t>
  </si>
  <si>
    <t>Per Year</t>
    <phoneticPr fontId="7" type="noConversion"/>
  </si>
  <si>
    <t>Special Ed/Psychology Consultant</t>
  </si>
  <si>
    <t>Annual Expense</t>
  </si>
  <si>
    <t>EMO / CMO Fee See Tab</t>
  </si>
  <si>
    <t>Textbooks - initial costs</t>
  </si>
  <si>
    <t>Textbooks - repurchase of new books</t>
  </si>
  <si>
    <t>Number of years use</t>
  </si>
  <si>
    <t>Library books per new student</t>
  </si>
  <si>
    <t>Per New Student</t>
  </si>
  <si>
    <t>Food services</t>
  </si>
  <si>
    <t>Music program</t>
  </si>
  <si>
    <t>Per Student</t>
  </si>
  <si>
    <t>Management fees (Non EMO; Non CMO, Non BOSP)</t>
  </si>
  <si>
    <t>% of PCFP &amp; Other Grant funds</t>
  </si>
  <si>
    <t>Licensing fees</t>
  </si>
  <si>
    <t>Office Supplies (non direct student; not equip)</t>
  </si>
  <si>
    <t>Supplies for students (not equip)</t>
  </si>
  <si>
    <t>Assessment costs</t>
  </si>
  <si>
    <t>Yearbook</t>
  </si>
  <si>
    <t>School store</t>
  </si>
  <si>
    <t>Contracted SPED</t>
  </si>
  <si>
    <t>Instructional supplies - Teachers (just teaching faculty)</t>
  </si>
  <si>
    <t>Per Instructional FTE</t>
  </si>
  <si>
    <t>General office supplies (enter here or above/student; not equip)</t>
  </si>
  <si>
    <t>Per month</t>
  </si>
  <si>
    <t>School uniforms - new students</t>
  </si>
  <si>
    <t>Per new student</t>
  </si>
  <si>
    <t>School uniforms - returning students (exclude new students)</t>
  </si>
  <si>
    <t>Per returning student (exclude new students)</t>
  </si>
  <si>
    <t>General building decorum</t>
  </si>
  <si>
    <t>Annual Exp</t>
  </si>
  <si>
    <t>Health supplies</t>
  </si>
  <si>
    <t>Per student per year</t>
  </si>
  <si>
    <t>Bank fees</t>
  </si>
  <si>
    <t>Athletic expenditures (detail below)</t>
  </si>
  <si>
    <t>Postage and shipping</t>
  </si>
  <si>
    <t>Gifts &amp; awards - students</t>
  </si>
  <si>
    <t>Gifts &amp; awards - faculty and staff</t>
  </si>
  <si>
    <t>Dues and memberships</t>
  </si>
  <si>
    <t>Travel and Meetings</t>
  </si>
  <si>
    <t>Background checks</t>
  </si>
  <si>
    <t>Per new FTE</t>
  </si>
  <si>
    <t>Accounting services</t>
  </si>
  <si>
    <t xml:space="preserve">Field trips </t>
  </si>
  <si>
    <t>Per grade level</t>
  </si>
  <si>
    <t>Field trips - out of state</t>
  </si>
  <si>
    <t>Governance/Board Background Checks</t>
  </si>
  <si>
    <t>Governance/Board Training</t>
  </si>
  <si>
    <t>Governance/Board Other Expenses</t>
  </si>
  <si>
    <t>Parent &amp; staff meetings</t>
  </si>
  <si>
    <t>Saturday School (contractors for instruction)</t>
  </si>
  <si>
    <t>no</t>
  </si>
  <si>
    <t>Input "yes" or "no"</t>
  </si>
  <si>
    <t>Total Instructional Supplies</t>
  </si>
  <si>
    <t>Contract/Other Services (Not otherwise included in app)(note EMO, CMO, BOSP tab)</t>
  </si>
  <si>
    <t>Annual audit</t>
  </si>
  <si>
    <t>Brochures, Information</t>
  </si>
  <si>
    <t>Community meeting, hosting</t>
  </si>
  <si>
    <t>Deposits (non facility--if not shown elsewhere)</t>
  </si>
  <si>
    <t>HR: Hiring: Head of School</t>
  </si>
  <si>
    <t>HR: Hiring: Other</t>
  </si>
  <si>
    <t>Legal fees (Incubation Year)</t>
  </si>
  <si>
    <t>Legal fees (Post incubation)</t>
  </si>
  <si>
    <r>
      <t>Nonprofit Incorporation-Federal (</t>
    </r>
    <r>
      <rPr>
        <i/>
        <sz val="11"/>
        <color rgb="FF000000"/>
        <rFont val="Times New Roman"/>
        <family val="1"/>
      </rPr>
      <t>see note--&gt;</t>
    </r>
    <r>
      <rPr>
        <sz val="11"/>
        <color indexed="8"/>
        <rFont val="Times New Roman"/>
        <family val="1"/>
      </rPr>
      <t>)</t>
    </r>
  </si>
  <si>
    <t>Nonprofit Incorporation may be required for some grants.  Is not required by SPCSA to open</t>
  </si>
  <si>
    <r>
      <t>Nonprofit Incorporation-State (</t>
    </r>
    <r>
      <rPr>
        <i/>
        <sz val="11"/>
        <color rgb="FF000000"/>
        <rFont val="Times New Roman"/>
        <family val="1"/>
      </rPr>
      <t>see note--&gt;</t>
    </r>
    <r>
      <rPr>
        <sz val="11"/>
        <color indexed="8"/>
        <rFont val="Times New Roman"/>
        <family val="1"/>
      </rPr>
      <t>)</t>
    </r>
  </si>
  <si>
    <t>School leader acquisition/development costs in incubation</t>
  </si>
  <si>
    <t>Total Contract/Other Services</t>
  </si>
  <si>
    <t>Food Program</t>
  </si>
  <si>
    <t>School Pays?</t>
  </si>
  <si>
    <t>Breakfast</t>
  </si>
  <si>
    <t>Lunch program</t>
  </si>
  <si>
    <t>Snacks</t>
  </si>
  <si>
    <t>Saturday food program</t>
  </si>
  <si>
    <t>Total Food Costs</t>
  </si>
  <si>
    <t>TRANSPORTATION REVENUES/FUNDING</t>
  </si>
  <si>
    <t>Transportation Revenues/Funding (if applicable)</t>
  </si>
  <si>
    <t>TRANSPORTATION COSTS</t>
  </si>
  <si>
    <t>Percentage of students planned to participate in being transported</t>
  </si>
  <si>
    <t>Students per bus (average individual bus capacity or average per route requiring a bus)</t>
  </si>
  <si>
    <t>Bus purchase price (used bus)</t>
  </si>
  <si>
    <t>Miles driven per bus per day</t>
  </si>
  <si>
    <t>Miles driven per bus per year</t>
  </si>
  <si>
    <t>Miles per gallon</t>
  </si>
  <si>
    <t>Gallons purchased per year</t>
  </si>
  <si>
    <t>Price per gallon</t>
  </si>
  <si>
    <t>Annual fuel costs per bus</t>
  </si>
  <si>
    <t xml:space="preserve">Maintenance costs per bus </t>
  </si>
  <si>
    <t>per mile</t>
  </si>
  <si>
    <t>Annual maintenance costs per bus</t>
  </si>
  <si>
    <t>Bus Contracting Costs</t>
    <phoneticPr fontId="7" type="noConversion"/>
  </si>
  <si>
    <t>annual</t>
  </si>
  <si>
    <t>Number of students planned to enroll</t>
  </si>
  <si>
    <t>Number of students participating</t>
  </si>
  <si>
    <t>Number of buses required</t>
  </si>
  <si>
    <t>Cost of additional bus(es)</t>
  </si>
  <si>
    <t>Fuel costs</t>
  </si>
  <si>
    <t>Maintenance costs</t>
  </si>
  <si>
    <t>TOTAL TRANSPORTATION COSTS</t>
  </si>
  <si>
    <t>Per estimated rider-pupil cost</t>
  </si>
  <si>
    <t>NET TRANSPORTATION CASHFLOW</t>
  </si>
  <si>
    <t>Costs stated as positive number to be consistent with other costs shown; credit if T' revenues &gt; T' costs</t>
  </si>
  <si>
    <t>Athletic Costs detail (subtotal posted above) (not in print range)</t>
  </si>
  <si>
    <t>Football</t>
  </si>
  <si>
    <t>Boy's basketball</t>
  </si>
  <si>
    <t>Girl's cheerleading</t>
  </si>
  <si>
    <t>Boy's soccer</t>
  </si>
  <si>
    <t>Girl's soccer</t>
  </si>
  <si>
    <t>Boy's track and field</t>
  </si>
  <si>
    <t>Girl's track and field</t>
  </si>
  <si>
    <t>Boy's lacrosse</t>
  </si>
  <si>
    <t>Girl's lacrosse</t>
  </si>
  <si>
    <t>TOTAL ATHLETIC COSTS</t>
  </si>
  <si>
    <t>Inflation (compounded/year)</t>
  </si>
  <si>
    <t>TOTAL GENERAL OPERATING EXPENSES</t>
  </si>
  <si>
    <t xml:space="preserve">   TOT GEN OPERATING EXPENSES w/o Trans</t>
  </si>
  <si>
    <t>Transportation costs not included here as they are separately shown on the Summary tab</t>
  </si>
  <si>
    <t>Furnishings, Fixtures, Equipment 
&amp; Technology (FFE&amp;T)</t>
  </si>
  <si>
    <t>Comments (Applicant/SPCSA) (Not in print range)(Explain formula overrides)</t>
  </si>
  <si>
    <t>Student enrollment</t>
  </si>
  <si>
    <t>FTE Total (PT not incl)</t>
  </si>
  <si>
    <t>(Enter manually)</t>
  </si>
  <si>
    <t>Number of copiers needed</t>
  </si>
  <si>
    <t>Annual copier lease</t>
  </si>
  <si>
    <t>Copier - usage fee</t>
  </si>
  <si>
    <t>Computers - Faculty</t>
  </si>
  <si>
    <t>Per new laptop</t>
  </si>
  <si>
    <t>Computers (Replacement) - Faculty</t>
  </si>
  <si>
    <t>Computers - Students</t>
  </si>
  <si>
    <t>Computers (Replacement)- Students</t>
  </si>
  <si>
    <t>Cart Costs</t>
  </si>
  <si>
    <t>FTE Cell phone handsets</t>
  </si>
  <si>
    <t>Per handset</t>
  </si>
  <si>
    <t>FTE Cell phones</t>
  </si>
  <si>
    <t>Internet setup</t>
  </si>
  <si>
    <t>Server</t>
  </si>
  <si>
    <t>Classroom technology, other</t>
  </si>
  <si>
    <t>Per classroom</t>
  </si>
  <si>
    <t>Educational software/curriculum</t>
  </si>
  <si>
    <t>NWEA-MAP</t>
  </si>
  <si>
    <t>iReady</t>
  </si>
  <si>
    <t>Class Dojo</t>
  </si>
  <si>
    <t>Infinite Campus</t>
  </si>
  <si>
    <t>Technology Support Services</t>
  </si>
  <si>
    <t>Internet and phone monthly service</t>
  </si>
  <si>
    <t>Website development, maintenance</t>
  </si>
  <si>
    <t>Other Equipment (security system, 
Hardware costs, setup fees)</t>
  </si>
  <si>
    <t>Other Equipment replacement</t>
  </si>
  <si>
    <t>Expected years</t>
  </si>
  <si>
    <t>Monthly equipment cost</t>
  </si>
  <si>
    <t>Computer Hardware (Other)</t>
  </si>
  <si>
    <t>Computer Software</t>
  </si>
  <si>
    <t>Faculty furniture (desks, tables, chairs…)</t>
  </si>
  <si>
    <t>Student furniture (desks, tables, chairs…)</t>
  </si>
  <si>
    <t xml:space="preserve">TOTAL FFE &amp; T COSTS 
</t>
  </si>
  <si>
    <t>Comments (Row #, you can include calculations in this workspace area; you can also insert Comments in cells above)</t>
  </si>
  <si>
    <t>Select Information</t>
  </si>
  <si>
    <t>Total Enrollment</t>
  </si>
  <si>
    <t>Rev per student</t>
  </si>
  <si>
    <t>Total FFE&amp;T</t>
  </si>
  <si>
    <t>FFE&amp;T per Student</t>
  </si>
  <si>
    <t>Net Surplus after FFE&amp;T</t>
  </si>
  <si>
    <t>Net Surplus after FFE&amp;T per Student</t>
  </si>
  <si>
    <t>Insurance Coverage Expenses</t>
  </si>
  <si>
    <t>Check with your risk manager, insurance agent, or attorney as to what types of insurance you may need.</t>
  </si>
  <si>
    <t xml:space="preserve">Pre-Opening </t>
  </si>
  <si>
    <t>(You may overwrite the formulas below)</t>
  </si>
  <si>
    <t>Insurance types</t>
  </si>
  <si>
    <t>Minimum</t>
  </si>
  <si>
    <t>Annual</t>
  </si>
  <si>
    <t>(Select appropriate coverages)</t>
  </si>
  <si>
    <t>Coverage</t>
  </si>
  <si>
    <t>Cost</t>
  </si>
  <si>
    <t>6 yr+0</t>
  </si>
  <si>
    <t>Indicate below if required coverages are included, e.g., "in (c)"</t>
  </si>
  <si>
    <t>NAC 388A.190</t>
  </si>
  <si>
    <t>(i.e., for bundled insurance)</t>
  </si>
  <si>
    <t>(a) Industrial insurance coverage, if applicable</t>
  </si>
  <si>
    <t>(b) General liability insurance minimum coverage of $1,000,000. Includes coverage for molestation and sexual abuse, and have a broad form policy, with the named insureds:</t>
  </si>
  <si>
    <t>(c) Umbrella</t>
  </si>
  <si>
    <t>(d) Educators’ legal</t>
  </si>
  <si>
    <t>(e) Employment practices</t>
  </si>
  <si>
    <t>(f) Employment benefits</t>
  </si>
  <si>
    <t>(g) Insurance covering errors and omissions of the sponsor and 
governing body of the charter school</t>
  </si>
  <si>
    <t>(h) Motor vehicle, if applicable</t>
  </si>
  <si>
    <t>(i) Sports and athletic participation, if applicable</t>
  </si>
  <si>
    <t>NAC 388A.195</t>
  </si>
  <si>
    <t>Legal services &amp; expenses for due process complaints</t>
  </si>
  <si>
    <t>Ck w/agent</t>
  </si>
  <si>
    <t>OR describe NAC 388A.195 Reserve Fund plan in Application narrative</t>
  </si>
  <si>
    <t>Other (Check applicable requirements)</t>
  </si>
  <si>
    <t>Abuse &amp; Molestation</t>
  </si>
  <si>
    <t>Accident Insurance - For volunteers or students due to accident at school.</t>
  </si>
  <si>
    <t>Commercial Property/Campus Liability</t>
  </si>
  <si>
    <t>Commercial Property/Campus Liability (_________ type)</t>
  </si>
  <si>
    <t>Cyber Liability</t>
  </si>
  <si>
    <t>Directors &amp; Officers</t>
  </si>
  <si>
    <t>Employee Dishonesty/Crime</t>
  </si>
  <si>
    <t>Employement Practices Liability</t>
  </si>
  <si>
    <t>Errors and Omissions</t>
  </si>
  <si>
    <t>Excess/Umbrella Liability</t>
  </si>
  <si>
    <t>Personal and Advertising Injury</t>
  </si>
  <si>
    <t>Products/Completed Operations Aggregate</t>
  </si>
  <si>
    <t>Special Education Liability</t>
  </si>
  <si>
    <t>Student Accident Liability per accident</t>
  </si>
  <si>
    <t>Unemployment Insurance (see Staff tab)</t>
  </si>
  <si>
    <t>Worker's Compensation (see Staff tab)</t>
  </si>
  <si>
    <t>Total Insurance Expense b4 Inflation</t>
  </si>
  <si>
    <t>Inflation (Compounds)</t>
  </si>
  <si>
    <t>The above list may serve as a prompt of insurance coverages and insurance packages that need to be considered and acquired.</t>
  </si>
  <si>
    <t>Remove lines which are not applicable to your school.  Add desriptions and amounts where needed.</t>
  </si>
  <si>
    <t>Consult with your insurance agent regarding the coverages your school, faculty, leadership and board may need or want.</t>
  </si>
  <si>
    <t>Marketing &amp; Recruitment Expenses</t>
  </si>
  <si>
    <t>Charter Contract Operations Term</t>
  </si>
  <si>
    <t>STUDENT RECRUITMENT AND MARKETING</t>
  </si>
  <si>
    <t>Marketing/Recruitment Method</t>
  </si>
  <si>
    <t>Schedule estimate</t>
  </si>
  <si>
    <t>Marketing complete</t>
  </si>
  <si>
    <t>Sample two months prior to open enrollment</t>
  </si>
  <si>
    <t>Enrollment development contracting</t>
  </si>
  <si>
    <t>Total Cost</t>
  </si>
  <si>
    <t>EMO, CMO, BOSP Budget Worksheet</t>
  </si>
  <si>
    <t xml:space="preserve">Consider a cost plus model of hiring specific services you may need, such as accounting/payroll.  But also consider </t>
  </si>
  <si>
    <t>the value of full service providers.  There can be greater savings from exercising a service cost plus a margin for</t>
  </si>
  <si>
    <t>services providers specializing in specific areas.  There can be more peace of mind from "one-stop" providers.  Some</t>
  </si>
  <si>
    <t>schools may start with one model and shift to another.  Make sure your contracts provide the flexibility you deserve.</t>
  </si>
  <si>
    <t>Education Management Organization (EMO)</t>
  </si>
  <si>
    <t>Charter Management Organization (CMO)</t>
  </si>
  <si>
    <t>School Year 1 (Fall Start)</t>
  </si>
  <si>
    <t>Back Office Service Provider (BOSP)</t>
  </si>
  <si>
    <t>Total Expenses (w/o EMO/CMO Fees)</t>
  </si>
  <si>
    <t>Do you plan to contract with a EMO/CMO during this term?</t>
  </si>
  <si>
    <t>EMO/CMO/BOSP Services/Fee base/Type (Check largest applicable)</t>
  </si>
  <si>
    <t xml:space="preserve">    Per Pupil, or</t>
  </si>
  <si>
    <t xml:space="preserve">    PCFP (State) Revenue</t>
  </si>
  <si>
    <t xml:space="preserve">    Other State &amp; Local Revenue</t>
  </si>
  <si>
    <t>Check Fee Base</t>
  </si>
  <si>
    <t xml:space="preserve">    Federal</t>
  </si>
  <si>
    <t xml:space="preserve">    Total Federal, State &amp; Local Revenue, Grants, other funds </t>
  </si>
  <si>
    <t>Estimated EMO, CMO, and/or BOSP Fees</t>
  </si>
  <si>
    <t>OR</t>
  </si>
  <si>
    <t>% fee on (base),(Years x-y)</t>
  </si>
  <si>
    <t>% fee per "…" (Years z-a)</t>
  </si>
  <si>
    <t>Cost plus (Years 1 &amp; 2)</t>
  </si>
  <si>
    <t>Cost plus  (Years 3-6)</t>
  </si>
  <si>
    <t>Other fee structure (describe)</t>
  </si>
  <si>
    <t xml:space="preserve">NAC 388A.580 Initial EMO contract terms cannot exceed 2 years. Renewal contracts cannot exceed the remaining term of the written charter or charter contract, </t>
  </si>
  <si>
    <t>ESP (Education Services Provider) is not used here to reduce possible confusion with an EMO.</t>
  </si>
  <si>
    <t>EMO or CMO</t>
  </si>
  <si>
    <t>BOSP</t>
  </si>
  <si>
    <t>Incl'd</t>
  </si>
  <si>
    <t>Do they Perform</t>
  </si>
  <si>
    <t>Or a Cost</t>
  </si>
  <si>
    <t>Perform</t>
  </si>
  <si>
    <t>in fee?</t>
  </si>
  <si>
    <t>the Service?</t>
  </si>
  <si>
    <t>Pass Thru?</t>
  </si>
  <si>
    <t>Service?</t>
  </si>
  <si>
    <t>EMO, CMO, BOSP services to charter school</t>
  </si>
  <si>
    <t>Y/N</t>
  </si>
  <si>
    <t>"Back office" functions (Accounting, A/P, A/R, Payroll, Inventory, financial, compliance, reporting)</t>
  </si>
  <si>
    <t>If you mark Y/N here do not mark the individual items below</t>
  </si>
  <si>
    <t>Accounting (AR, AP...)</t>
  </si>
  <si>
    <t>Bond Financing</t>
  </si>
  <si>
    <t xml:space="preserve">Capital Loans, </t>
  </si>
  <si>
    <t xml:space="preserve">Cash Advances For Startup Funds, </t>
  </si>
  <si>
    <t>Computer/Other Leasing</t>
  </si>
  <si>
    <t>Compliance</t>
  </si>
  <si>
    <t>Contract Mgt</t>
  </si>
  <si>
    <t>Curriculum</t>
  </si>
  <si>
    <t xml:space="preserve">Development of Curriculum and Instruction, </t>
  </si>
  <si>
    <t xml:space="preserve">Establishment of College Guidance &amp; Counseling Program. </t>
  </si>
  <si>
    <t>Facility Acquisition</t>
  </si>
  <si>
    <t>Facility Leasing</t>
  </si>
  <si>
    <t>Facility Tenant Improvement</t>
  </si>
  <si>
    <t>Federal funds processing</t>
  </si>
  <si>
    <t>Finance</t>
  </si>
  <si>
    <t>Food Servicing</t>
  </si>
  <si>
    <t xml:space="preserve">Furnishings, Fixtures, </t>
  </si>
  <si>
    <t>Grant Application/Processing costs</t>
  </si>
  <si>
    <t>Safety</t>
  </si>
  <si>
    <t>HR Management</t>
  </si>
  <si>
    <t>Internal Control Process Development</t>
  </si>
  <si>
    <t>Inventory</t>
  </si>
  <si>
    <t>Manage or Operate aspects of a charter school</t>
  </si>
  <si>
    <t>Payroll</t>
  </si>
  <si>
    <t xml:space="preserve">Professional Development and </t>
  </si>
  <si>
    <t>Purchasing</t>
  </si>
  <si>
    <t>Reporting</t>
  </si>
  <si>
    <t xml:space="preserve">Supervision of building Design &amp; Remodeling, </t>
  </si>
  <si>
    <t xml:space="preserve">Technology Contracting, </t>
  </si>
  <si>
    <t xml:space="preserve">Textbooks, Other Transactions, </t>
  </si>
  <si>
    <t>Other (Describe)</t>
  </si>
  <si>
    <t>Total EMO-CMO-ESP Planned Expenses</t>
  </si>
  <si>
    <t>Does the EMO provide the service or do they help you choose the service which you will pay for--separate</t>
  </si>
  <si>
    <t>from the EMO fee?</t>
  </si>
  <si>
    <t>Some schools hire both and EMO and a BOSP</t>
  </si>
  <si>
    <t>Special Populations &amp; Demographics</t>
  </si>
  <si>
    <t>For reference:</t>
  </si>
  <si>
    <t>NDE Enrollment Data</t>
  </si>
  <si>
    <t>Academic &amp; Demographic Needs Assessment (ADNA)</t>
  </si>
  <si>
    <t>PCFP Rates</t>
  </si>
  <si>
    <t>In person</t>
  </si>
  <si>
    <t>Final adjusted base PPR, SB 503 EN (2023)</t>
  </si>
  <si>
    <t>Charter</t>
  </si>
  <si>
    <t>SYE 24</t>
  </si>
  <si>
    <t>SYE 25</t>
  </si>
  <si>
    <t>The content here is pulled to the "Enroll &amp; Rev" tab, so be careful modifying it.</t>
  </si>
  <si>
    <t>Churchill</t>
  </si>
  <si>
    <t>Clark</t>
  </si>
  <si>
    <t>Elko</t>
  </si>
  <si>
    <t>Nye</t>
  </si>
  <si>
    <t>Washoe (Reno)</t>
  </si>
  <si>
    <t>Washoe (Stead)</t>
  </si>
  <si>
    <t>White Pine</t>
  </si>
  <si>
    <t>Statewide base</t>
  </si>
  <si>
    <t>Special Populations</t>
  </si>
  <si>
    <t>Additional weighted PPR, SB 503 EN (2023)</t>
  </si>
  <si>
    <t>SpEd (TEST INPUT)</t>
  </si>
  <si>
    <t>Using 2024 rates until we see the 2025 rates from NDE.  See NDE SPED payments file (e.g., FY 2024 Special Education Payment Book - Q2_10.25.2023), "Charter School Base Allocation" tab.</t>
  </si>
  <si>
    <t>English learners</t>
  </si>
  <si>
    <t>Gifted and talented</t>
  </si>
  <si>
    <t>SB 458 (2021) established the funding rates for the SYE 22 and SYE 23 biennium.</t>
  </si>
  <si>
    <t>NDE Adjustment Factor</t>
  </si>
  <si>
    <t>For the base</t>
  </si>
  <si>
    <t>Only for the State SPED account which was not "pre" affected by the .9931% reduction.</t>
  </si>
  <si>
    <t>SYE 23</t>
  </si>
  <si>
    <t>Distance Ed SB 458.5.5 &amp; 6.5</t>
  </si>
  <si>
    <t>Distance Ed SB 458.5.5...w/Adj</t>
  </si>
  <si>
    <t>Final adjusted base PPR, SB 458.5-6 (2021)</t>
  </si>
  <si>
    <t>% Chg YOY</t>
  </si>
  <si>
    <t xml:space="preserve">Carson City </t>
  </si>
  <si>
    <t xml:space="preserve">Churchill </t>
  </si>
  <si>
    <t xml:space="preserve">Clark </t>
  </si>
  <si>
    <t xml:space="preserve">Elko </t>
  </si>
  <si>
    <t xml:space="preserve">Washoe </t>
  </si>
  <si>
    <t xml:space="preserve">White Pine </t>
  </si>
  <si>
    <t>Final adjusted base PPR, SB 458.5-6-(2021)-w/NDE Adj Factor</t>
  </si>
  <si>
    <t>SYE 22-
conf'd</t>
  </si>
  <si>
    <t>Washoe</t>
  </si>
  <si>
    <t>CC-SYE 22</t>
  </si>
  <si>
    <t>Additional weighted PPR, SB 458.5-7 (2021)</t>
  </si>
  <si>
    <t>Placeholders for testing @ 33%</t>
  </si>
  <si>
    <t>(no 100% FRL?)</t>
  </si>
  <si>
    <t>Enrollments</t>
  </si>
  <si>
    <t>In Person</t>
  </si>
  <si>
    <t>Distance Ed'</t>
  </si>
  <si>
    <t>Working area</t>
  </si>
  <si>
    <t>Enter estimated enrollment numbers below based on the applicable categories.</t>
  </si>
  <si>
    <t>Total Enrollment (Year 1)</t>
  </si>
  <si>
    <t>General (No special pop')</t>
  </si>
  <si>
    <t>Special Populations (Unduplicated)</t>
  </si>
  <si>
    <t>Special populations (Unduplicated)</t>
  </si>
  <si>
    <t xml:space="preserve">School </t>
  </si>
  <si>
    <t>Raw totals</t>
  </si>
  <si>
    <t>Estimated Unduplicated Enrollment</t>
  </si>
  <si>
    <t>w/Dupl'n</t>
  </si>
  <si>
    <t>No</t>
  </si>
  <si>
    <t>Enrol' w/o</t>
  </si>
  <si>
    <t>Reality vs. Random</t>
  </si>
  <si>
    <t>SPED</t>
  </si>
  <si>
    <t>SPED-GATE</t>
  </si>
  <si>
    <t>SPED-ELL</t>
  </si>
  <si>
    <t>SPED-AR</t>
  </si>
  <si>
    <t>Total %</t>
  </si>
  <si>
    <t>Duplication %</t>
  </si>
  <si>
    <t>Duplication #</t>
  </si>
  <si>
    <t>Actual vs. Random</t>
  </si>
  <si>
    <t>GATE</t>
  </si>
  <si>
    <t>GATE - ELL</t>
  </si>
  <si>
    <t>GATE-AR</t>
  </si>
  <si>
    <t>ELL</t>
  </si>
  <si>
    <t>ELL-AR</t>
  </si>
  <si>
    <t>AR</t>
  </si>
  <si>
    <t xml:space="preserve">Or assume a normal distribution </t>
  </si>
  <si>
    <t>Estimated Multi-combinations</t>
  </si>
  <si>
    <t>SPED-GATE-ELL-AR</t>
  </si>
  <si>
    <t>SPED-GATE-ELL</t>
  </si>
  <si>
    <t>SPED-GATE-AR</t>
  </si>
  <si>
    <t>SPED-ELL-AR</t>
  </si>
  <si>
    <t>GATE-ELL-AR</t>
  </si>
  <si>
    <t>The below totals should be your optimized, non double-counted enrollments.</t>
  </si>
  <si>
    <t>They are used in cells E39:E42 above.</t>
  </si>
  <si>
    <t>SpEd</t>
  </si>
  <si>
    <t>EL</t>
  </si>
  <si>
    <t>G&amp;T</t>
  </si>
  <si>
    <t>Check</t>
  </si>
  <si>
    <t>Percent Total</t>
  </si>
  <si>
    <t>Add'l Funding</t>
  </si>
  <si>
    <t>Adjusted w/NDE Adj' Factor</t>
  </si>
  <si>
    <t>Full Adj Base</t>
  </si>
  <si>
    <t>Area</t>
  </si>
  <si>
    <t>Funding</t>
  </si>
  <si>
    <t>IN PERSON</t>
  </si>
  <si>
    <t>"y/n"</t>
  </si>
  <si>
    <t>PPR</t>
  </si>
  <si>
    <t>Additional Funding</t>
  </si>
  <si>
    <t>y</t>
  </si>
  <si>
    <t>Distance Education</t>
  </si>
  <si>
    <t>(All Counties)</t>
  </si>
  <si>
    <t>School Year Ending</t>
  </si>
  <si>
    <t>Full Base</t>
  </si>
  <si>
    <t>Statewide base Net of adj't</t>
  </si>
  <si>
    <t>Federal Program</t>
  </si>
  <si>
    <t>Projected per-pupil</t>
  </si>
  <si>
    <t>Fiscal Year Used</t>
  </si>
  <si>
    <t>$400/FRL student</t>
  </si>
  <si>
    <t>FY21</t>
  </si>
  <si>
    <t>$4/student AND $66/FRL student</t>
  </si>
  <si>
    <t>FY19</t>
  </si>
  <si>
    <t>$97/EL student</t>
  </si>
  <si>
    <t>IDEA SPED-B</t>
  </si>
  <si>
    <t>$1005/Special Education Student</t>
  </si>
  <si>
    <t>FY20</t>
  </si>
  <si>
    <t>ENROLLMENTS</t>
  </si>
  <si>
    <t>Total Counts</t>
  </si>
  <si>
    <t>Additional Weighted Special Population Enrollment Counts (one category per pupil only)</t>
  </si>
  <si>
    <t>Location\Weightings</t>
  </si>
  <si>
    <t>Unfunded Enrollment Counts</t>
  </si>
  <si>
    <t>Grand Total</t>
  </si>
  <si>
    <t>DISTANCE EDUCATION</t>
  </si>
  <si>
    <t>Funded Weighted Enrollment Counts</t>
  </si>
  <si>
    <t>Average PPR</t>
  </si>
  <si>
    <t>Additional Weighted Supportive Funding</t>
  </si>
  <si>
    <t>Adjusted Base Funding</t>
  </si>
  <si>
    <t>Baseline Information</t>
  </si>
  <si>
    <t>Per Pupil Revenue (PPR)</t>
  </si>
  <si>
    <t>Statewide base PPR (Charter School, Distance Ed) SB 458.5-5</t>
  </si>
  <si>
    <t>District Adj' base PPR, SB 458.5-4</t>
  </si>
  <si>
    <t>Statewide base PPR, SB 458.5-5</t>
  </si>
  <si>
    <t>Final adjusted base PPR SYE 22, SB 458.5-6</t>
  </si>
  <si>
    <t>District</t>
  </si>
  <si>
    <t xml:space="preserve">Douglas </t>
  </si>
  <si>
    <t xml:space="preserve">Esmeralda </t>
  </si>
  <si>
    <t xml:space="preserve">Eureka </t>
  </si>
  <si>
    <t>Distance Ed</t>
  </si>
  <si>
    <t xml:space="preserve">Humboldt </t>
  </si>
  <si>
    <t xml:space="preserve">Lander </t>
  </si>
  <si>
    <t>Additional weighted PPR, SB 458.5-7</t>
  </si>
  <si>
    <t xml:space="preserve">Lincoln </t>
  </si>
  <si>
    <t>Awtg</t>
  </si>
  <si>
    <t xml:space="preserve">Lyon </t>
  </si>
  <si>
    <t xml:space="preserve">Mineral </t>
  </si>
  <si>
    <t>At-risk pupils</t>
  </si>
  <si>
    <t>(fka FRL)</t>
  </si>
  <si>
    <t xml:space="preserve">Nye </t>
  </si>
  <si>
    <t xml:space="preserve">Pershing </t>
  </si>
  <si>
    <t xml:space="preserve">Storey </t>
  </si>
  <si>
    <t>PUPIL CENTERED FUNDING PLAN SYE 23</t>
  </si>
  <si>
    <t>Statewide base PPR (Charter School, Distance Ed) SB 458.6-5</t>
  </si>
  <si>
    <t>District Adj' base PPR, SB 458.6-4</t>
  </si>
  <si>
    <t>Statewide base PPR, SB 458.6-5</t>
  </si>
  <si>
    <t>Final adjusted base PPR SYE 22, SB 458.6-6</t>
  </si>
  <si>
    <t>Facility Specifications - resource worksheet</t>
  </si>
  <si>
    <t>Enrolllment</t>
  </si>
  <si>
    <t># Classrooms</t>
  </si>
  <si>
    <t>Students/Classroom</t>
  </si>
  <si>
    <t xml:space="preserve">This space planning worksheet may help determine facility needs and costs.  You are not required to complete this. </t>
  </si>
  <si>
    <t>Type of Space</t>
  </si>
  <si>
    <t>Common Specifics</t>
  </si>
  <si>
    <t>Low</t>
  </si>
  <si>
    <t>High</t>
  </si>
  <si>
    <t>Avg</t>
  </si>
  <si>
    <t>Example 1</t>
  </si>
  <si>
    <t>Example 2</t>
  </si>
  <si>
    <t>Applicant yr1</t>
  </si>
  <si>
    <t>Applicant yr3</t>
  </si>
  <si>
    <t>500 Students</t>
  </si>
  <si>
    <t>Grade levels</t>
  </si>
  <si>
    <t>9th-12th</t>
  </si>
  <si>
    <t>Students per CR</t>
  </si>
  <si>
    <t>25:1</t>
  </si>
  <si>
    <t>Interior Space PS-full size</t>
  </si>
  <si>
    <t>Classroom, circulation, other PS</t>
  </si>
  <si>
    <t>Detailed Analysis</t>
  </si>
  <si>
    <t>Core classrooms SF</t>
  </si>
  <si>
    <t>20 cls @ 850 SF each = 17,000 SF</t>
  </si>
  <si>
    <t>Science labs SF</t>
  </si>
  <si>
    <t>2 cls @ 1000 SF each</t>
  </si>
  <si>
    <t>Computer labs / media centers</t>
  </si>
  <si>
    <t>1 room @ 1000 SF</t>
  </si>
  <si>
    <t>SPED Specialty offices / classrooms</t>
  </si>
  <si>
    <t>SPED, counseling room(s) - 
2 @ 400 SF each, 4 @ 100 SF each</t>
  </si>
  <si>
    <t>ELL Specialty offices / classrooms</t>
  </si>
  <si>
    <t>SPED, ELL, counseling rooms - 
2 @ 400 SF each, 4 @ 100 SF each</t>
  </si>
  <si>
    <t>Reception area / offices</t>
  </si>
  <si>
    <t>Reception area @   400 SF</t>
  </si>
  <si>
    <t>Administrative offices</t>
  </si>
  <si>
    <t>Four offices at 100 SF each</t>
  </si>
  <si>
    <t>Conference room(s)</t>
  </si>
  <si>
    <t>400 SF</t>
  </si>
  <si>
    <t>Teacher lounge / work room</t>
  </si>
  <si>
    <t>600 SF</t>
  </si>
  <si>
    <t>Commons / lunch area</t>
  </si>
  <si>
    <t>1,500 SF</t>
  </si>
  <si>
    <t>Kitchen / prep room</t>
  </si>
  <si>
    <t>200 SF (prep only)</t>
  </si>
  <si>
    <t>Bathrooms (students)</t>
  </si>
  <si>
    <t>Students - 2 @ 400 SF each</t>
  </si>
  <si>
    <t>Bathrooms (staff)</t>
  </si>
  <si>
    <t>Staff 3 @ 100 SF each</t>
  </si>
  <si>
    <t>Multi-purpose room / gymnasium (A)</t>
  </si>
  <si>
    <t>MPR / small gym @ 4,000 SF</t>
  </si>
  <si>
    <t xml:space="preserve">       "                             "           (B)</t>
  </si>
  <si>
    <t>OR--by sf/pupil</t>
  </si>
  <si>
    <t>---&gt;</t>
  </si>
  <si>
    <t>Elective classrooms</t>
  </si>
  <si>
    <t>(1) music @1,000 SF</t>
  </si>
  <si>
    <t>Storage closets</t>
  </si>
  <si>
    <t>2 @ 300 SF each</t>
  </si>
  <si>
    <t>Custodial closet</t>
  </si>
  <si>
    <t>150 SF</t>
  </si>
  <si>
    <t>Mechanical &amp; IT closet</t>
  </si>
  <si>
    <t>250 SF</t>
  </si>
  <si>
    <t>Other (drama, media, 
parent room, health, etc.)</t>
  </si>
  <si>
    <t>Parent room @ 200 SF</t>
  </si>
  <si>
    <t>Space requirements pre circulation</t>
  </si>
  <si>
    <t>Circulation (hallways)</t>
  </si>
  <si>
    <t xml:space="preserve">@15%(up to 20%) total = 4,800 </t>
  </si>
  <si>
    <t>Total estimated square feet</t>
  </si>
  <si>
    <t>32,000 + 4,800 = 36,800</t>
  </si>
  <si>
    <t>Total square feet per student</t>
  </si>
  <si>
    <t>73.6 SF per student</t>
  </si>
  <si>
    <t>Lease Rate A/sf/mo</t>
  </si>
  <si>
    <t>Common specifics</t>
  </si>
  <si>
    <t>Lease Rate B/sf/mo</t>
  </si>
  <si>
    <t>Elementary (K-6)  25/classroom</t>
  </si>
  <si>
    <t>Middle School (7-8)  27/classroom</t>
  </si>
  <si>
    <t>High School (9-12)  27/classroom</t>
  </si>
  <si>
    <t>App Development Note</t>
  </si>
  <si>
    <t>10/2</t>
  </si>
  <si>
    <t>GenOp-proof &amp; test</t>
  </si>
  <si>
    <t>10/7</t>
  </si>
  <si>
    <t>Confirm TOC labels</t>
  </si>
  <si>
    <t>Create TOC w/urls</t>
  </si>
  <si>
    <t>Confirm right cells are locked and unlocked</t>
  </si>
  <si>
    <t>Confirm logic</t>
  </si>
  <si>
    <t>Remove unnecessary tabs</t>
  </si>
  <si>
    <t>11/15/21</t>
  </si>
  <si>
    <t>Market: adjusted Market Res(earch) formula: non surplus/deficit information result ; from: =IFERROR(IF(AND(E27,$G$51)&gt;0,E27/$G51,0),0) to =IFERROR(IF(AND(E27,$H$51)&gt;0,E27/$H51,0),0)</t>
  </si>
  <si>
    <t>'Thu 6/25/2020 em from Kristin dietz</t>
  </si>
  <si>
    <t>Jun 25 image vs Jul 13 image</t>
  </si>
  <si>
    <t>F60 ok</t>
  </si>
  <si>
    <t>Fix</t>
  </si>
  <si>
    <t>Keep&gt;=1</t>
  </si>
  <si>
    <t>Fixed</t>
  </si>
  <si>
    <t>1372 perf bonus unlocked</t>
  </si>
  <si>
    <t>cf Mktg</t>
  </si>
  <si>
    <t>Unlocked</t>
  </si>
  <si>
    <t>wkg</t>
  </si>
  <si>
    <t>xl</t>
  </si>
  <si>
    <t>Depreciation calc.  9/10. MH to edit.</t>
  </si>
  <si>
    <t>Use RFA # staff by categories</t>
  </si>
  <si>
    <t>Enrol Staff &amp; Exp</t>
  </si>
  <si>
    <t>Split off "Other" from "Guidance Counselors &amp; Other" and incorporate all logic changes. 9.10</t>
  </si>
  <si>
    <t>Why is grouping protected?  It's an Excel standard.</t>
  </si>
  <si>
    <t>Can we find a work around so app'ts can use the grouping option on the Enrol Staff &amp; Exp tab?</t>
  </si>
  <si>
    <t>Enabled being able to see formulas while keeping editing access to those cells locked. 2020.09.04 MD</t>
  </si>
  <si>
    <t>Note on Depreciation+</t>
  </si>
  <si>
    <t>High Performance, Equity, Diversity WIP detail budget</t>
  </si>
  <si>
    <t>Test worksheet in development</t>
  </si>
  <si>
    <t>OPF matter?</t>
  </si>
  <si>
    <t>The purpose of this worksheet is to identify areas where one could reasonably expect to see budget affects from efforts to invest</t>
  </si>
  <si>
    <t>in activities to improve equity, diversity, restorative justice, etc.  As well as to see funding in the budget to help in this effort.</t>
  </si>
  <si>
    <t>Nonprofit Reqt?</t>
  </si>
  <si>
    <t>Planning</t>
  </si>
  <si>
    <t>Federal</t>
  </si>
  <si>
    <t>State</t>
  </si>
  <si>
    <t>Federal Grants</t>
  </si>
  <si>
    <t>1. Title IA for schools with students who are</t>
  </si>
  <si>
    <t>economically disadvantaged</t>
  </si>
  <si>
    <t>2. Title I 1003a for school improvement grants</t>
  </si>
  <si>
    <t>3. Title IIA for educator development</t>
  </si>
  <si>
    <t>4. Title III – LEP for students with limited English</t>
  </si>
  <si>
    <t>proficiency</t>
  </si>
  <si>
    <t>5. Title III – IMM for students who are immigrants</t>
  </si>
  <si>
    <t>6. IDEA – B for special education</t>
  </si>
  <si>
    <t>7. IDEA – b for early childhood special education</t>
  </si>
  <si>
    <t>8. ESSER for support in response to COVID-19</t>
  </si>
  <si>
    <t>9. CRF also for support in response to COVID-19</t>
  </si>
  <si>
    <t>10. Other</t>
  </si>
  <si>
    <t>State Grants</t>
  </si>
  <si>
    <t>1. Pre-Kindergarten</t>
  </si>
  <si>
    <t>2.Zoom</t>
  </si>
  <si>
    <t>3.Victory</t>
  </si>
  <si>
    <t>4.New Nevada Education Funding Plan</t>
  </si>
  <si>
    <t>5.Great Teaching &amp; Leading,…</t>
  </si>
  <si>
    <t>6. Other…</t>
  </si>
  <si>
    <t>7. Other…</t>
  </si>
  <si>
    <t>8. Other…</t>
  </si>
  <si>
    <t>9. Other…</t>
  </si>
  <si>
    <t>10. Other…</t>
  </si>
  <si>
    <t>Expenditures</t>
  </si>
  <si>
    <t>Professional Development</t>
  </si>
  <si>
    <t>Training: Restorative Justice</t>
  </si>
  <si>
    <t>Impact of difference in staffing levels in budget vs. narrative</t>
  </si>
  <si>
    <t xml:space="preserve">FTE - Total </t>
  </si>
  <si>
    <t>App (XL) "Staff" tab, row ___</t>
  </si>
  <si>
    <t>App (Narr) pg ___</t>
  </si>
  <si>
    <t>Average Staff Salary</t>
  </si>
  <si>
    <t>Impact magnitude</t>
  </si>
  <si>
    <t>"Levers"</t>
  </si>
  <si>
    <t xml:space="preserve"> </t>
  </si>
  <si>
    <t>Total Personnel</t>
  </si>
  <si>
    <t>Personnel per Student</t>
  </si>
  <si>
    <t>Net Surplus after Personnel per student</t>
  </si>
  <si>
    <t>Total Gen Op</t>
  </si>
  <si>
    <t>Gen Op per Student</t>
  </si>
  <si>
    <t>Total Facilities</t>
  </si>
  <si>
    <t>Facilities per Student</t>
  </si>
  <si>
    <t>Net Surplus after Facilities</t>
  </si>
  <si>
    <t>Net Surplus after Facilities per Student</t>
  </si>
  <si>
    <t>Total Transportation</t>
  </si>
  <si>
    <t>Transportation per Student</t>
  </si>
  <si>
    <t>Total Ins</t>
  </si>
  <si>
    <t>Ins per Student</t>
  </si>
  <si>
    <t>Total Marketing</t>
  </si>
  <si>
    <t>Marketing per Student</t>
  </si>
  <si>
    <t>Total Other Costs</t>
  </si>
  <si>
    <t>Other Costs per Student</t>
  </si>
  <si>
    <t>Net Surplus after Other Costs</t>
  </si>
  <si>
    <t>Net Surplus after Other Costs per Student</t>
  </si>
  <si>
    <t>Scratchpad</t>
  </si>
  <si>
    <t>Coming</t>
  </si>
  <si>
    <t>For the SYE 24 &amp; SYE 25 Biennium</t>
  </si>
  <si>
    <t>PUPIL CENTERED FUNDING PLAN SYE 24 &amp; SYE 25</t>
  </si>
  <si>
    <t>At-risk pupils (AR)</t>
  </si>
  <si>
    <t>At Risk (AR)</t>
  </si>
  <si>
    <t xml:space="preserve"> (PCFP funding for 26, 27 expected after legislative biennium session FYE 25)</t>
  </si>
  <si>
    <t xml:space="preserve"> aka "Distance education", "aka Virtual education"</t>
  </si>
  <si>
    <t>Virtual/Distance (aka Statewide base)</t>
  </si>
  <si>
    <t>At Risk Pupils (AR) (Computed separately and funded later)</t>
  </si>
  <si>
    <t xml:space="preserve"> (Computed separately by NDE.  Likely funded after year 1 or after year 2)</t>
  </si>
  <si>
    <t>Inflation adjustor (on state Base only)</t>
  </si>
  <si>
    <t>(Proportion of planned enrollment)</t>
  </si>
  <si>
    <t>At Risk Pupils (AR)(Determined later by NDE)</t>
  </si>
  <si>
    <t>Total Student Enrollment (input below must match application narrative)</t>
  </si>
  <si>
    <t>State Weighted Funding (EL, GATE, no local AR)</t>
  </si>
  <si>
    <t>Net Pension Liability (PERS allocates to schools in year 2)</t>
  </si>
  <si>
    <t>New FY</t>
  </si>
  <si>
    <t>There is no required information to fill out in the tabs to the right</t>
  </si>
  <si>
    <t>Information, cost estimating or "scratch paper" pages to your right.</t>
  </si>
  <si>
    <t>The Delta Academy</t>
  </si>
  <si>
    <t>Kyle Konold</t>
  </si>
  <si>
    <t>Rosa Osman</t>
  </si>
  <si>
    <t>Admin</t>
  </si>
  <si>
    <t>Superintendent</t>
  </si>
  <si>
    <t>Jennifer Rudolph</t>
  </si>
  <si>
    <t>Special Education Instructional Facilitator</t>
  </si>
  <si>
    <t>Special Education Teacher</t>
  </si>
  <si>
    <t>Jonathan Hull</t>
  </si>
  <si>
    <t>Trina Thompson</t>
  </si>
  <si>
    <t>Jackie Moniet</t>
  </si>
  <si>
    <t>Middle School Principal</t>
  </si>
  <si>
    <t>High School Principal</t>
  </si>
  <si>
    <t>Corissa Gault</t>
  </si>
  <si>
    <t>Sha Heilman</t>
  </si>
  <si>
    <t>Steven Carozzo</t>
  </si>
  <si>
    <t>Jeremy Dooms</t>
  </si>
  <si>
    <t xml:space="preserve"> Monica Jones</t>
  </si>
  <si>
    <t>Lashon Fredricks</t>
  </si>
  <si>
    <t>Austin Congleton</t>
  </si>
  <si>
    <t>Michael Stevens</t>
  </si>
  <si>
    <t>Jennifer Cann</t>
  </si>
  <si>
    <t>Guidance Counselor HS</t>
  </si>
  <si>
    <t>Kima Mkhitarian</t>
  </si>
  <si>
    <t xml:space="preserve">School Psychologist </t>
  </si>
  <si>
    <t>Shakia Knight</t>
  </si>
  <si>
    <t>Per Year</t>
  </si>
  <si>
    <t>Apptegy Yearly Fee for School Website</t>
  </si>
  <si>
    <t>Student Success Advocate</t>
  </si>
  <si>
    <t>Math</t>
  </si>
  <si>
    <t>7&amp;8</t>
  </si>
  <si>
    <t>English</t>
  </si>
  <si>
    <t>Sceince</t>
  </si>
  <si>
    <t>History</t>
  </si>
  <si>
    <t>Tutor</t>
  </si>
  <si>
    <t>All</t>
  </si>
  <si>
    <t>Science</t>
  </si>
  <si>
    <t>Middle School</t>
  </si>
  <si>
    <t>High School</t>
  </si>
  <si>
    <t>Spanish I&amp;II</t>
  </si>
  <si>
    <t>Spanish Teacher I&amp;II</t>
  </si>
  <si>
    <t>Adrianne Goodson</t>
  </si>
  <si>
    <t>Amy Tanner</t>
  </si>
  <si>
    <t>Ashley Juresic</t>
  </si>
  <si>
    <t>Ashli Bachmeier</t>
  </si>
  <si>
    <t>Beau Palumbo</t>
  </si>
  <si>
    <t>Benjamin Pennington</t>
  </si>
  <si>
    <t>Cadence Taylor</t>
  </si>
  <si>
    <t>Diana Lusson</t>
  </si>
  <si>
    <t>Gillian Vormittag</t>
  </si>
  <si>
    <t>Music Teacher</t>
  </si>
  <si>
    <t>Music</t>
  </si>
  <si>
    <t>Spanish</t>
  </si>
  <si>
    <t>Jay Caballero</t>
  </si>
  <si>
    <t>Lori McCarty</t>
  </si>
  <si>
    <t>Maria Giorgione</t>
  </si>
  <si>
    <t>Mary Congleton</t>
  </si>
  <si>
    <t>Student Success Advocate Facilitator</t>
  </si>
  <si>
    <t>English &amp; Reading</t>
  </si>
  <si>
    <t>Grade Level Teacher English &amp; Reading</t>
  </si>
  <si>
    <t>Grade Level Teacher Math &amp; Aviation Tech</t>
  </si>
  <si>
    <t>McKenna Gault</t>
  </si>
  <si>
    <t>Morgan Burns</t>
  </si>
  <si>
    <t>Patricia Kaegabein</t>
  </si>
  <si>
    <t>Paul McClerran</t>
  </si>
  <si>
    <t>Grade Level Teacher Science &amp; History</t>
  </si>
  <si>
    <t>Science &amp; History</t>
  </si>
  <si>
    <t>Computer Science</t>
  </si>
  <si>
    <t>Ryyan Wilkins</t>
  </si>
  <si>
    <t>Tashina Kendall</t>
  </si>
  <si>
    <t>Yolanda Rodriguez Harris</t>
  </si>
  <si>
    <t>Grade Level Teacher Biology, Science, Chemistry</t>
  </si>
  <si>
    <t>Richard Shippin</t>
  </si>
  <si>
    <t>Contracted Administative Services</t>
  </si>
  <si>
    <t>Contracted Counseling &amp; Guidance</t>
  </si>
  <si>
    <t>Other Technical Services</t>
  </si>
  <si>
    <t>Contracted Facility Management</t>
  </si>
  <si>
    <t>Contracted Accounting Services</t>
  </si>
  <si>
    <t>Contracted Food Services</t>
  </si>
  <si>
    <t>Contracted Substitute Instuction</t>
  </si>
  <si>
    <t>Contracted Instructional Services &amp; SE</t>
  </si>
  <si>
    <t>Contracted Teacher Support &amp; SE</t>
  </si>
  <si>
    <t>Postage for shipping services</t>
  </si>
  <si>
    <t>Gift Cards to Employees for Appreciation/Holiday Bonus</t>
  </si>
  <si>
    <t>RAPA $6,822 monthly cannot edit cell so $4 is based off of 1824 students</t>
  </si>
  <si>
    <t>Textbooks for classes INCL: Accelerate Learning, Cengage Learning, McGraw-Hill</t>
  </si>
  <si>
    <t>Ziprecruiter</t>
  </si>
  <si>
    <t xml:space="preserve">On and Offsite Professional development </t>
  </si>
  <si>
    <t>Monthly Firm ($5,000) *12</t>
  </si>
  <si>
    <t>Miscellaneous Marketing (Paypal, Pioneer)</t>
  </si>
  <si>
    <t>Credit Recovery</t>
  </si>
  <si>
    <t>Donations</t>
  </si>
  <si>
    <t>Paul McLerran</t>
  </si>
  <si>
    <t xml:space="preserve">RubinBrown Annual Audit </t>
  </si>
  <si>
    <t>Student Incentives</t>
  </si>
  <si>
    <t>Accounting,Auditing,Consulting, and Legal Services (Rubin brown LLP, Kaempfer Crowell, Ltd.)</t>
  </si>
  <si>
    <t xml:space="preserve">Fingerprinting/Background </t>
  </si>
  <si>
    <t>Green Valley Security ($1,550 per month * 12)</t>
  </si>
  <si>
    <t>Donated Land property Tax</t>
  </si>
  <si>
    <t>Chromebooks</t>
  </si>
  <si>
    <t>First Citizens Bank Copiers Lease</t>
  </si>
  <si>
    <t>Building Repair and Maintainance, Building Services (Consults, Drawingins, Planning per construction)</t>
  </si>
  <si>
    <t>Inst/Admin Travel +Food per conferences</t>
  </si>
  <si>
    <t>Admin Supplies</t>
  </si>
  <si>
    <t>Instructional &amp; SE supplies $7-8,000 Per month</t>
  </si>
  <si>
    <t>Southwest Gas, NV Energy</t>
  </si>
  <si>
    <t>Latitude 5040 Laptops, PC's for teachers work from home + in office</t>
  </si>
  <si>
    <t>Site/Building Improvement Expenses, Landscaping Services, Building Supplies</t>
  </si>
  <si>
    <t>Voc &amp; tech programs, Technical Services, Parenting Services (excluding other technical services)</t>
  </si>
  <si>
    <t>Psych Services, Special Ed Related Svcs (EdTheory)</t>
  </si>
  <si>
    <t>Contracted Employees Rentention &amp; Longevity will reflect on Gen Optg</t>
  </si>
  <si>
    <t>401k Match ($82,694), Longevity($13,500),Retention (38 Faculty * $2,231.25 = $84,787.50)</t>
  </si>
  <si>
    <t>401k Match ($141,211), Retention Bonus (42 Employees * $2,231.25 = $93,712.50), Longevity Bonus ($15,250)</t>
  </si>
  <si>
    <t>Inflation adj</t>
  </si>
  <si>
    <t>Donations/Contributions</t>
  </si>
  <si>
    <t>MAP Licenses</t>
  </si>
  <si>
    <t xml:space="preserve">Educational Licenses </t>
  </si>
  <si>
    <t xml:space="preserve">$1,105 monthly ADP </t>
  </si>
  <si>
    <t>Delta Pays $848.31 per employee  (Sierra HNL + Teachers Health Trust) Monthly cost ($23,645.82)*12 = $283,749.84</t>
  </si>
  <si>
    <t>3% used as Inflation ADJ  1.03 is multiplied to every year</t>
  </si>
  <si>
    <t>ADJ inflation *1.03 to all</t>
  </si>
  <si>
    <t>(desk,chair,filing cabinets) * 38 Teachers&amp;Staff</t>
  </si>
  <si>
    <t xml:space="preserve">350 Students * $260 per desk+ chairs </t>
  </si>
  <si>
    <t>Basing off of Student Desks purchased on Amazon ($520 per 2) and Office Furniture USA desk prices</t>
  </si>
  <si>
    <t xml:space="preserve">Instructional Computer Hardware (excluding sutdent/faculty computers)  Printers Etc. </t>
  </si>
  <si>
    <t>Technology Liceneses (Zoom, Adobe, , Dropbox) Intranet Updates, DRC Licenses, HMH Licenses</t>
  </si>
  <si>
    <t>Cox Internet. Verizon, Vonage</t>
  </si>
  <si>
    <t>Chromebook Laptop Carts</t>
  </si>
  <si>
    <t xml:space="preserve">Credit Reccovery/Summer School *Based of the increasing amount of students </t>
  </si>
  <si>
    <t>Kisi, Battleborn camera security system install/updates, CES monthly and Quarterly inspections, E&amp;E Fire Quarterly + annual inspection</t>
  </si>
  <si>
    <t>*Base Salary + Extended Day + Stipends* Used for Base Salary</t>
  </si>
  <si>
    <t xml:space="preserve">*3% inflation added to each increasing year. </t>
  </si>
  <si>
    <t>350 Students * $14.30 per Library Book AVG</t>
  </si>
  <si>
    <t>Food Costs (Costco, Sams Club, Smart n Final Etc)</t>
  </si>
  <si>
    <t>Special Event Supplies</t>
  </si>
  <si>
    <t>Academy Clothing</t>
  </si>
  <si>
    <t>Lorex, Uhauls for gamechangers, Facility rentals</t>
  </si>
  <si>
    <t>Included in Inst Computer Software on FFE&amp;T</t>
  </si>
  <si>
    <t>Split into different categories (Computers, books, Inst supplies)</t>
  </si>
  <si>
    <t>Yr 0  DSA Rev is not accounted for due to no sum total of  F73 on Enrol &amp; Rev</t>
  </si>
  <si>
    <t>(Protected cell)</t>
  </si>
  <si>
    <t>3% inflation added manually to each category each year</t>
  </si>
  <si>
    <t>401k Match adj yearly to reflect 3% inflation on salaries, Retention+ Longevity stays same</t>
  </si>
  <si>
    <t>Liability Yearly</t>
  </si>
  <si>
    <t xml:space="preserve"> Auto Yearly</t>
  </si>
  <si>
    <t>Commercial Yearly</t>
  </si>
  <si>
    <t>N</t>
  </si>
  <si>
    <t>Monica Jones</t>
  </si>
  <si>
    <t>Contracted Extra Curricular Activities</t>
  </si>
  <si>
    <t>Contracted Information Technology Services</t>
  </si>
  <si>
    <t>Reading</t>
  </si>
  <si>
    <t>Insurance (+$271,879.2 Yearly Expense)</t>
  </si>
  <si>
    <t>Benefits - 401k Match, Retention, Longevity, Insurance</t>
  </si>
  <si>
    <t>Bruce Congleton, Diane Johnson, Jesse Fox, Nicole Congleton, Ale Reyes, Noe Noeriga</t>
  </si>
  <si>
    <t>Sheila Burns, Elizah Dominguez, Kianna Akazwa, Raymond Lujan</t>
  </si>
  <si>
    <t>Dillon Gault, Asher Hall, Brandon Perdue</t>
  </si>
  <si>
    <t>Michael Shurko, Mike Gallardo</t>
  </si>
  <si>
    <t>Michael Shurko, Kera Neff, Justin Thorne, Hailee Compton-Halterman, Erica Zuniga</t>
  </si>
  <si>
    <t>Keith Spresser, Austin Chang, Maryse Wells</t>
  </si>
  <si>
    <t>Keith Spresser</t>
  </si>
  <si>
    <t>Adam Konold, Jessica Pedraza, Michelle Mendez-Yela, Rebecca Samples, Diamond Tanner, Nykia Bermudez, Paola Guiterrrez, Karla Walker</t>
  </si>
  <si>
    <t>See R145-147</t>
  </si>
  <si>
    <t>R129- Alisa South, Austin Mancuso, Ann Margraret Smith, Craig Goodson, Joseph Hall, Sam Powers</t>
  </si>
  <si>
    <t>R129 - Kimberly Broussard, Linda Stevens, Quitin Lester, Richard Stevens, Tonisha Harrell,Tyler Ellwein</t>
  </si>
  <si>
    <t>R129 - Antonio Delgado, Cameron Hanselman</t>
  </si>
  <si>
    <t>As of 7/1 beginning of each FY</t>
  </si>
  <si>
    <t>Smith, J D MS</t>
  </si>
  <si>
    <t>Bridger, Jim MS</t>
  </si>
  <si>
    <t>Swainston, Theron L MS</t>
  </si>
  <si>
    <t>Sedway, Marvin M MS</t>
  </si>
  <si>
    <t>Cheyenne HS</t>
  </si>
  <si>
    <t>Canyon Springs HS</t>
  </si>
  <si>
    <t>CIVICA Academy</t>
  </si>
  <si>
    <t>Battle Born Academy</t>
  </si>
  <si>
    <t>6-8</t>
  </si>
  <si>
    <t>6-10</t>
  </si>
  <si>
    <t>9-12</t>
  </si>
  <si>
    <t>Fitzgerald, H P ES</t>
  </si>
  <si>
    <t>Perkins, Dr Claude G ES</t>
  </si>
  <si>
    <t>Wilhelm, Elizabeth ES</t>
  </si>
  <si>
    <t>Kelly, Matt ES</t>
  </si>
  <si>
    <t>Booker, Kermit R Sr ES</t>
  </si>
  <si>
    <t>Detwiler, Ollie ES</t>
  </si>
  <si>
    <t>Priest, Richard C ES</t>
  </si>
  <si>
    <t>PK - 5</t>
  </si>
  <si>
    <t>K - 5</t>
  </si>
  <si>
    <t>K - 10</t>
  </si>
  <si>
    <t>K - 8</t>
  </si>
  <si>
    <t>West Prep Acad MS</t>
  </si>
  <si>
    <t>Democracy Prep ES</t>
  </si>
  <si>
    <t>KK</t>
  </si>
</sst>
</file>

<file path=xl/styles.xml><?xml version="1.0" encoding="utf-8"?>
<styleSheet xmlns="http://schemas.openxmlformats.org/spreadsheetml/2006/main" xmlns:mc="http://schemas.openxmlformats.org/markup-compatibility/2006" xmlns:x14ac="http://schemas.microsoft.com/office/spreadsheetml/2009/9/ac" mc:Ignorable="x14ac">
  <numFmts count="70">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quot;$&quot;#,##0\ ;\(&quot;$&quot;#,##0\)"/>
    <numFmt numFmtId="168" formatCode="[$-409]mmmm\ d\,\ yyyy;@"/>
    <numFmt numFmtId="169" formatCode="_(* #,##0.00_);_(* \(#,##0.00\);_(* \-??_);_(@_)"/>
    <numFmt numFmtId="170" formatCode="_(\$* #,##0.00_);_(\$* \(#,##0.00\);_(\$* \-??_);_(@_)"/>
    <numFmt numFmtId="171" formatCode="_ * #,##0.00_ ;_ * \-#,##0.00_ ;_ * \-??_ ;_ @_ "/>
    <numFmt numFmtId="172" formatCode="_(#,##0_);[Red]_(\(#,##0\);_(&quot;-&quot;_);_(@_)"/>
    <numFmt numFmtId="173" formatCode="_(#,##0.0_);[Red]_(\(#,##0.0\);_(&quot;-&quot;_);_(@_)"/>
    <numFmt numFmtId="174" formatCode="_(&quot;$&quot;#,##0_);[Red]_(&quot;$&quot;\(#,##0\);_(&quot;$&quot;\ &quot;-&quot;_);_(@_)"/>
    <numFmt numFmtId="175" formatCode="0%;[Red]\(0%\);&quot;-%&quot;"/>
    <numFmt numFmtId="176" formatCode="_(#,##0_)&quot; sf/p&quot;;[Red]_(\(#,##0\);_(&quot;-&quot;_);_(@_)"/>
    <numFmt numFmtId="177" formatCode="_(&quot;$&quot;#,##0_);&quot;$&quot;\(#,##0\);_(&quot;$&quot;&quot;-&quot;_);_(@_)"/>
    <numFmt numFmtId="178" formatCode="_(&quot;$&quot;#,##0.00_);&quot;$&quot;\(#,##0.00\);_(&quot;$&quot;&quot;-&quot;_);_(@_)"/>
    <numFmt numFmtId="179" formatCode="&quot;$&quot;#,##0_)&quot;/pp&quot;;[Red]\(&quot;$&quot;#,##0\)"/>
    <numFmt numFmtId="180" formatCode="0%;[Red]\(0\)%"/>
    <numFmt numFmtId="181" formatCode="#,##0_)&quot;sf&quot;;\(#,##0\)&quot;sf&quot;;_(* &quot;-&quot;_);_(@_)"/>
    <numFmt numFmtId="182" formatCode="_(&quot;$&quot;* #,##0_);[Red]_(&quot;$&quot;* \(#,##0\);_(&quot;$&quot;* \ &quot;-&quot;_);_(@_)"/>
    <numFmt numFmtId="183" formatCode="_(* #,##0_);_(* \(#,##0\);_(* &quot;-&quot;??_);_(@_)"/>
    <numFmt numFmtId="184" formatCode="_(&quot;$&quot;\ #,##0_);[Red]_(&quot;$&quot;\(#,##0\);_(&quot;$&quot;\ &quot;-&quot;_);_(@_)"/>
    <numFmt numFmtId="185" formatCode="0_);[Red]\(0\)"/>
    <numFmt numFmtId="186" formatCode="000\-000\-0000"/>
    <numFmt numFmtId="187" formatCode="_(&quot;$&quot;#,##0.00_);[Red]_(&quot;$&quot;\(#,##0.00\);_(&quot;$&quot;\ &quot;-&quot;_);_(@_)"/>
    <numFmt numFmtId="188" formatCode="&quot;SYE &quot;General"/>
    <numFmt numFmtId="189" formatCode="0.00%;[Red]\(0.00%\);&quot;-%&quot;"/>
    <numFmt numFmtId="190" formatCode="#,##0_)&quot;sf/p&quot;;\(#,##0\)&quot;sf&quot;;_(* &quot;-&quot;_);_(@_)"/>
    <numFmt numFmtId="191" formatCode="_(#,##0_)&quot;sf/p&quot;;[Red]_(\(#,##0\);_(&quot;-&quot;_);_(@_)"/>
    <numFmt numFmtId="192" formatCode="General&quot; s&quot;"/>
    <numFmt numFmtId="193" formatCode="_(#,##0.0_)&quot;mi&quot;;[Red]_(\(#,##0.0\);_(&quot;-&quot;_);_(@_)"/>
    <numFmt numFmtId="194" formatCode="&quot;Yr &quot;General"/>
    <numFmt numFmtId="195" formatCode="0.0%;[Red]\(0.0%\);&quot;-%&quot;"/>
    <numFmt numFmtId="196" formatCode="_(#,##0_)&quot;s&quot;;[Red]_(\(#,##0\)&quot; s&quot;;_(&quot;-&quot;_);_(@_)"/>
    <numFmt numFmtId="197" formatCode="&quot;max &quot;#,##0_);[Red]\(#,##0\)"/>
    <numFmt numFmtId="198" formatCode="&quot;av &quot;_(&quot;$&quot;#,##0_);[Red]_(&quot;$&quot;\(#,##0\);_(&quot;$&quot;\ &quot;-&quot;_);_(@_)"/>
    <numFmt numFmtId="199" formatCode="&quot;min &quot;_(#,##0_);[Red]_(\(#,##0\);_(&quot;-&quot;_);_(@_)"/>
    <numFmt numFmtId="200" formatCode="_(#,##0_)&quot;s&quot;;[Red]_(\(#,##0\);_(&quot;-&quot;_);_(@_)"/>
    <numFmt numFmtId="201" formatCode="&quot;Plan max &quot;#,##0_);[Red]\(#,##0\)"/>
    <numFmt numFmtId="202" formatCode="_(#,##0.00_);[Red]_(\(#,##0.00\);_(&quot;-&quot;_);_(@_)"/>
    <numFmt numFmtId="203" formatCode="&quot;$&quot;#,##0_)&quot;/pp&quot;;[Red]\(&quot;$&quot;#,##0\);&quot;$-/pp&quot;"/>
    <numFmt numFmtId="204" formatCode="&quot;max &quot;#,##0_);[Red]\(#,##0\);&quot;max -&quot;"/>
    <numFmt numFmtId="205" formatCode="&quot;Plan max &quot;#,##0_);[Red]\(#,##0\);&quot;Plan max -&quot;"/>
    <numFmt numFmtId="206" formatCode="General;;&quot;-s&quot;"/>
    <numFmt numFmtId="207" formatCode="#,##0_)&quot;Ss&quot;;[Red]\(#,##0\);&quot;- Ss&quot;"/>
    <numFmt numFmtId="208" formatCode="_(&quot;$&quot;#,##0.0_);[Red]_(&quot;$&quot;\(#,##0.0\);_(&quot;$&quot;\ &quot;-&quot;_);_(@_)"/>
    <numFmt numFmtId="209" formatCode="&quot;avg &quot;&quot;$&quot;#,##0_);[Red]\(&quot;$&quot;#,##0\);&quot;avg $-&quot;"/>
    <numFmt numFmtId="210" formatCode="&quot;$&quot;#,##0.00_);[Red]\(&quot;$&quot;#,##0.00\);&quot;$ -&quot;"/>
    <numFmt numFmtId="211" formatCode="0.00%;[Red]\(0.00%\);&quot;% -&quot;"/>
    <numFmt numFmtId="212" formatCode="#,##0.00;[Red]\(#,##0.00\);&quot;-&quot;"/>
    <numFmt numFmtId="213" formatCode="_(#,##0.0_)&quot;sf&quot;;[Red]_(\(#,##0.0\);_(&quot;-&quot;_);_(@_)"/>
    <numFmt numFmtId="214" formatCode="&quot;July 1, 20&quot;##"/>
    <numFmt numFmtId="215" formatCode="&quot;$&quot;#,##0_)&quot;pp&quot;;[Red]\(&quot;$&quot;#,##0\)&quot;pp&quot;;&quot;$/pp&quot;"/>
    <numFmt numFmtId="216" formatCode="_(&quot;$&quot;#,##0_)&quot;PP&quot;;[Red]_(&quot;$&quot;\(#,##0\);_(&quot;$&quot;\ &quot;-&quot;_);_(@_)"/>
    <numFmt numFmtId="217" formatCode="_(&quot;$&quot;#,##0_)&quot;P FRL P&quot;;[Red]_(&quot;$&quot;\(#,##0\);_(&quot;$&quot;\ &quot;-&quot;_);_(@_)"/>
    <numFmt numFmtId="218" formatCode="_(&quot;$&quot;#,##0.00_)&quot;/mo&quot;;[Red]_(&quot;$&quot;\(#,##0.00\);_(&quot;$&quot;\ &quot;-&quot;_);_(@_)"/>
    <numFmt numFmtId="219" formatCode="_(&quot;$&quot;#,##0.00_)&quot;/yr&quot;;[Red]_(&quot;$&quot;\(#,##0.00\);_(&quot;$&quot;\ &quot;-&quot;_);_(@_)"/>
    <numFmt numFmtId="220" formatCode="_(#,##0_)&quot;days&quot;;[Red]_(\(#,##0\);_(&quot;-&quot;_);_(@_)"/>
    <numFmt numFmtId="221" formatCode="&quot;Incu' Yr &quot;General"/>
    <numFmt numFmtId="222" formatCode="_(#,##0_)&quot;sfPP&quot;;[Red]_(\(#,##0\);_(&quot;-&quot;_);_(@_)"/>
    <numFmt numFmtId="223" formatCode="0.0"/>
    <numFmt numFmtId="224" formatCode="_(#,##0_)&quot; sf&quot;;[Red]_(\(#,##0\);_(&quot;-&quot;_);_(@_)"/>
    <numFmt numFmtId="225" formatCode="mmm"/>
    <numFmt numFmtId="226" formatCode="mmm\ d"/>
  </numFmts>
  <fonts count="194">
    <font>
      <sz val="11"/>
      <color theme="1"/>
      <name val="Calibri"/>
      <family val="2"/>
      <scheme val="minor"/>
    </font>
    <font>
      <sz val="11"/>
      <color indexed="8"/>
      <name val="Calibri"/>
      <family val="2"/>
    </font>
    <font>
      <sz val="10"/>
      <name val="Arial"/>
      <family val="2"/>
    </font>
    <font>
      <sz val="11"/>
      <color indexed="8"/>
      <name val="Calibri"/>
      <family val="2"/>
    </font>
    <font>
      <sz val="8"/>
      <name val="Arial"/>
      <family val="2"/>
    </font>
    <font>
      <b/>
      <sz val="8"/>
      <name val="Arial"/>
      <family val="2"/>
    </font>
    <font>
      <b/>
      <sz val="11"/>
      <color indexed="8"/>
      <name val="Calibri"/>
      <family val="2"/>
    </font>
    <font>
      <sz val="8"/>
      <name val="Verdana"/>
      <family val="2"/>
    </font>
    <font>
      <sz val="11"/>
      <color theme="1"/>
      <name val="Calibri"/>
      <family val="2"/>
      <scheme val="minor"/>
    </font>
    <font>
      <b/>
      <sz val="11"/>
      <color rgb="FF0070C0"/>
      <name val="Calibri"/>
      <family val="2"/>
      <scheme val="minor"/>
    </font>
    <font>
      <u/>
      <sz val="8.8000000000000007"/>
      <color theme="10"/>
      <name val="Calibri"/>
      <family val="2"/>
    </font>
    <font>
      <b/>
      <sz val="11"/>
      <color theme="1"/>
      <name val="Calibri"/>
      <family val="2"/>
      <scheme val="minor"/>
    </font>
    <font>
      <b/>
      <sz val="11"/>
      <color theme="0"/>
      <name val="Calibri"/>
      <family val="2"/>
      <scheme val="minor"/>
    </font>
    <font>
      <i/>
      <sz val="11"/>
      <color theme="1"/>
      <name val="Calibri"/>
      <family val="2"/>
      <scheme val="minor"/>
    </font>
    <font>
      <sz val="9"/>
      <name val="Arial"/>
      <family val="2"/>
    </font>
    <font>
      <b/>
      <sz val="10"/>
      <name val="Arial"/>
      <family val="2"/>
    </font>
    <font>
      <b/>
      <sz val="11"/>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8"/>
      <name val="Times New Roman"/>
      <family val="1"/>
    </font>
    <font>
      <sz val="8"/>
      <name val="Times New Roman"/>
      <family val="1"/>
    </font>
    <font>
      <u/>
      <sz val="10"/>
      <color indexed="12"/>
      <name val="Arial"/>
      <family val="2"/>
    </font>
    <font>
      <sz val="12"/>
      <name val="Helv"/>
    </font>
    <font>
      <sz val="10"/>
      <name val="Helv"/>
    </font>
    <font>
      <i/>
      <sz val="10"/>
      <color rgb="FF7F7F7F"/>
      <name val="Arial"/>
      <family val="2"/>
    </font>
    <font>
      <b/>
      <sz val="11"/>
      <color theme="3"/>
      <name val="Arial"/>
      <family val="2"/>
    </font>
    <font>
      <sz val="10"/>
      <name val="Courier"/>
      <family val="3"/>
    </font>
    <font>
      <sz val="10"/>
      <color indexed="10"/>
      <name val="Arial"/>
      <family val="2"/>
    </font>
    <font>
      <b/>
      <sz val="11"/>
      <color indexed="62"/>
      <name val="Arial"/>
      <family val="2"/>
    </font>
    <font>
      <sz val="11"/>
      <color indexed="10"/>
      <name val="Calibri"/>
      <family val="2"/>
    </font>
    <font>
      <sz val="12"/>
      <color indexed="8"/>
      <name val="Verdana"/>
      <family val="2"/>
    </font>
    <font>
      <sz val="10"/>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Arial"/>
      <family val="2"/>
      <charset val="1"/>
    </font>
    <font>
      <b/>
      <sz val="10"/>
      <color indexed="8"/>
      <name val="Arial"/>
      <family val="2"/>
    </font>
    <font>
      <b/>
      <sz val="11"/>
      <color indexed="1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rgb="FF0000FF"/>
      <name val="Arial"/>
      <family val="2"/>
      <charset val="1"/>
    </font>
    <font>
      <sz val="11"/>
      <color indexed="10"/>
      <name val="Calibri"/>
      <family val="2"/>
      <scheme val="minor"/>
    </font>
    <font>
      <sz val="11"/>
      <color indexed="19"/>
      <name val="Calibri"/>
      <family val="2"/>
      <scheme val="minor"/>
    </font>
    <font>
      <b/>
      <sz val="18"/>
      <color indexed="62"/>
      <name val="Cambria"/>
      <family val="2"/>
      <scheme val="major"/>
    </font>
    <font>
      <b/>
      <sz val="10"/>
      <color indexed="39"/>
      <name val="Arial"/>
      <family val="2"/>
    </font>
    <font>
      <b/>
      <sz val="12"/>
      <color indexed="8"/>
      <name val="Arial"/>
      <family val="2"/>
    </font>
    <font>
      <sz val="10"/>
      <color indexed="39"/>
      <name val="Arial"/>
      <family val="2"/>
    </font>
    <font>
      <sz val="19"/>
      <color indexed="48"/>
      <name val="Arial"/>
      <family val="2"/>
    </font>
    <font>
      <b/>
      <sz val="12"/>
      <name val="Arial"/>
      <family val="2"/>
    </font>
    <font>
      <sz val="11"/>
      <color theme="1"/>
      <name val="Courier New"/>
      <family val="2"/>
    </font>
    <font>
      <b/>
      <sz val="15"/>
      <color theme="3"/>
      <name val="Courier New"/>
      <family val="2"/>
    </font>
    <font>
      <b/>
      <sz val="13"/>
      <color theme="3"/>
      <name val="Courier New"/>
      <family val="2"/>
    </font>
    <font>
      <b/>
      <sz val="11"/>
      <color theme="3"/>
      <name val="Courier New"/>
      <family val="2"/>
    </font>
    <font>
      <sz val="11"/>
      <color rgb="FF006100"/>
      <name val="Courier New"/>
      <family val="2"/>
    </font>
    <font>
      <sz val="11"/>
      <color rgb="FF9C0006"/>
      <name val="Courier New"/>
      <family val="2"/>
    </font>
    <font>
      <sz val="11"/>
      <color rgb="FF9C6500"/>
      <name val="Courier New"/>
      <family val="2"/>
    </font>
    <font>
      <sz val="11"/>
      <color rgb="FF3F3F76"/>
      <name val="Courier New"/>
      <family val="2"/>
    </font>
    <font>
      <b/>
      <sz val="11"/>
      <color rgb="FF3F3F3F"/>
      <name val="Courier New"/>
      <family val="2"/>
    </font>
    <font>
      <b/>
      <sz val="11"/>
      <color rgb="FFFA7D00"/>
      <name val="Courier New"/>
      <family val="2"/>
    </font>
    <font>
      <sz val="11"/>
      <color rgb="FFFA7D00"/>
      <name val="Courier New"/>
      <family val="2"/>
    </font>
    <font>
      <b/>
      <sz val="11"/>
      <color theme="0"/>
      <name val="Courier New"/>
      <family val="2"/>
    </font>
    <font>
      <sz val="11"/>
      <color rgb="FFFF0000"/>
      <name val="Courier New"/>
      <family val="2"/>
    </font>
    <font>
      <i/>
      <sz val="11"/>
      <color rgb="FF7F7F7F"/>
      <name val="Courier New"/>
      <family val="2"/>
    </font>
    <font>
      <b/>
      <sz val="11"/>
      <color theme="1"/>
      <name val="Courier New"/>
      <family val="2"/>
    </font>
    <font>
      <sz val="11"/>
      <color theme="0"/>
      <name val="Courier New"/>
      <family val="2"/>
    </font>
    <font>
      <b/>
      <sz val="18"/>
      <name val="Arial"/>
      <family val="2"/>
    </font>
    <font>
      <sz val="18"/>
      <color theme="3"/>
      <name val="Cambria"/>
      <family val="2"/>
      <scheme val="major"/>
    </font>
    <font>
      <sz val="12"/>
      <color theme="1"/>
      <name val="Calibri"/>
      <family val="2"/>
      <scheme val="minor"/>
    </font>
    <font>
      <sz val="11"/>
      <color rgb="FF9C5700"/>
      <name val="Calibri"/>
      <family val="2"/>
      <scheme val="minor"/>
    </font>
    <font>
      <i/>
      <sz val="9"/>
      <color indexed="8"/>
      <name val="Arial"/>
      <family val="2"/>
    </font>
    <font>
      <b/>
      <sz val="9"/>
      <color indexed="23"/>
      <name val="Arial"/>
      <family val="2"/>
    </font>
    <font>
      <b/>
      <sz val="10"/>
      <color indexed="23"/>
      <name val="Arial"/>
      <family val="2"/>
    </font>
    <font>
      <b/>
      <sz val="12"/>
      <color indexed="9"/>
      <name val="Arial"/>
      <family val="2"/>
    </font>
    <font>
      <b/>
      <sz val="11"/>
      <name val="Times New Roman"/>
      <family val="1"/>
    </font>
    <font>
      <sz val="11"/>
      <name val="Times New Roman"/>
      <family val="1"/>
    </font>
    <font>
      <sz val="11"/>
      <color indexed="8"/>
      <name val="Times New Roman"/>
      <family val="1"/>
    </font>
    <font>
      <b/>
      <sz val="11"/>
      <color indexed="8"/>
      <name val="Times New Roman"/>
      <family val="1"/>
    </font>
    <font>
      <sz val="10"/>
      <color rgb="FF0000FF"/>
      <name val="Arial"/>
      <family val="2"/>
    </font>
    <font>
      <b/>
      <sz val="10"/>
      <color indexed="8"/>
      <name val="Times New Roman"/>
      <family val="1"/>
    </font>
    <font>
      <sz val="10"/>
      <color indexed="8"/>
      <name val="Times New Roman"/>
      <family val="1"/>
    </font>
    <font>
      <sz val="11"/>
      <color rgb="FF0000FF"/>
      <name val="Times New Roman"/>
      <family val="1"/>
    </font>
    <font>
      <sz val="9"/>
      <color indexed="8"/>
      <name val="Times New Roman"/>
      <family val="1"/>
    </font>
    <font>
      <b/>
      <sz val="10"/>
      <color rgb="FF0000FF"/>
      <name val="Arial"/>
      <family val="2"/>
    </font>
    <font>
      <b/>
      <sz val="14"/>
      <color indexed="9"/>
      <name val="Arial"/>
      <family val="2"/>
    </font>
    <font>
      <b/>
      <sz val="9"/>
      <color indexed="8"/>
      <name val="Times New Roman"/>
      <family val="1"/>
    </font>
    <font>
      <b/>
      <sz val="11"/>
      <color rgb="FF0000FF"/>
      <name val="Times New Roman"/>
      <family val="1"/>
    </font>
    <font>
      <b/>
      <sz val="14"/>
      <color indexed="8"/>
      <name val="Times New Roman"/>
      <family val="1"/>
    </font>
    <font>
      <i/>
      <sz val="9"/>
      <color indexed="8"/>
      <name val="Times New Roman"/>
      <family val="1"/>
    </font>
    <font>
      <b/>
      <sz val="12"/>
      <color indexed="8"/>
      <name val="Times New Roman"/>
      <family val="1"/>
    </font>
    <font>
      <i/>
      <sz val="11"/>
      <color indexed="8"/>
      <name val="Times New Roman"/>
      <family val="1"/>
    </font>
    <font>
      <b/>
      <i/>
      <sz val="11"/>
      <color indexed="8"/>
      <name val="Times New Roman"/>
      <family val="1"/>
    </font>
    <font>
      <sz val="12"/>
      <color indexed="8"/>
      <name val="Times New Roman"/>
      <family val="1"/>
    </font>
    <font>
      <sz val="8.8000000000000007"/>
      <color indexed="8"/>
      <name val="Times New Roman"/>
      <family val="1"/>
    </font>
    <font>
      <b/>
      <sz val="12"/>
      <color theme="0"/>
      <name val="Arial"/>
      <family val="2"/>
    </font>
    <font>
      <b/>
      <sz val="11"/>
      <color indexed="8"/>
      <name val="Arial"/>
      <family val="2"/>
    </font>
    <font>
      <b/>
      <sz val="11"/>
      <color rgb="FF000000"/>
      <name val="Times New Roman"/>
      <family val="1"/>
    </font>
    <font>
      <b/>
      <sz val="12"/>
      <color theme="1"/>
      <name val="Arial"/>
      <family val="2"/>
    </font>
    <font>
      <b/>
      <sz val="14"/>
      <color theme="0"/>
      <name val="Arial"/>
      <family val="2"/>
    </font>
    <font>
      <sz val="11"/>
      <color theme="0" tint="-0.34998626667073579"/>
      <name val="Times New Roman"/>
      <family val="1"/>
    </font>
    <font>
      <b/>
      <sz val="12"/>
      <name val="Times New Roman"/>
      <family val="1"/>
    </font>
    <font>
      <sz val="10"/>
      <color rgb="FF0000FF"/>
      <name val="Times New Roman"/>
      <family val="1"/>
    </font>
    <font>
      <b/>
      <i/>
      <sz val="10"/>
      <color rgb="FFFF0000"/>
      <name val="Times New Roman"/>
      <family val="1"/>
    </font>
    <font>
      <sz val="12"/>
      <color rgb="FF0000FF"/>
      <name val="Times New Roman"/>
      <family val="1"/>
    </font>
    <font>
      <sz val="10"/>
      <color rgb="FF000000"/>
      <name val="Times New Roman"/>
      <family val="1"/>
    </font>
    <font>
      <sz val="12"/>
      <name val="Arial"/>
      <family val="2"/>
    </font>
    <font>
      <sz val="11"/>
      <name val="Arial"/>
      <family val="2"/>
    </font>
    <font>
      <sz val="11"/>
      <color rgb="FF000000"/>
      <name val="Times New Roman"/>
      <family val="1"/>
    </font>
    <font>
      <i/>
      <sz val="8"/>
      <color indexed="8"/>
      <name val="Times New Roman"/>
      <family val="1"/>
    </font>
    <font>
      <i/>
      <sz val="11"/>
      <color rgb="FF000000"/>
      <name val="Times New Roman"/>
      <family val="1"/>
    </font>
    <font>
      <b/>
      <sz val="10"/>
      <name val="Times New Roman"/>
      <family val="1"/>
    </font>
    <font>
      <b/>
      <sz val="11"/>
      <color rgb="FF0000FF"/>
      <name val="Calibri"/>
      <family val="2"/>
      <scheme val="minor"/>
    </font>
    <font>
      <b/>
      <sz val="28"/>
      <color rgb="FF0000FF"/>
      <name val="Times New Roman"/>
      <family val="1"/>
    </font>
    <font>
      <sz val="12"/>
      <color rgb="FF000000"/>
      <name val="Times New Roman"/>
      <family val="1"/>
    </font>
    <font>
      <sz val="11"/>
      <color theme="0" tint="-0.249977111117893"/>
      <name val="Times New Roman"/>
      <family val="1"/>
    </font>
    <font>
      <b/>
      <sz val="14"/>
      <name val="Times New Roman"/>
      <family val="1"/>
    </font>
    <font>
      <u/>
      <sz val="12"/>
      <color rgb="FF0000FF"/>
      <name val="Times New Roman"/>
      <family val="1"/>
    </font>
    <font>
      <b/>
      <sz val="10"/>
      <color indexed="23"/>
      <name val="Times Roman"/>
    </font>
    <font>
      <i/>
      <sz val="9"/>
      <color indexed="8"/>
      <name val="Times Roman"/>
    </font>
    <font>
      <b/>
      <sz val="12"/>
      <color theme="1"/>
      <name val="Calibri"/>
      <family val="2"/>
      <scheme val="minor"/>
    </font>
    <font>
      <i/>
      <sz val="12"/>
      <color theme="1"/>
      <name val="Calibri"/>
      <family val="2"/>
      <scheme val="minor"/>
    </font>
    <font>
      <i/>
      <sz val="12"/>
      <color indexed="8"/>
      <name val="Times New Roman"/>
      <family val="1"/>
    </font>
    <font>
      <b/>
      <sz val="12"/>
      <color theme="0"/>
      <name val="Calibri"/>
      <family val="2"/>
      <scheme val="minor"/>
    </font>
    <font>
      <sz val="12"/>
      <color theme="0" tint="-0.34998626667073579"/>
      <name val="Times New Roman"/>
      <family val="1"/>
    </font>
    <font>
      <sz val="11"/>
      <color theme="0" tint="-0.249977111117893"/>
      <name val="Calibri"/>
      <family val="2"/>
      <scheme val="minor"/>
    </font>
    <font>
      <sz val="10"/>
      <color theme="0" tint="-0.249977111117893"/>
      <name val="Times New Roman"/>
      <family val="1"/>
    </font>
    <font>
      <sz val="12"/>
      <color theme="0" tint="-0.249977111117893"/>
      <name val="Times New Roman"/>
      <family val="1"/>
    </font>
    <font>
      <sz val="12"/>
      <color theme="0" tint="-0.249977111117893"/>
      <name val="Calibri"/>
      <family val="2"/>
      <scheme val="minor"/>
    </font>
    <font>
      <sz val="11"/>
      <color rgb="FF000000"/>
      <name val="Calibri"/>
      <family val="2"/>
      <scheme val="minor"/>
    </font>
    <font>
      <sz val="9"/>
      <color indexed="81"/>
      <name val="Tahoma"/>
      <family val="2"/>
    </font>
    <font>
      <b/>
      <sz val="9"/>
      <color indexed="81"/>
      <name val="Tahoma"/>
      <family val="2"/>
    </font>
    <font>
      <sz val="11"/>
      <color theme="1"/>
      <name val="Times New Roman"/>
      <family val="1"/>
    </font>
    <font>
      <i/>
      <sz val="11"/>
      <color rgb="FF0000FF"/>
      <name val="Times New Roman"/>
      <family val="1"/>
    </font>
    <font>
      <b/>
      <sz val="14"/>
      <color indexed="8"/>
      <name val="Arial"/>
      <family val="2"/>
    </font>
    <font>
      <sz val="11"/>
      <color indexed="8"/>
      <name val="Arial"/>
      <family val="2"/>
    </font>
    <font>
      <sz val="11"/>
      <color rgb="FFFF0000"/>
      <name val="Times New Roman"/>
      <family val="1"/>
    </font>
    <font>
      <b/>
      <sz val="11"/>
      <color theme="1"/>
      <name val="Times New Roman"/>
      <family val="1"/>
    </font>
    <font>
      <sz val="11"/>
      <color indexed="32"/>
      <name val="Calibri"/>
      <family val="2"/>
      <scheme val="minor"/>
    </font>
    <font>
      <sz val="12"/>
      <color indexed="32"/>
      <name val="Times New Roman"/>
      <family val="1"/>
    </font>
    <font>
      <sz val="11"/>
      <color indexed="32"/>
      <name val="Times New Roman"/>
      <family val="1"/>
    </font>
    <font>
      <sz val="11"/>
      <color indexed="32"/>
      <name val="Arial"/>
      <family val="2"/>
    </font>
    <font>
      <sz val="12"/>
      <color indexed="32"/>
      <name val="Arial"/>
      <family val="2"/>
    </font>
    <font>
      <b/>
      <sz val="11"/>
      <color indexed="32"/>
      <name val="Arial"/>
      <family val="2"/>
    </font>
    <font>
      <b/>
      <sz val="11"/>
      <color rgb="FFFF0000"/>
      <name val="Calibri"/>
      <family val="2"/>
      <scheme val="minor"/>
    </font>
    <font>
      <sz val="11"/>
      <color theme="1"/>
      <name val="Arial"/>
      <family val="2"/>
    </font>
    <font>
      <b/>
      <sz val="14"/>
      <color theme="1"/>
      <name val="Calibri"/>
      <family val="2"/>
      <scheme val="minor"/>
    </font>
    <font>
      <i/>
      <sz val="9"/>
      <name val="Arial"/>
      <family val="2"/>
    </font>
    <font>
      <sz val="12"/>
      <name val="Times New Roman"/>
      <family val="1"/>
    </font>
    <font>
      <b/>
      <sz val="11"/>
      <color indexed="32"/>
      <name val="Times New Roman"/>
      <family val="1"/>
    </font>
    <font>
      <i/>
      <sz val="11"/>
      <color indexed="32"/>
      <name val="Times New Roman"/>
      <family val="1"/>
    </font>
    <font>
      <b/>
      <u/>
      <sz val="11"/>
      <color indexed="8"/>
      <name val="Times New Roman"/>
      <family val="1"/>
    </font>
    <font>
      <i/>
      <sz val="11"/>
      <name val="Times New Roman"/>
      <family val="1"/>
    </font>
    <font>
      <b/>
      <sz val="12"/>
      <color rgb="FF000000"/>
      <name val="Times New Roman"/>
      <family val="1"/>
    </font>
    <font>
      <b/>
      <i/>
      <sz val="12"/>
      <name val="Times New Roman"/>
      <family val="1"/>
    </font>
    <font>
      <b/>
      <i/>
      <sz val="12"/>
      <color indexed="8"/>
      <name val="Times New Roman"/>
      <family val="1"/>
    </font>
    <font>
      <b/>
      <sz val="10"/>
      <color indexed="39"/>
      <name val="Times New Roman"/>
      <family val="1"/>
    </font>
    <font>
      <sz val="11"/>
      <color indexed="39"/>
      <name val="Times New Roman"/>
      <family val="1"/>
    </font>
    <font>
      <i/>
      <sz val="11"/>
      <color theme="1"/>
      <name val="Times New Roman"/>
      <family val="1"/>
    </font>
    <font>
      <sz val="12"/>
      <color rgb="FF000000"/>
      <name val="Cambria"/>
      <family val="1"/>
    </font>
    <font>
      <i/>
      <sz val="12"/>
      <color theme="1"/>
      <name val="Arial"/>
      <family val="2"/>
    </font>
    <font>
      <b/>
      <i/>
      <sz val="11"/>
      <color theme="0" tint="-0.34998626667073579"/>
      <name val="Times New Roman"/>
      <family val="1"/>
    </font>
    <font>
      <i/>
      <sz val="11"/>
      <color theme="0" tint="-0.34998626667073579"/>
      <name val="Times New Roman"/>
      <family val="1"/>
    </font>
    <font>
      <sz val="10"/>
      <color theme="0" tint="-0.34998626667073579"/>
      <name val="Times New Roman"/>
      <family val="1"/>
    </font>
    <font>
      <u/>
      <sz val="11"/>
      <color indexed="8"/>
      <name val="Times New Roman"/>
      <family val="1"/>
    </font>
    <font>
      <u/>
      <sz val="12"/>
      <color indexed="12"/>
      <name val="Times New Roman"/>
      <family val="1"/>
    </font>
    <font>
      <b/>
      <i/>
      <sz val="12"/>
      <color theme="1"/>
      <name val="Times New Roman"/>
      <family val="1"/>
    </font>
    <font>
      <b/>
      <u/>
      <sz val="12"/>
      <color rgb="FF0000FF"/>
      <name val="Times New Roman"/>
      <family val="1"/>
    </font>
    <font>
      <sz val="14"/>
      <color indexed="8"/>
      <name val="Times New Roman"/>
      <family val="1"/>
    </font>
    <font>
      <u/>
      <sz val="12"/>
      <color theme="10"/>
      <name val="Times New Roman"/>
      <family val="1"/>
    </font>
    <font>
      <b/>
      <i/>
      <sz val="12"/>
      <color rgb="FF000000"/>
      <name val="Times New Roman"/>
      <family val="1"/>
    </font>
    <font>
      <b/>
      <u/>
      <sz val="12"/>
      <color theme="10"/>
      <name val="Calibri"/>
      <family val="2"/>
    </font>
    <font>
      <b/>
      <sz val="11"/>
      <color theme="0" tint="-0.499984740745262"/>
      <name val="Calibri"/>
      <family val="2"/>
      <scheme val="minor"/>
    </font>
    <font>
      <b/>
      <u/>
      <sz val="18"/>
      <name val="Arial"/>
      <family val="2"/>
    </font>
    <font>
      <b/>
      <u/>
      <sz val="18"/>
      <color theme="10"/>
      <name val="Calibri"/>
      <family val="2"/>
    </font>
    <font>
      <u/>
      <sz val="12"/>
      <color theme="10"/>
      <name val="Cambria"/>
      <family val="1"/>
      <scheme val="major"/>
    </font>
    <font>
      <i/>
      <u/>
      <sz val="12"/>
      <color theme="10"/>
      <name val="Times New Roman"/>
      <family val="1"/>
    </font>
    <font>
      <sz val="11"/>
      <color rgb="FF002060"/>
      <name val="Times New Roman"/>
      <family val="1"/>
    </font>
    <font>
      <i/>
      <u/>
      <sz val="11"/>
      <color theme="10"/>
      <name val="Times New Roman"/>
      <family val="1"/>
    </font>
    <font>
      <b/>
      <sz val="28"/>
      <color theme="1"/>
      <name val="Calibri"/>
      <family val="2"/>
      <scheme val="minor"/>
    </font>
  </fonts>
  <fills count="7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40"/>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9"/>
        <bgColor indexed="64"/>
      </patternFill>
    </fill>
    <fill>
      <patternFill patternType="solid">
        <fgColor indexed="13"/>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18"/>
        <bgColor indexed="8"/>
      </patternFill>
    </fill>
    <fill>
      <patternFill patternType="solid">
        <fgColor indexed="47"/>
        <bgColor indexed="64"/>
      </patternFill>
    </fill>
    <fill>
      <patternFill patternType="solid">
        <fgColor indexed="45"/>
        <bgColor indexed="64"/>
      </patternFill>
    </fill>
    <fill>
      <patternFill patternType="solid">
        <fgColor rgb="FFF0F0F0"/>
        <bgColor indexed="64"/>
      </patternFill>
    </fill>
    <fill>
      <patternFill patternType="solid">
        <fgColor indexed="51"/>
        <bgColor indexed="8"/>
      </patternFill>
    </fill>
    <fill>
      <patternFill patternType="solid">
        <fgColor rgb="FFCCCCCC"/>
        <bgColor indexed="64"/>
      </patternFill>
    </fill>
    <fill>
      <patternFill patternType="solid">
        <fgColor rgb="FF0000FF"/>
        <bgColor indexed="64"/>
      </patternFill>
    </fill>
    <fill>
      <patternFill patternType="solid">
        <fgColor indexed="15"/>
        <bgColor indexed="64"/>
      </patternFill>
    </fill>
    <fill>
      <patternFill patternType="solid">
        <fgColor indexed="11"/>
        <bgColor indexed="64"/>
      </patternFill>
    </fill>
    <fill>
      <patternFill patternType="solid">
        <fgColor indexed="55"/>
        <bgColor indexed="64"/>
      </patternFill>
    </fill>
    <fill>
      <patternFill patternType="solid">
        <fgColor indexed="31"/>
        <bgColor indexed="64"/>
      </patternFill>
    </fill>
  </fills>
  <borders count="140">
    <border>
      <left/>
      <right/>
      <top/>
      <bottom/>
      <diagonal/>
    </border>
    <border>
      <left/>
      <right/>
      <top/>
      <bottom style="thin">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diagonal/>
    </border>
    <border>
      <left style="thin">
        <color indexed="9"/>
      </left>
      <right style="thin">
        <color indexed="9"/>
      </right>
      <top style="thin">
        <color indexed="9"/>
      </top>
      <bottom style="thin">
        <color indexed="9"/>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double">
        <color indexed="8"/>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22"/>
      </top>
      <bottom style="hair">
        <color indexed="22"/>
      </bottom>
      <diagonal/>
    </border>
    <border>
      <left/>
      <right/>
      <top style="dotted">
        <color indexed="22"/>
      </top>
      <bottom style="dotted">
        <color indexed="22"/>
      </bottom>
      <diagonal/>
    </border>
    <border>
      <left/>
      <right/>
      <top/>
      <bottom style="dotted">
        <color indexed="22"/>
      </bottom>
      <diagonal/>
    </border>
    <border>
      <left/>
      <right/>
      <top style="hair">
        <color indexed="22"/>
      </top>
      <bottom/>
      <diagonal/>
    </border>
    <border>
      <left/>
      <right/>
      <top/>
      <bottom style="hair">
        <color indexed="22"/>
      </bottom>
      <diagonal/>
    </border>
    <border>
      <left/>
      <right/>
      <top style="thin">
        <color indexed="64"/>
      </top>
      <bottom style="hair">
        <color indexed="22"/>
      </bottom>
      <diagonal/>
    </border>
    <border>
      <left/>
      <right/>
      <top style="thin">
        <color indexed="64"/>
      </top>
      <bottom style="double">
        <color indexed="64"/>
      </bottom>
      <diagonal/>
    </border>
    <border>
      <left style="hair">
        <color indexed="64"/>
      </left>
      <right style="hair">
        <color indexed="64"/>
      </right>
      <top/>
      <bottom style="hair">
        <color indexed="64"/>
      </bottom>
      <diagonal/>
    </border>
    <border>
      <left style="hair">
        <color indexed="22"/>
      </left>
      <right style="hair">
        <color indexed="22"/>
      </right>
      <top style="hair">
        <color indexed="22"/>
      </top>
      <bottom style="hair">
        <color indexed="22"/>
      </bottom>
      <diagonal/>
    </border>
    <border>
      <left style="thin">
        <color indexed="64"/>
      </left>
      <right/>
      <top style="hair">
        <color indexed="22"/>
      </top>
      <bottom style="hair">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22"/>
      </left>
      <right style="hair">
        <color indexed="22"/>
      </right>
      <top/>
      <bottom style="hair">
        <color indexed="22"/>
      </bottom>
      <diagonal/>
    </border>
    <border>
      <left/>
      <right style="hair">
        <color indexed="22"/>
      </right>
      <top style="hair">
        <color indexed="22"/>
      </top>
      <bottom style="hair">
        <color indexed="22"/>
      </bottom>
      <diagonal/>
    </border>
    <border>
      <left style="hair">
        <color indexed="22"/>
      </left>
      <right style="thin">
        <color indexed="64"/>
      </right>
      <top style="thin">
        <color indexed="64"/>
      </top>
      <bottom/>
      <diagonal/>
    </border>
    <border>
      <left style="thin">
        <color indexed="64"/>
      </left>
      <right/>
      <top style="thin">
        <color indexed="64"/>
      </top>
      <bottom style="thin">
        <color indexed="64"/>
      </bottom>
      <diagonal/>
    </border>
    <border>
      <left style="hair">
        <color indexed="22"/>
      </left>
      <right style="thin">
        <color indexed="64"/>
      </right>
      <top style="hair">
        <color indexed="22"/>
      </top>
      <bottom style="hair">
        <color indexed="22"/>
      </bottom>
      <diagonal/>
    </border>
    <border>
      <left style="hair">
        <color indexed="22"/>
      </left>
      <right style="thin">
        <color indexed="64"/>
      </right>
      <top style="hair">
        <color indexed="22"/>
      </top>
      <bottom/>
      <diagonal/>
    </border>
    <border>
      <left style="hair">
        <color indexed="22"/>
      </left>
      <right style="thin">
        <color indexed="64"/>
      </right>
      <top style="hair">
        <color indexed="22"/>
      </top>
      <bottom style="thin">
        <color indexed="64"/>
      </bottom>
      <diagonal/>
    </border>
    <border>
      <left/>
      <right style="hair">
        <color indexed="64"/>
      </right>
      <top style="hair">
        <color indexed="22"/>
      </top>
      <bottom style="hair">
        <color indexed="22"/>
      </bottom>
      <diagonal/>
    </border>
    <border>
      <left style="thin">
        <color indexed="64"/>
      </left>
      <right style="hair">
        <color indexed="22"/>
      </right>
      <top style="hair">
        <color indexed="22"/>
      </top>
      <bottom style="hair">
        <color indexed="22"/>
      </bottom>
      <diagonal/>
    </border>
    <border>
      <left/>
      <right/>
      <top style="hair">
        <color indexed="22"/>
      </top>
      <bottom style="thin">
        <color indexed="64"/>
      </bottom>
      <diagonal/>
    </border>
    <border>
      <left style="thin">
        <color rgb="FFA1AFC9"/>
      </left>
      <right style="thin">
        <color rgb="FFA1AFC9"/>
      </right>
      <top style="thin">
        <color rgb="FFA1AFC9"/>
      </top>
      <bottom style="thin">
        <color rgb="FFA1AFC9"/>
      </bottom>
      <diagonal/>
    </border>
    <border>
      <left style="thin">
        <color rgb="FFA1AFC9"/>
      </left>
      <right/>
      <top style="thin">
        <color rgb="FFA1AFC9"/>
      </top>
      <bottom style="thin">
        <color rgb="FFA1AFC9"/>
      </bottom>
      <diagonal/>
    </border>
    <border>
      <left style="thin">
        <color rgb="FFA1AFC9"/>
      </left>
      <right style="thin">
        <color rgb="FFA1AFC9"/>
      </right>
      <top style="thin">
        <color rgb="FFA1AFC9"/>
      </top>
      <bottom/>
      <diagonal/>
    </border>
    <border>
      <left style="thin">
        <color rgb="FF163861"/>
      </left>
      <right style="thin">
        <color rgb="FF163861"/>
      </right>
      <top style="thin">
        <color rgb="FF163861"/>
      </top>
      <bottom style="thin">
        <color rgb="FF163861"/>
      </bottom>
      <diagonal/>
    </border>
    <border>
      <left style="thin">
        <color rgb="FF163861"/>
      </left>
      <right style="thin">
        <color rgb="FF030404"/>
      </right>
      <top style="thin">
        <color rgb="FF030404"/>
      </top>
      <bottom style="thin">
        <color rgb="FF030404"/>
      </bottom>
      <diagonal/>
    </border>
    <border>
      <left style="thin">
        <color rgb="FF030404"/>
      </left>
      <right style="thin">
        <color rgb="FFFFFFFF"/>
      </right>
      <top style="thin">
        <color rgb="FF163861"/>
      </top>
      <bottom style="thin">
        <color rgb="FF163861"/>
      </bottom>
      <diagonal/>
    </border>
    <border>
      <left style="thin">
        <color rgb="FFFFFFFF"/>
      </left>
      <right style="thin">
        <color rgb="FFFFFFFF"/>
      </right>
      <top style="thin">
        <color rgb="FF163861"/>
      </top>
      <bottom style="thin">
        <color rgb="FF163861"/>
      </bottom>
      <diagonal/>
    </border>
    <border>
      <left style="thin">
        <color rgb="FF163861"/>
      </left>
      <right style="thin">
        <color rgb="FF163861"/>
      </right>
      <top/>
      <bottom style="thin">
        <color rgb="FF163861"/>
      </bottom>
      <diagonal/>
    </border>
    <border>
      <left style="thin">
        <color rgb="FF163861"/>
      </left>
      <right style="thin">
        <color rgb="FF030404"/>
      </right>
      <top/>
      <bottom style="thin">
        <color rgb="FF030404"/>
      </bottom>
      <diagonal/>
    </border>
    <border>
      <left style="thin">
        <color rgb="FF030404"/>
      </left>
      <right style="thin">
        <color rgb="FFFFFFFF"/>
      </right>
      <top/>
      <bottom style="thin">
        <color rgb="FF163861"/>
      </bottom>
      <diagonal/>
    </border>
    <border>
      <left style="thin">
        <color rgb="FFFFFFFF"/>
      </left>
      <right style="thin">
        <color rgb="FFFFFFFF"/>
      </right>
      <top/>
      <bottom style="thin">
        <color rgb="FF163861"/>
      </bottom>
      <diagonal/>
    </border>
    <border>
      <left style="thin">
        <color rgb="FFA1AFC9"/>
      </left>
      <right style="thin">
        <color rgb="FFA1AFC9"/>
      </right>
      <top/>
      <bottom style="thin">
        <color rgb="FFA1AFC9"/>
      </bottom>
      <diagonal/>
    </border>
    <border>
      <left style="thin">
        <color indexed="64"/>
      </left>
      <right style="thin">
        <color rgb="FFA1AFC9"/>
      </right>
      <top style="thin">
        <color indexed="64"/>
      </top>
      <bottom style="thin">
        <color indexed="64"/>
      </bottom>
      <diagonal/>
    </border>
    <border>
      <left style="thin">
        <color rgb="FFA1AFC9"/>
      </left>
      <right style="thin">
        <color rgb="FFA1AFC9"/>
      </right>
      <top style="thin">
        <color indexed="64"/>
      </top>
      <bottom style="thin">
        <color indexed="64"/>
      </bottom>
      <diagonal/>
    </border>
    <border>
      <left style="thin">
        <color rgb="FFA1AFC9"/>
      </left>
      <right style="thin">
        <color indexed="64"/>
      </right>
      <top style="thin">
        <color indexed="64"/>
      </top>
      <bottom style="thin">
        <color indexed="64"/>
      </bottom>
      <diagonal/>
    </border>
    <border>
      <left style="thin">
        <color rgb="FFA1AFC9"/>
      </left>
      <right/>
      <top style="thin">
        <color rgb="FFA1AFC9"/>
      </top>
      <bottom/>
      <diagonal/>
    </border>
    <border>
      <left style="thin">
        <color indexed="64"/>
      </left>
      <right style="thin">
        <color rgb="FFA1AFC9"/>
      </right>
      <top/>
      <bottom style="thin">
        <color rgb="FFA1AFC9"/>
      </bottom>
      <diagonal/>
    </border>
    <border>
      <left style="thin">
        <color rgb="FFA1AFC9"/>
      </left>
      <right style="thin">
        <color indexed="64"/>
      </right>
      <top/>
      <bottom style="thin">
        <color rgb="FFA1AFC9"/>
      </bottom>
      <diagonal/>
    </border>
    <border>
      <left style="thin">
        <color indexed="64"/>
      </left>
      <right style="thin">
        <color rgb="FFA1AFC9"/>
      </right>
      <top style="thin">
        <color rgb="FFA1AFC9"/>
      </top>
      <bottom style="thin">
        <color rgb="FFA1AFC9"/>
      </bottom>
      <diagonal/>
    </border>
    <border>
      <left style="thin">
        <color rgb="FFA1AFC9"/>
      </left>
      <right style="thin">
        <color indexed="64"/>
      </right>
      <top style="thin">
        <color rgb="FFA1AFC9"/>
      </top>
      <bottom style="thin">
        <color rgb="FFA1AFC9"/>
      </bottom>
      <diagonal/>
    </border>
    <border>
      <left style="thin">
        <color indexed="64"/>
      </left>
      <right style="thin">
        <color rgb="FFA1AFC9"/>
      </right>
      <top style="thin">
        <color rgb="FFA1AFC9"/>
      </top>
      <bottom/>
      <diagonal/>
    </border>
    <border>
      <left style="thin">
        <color rgb="FFA1AFC9"/>
      </left>
      <right style="thin">
        <color indexed="64"/>
      </right>
      <top style="thin">
        <color rgb="FFA1AFC9"/>
      </top>
      <bottom/>
      <diagonal/>
    </border>
    <border>
      <left style="thin">
        <color indexed="64"/>
      </left>
      <right/>
      <top style="thin">
        <color indexed="64"/>
      </top>
      <bottom style="thin">
        <color rgb="FFA1AFC9"/>
      </bottom>
      <diagonal/>
    </border>
    <border>
      <left/>
      <right style="thin">
        <color indexed="64"/>
      </right>
      <top style="thin">
        <color indexed="64"/>
      </top>
      <bottom style="thin">
        <color rgb="FFA1AFC9"/>
      </bottom>
      <diagonal/>
    </border>
    <border>
      <left style="thin">
        <color indexed="64"/>
      </left>
      <right style="thin">
        <color rgb="FFA1AFC9"/>
      </right>
      <top style="thin">
        <color rgb="FFA1AFC9"/>
      </top>
      <bottom style="thin">
        <color indexed="64"/>
      </bottom>
      <diagonal/>
    </border>
    <border>
      <left style="thin">
        <color rgb="FFA1AFC9"/>
      </left>
      <right style="thin">
        <color indexed="64"/>
      </right>
      <top style="thin">
        <color rgb="FFA1AFC9"/>
      </top>
      <bottom style="thin">
        <color indexed="64"/>
      </bottom>
      <diagonal/>
    </border>
    <border>
      <left style="hair">
        <color indexed="22"/>
      </left>
      <right style="hair">
        <color indexed="22"/>
      </right>
      <top style="hair">
        <color indexed="22"/>
      </top>
      <bottom/>
      <diagonal/>
    </border>
    <border>
      <left style="hair">
        <color indexed="22"/>
      </left>
      <right style="hair">
        <color indexed="22"/>
      </right>
      <top style="thin">
        <color indexed="64"/>
      </top>
      <bottom style="hair">
        <color indexed="22"/>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64"/>
      </top>
      <bottom style="dotted">
        <color indexed="22"/>
      </bottom>
      <diagonal/>
    </border>
    <border>
      <left/>
      <right/>
      <top style="dotted">
        <color indexed="22"/>
      </top>
      <bottom style="thin">
        <color indexed="64"/>
      </bottom>
      <diagonal/>
    </border>
    <border>
      <left style="hair">
        <color indexed="22"/>
      </left>
      <right style="hair">
        <color indexed="22"/>
      </right>
      <top style="hair">
        <color indexed="22"/>
      </top>
      <bottom style="thin">
        <color indexed="64"/>
      </bottom>
      <diagonal/>
    </border>
    <border>
      <left style="hair">
        <color indexed="22"/>
      </left>
      <right/>
      <top style="thin">
        <color indexed="64"/>
      </top>
      <bottom/>
      <diagonal/>
    </border>
    <border>
      <left style="hair">
        <color indexed="22"/>
      </left>
      <right style="hair">
        <color indexed="22"/>
      </right>
      <top style="thin">
        <color indexed="64"/>
      </top>
      <bottom/>
      <diagonal/>
    </border>
    <border>
      <left/>
      <right/>
      <top style="thin">
        <color indexed="64"/>
      </top>
      <bottom style="medium">
        <color indexed="64"/>
      </bottom>
      <diagonal/>
    </border>
    <border>
      <left/>
      <right style="thin">
        <color indexed="9"/>
      </right>
      <top style="thin">
        <color indexed="9"/>
      </top>
      <bottom/>
      <diagonal/>
    </border>
    <border>
      <left style="hair">
        <color indexed="22"/>
      </left>
      <right style="hair">
        <color indexed="22"/>
      </right>
      <top style="thin">
        <color indexed="64"/>
      </top>
      <bottom style="thin">
        <color indexed="64"/>
      </bottom>
      <diagonal/>
    </border>
    <border>
      <left/>
      <right style="hair">
        <color indexed="22"/>
      </right>
      <top style="thin">
        <color indexed="64"/>
      </top>
      <bottom style="hair">
        <color indexed="22"/>
      </bottom>
      <diagonal/>
    </border>
    <border>
      <left/>
      <right style="hair">
        <color indexed="22"/>
      </right>
      <top style="hair">
        <color indexed="22"/>
      </top>
      <bottom style="thin">
        <color indexed="64"/>
      </bottom>
      <diagonal/>
    </border>
    <border>
      <left style="thin">
        <color indexed="64"/>
      </left>
      <right/>
      <top style="hair">
        <color indexed="22"/>
      </top>
      <bottom style="thin">
        <color indexed="64"/>
      </bottom>
      <diagonal/>
    </border>
    <border>
      <left style="thin">
        <color indexed="64"/>
      </left>
      <right/>
      <top style="thin">
        <color indexed="64"/>
      </top>
      <bottom style="hair">
        <color indexed="22"/>
      </bottom>
      <diagonal/>
    </border>
    <border>
      <left/>
      <right style="thin">
        <color indexed="64"/>
      </right>
      <top style="thin">
        <color indexed="64"/>
      </top>
      <bottom style="hair">
        <color indexed="22"/>
      </bottom>
      <diagonal/>
    </border>
    <border>
      <left/>
      <right style="thin">
        <color indexed="64"/>
      </right>
      <top style="hair">
        <color indexed="22"/>
      </top>
      <bottom style="hair">
        <color indexed="22"/>
      </bottom>
      <diagonal/>
    </border>
    <border>
      <left/>
      <right style="hair">
        <color indexed="22"/>
      </right>
      <top style="hair">
        <color indexed="22"/>
      </top>
      <bottom/>
      <diagonal/>
    </border>
    <border>
      <left style="thin">
        <color indexed="64"/>
      </left>
      <right style="hair">
        <color indexed="22"/>
      </right>
      <top style="thin">
        <color indexed="64"/>
      </top>
      <bottom style="hair">
        <color indexed="22"/>
      </bottom>
      <diagonal/>
    </border>
    <border>
      <left style="thin">
        <color indexed="64"/>
      </left>
      <right style="hair">
        <color indexed="22"/>
      </right>
      <top style="hair">
        <color indexed="22"/>
      </top>
      <bottom/>
      <diagonal/>
    </border>
    <border>
      <left style="thin">
        <color indexed="64"/>
      </left>
      <right style="hair">
        <color indexed="22"/>
      </right>
      <top style="hair">
        <color indexed="22"/>
      </top>
      <bottom style="thin">
        <color indexed="64"/>
      </bottom>
      <diagonal/>
    </border>
    <border>
      <left/>
      <right style="thin">
        <color indexed="64"/>
      </right>
      <top style="hair">
        <color indexed="22"/>
      </top>
      <bottom/>
      <diagonal/>
    </border>
    <border>
      <left style="thin">
        <color indexed="64"/>
      </left>
      <right style="hair">
        <color indexed="22"/>
      </right>
      <top/>
      <bottom style="hair">
        <color indexed="22"/>
      </bottom>
      <diagonal/>
    </border>
    <border>
      <left style="thin">
        <color indexed="64"/>
      </left>
      <right/>
      <top style="hair">
        <color indexed="22"/>
      </top>
      <bottom/>
      <diagonal/>
    </border>
    <border>
      <left/>
      <right style="hair">
        <color indexed="22"/>
      </right>
      <top style="thin">
        <color indexed="64"/>
      </top>
      <bottom/>
      <diagonal/>
    </border>
    <border>
      <left style="hair">
        <color indexed="22"/>
      </left>
      <right/>
      <top style="thin">
        <color indexed="64"/>
      </top>
      <bottom style="hair">
        <color indexed="22"/>
      </bottom>
      <diagonal/>
    </border>
    <border>
      <left style="hair">
        <color indexed="22"/>
      </left>
      <right/>
      <top style="hair">
        <color indexed="22"/>
      </top>
      <bottom style="hair">
        <color indexed="22"/>
      </bottom>
      <diagonal/>
    </border>
    <border>
      <left style="hair">
        <color indexed="22"/>
      </left>
      <right/>
      <top style="hair">
        <color indexed="22"/>
      </top>
      <bottom/>
      <diagonal/>
    </border>
    <border>
      <left style="hair">
        <color indexed="22"/>
      </left>
      <right/>
      <top style="hair">
        <color indexed="22"/>
      </top>
      <bottom style="thin">
        <color indexed="64"/>
      </bottom>
      <diagonal/>
    </border>
    <border>
      <left style="thin">
        <color indexed="64"/>
      </left>
      <right style="hair">
        <color indexed="22"/>
      </right>
      <top style="thin">
        <color indexed="64"/>
      </top>
      <bottom style="thin">
        <color indexed="64"/>
      </bottom>
      <diagonal/>
    </border>
    <border>
      <left style="hair">
        <color indexed="22"/>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22"/>
      </top>
      <bottom style="thin">
        <color indexed="64"/>
      </bottom>
      <diagonal/>
    </border>
    <border>
      <left/>
      <right/>
      <top style="dotted">
        <color indexed="22"/>
      </top>
      <bottom/>
      <diagonal/>
    </border>
    <border>
      <left style="thin">
        <color rgb="FF000000"/>
      </left>
      <right style="thin">
        <color rgb="FF000000"/>
      </right>
      <top style="thin">
        <color rgb="FF000000"/>
      </top>
      <bottom style="thin">
        <color rgb="FF000000"/>
      </bottom>
      <diagonal/>
    </border>
    <border>
      <left/>
      <right style="thin">
        <color indexed="9"/>
      </right>
      <top style="thin">
        <color indexed="64"/>
      </top>
      <bottom style="thin">
        <color indexed="9"/>
      </bottom>
      <diagonal/>
    </border>
  </borders>
  <cellStyleXfs count="33112">
    <xf numFmtId="0" fontId="0" fillId="0" borderId="0"/>
    <xf numFmtId="44" fontId="4" fillId="0" borderId="0" applyFont="0" applyFill="0" applyBorder="0" applyAlignment="0" applyProtection="0"/>
    <xf numFmtId="0" fontId="5" fillId="0" borderId="1">
      <alignment horizontal="left"/>
    </xf>
    <xf numFmtId="49" fontId="4" fillId="0" borderId="2" applyFont="0" applyFill="0" applyBorder="0" applyAlignment="0" applyProtection="0">
      <alignment horizontal="right"/>
    </xf>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alignment vertical="top"/>
      <protection locked="0"/>
    </xf>
    <xf numFmtId="0" fontId="2" fillId="0" borderId="0"/>
    <xf numFmtId="9" fontId="3" fillId="0" borderId="0" applyFont="0" applyFill="0" applyBorder="0" applyAlignment="0" applyProtection="0"/>
    <xf numFmtId="9" fontId="2" fillId="0" borderId="0" applyFont="0" applyFill="0" applyBorder="0" applyAlignment="0" applyProtection="0"/>
    <xf numFmtId="0" fontId="9" fillId="4" borderId="3" applyNumberFormat="0" applyAlignment="0" applyProtection="0">
      <alignment horizontal="center" vertical="top"/>
    </xf>
    <xf numFmtId="0" fontId="6" fillId="3" borderId="4" applyNumberFormat="0" applyFont="0" applyFill="0" applyAlignment="0"/>
    <xf numFmtId="0" fontId="17" fillId="0" borderId="0"/>
    <xf numFmtId="0" fontId="18" fillId="0" borderId="0" applyNumberFormat="0" applyFill="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23" applyNumberFormat="0" applyAlignment="0" applyProtection="0"/>
    <xf numFmtId="0" fontId="26" fillId="10" borderId="24" applyNumberFormat="0" applyAlignment="0" applyProtection="0"/>
    <xf numFmtId="0" fontId="27" fillId="10" borderId="23" applyNumberFormat="0" applyAlignment="0" applyProtection="0"/>
    <xf numFmtId="0" fontId="28" fillId="0" borderId="25" applyNumberFormat="0" applyFill="0" applyAlignment="0" applyProtection="0"/>
    <xf numFmtId="0" fontId="11" fillId="0" borderId="28" applyNumberFormat="0" applyFill="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1" fillId="28"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31" fillId="36"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0" fontId="32" fillId="0" borderId="0" applyFont="0" applyFill="0" applyBorder="0" applyAlignment="0" applyProtection="0"/>
    <xf numFmtId="167"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3"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33" fillId="0" borderId="0" applyNumberFormat="0" applyFill="0" applyBorder="0" applyAlignment="0" applyProtection="0"/>
    <xf numFmtId="168" fontId="34" fillId="0" borderId="0" applyNumberFormat="0" applyFill="0" applyBorder="0" applyAlignment="0" applyProtection="0"/>
    <xf numFmtId="168" fontId="8" fillId="0" borderId="0"/>
    <xf numFmtId="168" fontId="8" fillId="0" borderId="0"/>
    <xf numFmtId="168" fontId="32" fillId="0" borderId="0" applyFont="0" applyFill="0" applyBorder="0" applyAlignment="0" applyProtection="0"/>
    <xf numFmtId="168" fontId="2" fillId="0" borderId="0"/>
    <xf numFmtId="168" fontId="35" fillId="0" borderId="0" applyNumberFormat="0" applyFill="0" applyBorder="0" applyAlignment="0" applyProtection="0">
      <alignment vertical="top"/>
      <protection locked="0"/>
    </xf>
    <xf numFmtId="168" fontId="32" fillId="0" borderId="30" applyNumberFormat="0" applyFont="0" applyFill="0" applyAlignment="0" applyProtection="0"/>
    <xf numFmtId="168" fontId="8" fillId="0" borderId="0"/>
    <xf numFmtId="168" fontId="2" fillId="0" borderId="0"/>
    <xf numFmtId="0" fontId="8" fillId="0" borderId="0"/>
    <xf numFmtId="0" fontId="8" fillId="0" borderId="0"/>
    <xf numFmtId="0" fontId="8" fillId="0" borderId="0"/>
    <xf numFmtId="0" fontId="8" fillId="0" borderId="0"/>
    <xf numFmtId="168" fontId="2" fillId="0" borderId="0"/>
    <xf numFmtId="168"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2" fillId="0" borderId="0"/>
    <xf numFmtId="9" fontId="2" fillId="0" borderId="0" applyFont="0" applyFill="0" applyBorder="0" applyAlignment="0" applyProtection="0"/>
    <xf numFmtId="0" fontId="2" fillId="0" borderId="0"/>
    <xf numFmtId="0" fontId="8" fillId="0" borderId="0"/>
    <xf numFmtId="0" fontId="36" fillId="0" borderId="0"/>
    <xf numFmtId="0" fontId="36" fillId="0" borderId="0"/>
    <xf numFmtId="44" fontId="2" fillId="0" borderId="0" applyFont="0" applyFill="0" applyBorder="0" applyAlignment="0" applyProtection="0"/>
    <xf numFmtId="0" fontId="34" fillId="0" borderId="0" applyNumberFormat="0" applyFill="0" applyBorder="0" applyAlignment="0" applyProtection="0"/>
    <xf numFmtId="43" fontId="2" fillId="0" borderId="0" applyFont="0" applyFill="0" applyBorder="0" applyAlignment="0" applyProtection="0"/>
    <xf numFmtId="2" fontId="32" fillId="0" borderId="0" applyFont="0" applyFill="0" applyBorder="0" applyAlignment="0" applyProtection="0"/>
    <xf numFmtId="43" fontId="2" fillId="0" borderId="0" applyFont="0" applyFill="0" applyBorder="0" applyAlignment="0" applyProtection="0"/>
    <xf numFmtId="0" fontId="32" fillId="0" borderId="30" applyNumberFormat="0" applyFont="0" applyFill="0" applyAlignment="0" applyProtection="0"/>
    <xf numFmtId="0" fontId="2" fillId="0" borderId="0"/>
    <xf numFmtId="0" fontId="33" fillId="0" borderId="0" applyNumberFormat="0" applyFill="0" applyBorder="0" applyAlignment="0" applyProtection="0"/>
    <xf numFmtId="0" fontId="32" fillId="0" borderId="0" applyFont="0" applyFill="0" applyBorder="0" applyAlignment="0" applyProtection="0"/>
    <xf numFmtId="44" fontId="2" fillId="0" borderId="0" applyFont="0" applyFill="0" applyBorder="0" applyAlignment="0" applyProtection="0"/>
    <xf numFmtId="0" fontId="39" fillId="0" borderId="22" applyNumberFormat="0" applyFill="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8" fillId="0" borderId="0" applyNumberFormat="0" applyFill="0" applyBorder="0" applyAlignment="0" applyProtection="0"/>
    <xf numFmtId="167" fontId="32" fillId="0" borderId="0" applyFont="0" applyFill="0" applyBorder="0" applyAlignment="0" applyProtection="0"/>
    <xf numFmtId="0" fontId="36" fillId="0" borderId="0"/>
    <xf numFmtId="0" fontId="36" fillId="0" borderId="0"/>
    <xf numFmtId="0" fontId="2" fillId="0" borderId="0"/>
    <xf numFmtId="0" fontId="2" fillId="0" borderId="0"/>
    <xf numFmtId="41" fontId="37" fillId="0" borderId="0"/>
    <xf numFmtId="37" fontId="3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168"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0" fontId="32" fillId="0" borderId="30" applyNumberFormat="0" applyFont="0" applyFill="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11" borderId="26"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8" fillId="19"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0" fontId="52" fillId="50"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50" fillId="0" borderId="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3" fillId="0" borderId="0" applyNumberFormat="0" applyFill="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53"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2"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6" fillId="0" borderId="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25" fillId="43"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8" fillId="0" borderId="0"/>
    <xf numFmtId="0" fontId="40" fillId="0" borderId="0"/>
    <xf numFmtId="0" fontId="40"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40" fillId="0" borderId="0"/>
    <xf numFmtId="0" fontId="2" fillId="0" borderId="0"/>
    <xf numFmtId="0" fontId="2" fillId="0" borderId="0"/>
    <xf numFmtId="0" fontId="2" fillId="0" borderId="0"/>
    <xf numFmtId="0" fontId="36" fillId="0" borderId="0"/>
    <xf numFmtId="0" fontId="2" fillId="0" borderId="0"/>
    <xf numFmtId="0" fontId="2" fillId="0" borderId="0"/>
    <xf numFmtId="0" fontId="1" fillId="0" borderId="0"/>
    <xf numFmtId="0" fontId="2" fillId="0" borderId="0"/>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44" fillId="0" borderId="0" applyNumberFormat="0" applyFill="0" applyBorder="0" applyProtection="0">
      <alignment vertical="top" wrapText="1"/>
    </xf>
    <xf numFmtId="0" fontId="2" fillId="0" borderId="0" applyFill="0"/>
    <xf numFmtId="0" fontId="40" fillId="0" borderId="0"/>
    <xf numFmtId="168"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 fillId="0" borderId="0"/>
    <xf numFmtId="0" fontId="40" fillId="0" borderId="0"/>
    <xf numFmtId="0" fontId="2" fillId="0" borderId="0"/>
    <xf numFmtId="0" fontId="40" fillId="0" borderId="0"/>
    <xf numFmtId="0" fontId="8" fillId="0" borderId="0"/>
    <xf numFmtId="0" fontId="40" fillId="0" borderId="0"/>
    <xf numFmtId="168" fontId="2" fillId="0" borderId="0"/>
    <xf numFmtId="0" fontId="40" fillId="0" borderId="0"/>
    <xf numFmtId="0" fontId="2" fillId="0" borderId="0"/>
    <xf numFmtId="0" fontId="40" fillId="0" borderId="0"/>
    <xf numFmtId="0" fontId="40" fillId="0" borderId="0"/>
    <xf numFmtId="0" fontId="8" fillId="0" borderId="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0" fontId="26" fillId="50" borderId="2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50"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50" fillId="0" borderId="0"/>
    <xf numFmtId="0" fontId="49"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32" fillId="0" borderId="30" applyNumberFormat="0" applyFon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6"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33" borderId="0" applyNumberFormat="0" applyBorder="0" applyAlignment="0" applyProtection="0"/>
    <xf numFmtId="0" fontId="23" fillId="7" borderId="0" applyNumberFormat="0" applyBorder="0" applyAlignment="0" applyProtection="0"/>
    <xf numFmtId="0" fontId="27" fillId="10" borderId="23" applyNumberFormat="0" applyAlignment="0" applyProtection="0"/>
    <xf numFmtId="43" fontId="8" fillId="0" borderId="0" applyFont="0" applyFill="0" applyBorder="0" applyAlignment="0" applyProtection="0"/>
    <xf numFmtId="44" fontId="8" fillId="0" borderId="0" applyFont="0" applyFill="0" applyBorder="0" applyAlignment="0" applyProtection="0"/>
    <xf numFmtId="0" fontId="22" fillId="6" borderId="0" applyNumberFormat="0" applyBorder="0" applyAlignment="0" applyProtection="0"/>
    <xf numFmtId="0" fontId="19" fillId="0" borderId="20" applyNumberFormat="0" applyFill="0" applyAlignment="0" applyProtection="0"/>
    <xf numFmtId="0" fontId="20" fillId="0" borderId="21" applyNumberFormat="0" applyFill="0" applyAlignment="0" applyProtection="0"/>
    <xf numFmtId="0" fontId="21" fillId="0" borderId="22" applyNumberFormat="0" applyFill="0" applyAlignment="0" applyProtection="0"/>
    <xf numFmtId="0" fontId="21" fillId="0" borderId="0" applyNumberFormat="0" applyFill="0" applyBorder="0" applyAlignment="0" applyProtection="0"/>
    <xf numFmtId="0" fontId="25" fillId="9" borderId="23" applyNumberFormat="0" applyAlignment="0" applyProtection="0"/>
    <xf numFmtId="0" fontId="28" fillId="0" borderId="25" applyNumberFormat="0" applyFill="0" applyAlignment="0" applyProtection="0"/>
    <xf numFmtId="0" fontId="24" fillId="8" borderId="0" applyNumberFormat="0" applyBorder="0" applyAlignment="0" applyProtection="0"/>
    <xf numFmtId="0" fontId="8" fillId="0" borderId="0"/>
    <xf numFmtId="0" fontId="8" fillId="12" borderId="27" applyNumberFormat="0" applyFont="0" applyAlignment="0" applyProtection="0"/>
    <xf numFmtId="0" fontId="26" fillId="10" borderId="24" applyNumberFormat="0" applyAlignment="0" applyProtection="0"/>
    <xf numFmtId="9" fontId="8" fillId="0" borderId="0" applyFon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0" fontId="8" fillId="0" borderId="0"/>
    <xf numFmtId="0" fontId="2" fillId="0" borderId="0"/>
    <xf numFmtId="0" fontId="2" fillId="0" borderId="0"/>
    <xf numFmtId="0" fontId="2" fillId="0" borderId="0"/>
    <xf numFmtId="9" fontId="2" fillId="0" borderId="0" applyFont="0" applyFill="0" applyBorder="0" applyAlignment="0" applyProtection="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23" applyNumberFormat="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168" fontId="33" fillId="0" borderId="0" applyNumberFormat="0" applyFill="0" applyBorder="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168" fontId="34" fillId="0" borderId="0" applyNumberFormat="0" applyFill="0" applyBorder="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33"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5" fillId="43" borderId="23" applyNumberFormat="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2"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2" fillId="0" borderId="0"/>
    <xf numFmtId="168" fontId="2" fillId="0" borderId="0"/>
    <xf numFmtId="168" fontId="2" fillId="0" borderId="0"/>
    <xf numFmtId="0" fontId="8" fillId="0" borderId="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50" borderId="24"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33"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168" fontId="2" fillId="0" borderId="0"/>
    <xf numFmtId="0" fontId="8" fillId="0" borderId="0"/>
    <xf numFmtId="0" fontId="39" fillId="0" borderId="22"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168" fontId="34" fillId="0" borderId="0" applyNumberFormat="0" applyFill="0" applyBorder="0" applyAlignment="0" applyProtection="0"/>
    <xf numFmtId="0" fontId="8" fillId="0" borderId="0"/>
    <xf numFmtId="0" fontId="8" fillId="0" borderId="0"/>
    <xf numFmtId="0" fontId="8" fillId="0" borderId="0"/>
    <xf numFmtId="0" fontId="8" fillId="0" borderId="0"/>
    <xf numFmtId="168" fontId="2" fillId="0" borderId="0"/>
    <xf numFmtId="9" fontId="2" fillId="0" borderId="0" applyFont="0" applyFill="0" applyBorder="0" applyAlignment="0" applyProtection="0"/>
    <xf numFmtId="168" fontId="32" fillId="0" borderId="30" applyNumberFormat="0" applyFont="0" applyFill="0" applyAlignment="0" applyProtection="0"/>
    <xf numFmtId="43" fontId="2" fillId="0" borderId="0" applyFont="0" applyFill="0" applyBorder="0" applyAlignment="0" applyProtection="0"/>
    <xf numFmtId="0" fontId="8" fillId="0" borderId="0"/>
    <xf numFmtId="168" fontId="2"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7"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19" fillId="0" borderId="20"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11" fillId="0" borderId="28" applyNumberFormat="0" applyFill="0" applyAlignment="0" applyProtection="0"/>
    <xf numFmtId="0" fontId="20" fillId="0" borderId="21" applyNumberFormat="0" applyFill="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16" borderId="0" applyNumberFormat="0" applyBorder="0" applyAlignment="0" applyProtection="0"/>
    <xf numFmtId="0" fontId="31" fillId="42" borderId="0" applyNumberFormat="0" applyBorder="0" applyAlignment="0" applyProtection="0"/>
    <xf numFmtId="0" fontId="31" fillId="20" borderId="0" applyNumberFormat="0" applyBorder="0" applyAlignment="0" applyProtection="0"/>
    <xf numFmtId="0" fontId="31" fillId="44" borderId="0" applyNumberFormat="0" applyBorder="0" applyAlignment="0" applyProtection="0"/>
    <xf numFmtId="0" fontId="31" fillId="24" borderId="0" applyNumberFormat="0" applyBorder="0" applyAlignment="0" applyProtection="0"/>
    <xf numFmtId="0" fontId="31" fillId="45" borderId="0" applyNumberFormat="0" applyBorder="0" applyAlignment="0" applyProtection="0"/>
    <xf numFmtId="0" fontId="31" fillId="28" borderId="0" applyNumberFormat="0" applyBorder="0" applyAlignment="0" applyProtection="0"/>
    <xf numFmtId="0" fontId="31" fillId="38" borderId="0" applyNumberFormat="0" applyBorder="0" applyAlignment="0" applyProtection="0"/>
    <xf numFmtId="0" fontId="31" fillId="32"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31" fillId="17" borderId="0" applyNumberFormat="0" applyBorder="0" applyAlignment="0" applyProtection="0"/>
    <xf numFmtId="0" fontId="31" fillId="44"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0" fontId="31" fillId="25" borderId="0" applyNumberFormat="0" applyBorder="0" applyAlignment="0" applyProtection="0"/>
    <xf numFmtId="0" fontId="31" fillId="47" borderId="0" applyNumberFormat="0" applyBorder="0" applyAlignment="0" applyProtection="0"/>
    <xf numFmtId="0" fontId="31" fillId="33" borderId="0" applyNumberFormat="0" applyBorder="0" applyAlignment="0" applyProtection="0"/>
    <xf numFmtId="0" fontId="31" fillId="48" borderId="0" applyNumberFormat="0" applyBorder="0" applyAlignment="0" applyProtection="0"/>
    <xf numFmtId="0" fontId="23" fillId="7" borderId="0" applyNumberFormat="0" applyBorder="0" applyAlignment="0" applyProtection="0"/>
    <xf numFmtId="0" fontId="23" fillId="49" borderId="0" applyNumberFormat="0" applyBorder="0" applyAlignment="0" applyProtection="0"/>
    <xf numFmtId="0" fontId="27" fillId="10" borderId="23" applyNumberFormat="0" applyAlignment="0" applyProtection="0"/>
    <xf numFmtId="0" fontId="52" fillId="50" borderId="2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0" fillId="0" borderId="0"/>
    <xf numFmtId="43" fontId="2" fillId="0" borderId="0" applyFont="0" applyFill="0" applyBorder="0" applyAlignment="0" applyProtection="0"/>
    <xf numFmtId="169" fontId="50" fillId="0" borderId="0"/>
    <xf numFmtId="44" fontId="2" fillId="0" borderId="0" applyFont="0" applyFill="0" applyBorder="0" applyAlignment="0" applyProtection="0"/>
    <xf numFmtId="170" fontId="50"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5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6" borderId="0" applyNumberFormat="0" applyBorder="0" applyAlignment="0" applyProtection="0"/>
    <xf numFmtId="0" fontId="22" fillId="42" borderId="0" applyNumberFormat="0" applyBorder="0" applyAlignment="0" applyProtection="0"/>
    <xf numFmtId="0" fontId="53" fillId="0" borderId="31" applyNumberFormat="0" applyFill="0" applyAlignment="0" applyProtection="0"/>
    <xf numFmtId="0" fontId="46" fillId="0" borderId="31" applyNumberFormat="0" applyFill="0" applyAlignment="0" applyProtection="0"/>
    <xf numFmtId="0" fontId="19" fillId="0" borderId="20" applyNumberFormat="0" applyFill="0" applyAlignment="0" applyProtection="0"/>
    <xf numFmtId="0" fontId="46" fillId="0" borderId="31" applyNumberFormat="0" applyFill="0" applyAlignment="0" applyProtection="0"/>
    <xf numFmtId="0" fontId="54" fillId="0" borderId="32" applyNumberFormat="0" applyFill="0" applyAlignment="0" applyProtection="0"/>
    <xf numFmtId="0" fontId="47" fillId="0" borderId="32" applyNumberFormat="0" applyFill="0" applyAlignment="0" applyProtection="0"/>
    <xf numFmtId="0" fontId="20" fillId="0" borderId="21" applyNumberFormat="0" applyFill="0" applyAlignment="0" applyProtection="0"/>
    <xf numFmtId="0" fontId="47"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48" fillId="0" borderId="33" applyNumberFormat="0" applyFill="0" applyAlignment="0" applyProtection="0"/>
    <xf numFmtId="0" fontId="21" fillId="0" borderId="22"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48" fillId="0" borderId="0" applyNumberFormat="0" applyFill="0" applyBorder="0" applyAlignment="0" applyProtection="0"/>
    <xf numFmtId="0" fontId="21" fillId="0" borderId="0" applyNumberFormat="0" applyFill="0" applyBorder="0" applyAlignment="0" applyProtection="0"/>
    <xf numFmtId="0" fontId="25" fillId="9" borderId="23" applyNumberFormat="0" applyAlignment="0" applyProtection="0"/>
    <xf numFmtId="0" fontId="25" fillId="43"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43" fillId="0" borderId="34" applyNumberFormat="0" applyFill="0" applyAlignment="0" applyProtection="0"/>
    <xf numFmtId="0" fontId="28" fillId="0" borderId="25" applyNumberFormat="0" applyFill="0" applyAlignment="0" applyProtection="0"/>
    <xf numFmtId="0" fontId="24" fillId="8" borderId="0" applyNumberFormat="0" applyBorder="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applyNumberFormat="0" applyFill="0" applyBorder="0" applyProtection="0">
      <alignment vertical="top" wrapText="1"/>
    </xf>
    <xf numFmtId="0" fontId="8" fillId="0" borderId="0"/>
    <xf numFmtId="0" fontId="50" fillId="0" borderId="0"/>
    <xf numFmtId="0" fontId="8" fillId="0" borderId="0"/>
    <xf numFmtId="0" fontId="2" fillId="0" borderId="0"/>
    <xf numFmtId="0" fontId="2" fillId="0" borderId="0"/>
    <xf numFmtId="0" fontId="2" fillId="0" borderId="0"/>
    <xf numFmtId="0" fontId="2" fillId="0" borderId="0"/>
    <xf numFmtId="0" fontId="44" fillId="0" borderId="0" applyNumberFormat="0" applyFill="0" applyBorder="0" applyProtection="0">
      <alignment vertical="top" wrapText="1"/>
    </xf>
    <xf numFmtId="0" fontId="50" fillId="0" borderId="0"/>
    <xf numFmtId="0" fontId="44" fillId="0" borderId="0" applyNumberFormat="0" applyFill="0" applyBorder="0" applyProtection="0">
      <alignment vertical="top" wrapText="1"/>
    </xf>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2" fillId="0" borderId="0"/>
    <xf numFmtId="0" fontId="2"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10" borderId="24" applyNumberFormat="0" applyAlignment="0" applyProtection="0"/>
    <xf numFmtId="0" fontId="26" fillId="50" borderId="24"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xf numFmtId="9" fontId="2"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49" fillId="0" borderId="0" applyNumberFormat="0" applyFill="0" applyBorder="0" applyAlignment="0" applyProtection="0"/>
    <xf numFmtId="0" fontId="18" fillId="0" borderId="0" applyNumberFormat="0" applyFill="0" applyBorder="0" applyAlignment="0" applyProtection="0"/>
    <xf numFmtId="0" fontId="11" fillId="0" borderId="28" applyNumberFormat="0" applyFill="0" applyAlignment="0" applyProtection="0"/>
    <xf numFmtId="0" fontId="11" fillId="0" borderId="35" applyNumberFormat="0" applyFill="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1" fillId="42"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8" borderId="0" applyNumberFormat="0" applyBorder="0" applyAlignment="0" applyProtection="0"/>
    <xf numFmtId="0" fontId="31" fillId="42"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23" fillId="49" borderId="0" applyNumberFormat="0" applyBorder="0" applyAlignment="0" applyProtection="0"/>
    <xf numFmtId="0" fontId="52" fillId="50" borderId="23"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42" borderId="0" applyNumberFormat="0" applyBorder="0" applyAlignment="0" applyProtection="0"/>
    <xf numFmtId="0" fontId="46"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47"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48"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5" fillId="43" borderId="23" applyNumberFormat="0" applyAlignment="0" applyProtection="0"/>
    <xf numFmtId="0" fontId="43" fillId="0" borderId="34" applyNumberFormat="0" applyFill="0" applyAlignment="0" applyProtection="0"/>
    <xf numFmtId="0" fontId="57" fillId="0" borderId="34" applyNumberFormat="0" applyFill="0" applyAlignment="0" applyProtection="0"/>
    <xf numFmtId="0" fontId="57" fillId="0" borderId="34" applyNumberFormat="0" applyFill="0" applyAlignment="0" applyProtection="0"/>
    <xf numFmtId="0" fontId="58" fillId="8"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1" fillId="12" borderId="27" applyNumberFormat="0" applyFont="0" applyAlignment="0" applyProtection="0"/>
    <xf numFmtId="0" fontId="26" fillId="50" borderId="2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8" fillId="0" borderId="0"/>
    <xf numFmtId="0" fontId="8" fillId="0" borderId="0"/>
    <xf numFmtId="0" fontId="8" fillId="0" borderId="0"/>
    <xf numFmtId="0" fontId="2" fillId="0" borderId="0"/>
    <xf numFmtId="0" fontId="2" fillId="0" borderId="0">
      <alignment vertical="top"/>
    </xf>
    <xf numFmtId="168" fontId="8" fillId="0" borderId="0"/>
    <xf numFmtId="0" fontId="8" fillId="0" borderId="0"/>
    <xf numFmtId="168" fontId="8" fillId="0" borderId="0"/>
    <xf numFmtId="168" fontId="8" fillId="0" borderId="0"/>
    <xf numFmtId="0" fontId="2" fillId="0" borderId="0">
      <alignment vertical="top"/>
    </xf>
    <xf numFmtId="0" fontId="8" fillId="0" borderId="0"/>
    <xf numFmtId="0" fontId="8" fillId="0" borderId="0"/>
    <xf numFmtId="0" fontId="8" fillId="0" borderId="0"/>
    <xf numFmtId="0" fontId="2" fillId="0" borderId="0"/>
    <xf numFmtId="0" fontId="8" fillId="0" borderId="0"/>
    <xf numFmtId="0" fontId="8" fillId="0" borderId="0"/>
    <xf numFmtId="0" fontId="8" fillId="12" borderId="27" applyNumberFormat="0" applyFont="0" applyAlignment="0" applyProtection="0"/>
    <xf numFmtId="0" fontId="8" fillId="12"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 fontId="51" fillId="43" borderId="36" applyNumberFormat="0" applyProtection="0">
      <alignment vertical="center"/>
    </xf>
    <xf numFmtId="4" fontId="60" fillId="43" borderId="36" applyNumberFormat="0" applyProtection="0">
      <alignment vertical="center"/>
    </xf>
    <xf numFmtId="4" fontId="51" fillId="43" borderId="36" applyNumberFormat="0" applyProtection="0">
      <alignment horizontal="left" vertical="center" indent="1"/>
    </xf>
    <xf numFmtId="0" fontId="51" fillId="43" borderId="36" applyNumberFormat="0" applyProtection="0">
      <alignment horizontal="left" vertical="top" indent="1"/>
    </xf>
    <xf numFmtId="4" fontId="51" fillId="51" borderId="0" applyNumberFormat="0" applyProtection="0">
      <alignment horizontal="left" vertical="center" indent="1"/>
    </xf>
    <xf numFmtId="4" fontId="45" fillId="38" borderId="36" applyNumberFormat="0" applyProtection="0">
      <alignment horizontal="right" vertical="center"/>
    </xf>
    <xf numFmtId="4" fontId="45" fillId="39" borderId="36" applyNumberFormat="0" applyProtection="0">
      <alignment horizontal="right" vertical="center"/>
    </xf>
    <xf numFmtId="4" fontId="45" fillId="48" borderId="36" applyNumberFormat="0" applyProtection="0">
      <alignment horizontal="right" vertical="center"/>
    </xf>
    <xf numFmtId="4" fontId="45" fillId="45" borderId="36" applyNumberFormat="0" applyProtection="0">
      <alignment horizontal="right" vertical="center"/>
    </xf>
    <xf numFmtId="4" fontId="45" fillId="52" borderId="36" applyNumberFormat="0" applyProtection="0">
      <alignment horizontal="right" vertical="center"/>
    </xf>
    <xf numFmtId="4" fontId="45" fillId="44" borderId="36" applyNumberFormat="0" applyProtection="0">
      <alignment horizontal="right" vertical="center"/>
    </xf>
    <xf numFmtId="4" fontId="45" fillId="53" borderId="36" applyNumberFormat="0" applyProtection="0">
      <alignment horizontal="right" vertical="center"/>
    </xf>
    <xf numFmtId="4" fontId="45" fillId="54" borderId="36" applyNumberFormat="0" applyProtection="0">
      <alignment horizontal="right" vertical="center"/>
    </xf>
    <xf numFmtId="4" fontId="45" fillId="55" borderId="36" applyNumberFormat="0" applyProtection="0">
      <alignment horizontal="right" vertical="center"/>
    </xf>
    <xf numFmtId="4" fontId="51" fillId="56" borderId="37" applyNumberFormat="0" applyProtection="0">
      <alignment horizontal="left" vertical="center" indent="1"/>
    </xf>
    <xf numFmtId="4" fontId="45" fillId="57" borderId="0" applyNumberFormat="0" applyProtection="0">
      <alignment horizontal="left" vertical="center" indent="1"/>
    </xf>
    <xf numFmtId="4" fontId="61" fillId="47" borderId="0" applyNumberFormat="0" applyProtection="0">
      <alignment horizontal="left" vertical="center" indent="1"/>
    </xf>
    <xf numFmtId="4" fontId="45" fillId="51" borderId="36" applyNumberFormat="0" applyProtection="0">
      <alignment horizontal="right" vertical="center"/>
    </xf>
    <xf numFmtId="4" fontId="45" fillId="57" borderId="0" applyNumberFormat="0" applyProtection="0">
      <alignment horizontal="left" vertical="center" indent="1"/>
    </xf>
    <xf numFmtId="4" fontId="45" fillId="51" borderId="0" applyNumberFormat="0" applyProtection="0">
      <alignment horizontal="left" vertical="center" indent="1"/>
    </xf>
    <xf numFmtId="0" fontId="2" fillId="47" borderId="36" applyNumberFormat="0" applyProtection="0">
      <alignment horizontal="left" vertical="center" indent="1"/>
    </xf>
    <xf numFmtId="0" fontId="2" fillId="47" borderId="36" applyNumberFormat="0" applyProtection="0">
      <alignment horizontal="left" vertical="top" indent="1"/>
    </xf>
    <xf numFmtId="0" fontId="2" fillId="51" borderId="36" applyNumberFormat="0" applyProtection="0">
      <alignment horizontal="left" vertical="center" indent="1"/>
    </xf>
    <xf numFmtId="0" fontId="2" fillId="51" borderId="36" applyNumberFormat="0" applyProtection="0">
      <alignment horizontal="left" vertical="top" indent="1"/>
    </xf>
    <xf numFmtId="0" fontId="2" fillId="37" borderId="36" applyNumberFormat="0" applyProtection="0">
      <alignment horizontal="left" vertical="center" indent="1"/>
    </xf>
    <xf numFmtId="0" fontId="2" fillId="37" borderId="36" applyNumberFormat="0" applyProtection="0">
      <alignment horizontal="left" vertical="top" indent="1"/>
    </xf>
    <xf numFmtId="0" fontId="2" fillId="57" borderId="36" applyNumberFormat="0" applyProtection="0">
      <alignment horizontal="left" vertical="center" indent="1"/>
    </xf>
    <xf numFmtId="0" fontId="2" fillId="57" borderId="36" applyNumberFormat="0" applyProtection="0">
      <alignment horizontal="left" vertical="top" indent="1"/>
    </xf>
    <xf numFmtId="0" fontId="2" fillId="50" borderId="29" applyNumberFormat="0">
      <protection locked="0"/>
    </xf>
    <xf numFmtId="4" fontId="45" fillId="40" borderId="36" applyNumberFormat="0" applyProtection="0">
      <alignment vertical="center"/>
    </xf>
    <xf numFmtId="4" fontId="62" fillId="40" borderId="36" applyNumberFormat="0" applyProtection="0">
      <alignment vertical="center"/>
    </xf>
    <xf numFmtId="4" fontId="45" fillId="40" borderId="36" applyNumberFormat="0" applyProtection="0">
      <alignment horizontal="left" vertical="center" indent="1"/>
    </xf>
    <xf numFmtId="0" fontId="45" fillId="40" borderId="36" applyNumberFormat="0" applyProtection="0">
      <alignment horizontal="left" vertical="top" indent="1"/>
    </xf>
    <xf numFmtId="4" fontId="45" fillId="57" borderId="36" applyNumberFormat="0" applyProtection="0">
      <alignment horizontal="right" vertical="center"/>
    </xf>
    <xf numFmtId="4" fontId="62" fillId="57" borderId="36" applyNumberFormat="0" applyProtection="0">
      <alignment horizontal="right" vertical="center"/>
    </xf>
    <xf numFmtId="4" fontId="45" fillId="51" borderId="36" applyNumberFormat="0" applyProtection="0">
      <alignment horizontal="left" vertical="center" indent="1"/>
    </xf>
    <xf numFmtId="0" fontId="45" fillId="51" borderId="36" applyNumberFormat="0" applyProtection="0">
      <alignment horizontal="left" vertical="top" indent="1"/>
    </xf>
    <xf numFmtId="4" fontId="63" fillId="58" borderId="0" applyNumberFormat="0" applyProtection="0">
      <alignment horizontal="left" vertical="center" indent="1"/>
    </xf>
    <xf numFmtId="4" fontId="41" fillId="57" borderId="36" applyNumberFormat="0" applyProtection="0">
      <alignment horizontal="right" vertical="center"/>
    </xf>
    <xf numFmtId="0" fontId="49" fillId="0" borderId="0" applyNumberForma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7" applyNumberFormat="0" applyFont="0" applyAlignment="0" applyProtection="0"/>
    <xf numFmtId="0" fontId="32" fillId="0" borderId="0" applyFont="0" applyFill="0" applyBorder="0" applyAlignment="0" applyProtection="0"/>
    <xf numFmtId="2" fontId="32" fillId="0" borderId="0" applyFont="0" applyFill="0" applyBorder="0" applyAlignment="0" applyProtection="0"/>
    <xf numFmtId="167" fontId="32" fillId="0" borderId="0" applyFont="0" applyFill="0" applyBorder="0" applyAlignment="0" applyProtection="0"/>
    <xf numFmtId="0" fontId="33" fillId="0" borderId="0" applyNumberFormat="0" applyFill="0" applyBorder="0" applyAlignment="0" applyProtection="0"/>
    <xf numFmtId="0" fontId="8" fillId="0" borderId="0"/>
    <xf numFmtId="44" fontId="2" fillId="0" borderId="0" applyFont="0" applyFill="0" applyBorder="0" applyAlignment="0" applyProtection="0"/>
    <xf numFmtId="9" fontId="2" fillId="0" borderId="0" applyFont="0" applyFill="0" applyBorder="0" applyAlignment="0" applyProtection="0"/>
    <xf numFmtId="3" fontId="32" fillId="0" borderId="0" applyFont="0" applyFill="0" applyBorder="0" applyAlignment="0" applyProtection="0"/>
    <xf numFmtId="0" fontId="34" fillId="0" borderId="0" applyNumberFormat="0" applyFill="0" applyBorder="0" applyAlignment="0" applyProtection="0"/>
    <xf numFmtId="0" fontId="32" fillId="0" borderId="30" applyNumberFormat="0" applyFont="0" applyFill="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32" fillId="0" borderId="0" applyFont="0" applyFill="0" applyBorder="0" applyAlignment="0" applyProtection="0"/>
    <xf numFmtId="44" fontId="2" fillId="0" borderId="0" applyFont="0" applyFill="0" applyBorder="0" applyAlignment="0" applyProtection="0"/>
    <xf numFmtId="170" fontId="50" fillId="0" borderId="0"/>
    <xf numFmtId="44" fontId="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2" fontId="32" fillId="0" borderId="0" applyFont="0" applyFill="0" applyBorder="0" applyAlignment="0" applyProtection="0"/>
    <xf numFmtId="0" fontId="46" fillId="0" borderId="31" applyNumberFormat="0" applyFill="0" applyAlignment="0" applyProtection="0"/>
    <xf numFmtId="0" fontId="47" fillId="0" borderId="32" applyNumberFormat="0" applyFill="0" applyAlignment="0" applyProtection="0"/>
    <xf numFmtId="0" fontId="42" fillId="0" borderId="33" applyNumberFormat="0" applyFill="0" applyAlignment="0" applyProtection="0"/>
    <xf numFmtId="0" fontId="40" fillId="0" borderId="0"/>
    <xf numFmtId="0" fontId="2" fillId="0" borderId="0"/>
    <xf numFmtId="0" fontId="1" fillId="0" borderId="0"/>
    <xf numFmtId="0" fontId="40" fillId="0" borderId="0"/>
    <xf numFmtId="0" fontId="40" fillId="0" borderId="0"/>
    <xf numFmtId="0" fontId="40" fillId="0" borderId="0"/>
    <xf numFmtId="0" fontId="40" fillId="0" borderId="0"/>
    <xf numFmtId="0" fontId="2" fillId="0" borderId="0"/>
    <xf numFmtId="9" fontId="2" fillId="0" borderId="0" applyFont="0" applyFill="0" applyBorder="0" applyAlignment="0" applyProtection="0"/>
    <xf numFmtId="9" fontId="50" fillId="0" borderId="0"/>
    <xf numFmtId="9" fontId="2" fillId="0" borderId="0" applyFont="0" applyFill="0" applyBorder="0" applyAlignment="0" applyProtection="0"/>
    <xf numFmtId="9" fontId="1" fillId="0" borderId="0" applyFont="0" applyFill="0" applyBorder="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35" applyNumberFormat="0" applyFill="0" applyAlignment="0" applyProtection="0"/>
    <xf numFmtId="0" fontId="11" fillId="0" borderId="28" applyNumberFormat="0" applyFill="0" applyAlignment="0" applyProtection="0"/>
    <xf numFmtId="44" fontId="2" fillId="0" borderId="0" applyFont="0" applyFill="0" applyBorder="0" applyAlignment="0" applyProtection="0"/>
    <xf numFmtId="43" fontId="2" fillId="0" borderId="0" applyFont="0" applyFill="0" applyBorder="0" applyAlignment="0" applyProtection="0"/>
    <xf numFmtId="0" fontId="8" fillId="0" borderId="0"/>
    <xf numFmtId="168" fontId="2" fillId="0" borderId="0"/>
    <xf numFmtId="0" fontId="8" fillId="0" borderId="0"/>
    <xf numFmtId="0" fontId="8" fillId="12" borderId="27" applyNumberFormat="0" applyFont="0" applyAlignment="0" applyProtection="0"/>
    <xf numFmtId="9" fontId="8" fillId="0" borderId="0" applyFont="0" applyFill="0" applyBorder="0" applyAlignment="0" applyProtection="0"/>
    <xf numFmtId="0" fontId="2"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4" borderId="0" applyNumberFormat="0" applyBorder="0" applyAlignment="0" applyProtection="0"/>
    <xf numFmtId="0" fontId="8" fillId="15" borderId="0" applyNumberFormat="0" applyBorder="0" applyAlignment="0" applyProtection="0"/>
    <xf numFmtId="0" fontId="2" fillId="0" borderId="0"/>
    <xf numFmtId="0" fontId="2" fillId="0" borderId="0"/>
    <xf numFmtId="0" fontId="8" fillId="18" borderId="0" applyNumberFormat="0" applyBorder="0" applyAlignment="0" applyProtection="0"/>
    <xf numFmtId="0" fontId="2" fillId="0" borderId="0"/>
    <xf numFmtId="0" fontId="2" fillId="0" borderId="0"/>
    <xf numFmtId="0" fontId="8" fillId="22" borderId="0" applyNumberFormat="0" applyBorder="0" applyAlignment="0" applyProtection="0"/>
    <xf numFmtId="0" fontId="8" fillId="23" borderId="0" applyNumberFormat="0" applyBorder="0" applyAlignment="0" applyProtection="0"/>
    <xf numFmtId="0" fontId="2" fillId="0" borderId="0"/>
    <xf numFmtId="0" fontId="2" fillId="0" borderId="0"/>
    <xf numFmtId="0" fontId="8" fillId="26" borderId="0" applyNumberFormat="0" applyBorder="0" applyAlignment="0" applyProtection="0"/>
    <xf numFmtId="0" fontId="8" fillId="27" borderId="0" applyNumberFormat="0" applyBorder="0" applyAlignment="0" applyProtection="0"/>
    <xf numFmtId="0" fontId="2" fillId="0" borderId="0"/>
    <xf numFmtId="0" fontId="8" fillId="31" borderId="0" applyNumberFormat="0" applyBorder="0" applyAlignment="0" applyProtection="0"/>
    <xf numFmtId="0" fontId="2" fillId="0" borderId="0"/>
    <xf numFmtId="0" fontId="2" fillId="0" borderId="0"/>
    <xf numFmtId="0" fontId="8" fillId="34" borderId="0" applyNumberFormat="0" applyBorder="0" applyAlignment="0" applyProtection="0"/>
    <xf numFmtId="0" fontId="8" fillId="35" borderId="0" applyNumberFormat="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19" borderId="0" applyNumberFormat="0" applyBorder="0" applyAlignment="0" applyProtection="0"/>
    <xf numFmtId="0" fontId="2" fillId="0" borderId="0"/>
    <xf numFmtId="0" fontId="8" fillId="3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2" fillId="0" borderId="0"/>
    <xf numFmtId="0" fontId="2"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168"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2" fillId="0" borderId="0"/>
    <xf numFmtId="0" fontId="8" fillId="0" borderId="0"/>
    <xf numFmtId="0" fontId="8" fillId="41"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0" fontId="8" fillId="39" borderId="0" applyNumberFormat="0" applyBorder="0" applyAlignment="0" applyProtection="0"/>
    <xf numFmtId="44" fontId="8" fillId="0" borderId="0" applyFont="0" applyFill="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0" borderId="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2" borderId="27" applyNumberFormat="0" applyFont="0" applyAlignment="0" applyProtection="0"/>
    <xf numFmtId="0" fontId="8" fillId="42" borderId="0" applyNumberFormat="0" applyBorder="0" applyAlignment="0" applyProtection="0"/>
    <xf numFmtId="9"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42" borderId="0" applyNumberFormat="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0" borderId="0"/>
    <xf numFmtId="0" fontId="8" fillId="40" borderId="0" applyNumberFormat="0" applyBorder="0" applyAlignment="0" applyProtection="0"/>
    <xf numFmtId="0" fontId="8" fillId="12" borderId="27" applyNumberFormat="0" applyFont="0" applyAlignment="0" applyProtection="0"/>
    <xf numFmtId="0" fontId="8" fillId="43"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40" borderId="0" applyNumberFormat="0" applyBorder="0" applyAlignment="0" applyProtection="0"/>
    <xf numFmtId="0" fontId="8" fillId="0" borderId="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43"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40" borderId="0" applyNumberFormat="0" applyBorder="0" applyAlignment="0" applyProtection="0"/>
    <xf numFmtId="44" fontId="8" fillId="0" borderId="0" applyFont="0" applyFill="0" applyBorder="0" applyAlignment="0" applyProtection="0"/>
    <xf numFmtId="0" fontId="8" fillId="42"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43" fontId="8" fillId="0" borderId="0" applyFont="0" applyFill="0" applyBorder="0" applyAlignment="0" applyProtection="0"/>
    <xf numFmtId="0" fontId="8" fillId="42" borderId="0" applyNumberFormat="0" applyBorder="0" applyAlignment="0" applyProtection="0"/>
    <xf numFmtId="44" fontId="8" fillId="0" borderId="0" applyFont="0" applyFill="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0" borderId="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43" borderId="0" applyNumberFormat="0" applyBorder="0" applyAlignment="0" applyProtection="0"/>
    <xf numFmtId="0" fontId="8" fillId="0" borderId="0"/>
    <xf numFmtId="168" fontId="8" fillId="0" borderId="0"/>
    <xf numFmtId="0" fontId="8" fillId="0" borderId="0"/>
    <xf numFmtId="168" fontId="8" fillId="0" borderId="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22"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4"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15"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1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18"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15"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5" borderId="0" applyNumberFormat="0" applyBorder="0" applyAlignment="0" applyProtection="0"/>
    <xf numFmtId="0" fontId="8" fillId="39" borderId="0" applyNumberFormat="0" applyBorder="0" applyAlignment="0" applyProtection="0"/>
    <xf numFmtId="0" fontId="8" fillId="2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26"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3"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19"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14"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23" borderId="0" applyNumberFormat="0" applyBorder="0" applyAlignment="0" applyProtection="0"/>
    <xf numFmtId="0" fontId="8" fillId="4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2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0" fontId="8" fillId="12"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44" fontId="8" fillId="0" borderId="0" applyFont="0" applyFill="0" applyBorder="0" applyAlignment="0" applyProtection="0"/>
    <xf numFmtId="43" fontId="8" fillId="0" borderId="0" applyFont="0" applyFill="0" applyBorder="0" applyAlignment="0" applyProtection="0"/>
    <xf numFmtId="0" fontId="8" fillId="35" borderId="0" applyNumberFormat="0" applyBorder="0" applyAlignment="0" applyProtection="0"/>
    <xf numFmtId="0" fontId="8" fillId="31"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8" fillId="19" borderId="0" applyNumberFormat="0" applyBorder="0" applyAlignment="0" applyProtection="0"/>
    <xf numFmtId="0" fontId="8" fillId="15" borderId="0" applyNumberFormat="0" applyBorder="0" applyAlignment="0" applyProtection="0"/>
    <xf numFmtId="0" fontId="8" fillId="30" borderId="0" applyNumberFormat="0" applyBorder="0" applyAlignment="0" applyProtection="0"/>
    <xf numFmtId="0" fontId="8" fillId="26" borderId="0" applyNumberFormat="0" applyBorder="0" applyAlignment="0" applyProtection="0"/>
    <xf numFmtId="0" fontId="8" fillId="22" borderId="0" applyNumberFormat="0" applyBorder="0" applyAlignment="0" applyProtection="0"/>
    <xf numFmtId="0" fontId="8" fillId="18" borderId="0" applyNumberFormat="0" applyBorder="0" applyAlignment="0" applyProtection="0"/>
    <xf numFmtId="0" fontId="8" fillId="14" borderId="0" applyNumberFormat="0" applyBorder="0" applyAlignment="0" applyProtection="0"/>
    <xf numFmtId="0" fontId="8" fillId="34" borderId="0" applyNumberFormat="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0" fontId="8" fillId="14"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0" fontId="8" fillId="18"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0" fontId="8" fillId="0" borderId="0"/>
    <xf numFmtId="168" fontId="8" fillId="0" borderId="0"/>
    <xf numFmtId="0" fontId="8" fillId="0" borderId="0"/>
    <xf numFmtId="168"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168" fontId="8" fillId="0" borderId="0"/>
    <xf numFmtId="0"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12" borderId="27" applyNumberFormat="0" applyFont="0" applyAlignment="0" applyProtection="0"/>
    <xf numFmtId="0" fontId="8" fillId="12" borderId="2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12" borderId="27"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12" borderId="2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12" borderId="27" applyNumberFormat="0" applyFont="0" applyAlignment="0" applyProtection="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12" borderId="27" applyNumberFormat="0" applyFont="0" applyAlignment="0" applyProtection="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40" fillId="0" borderId="0"/>
    <xf numFmtId="43" fontId="1" fillId="0" borderId="0" applyFont="0" applyFill="0" applyBorder="0" applyAlignment="0" applyProtection="0"/>
    <xf numFmtId="0" fontId="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43" fontId="2" fillId="0" borderId="0" applyFont="0" applyFill="0" applyBorder="0" applyAlignment="0" applyProtection="0"/>
    <xf numFmtId="0" fontId="8" fillId="0" borderId="0"/>
    <xf numFmtId="0" fontId="8" fillId="0" borderId="0"/>
    <xf numFmtId="0" fontId="8" fillId="0" borderId="0"/>
    <xf numFmtId="0" fontId="8" fillId="0" borderId="0"/>
    <xf numFmtId="37" fontId="40"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36" fillId="0" borderId="0"/>
    <xf numFmtId="0" fontId="8" fillId="0" borderId="0"/>
    <xf numFmtId="0" fontId="8" fillId="0" borderId="0"/>
    <xf numFmtId="0" fontId="8" fillId="0" borderId="0"/>
    <xf numFmtId="0" fontId="8" fillId="0" borderId="0"/>
    <xf numFmtId="168" fontId="8" fillId="0" borderId="0"/>
    <xf numFmtId="0" fontId="36" fillId="0" borderId="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168" fontId="8" fillId="0" borderId="0"/>
    <xf numFmtId="168"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xf numFmtId="0" fontId="8" fillId="0" borderId="0"/>
    <xf numFmtId="0" fontId="8" fillId="0" borderId="0"/>
    <xf numFmtId="0" fontId="8" fillId="0" borderId="0"/>
    <xf numFmtId="0" fontId="8" fillId="0" borderId="0"/>
    <xf numFmtId="168" fontId="8" fillId="0" borderId="0"/>
    <xf numFmtId="9" fontId="8" fillId="0" borderId="0" applyFont="0" applyFill="0" applyBorder="0" applyAlignment="0" applyProtection="0"/>
    <xf numFmtId="43" fontId="8" fillId="0" borderId="0" applyFont="0" applyFill="0" applyBorder="0" applyAlignment="0" applyProtection="0"/>
    <xf numFmtId="0" fontId="2" fillId="0" borderId="0"/>
    <xf numFmtId="0" fontId="12" fillId="11" borderId="26" applyNumberFormat="0" applyAlignment="0" applyProtection="0"/>
    <xf numFmtId="0" fontId="29" fillId="0" borderId="0" applyNumberFormat="0" applyFill="0" applyBorder="0" applyAlignment="0" applyProtection="0"/>
    <xf numFmtId="0" fontId="8" fillId="12" borderId="27" applyNumberFormat="0" applyFont="0" applyAlignment="0" applyProtection="0"/>
    <xf numFmtId="0" fontId="30" fillId="0" borderId="0" applyNumberFormat="0" applyFill="0" applyBorder="0" applyAlignment="0" applyProtection="0"/>
    <xf numFmtId="0" fontId="31" fillId="29" borderId="0" applyNumberFormat="0" applyBorder="0" applyAlignment="0" applyProtection="0"/>
    <xf numFmtId="37" fontId="36" fillId="0" borderId="0"/>
    <xf numFmtId="0" fontId="36" fillId="0" borderId="0"/>
    <xf numFmtId="0" fontId="36" fillId="0" borderId="0"/>
    <xf numFmtId="0" fontId="36" fillId="0" borderId="0"/>
    <xf numFmtId="0" fontId="36" fillId="0" borderId="0"/>
    <xf numFmtId="0" fontId="65" fillId="0" borderId="0"/>
    <xf numFmtId="0" fontId="65" fillId="0" borderId="0"/>
    <xf numFmtId="0" fontId="66" fillId="0" borderId="20" applyNumberFormat="0" applyFill="0" applyAlignment="0" applyProtection="0"/>
    <xf numFmtId="0" fontId="67" fillId="0" borderId="21" applyNumberFormat="0" applyFill="0" applyAlignment="0" applyProtection="0"/>
    <xf numFmtId="0" fontId="68" fillId="0" borderId="22" applyNumberFormat="0" applyFill="0" applyAlignment="0" applyProtection="0"/>
    <xf numFmtId="0" fontId="68" fillId="0" borderId="0" applyNumberFormat="0" applyFill="0" applyBorder="0" applyAlignment="0" applyProtection="0"/>
    <xf numFmtId="0" fontId="69" fillId="6" borderId="0" applyNumberFormat="0" applyBorder="0" applyAlignment="0" applyProtection="0"/>
    <xf numFmtId="0" fontId="70" fillId="7" borderId="0" applyNumberFormat="0" applyBorder="0" applyAlignment="0" applyProtection="0"/>
    <xf numFmtId="0" fontId="71" fillId="8" borderId="0" applyNumberFormat="0" applyBorder="0" applyAlignment="0" applyProtection="0"/>
    <xf numFmtId="0" fontId="72" fillId="9" borderId="23" applyNumberFormat="0" applyAlignment="0" applyProtection="0"/>
    <xf numFmtId="0" fontId="73" fillId="10" borderId="24" applyNumberFormat="0" applyAlignment="0" applyProtection="0"/>
    <xf numFmtId="0" fontId="74" fillId="10" borderId="23" applyNumberFormat="0" applyAlignment="0" applyProtection="0"/>
    <xf numFmtId="0" fontId="75" fillId="0" borderId="25" applyNumberFormat="0" applyFill="0" applyAlignment="0" applyProtection="0"/>
    <xf numFmtId="0" fontId="76" fillId="11" borderId="26" applyNumberFormat="0" applyAlignment="0" applyProtection="0"/>
    <xf numFmtId="0" fontId="77" fillId="0" borderId="0" applyNumberFormat="0" applyFill="0" applyBorder="0" applyAlignment="0" applyProtection="0"/>
    <xf numFmtId="0" fontId="65" fillId="12" borderId="27" applyNumberFormat="0" applyFont="0" applyAlignment="0" applyProtection="0"/>
    <xf numFmtId="0" fontId="78" fillId="0" borderId="0" applyNumberFormat="0" applyFill="0" applyBorder="0" applyAlignment="0" applyProtection="0"/>
    <xf numFmtId="0" fontId="79" fillId="0" borderId="28" applyNumberFormat="0" applyFill="0" applyAlignment="0" applyProtection="0"/>
    <xf numFmtId="0" fontId="80" fillId="13"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65" fillId="22" borderId="0" applyNumberFormat="0" applyBorder="0" applyAlignment="0" applyProtection="0"/>
    <xf numFmtId="0" fontId="65"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80" fillId="36" borderId="0" applyNumberFormat="0" applyBorder="0" applyAlignment="0" applyProtection="0"/>
    <xf numFmtId="44" fontId="65" fillId="0" borderId="0" applyFont="0" applyFill="0" applyBorder="0" applyAlignment="0" applyProtection="0"/>
    <xf numFmtId="43" fontId="65" fillId="0" borderId="0" applyFont="0" applyFill="0" applyBorder="0" applyAlignment="0" applyProtection="0"/>
    <xf numFmtId="0" fontId="2" fillId="0" borderId="0">
      <alignment vertical="top"/>
    </xf>
    <xf numFmtId="4" fontId="2" fillId="0" borderId="0" applyFont="0" applyFill="0" applyBorder="0" applyAlignment="0" applyProtection="0"/>
    <xf numFmtId="7" fontId="2" fillId="0" borderId="0" applyFont="0" applyFill="0" applyBorder="0" applyAlignment="0" applyProtection="0"/>
    <xf numFmtId="0" fontId="81" fillId="0" borderId="0" applyNumberFormat="0" applyFont="0" applyFill="0" applyAlignment="0" applyProtection="0"/>
    <xf numFmtId="0" fontId="64" fillId="0" borderId="0" applyNumberFormat="0" applyFont="0" applyFill="0" applyAlignment="0" applyProtection="0"/>
    <xf numFmtId="0" fontId="2" fillId="0" borderId="38" applyNumberFormat="0" applyFont="0" applyBorder="0" applyAlignment="0" applyProtection="0"/>
    <xf numFmtId="0" fontId="2" fillId="0" borderId="0">
      <alignment vertical="top"/>
    </xf>
    <xf numFmtId="0" fontId="2" fillId="0" borderId="0">
      <alignment vertical="top"/>
    </xf>
    <xf numFmtId="44" fontId="65" fillId="0" borderId="0" applyFont="0" applyFill="0" applyBorder="0" applyAlignment="0" applyProtection="0"/>
    <xf numFmtId="9" fontId="65" fillId="0" borderId="0" applyFont="0" applyFill="0" applyBorder="0" applyAlignment="0" applyProtection="0"/>
    <xf numFmtId="0" fontId="35" fillId="0" borderId="0" applyNumberFormat="0" applyFill="0" applyBorder="0" applyAlignment="0" applyProtection="0">
      <alignment vertical="top"/>
      <protection locked="0"/>
    </xf>
    <xf numFmtId="43" fontId="2" fillId="0" borderId="0" applyFont="0" applyFill="0" applyBorder="0" applyAlignment="0" applyProtection="0"/>
    <xf numFmtId="0" fontId="82" fillId="0" borderId="0" applyNumberFormat="0" applyFill="0" applyBorder="0" applyAlignment="0" applyProtection="0"/>
    <xf numFmtId="43" fontId="8" fillId="0" borderId="0" applyFont="0" applyFill="0" applyBorder="0" applyAlignment="0" applyProtection="0"/>
    <xf numFmtId="0" fontId="18" fillId="0" borderId="0" applyNumberFormat="0" applyFill="0" applyBorder="0" applyAlignment="0" applyProtection="0"/>
    <xf numFmtId="0" fontId="83" fillId="0" borderId="0"/>
    <xf numFmtId="0" fontId="84" fillId="8"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44" fontId="8" fillId="0" borderId="0" applyFont="0" applyFill="0" applyBorder="0" applyAlignment="0" applyProtection="0"/>
    <xf numFmtId="0" fontId="119" fillId="0" borderId="0"/>
  </cellStyleXfs>
  <cellXfs count="1804">
    <xf numFmtId="0" fontId="0" fillId="0" borderId="0" xfId="0"/>
    <xf numFmtId="0" fontId="11" fillId="0" borderId="0" xfId="0" applyFont="1"/>
    <xf numFmtId="0" fontId="0" fillId="0" borderId="0" xfId="0" applyAlignment="1">
      <alignment wrapText="1"/>
    </xf>
    <xf numFmtId="0" fontId="13" fillId="0" borderId="0" xfId="0" applyFont="1" applyAlignment="1">
      <alignment wrapText="1"/>
    </xf>
    <xf numFmtId="43" fontId="8" fillId="0" borderId="0" xfId="4" applyFont="1" applyProtection="1"/>
    <xf numFmtId="172" fontId="0" fillId="0" borderId="0" xfId="0" applyNumberFormat="1"/>
    <xf numFmtId="0" fontId="2" fillId="0" borderId="0" xfId="6628"/>
    <xf numFmtId="172" fontId="2" fillId="0" borderId="0" xfId="6628" applyNumberFormat="1"/>
    <xf numFmtId="0" fontId="85" fillId="0" borderId="0" xfId="6628" applyFont="1"/>
    <xf numFmtId="0" fontId="86" fillId="0" borderId="0" xfId="6628" applyFont="1"/>
    <xf numFmtId="0" fontId="87" fillId="0" borderId="0" xfId="6628" applyFont="1"/>
    <xf numFmtId="0" fontId="91" fillId="0" borderId="0" xfId="0" applyFont="1" applyAlignment="1">
      <alignment vertical="center"/>
    </xf>
    <xf numFmtId="0" fontId="95" fillId="0" borderId="0" xfId="8" applyFont="1"/>
    <xf numFmtId="0" fontId="94" fillId="0" borderId="0" xfId="8" applyFont="1"/>
    <xf numFmtId="9" fontId="94" fillId="0" borderId="0" xfId="10" applyFont="1" applyProtection="1"/>
    <xf numFmtId="172" fontId="93" fillId="0" borderId="0" xfId="6628" applyNumberFormat="1" applyFont="1"/>
    <xf numFmtId="174" fontId="2" fillId="0" borderId="0" xfId="6628" applyNumberFormat="1"/>
    <xf numFmtId="172" fontId="2" fillId="0" borderId="1" xfId="6628" applyNumberFormat="1" applyBorder="1"/>
    <xf numFmtId="172" fontId="95" fillId="0" borderId="0" xfId="6628" applyNumberFormat="1" applyFont="1"/>
    <xf numFmtId="0" fontId="87" fillId="0" borderId="0" xfId="0" applyFont="1"/>
    <xf numFmtId="0" fontId="86" fillId="0" borderId="0" xfId="0" applyFont="1"/>
    <xf numFmtId="0" fontId="88" fillId="64" borderId="0" xfId="0" applyFont="1" applyFill="1"/>
    <xf numFmtId="0" fontId="99" fillId="64" borderId="0" xfId="0" quotePrefix="1" applyFont="1" applyFill="1"/>
    <xf numFmtId="0" fontId="15" fillId="0" borderId="0" xfId="6628" applyFont="1"/>
    <xf numFmtId="0" fontId="98" fillId="5" borderId="0" xfId="6628" applyFont="1" applyFill="1"/>
    <xf numFmtId="0" fontId="64" fillId="5" borderId="0" xfId="6628" applyFont="1" applyFill="1"/>
    <xf numFmtId="0" fontId="14" fillId="0" borderId="0" xfId="8" applyFont="1" applyAlignment="1">
      <alignment horizontal="center"/>
    </xf>
    <xf numFmtId="0" fontId="15" fillId="5" borderId="0" xfId="6628" applyFont="1" applyFill="1"/>
    <xf numFmtId="44" fontId="95" fillId="0" borderId="0" xfId="8" applyNumberFormat="1" applyFont="1"/>
    <xf numFmtId="173" fontId="95" fillId="0" borderId="0" xfId="8" applyNumberFormat="1" applyFont="1"/>
    <xf numFmtId="0" fontId="103" fillId="0" borderId="0" xfId="0" applyFont="1"/>
    <xf numFmtId="0" fontId="92" fillId="0" borderId="0" xfId="0" applyFont="1"/>
    <xf numFmtId="0" fontId="92" fillId="0" borderId="0" xfId="0" applyFont="1" applyAlignment="1">
      <alignment horizontal="center"/>
    </xf>
    <xf numFmtId="0" fontId="91" fillId="0" borderId="0" xfId="0" applyFont="1"/>
    <xf numFmtId="174" fontId="92" fillId="0" borderId="0" xfId="0" applyNumberFormat="1" applyFont="1" applyAlignment="1">
      <alignment horizontal="center"/>
    </xf>
    <xf numFmtId="0" fontId="104" fillId="64" borderId="0" xfId="0" applyFont="1" applyFill="1"/>
    <xf numFmtId="0" fontId="94" fillId="0" borderId="0" xfId="6628" applyFont="1"/>
    <xf numFmtId="0" fontId="104" fillId="5" borderId="0" xfId="0" applyFont="1" applyFill="1"/>
    <xf numFmtId="0" fontId="92" fillId="5" borderId="0" xfId="0" applyFont="1" applyFill="1"/>
    <xf numFmtId="0" fontId="94" fillId="0" borderId="0" xfId="0" applyFont="1"/>
    <xf numFmtId="0" fontId="100" fillId="0" borderId="0" xfId="0" applyFont="1"/>
    <xf numFmtId="0" fontId="91" fillId="3" borderId="0" xfId="0" applyFont="1" applyFill="1"/>
    <xf numFmtId="0" fontId="91" fillId="0" borderId="0" xfId="0" applyFont="1" applyAlignment="1">
      <alignment horizontal="center"/>
    </xf>
    <xf numFmtId="0" fontId="91" fillId="0" borderId="0" xfId="0" applyFont="1" applyAlignment="1">
      <alignment wrapText="1"/>
    </xf>
    <xf numFmtId="0" fontId="91" fillId="0" borderId="0" xfId="0" applyFont="1" applyAlignment="1">
      <alignment horizontal="left" wrapText="1"/>
    </xf>
    <xf numFmtId="8" fontId="91" fillId="3" borderId="0" xfId="0" applyNumberFormat="1" applyFont="1" applyFill="1"/>
    <xf numFmtId="0" fontId="92" fillId="3" borderId="0" xfId="0" applyFont="1" applyFill="1"/>
    <xf numFmtId="6" fontId="92" fillId="0" borderId="0" xfId="0" applyNumberFormat="1" applyFont="1" applyAlignment="1">
      <alignment horizontal="center" wrapText="1"/>
    </xf>
    <xf numFmtId="0" fontId="92" fillId="0" borderId="0" xfId="0" applyFont="1" applyAlignment="1">
      <alignment horizontal="center" wrapText="1"/>
    </xf>
    <xf numFmtId="8" fontId="91" fillId="0" borderId="0" xfId="0" applyNumberFormat="1" applyFont="1"/>
    <xf numFmtId="172" fontId="91" fillId="0" borderId="0" xfId="0" applyNumberFormat="1" applyFont="1"/>
    <xf numFmtId="172" fontId="91" fillId="0" borderId="0" xfId="0" applyNumberFormat="1" applyFont="1" applyAlignment="1">
      <alignment horizontal="center"/>
    </xf>
    <xf numFmtId="165" fontId="91" fillId="0" borderId="0" xfId="0" applyNumberFormat="1" applyFont="1" applyAlignment="1">
      <alignment horizontal="center"/>
    </xf>
    <xf numFmtId="164" fontId="91" fillId="3" borderId="0" xfId="0" applyNumberFormat="1" applyFont="1" applyFill="1"/>
    <xf numFmtId="172" fontId="91" fillId="0" borderId="0" xfId="0" applyNumberFormat="1" applyFont="1" applyAlignment="1">
      <alignment horizontal="center" vertical="top"/>
    </xf>
    <xf numFmtId="174" fontId="91" fillId="0" borderId="0" xfId="0" applyNumberFormat="1" applyFont="1"/>
    <xf numFmtId="0" fontId="92" fillId="59" borderId="0" xfId="0" applyFont="1" applyFill="1"/>
    <xf numFmtId="0" fontId="92" fillId="0" borderId="1" xfId="0" applyFont="1" applyBorder="1" applyAlignment="1">
      <alignment horizontal="center"/>
    </xf>
    <xf numFmtId="165" fontId="91" fillId="0" borderId="0" xfId="0" applyNumberFormat="1" applyFont="1"/>
    <xf numFmtId="165" fontId="91" fillId="0" borderId="0" xfId="0" applyNumberFormat="1" applyFont="1" applyAlignment="1">
      <alignment horizontal="center" vertical="top"/>
    </xf>
    <xf numFmtId="5" fontId="91" fillId="0" borderId="0" xfId="0" applyNumberFormat="1" applyFont="1"/>
    <xf numFmtId="7" fontId="91" fillId="0" borderId="0" xfId="0" applyNumberFormat="1" applyFont="1"/>
    <xf numFmtId="0" fontId="91" fillId="62" borderId="1" xfId="0" applyFont="1" applyFill="1" applyBorder="1"/>
    <xf numFmtId="0" fontId="91" fillId="0" borderId="1" xfId="0" applyFont="1" applyBorder="1"/>
    <xf numFmtId="0" fontId="91" fillId="0" borderId="0" xfId="0" applyFont="1" applyAlignment="1">
      <alignment horizontal="left" indent="1"/>
    </xf>
    <xf numFmtId="0" fontId="92" fillId="0" borderId="0" xfId="0" applyFont="1" applyAlignment="1">
      <alignment horizontal="right"/>
    </xf>
    <xf numFmtId="0" fontId="100" fillId="0" borderId="0" xfId="7" applyFont="1" applyFill="1" applyBorder="1" applyAlignment="1" applyProtection="1">
      <alignment horizontal="right" wrapText="1" indent="1"/>
    </xf>
    <xf numFmtId="0" fontId="100" fillId="0" borderId="0" xfId="7" applyFont="1" applyBorder="1" applyAlignment="1" applyProtection="1">
      <alignment horizontal="right" wrapText="1" indent="1"/>
    </xf>
    <xf numFmtId="164" fontId="91" fillId="3" borderId="0" xfId="0" applyNumberFormat="1" applyFont="1" applyFill="1" applyAlignment="1">
      <alignment horizontal="center" vertical="top"/>
    </xf>
    <xf numFmtId="0" fontId="91" fillId="3" borderId="1" xfId="0" applyFont="1" applyFill="1" applyBorder="1"/>
    <xf numFmtId="0" fontId="91" fillId="3" borderId="47" xfId="0" applyFont="1" applyFill="1" applyBorder="1"/>
    <xf numFmtId="164" fontId="91" fillId="3" borderId="47" xfId="0" applyNumberFormat="1" applyFont="1" applyFill="1" applyBorder="1" applyAlignment="1">
      <alignment horizontal="center" vertical="top"/>
    </xf>
    <xf numFmtId="0" fontId="91" fillId="0" borderId="47" xfId="0" applyFont="1" applyBorder="1"/>
    <xf numFmtId="0" fontId="92" fillId="3" borderId="0" xfId="0" applyFont="1" applyFill="1" applyAlignment="1">
      <alignment horizontal="right"/>
    </xf>
    <xf numFmtId="0" fontId="92" fillId="3" borderId="0" xfId="0" applyFont="1" applyFill="1" applyAlignment="1">
      <alignment horizontal="center"/>
    </xf>
    <xf numFmtId="0" fontId="92" fillId="0" borderId="1" xfId="0" applyFont="1" applyBorder="1" applyAlignment="1">
      <alignment horizontal="right"/>
    </xf>
    <xf numFmtId="9" fontId="91" fillId="3" borderId="0" xfId="9" applyFont="1" applyFill="1" applyBorder="1" applyAlignment="1">
      <alignment horizontal="center" vertical="top"/>
    </xf>
    <xf numFmtId="0" fontId="100" fillId="0" borderId="0" xfId="7" applyFont="1" applyFill="1" applyBorder="1" applyAlignment="1" applyProtection="1">
      <alignment horizontal="right" wrapText="1"/>
    </xf>
    <xf numFmtId="0" fontId="102" fillId="0" borderId="0" xfId="0" applyFont="1"/>
    <xf numFmtId="0" fontId="100" fillId="0" borderId="0" xfId="7" applyFont="1" applyBorder="1" applyAlignment="1" applyProtection="1">
      <alignment horizontal="right" wrapText="1"/>
    </xf>
    <xf numFmtId="0" fontId="105" fillId="0" borderId="0" xfId="0" applyFont="1"/>
    <xf numFmtId="44" fontId="92" fillId="0" borderId="0" xfId="6" applyFont="1" applyAlignment="1" applyProtection="1">
      <alignment horizontal="center"/>
    </xf>
    <xf numFmtId="0" fontId="94" fillId="62" borderId="0" xfId="8" applyFont="1" applyFill="1"/>
    <xf numFmtId="0" fontId="94" fillId="59" borderId="0" xfId="8" applyFont="1" applyFill="1"/>
    <xf numFmtId="0" fontId="92" fillId="0" borderId="0" xfId="8" applyFont="1" applyAlignment="1">
      <alignment horizontal="center"/>
    </xf>
    <xf numFmtId="44" fontId="94" fillId="0" borderId="0" xfId="6" applyFont="1" applyBorder="1" applyProtection="1"/>
    <xf numFmtId="0" fontId="94" fillId="60" borderId="0" xfId="8" applyFont="1" applyFill="1"/>
    <xf numFmtId="44" fontId="94" fillId="60" borderId="0" xfId="6" applyFont="1" applyFill="1" applyBorder="1" applyProtection="1"/>
    <xf numFmtId="0" fontId="94" fillId="62" borderId="0" xfId="8" applyFont="1" applyFill="1" applyAlignment="1">
      <alignment horizontal="center" wrapText="1"/>
    </xf>
    <xf numFmtId="44" fontId="94" fillId="62" borderId="0" xfId="6" applyFont="1" applyFill="1" applyBorder="1" applyAlignment="1" applyProtection="1">
      <alignment horizontal="center"/>
    </xf>
    <xf numFmtId="0" fontId="91" fillId="0" borderId="0" xfId="0" quotePrefix="1" applyFont="1"/>
    <xf numFmtId="10" fontId="91" fillId="0" borderId="7" xfId="9" applyNumberFormat="1" applyFont="1" applyFill="1" applyBorder="1" applyAlignment="1">
      <alignment horizontal="left" vertical="top"/>
    </xf>
    <xf numFmtId="10" fontId="91" fillId="3" borderId="0" xfId="9" applyNumberFormat="1" applyFont="1" applyFill="1" applyBorder="1" applyAlignment="1">
      <alignment horizontal="left" vertical="top"/>
    </xf>
    <xf numFmtId="10" fontId="91" fillId="0" borderId="0" xfId="9" applyNumberFormat="1" applyFont="1" applyFill="1" applyBorder="1" applyAlignment="1">
      <alignment horizontal="left" vertical="top"/>
    </xf>
    <xf numFmtId="0" fontId="92" fillId="0" borderId="0" xfId="0" applyFont="1" applyAlignment="1">
      <alignment horizontal="left"/>
    </xf>
    <xf numFmtId="164" fontId="92" fillId="0" borderId="0" xfId="0" applyNumberFormat="1" applyFont="1" applyAlignment="1">
      <alignment horizontal="center"/>
    </xf>
    <xf numFmtId="0" fontId="91" fillId="3" borderId="0" xfId="0" applyFont="1" applyFill="1" applyAlignment="1">
      <alignment horizontal="center" vertical="top"/>
    </xf>
    <xf numFmtId="0" fontId="91" fillId="0" borderId="0" xfId="0" applyFont="1" applyAlignment="1">
      <alignment horizontal="left"/>
    </xf>
    <xf numFmtId="0" fontId="91" fillId="3" borderId="0" xfId="0" applyFont="1" applyFill="1" applyAlignment="1">
      <alignment horizontal="center"/>
    </xf>
    <xf numFmtId="164" fontId="91" fillId="0" borderId="0" xfId="0" applyNumberFormat="1" applyFont="1" applyAlignment="1">
      <alignment horizontal="center" vertical="top"/>
    </xf>
    <xf numFmtId="172" fontId="91" fillId="0" borderId="0" xfId="0" applyNumberFormat="1" applyFont="1" applyAlignment="1">
      <alignment horizontal="right" vertical="top"/>
    </xf>
    <xf numFmtId="0" fontId="91" fillId="3" borderId="7" xfId="0" applyFont="1" applyFill="1" applyBorder="1"/>
    <xf numFmtId="9" fontId="92" fillId="3" borderId="0" xfId="9" applyFont="1" applyFill="1" applyBorder="1" applyAlignment="1">
      <alignment horizontal="center" vertical="top"/>
    </xf>
    <xf numFmtId="164" fontId="91" fillId="0" borderId="0" xfId="0" applyNumberFormat="1" applyFont="1" applyAlignment="1">
      <alignment horizontal="center"/>
    </xf>
    <xf numFmtId="1" fontId="92" fillId="0" borderId="0" xfId="0" applyNumberFormat="1" applyFont="1" applyAlignment="1">
      <alignment horizontal="center"/>
    </xf>
    <xf numFmtId="0" fontId="104" fillId="61" borderId="0" xfId="0" applyFont="1" applyFill="1"/>
    <xf numFmtId="1" fontId="92" fillId="0" borderId="0" xfId="0" applyNumberFormat="1" applyFont="1" applyAlignment="1">
      <alignment horizontal="left"/>
    </xf>
    <xf numFmtId="174" fontId="91" fillId="0" borderId="0" xfId="0" applyNumberFormat="1" applyFont="1" applyAlignment="1">
      <alignment horizontal="center"/>
    </xf>
    <xf numFmtId="172" fontId="91" fillId="0" borderId="1" xfId="0" applyNumberFormat="1" applyFont="1" applyBorder="1" applyAlignment="1">
      <alignment horizontal="center"/>
    </xf>
    <xf numFmtId="0" fontId="91" fillId="0" borderId="0" xfId="0" applyFont="1" applyProtection="1">
      <protection hidden="1"/>
    </xf>
    <xf numFmtId="1" fontId="92" fillId="0" borderId="0" xfId="0" applyNumberFormat="1" applyFont="1" applyAlignment="1" applyProtection="1">
      <alignment horizontal="center"/>
      <protection hidden="1"/>
    </xf>
    <xf numFmtId="172" fontId="91" fillId="0" borderId="0" xfId="0" applyNumberFormat="1" applyFont="1" applyAlignment="1" applyProtection="1">
      <alignment horizontal="center"/>
      <protection hidden="1"/>
    </xf>
    <xf numFmtId="0" fontId="109" fillId="64" borderId="0" xfId="0" applyFont="1" applyFill="1"/>
    <xf numFmtId="0" fontId="61" fillId="64" borderId="0" xfId="0" applyFont="1" applyFill="1"/>
    <xf numFmtId="0" fontId="61" fillId="5" borderId="0" xfId="0" applyFont="1" applyFill="1"/>
    <xf numFmtId="0" fontId="110" fillId="5" borderId="0" xfId="0" applyFont="1" applyFill="1"/>
    <xf numFmtId="0" fontId="95" fillId="0" borderId="0" xfId="0" applyFont="1"/>
    <xf numFmtId="0" fontId="92" fillId="0" borderId="0" xfId="8" applyFont="1" applyAlignment="1">
      <alignment horizontal="left"/>
    </xf>
    <xf numFmtId="0" fontId="91" fillId="0" borderId="0" xfId="0" applyFont="1" applyAlignment="1">
      <alignment horizontal="center" wrapText="1"/>
    </xf>
    <xf numFmtId="0" fontId="112" fillId="0" borderId="0" xfId="0" applyFont="1"/>
    <xf numFmtId="0" fontId="85" fillId="0" borderId="0" xfId="0" applyFont="1"/>
    <xf numFmtId="0" fontId="16" fillId="5" borderId="0" xfId="0" applyFont="1" applyFill="1"/>
    <xf numFmtId="0" fontId="106" fillId="3" borderId="0" xfId="0" applyFont="1" applyFill="1"/>
    <xf numFmtId="0" fontId="113" fillId="64" borderId="0" xfId="0" quotePrefix="1" applyFont="1" applyFill="1"/>
    <xf numFmtId="172" fontId="91" fillId="3" borderId="0" xfId="13330" applyNumberFormat="1" applyFont="1" applyFill="1" applyBorder="1" applyAlignment="1">
      <alignment horizontal="center" vertical="top"/>
    </xf>
    <xf numFmtId="0" fontId="91" fillId="0" borderId="57" xfId="0" applyFont="1" applyBorder="1"/>
    <xf numFmtId="172" fontId="92" fillId="3" borderId="57" xfId="0" applyNumberFormat="1" applyFont="1" applyFill="1" applyBorder="1" applyAlignment="1">
      <alignment horizontal="center"/>
    </xf>
    <xf numFmtId="0" fontId="92" fillId="0" borderId="57" xfId="0" applyFont="1" applyBorder="1"/>
    <xf numFmtId="1" fontId="92" fillId="0" borderId="57" xfId="0" applyNumberFormat="1" applyFont="1" applyBorder="1" applyAlignment="1">
      <alignment horizontal="center"/>
    </xf>
    <xf numFmtId="0" fontId="114" fillId="0" borderId="0" xfId="0" applyFont="1" applyAlignment="1">
      <alignment horizontal="center"/>
    </xf>
    <xf numFmtId="174" fontId="91" fillId="0" borderId="0" xfId="0" applyNumberFormat="1" applyFont="1" applyAlignment="1">
      <alignment horizontal="right"/>
    </xf>
    <xf numFmtId="174" fontId="91" fillId="0" borderId="0" xfId="0" applyNumberFormat="1" applyFont="1" applyAlignment="1" applyProtection="1">
      <alignment horizontal="right"/>
      <protection hidden="1"/>
    </xf>
    <xf numFmtId="174" fontId="92" fillId="0" borderId="0" xfId="0" applyNumberFormat="1" applyFont="1" applyAlignment="1" applyProtection="1">
      <alignment horizontal="right"/>
      <protection hidden="1"/>
    </xf>
    <xf numFmtId="174" fontId="92" fillId="0" borderId="0" xfId="0" applyNumberFormat="1" applyFont="1" applyAlignment="1">
      <alignment horizontal="right"/>
    </xf>
    <xf numFmtId="174" fontId="105" fillId="0" borderId="0" xfId="0" applyNumberFormat="1" applyFont="1" applyAlignment="1">
      <alignment horizontal="right"/>
    </xf>
    <xf numFmtId="174" fontId="101" fillId="4" borderId="3" xfId="11" applyNumberFormat="1" applyFont="1" applyAlignment="1" applyProtection="1">
      <alignment horizontal="right"/>
      <protection locked="0"/>
    </xf>
    <xf numFmtId="174" fontId="91" fillId="3" borderId="0" xfId="0" applyNumberFormat="1" applyFont="1" applyFill="1" applyAlignment="1">
      <alignment horizontal="right"/>
    </xf>
    <xf numFmtId="174" fontId="91" fillId="0" borderId="1" xfId="0" applyNumberFormat="1" applyFont="1" applyBorder="1" applyAlignment="1">
      <alignment horizontal="right"/>
    </xf>
    <xf numFmtId="172" fontId="91" fillId="0" borderId="0" xfId="0" applyNumberFormat="1" applyFont="1" applyAlignment="1">
      <alignment horizontal="right"/>
    </xf>
    <xf numFmtId="172" fontId="91" fillId="0" borderId="1" xfId="0" applyNumberFormat="1" applyFont="1" applyBorder="1" applyAlignment="1">
      <alignment horizontal="right"/>
    </xf>
    <xf numFmtId="172" fontId="91" fillId="0" borderId="0" xfId="0" applyNumberFormat="1" applyFont="1" applyAlignment="1" applyProtection="1">
      <alignment horizontal="center" vertical="top"/>
      <protection locked="0"/>
    </xf>
    <xf numFmtId="186" fontId="91" fillId="0" borderId="0" xfId="7" applyNumberFormat="1" applyFont="1" applyFill="1" applyBorder="1" applyAlignment="1" applyProtection="1">
      <alignment horizontal="center" wrapText="1"/>
    </xf>
    <xf numFmtId="0" fontId="91" fillId="0" borderId="0" xfId="7" applyFont="1" applyFill="1" applyBorder="1" applyAlignment="1" applyProtection="1">
      <alignment horizontal="left" wrapText="1"/>
    </xf>
    <xf numFmtId="0" fontId="91" fillId="3" borderId="57" xfId="0" applyFont="1" applyFill="1" applyBorder="1"/>
    <xf numFmtId="172" fontId="91" fillId="0" borderId="0" xfId="0" quotePrefix="1" applyNumberFormat="1" applyFont="1"/>
    <xf numFmtId="0" fontId="96" fillId="4" borderId="3" xfId="11" applyFont="1" applyAlignment="1" applyProtection="1">
      <protection locked="0"/>
    </xf>
    <xf numFmtId="1" fontId="96" fillId="2" borderId="3" xfId="0" applyNumberFormat="1" applyFont="1" applyFill="1" applyBorder="1" applyAlignment="1" applyProtection="1">
      <alignment horizontal="center"/>
      <protection locked="0"/>
    </xf>
    <xf numFmtId="172" fontId="96" fillId="4" borderId="55" xfId="11" applyNumberFormat="1" applyFont="1" applyBorder="1" applyAlignment="1" applyProtection="1">
      <alignment horizontal="center"/>
      <protection locked="0"/>
    </xf>
    <xf numFmtId="172" fontId="96" fillId="4" borderId="55" xfId="11" applyNumberFormat="1" applyFont="1" applyBorder="1" applyAlignment="1" applyProtection="1">
      <alignment horizontal="center" vertical="top"/>
      <protection locked="0"/>
    </xf>
    <xf numFmtId="182" fontId="96" fillId="4" borderId="55" xfId="11" applyNumberFormat="1" applyFont="1" applyBorder="1" applyAlignment="1" applyProtection="1">
      <alignment horizontal="center" vertical="top"/>
      <protection locked="0"/>
    </xf>
    <xf numFmtId="0" fontId="96" fillId="4" borderId="55" xfId="11" applyFont="1" applyBorder="1" applyAlignment="1" applyProtection="1">
      <protection locked="0"/>
    </xf>
    <xf numFmtId="1" fontId="96" fillId="4" borderId="55" xfId="11" applyNumberFormat="1" applyFont="1" applyBorder="1" applyAlignment="1" applyProtection="1">
      <alignment horizontal="center"/>
      <protection locked="0"/>
    </xf>
    <xf numFmtId="0" fontId="91" fillId="0" borderId="1" xfId="0" applyFont="1" applyBorder="1" applyAlignment="1">
      <alignment horizontal="center" wrapText="1"/>
    </xf>
    <xf numFmtId="172" fontId="96" fillId="4" borderId="55" xfId="11" applyNumberFormat="1" applyFont="1" applyBorder="1" applyAlignment="1" applyProtection="1">
      <alignment horizontal="right"/>
      <protection locked="0"/>
    </xf>
    <xf numFmtId="172" fontId="96" fillId="4" borderId="3" xfId="11" applyNumberFormat="1" applyFont="1" applyAlignment="1" applyProtection="1">
      <alignment horizontal="right"/>
      <protection locked="0"/>
    </xf>
    <xf numFmtId="172" fontId="92" fillId="5" borderId="0" xfId="0" applyNumberFormat="1" applyFont="1" applyFill="1" applyAlignment="1">
      <alignment horizontal="center"/>
    </xf>
    <xf numFmtId="172" fontId="91" fillId="3" borderId="0" xfId="0" applyNumberFormat="1" applyFont="1" applyFill="1"/>
    <xf numFmtId="172" fontId="89" fillId="0" borderId="52" xfId="0" applyNumberFormat="1" applyFont="1" applyBorder="1" applyAlignment="1">
      <alignment horizontal="center"/>
    </xf>
    <xf numFmtId="172" fontId="89" fillId="0" borderId="65" xfId="0" applyNumberFormat="1" applyFont="1" applyBorder="1" applyAlignment="1">
      <alignment horizontal="center"/>
    </xf>
    <xf numFmtId="0" fontId="92" fillId="0" borderId="57" xfId="0" applyFont="1" applyBorder="1" applyAlignment="1">
      <alignment horizontal="center"/>
    </xf>
    <xf numFmtId="0" fontId="105" fillId="3" borderId="0" xfId="0" applyFont="1" applyFill="1"/>
    <xf numFmtId="172" fontId="89" fillId="0" borderId="52" xfId="0" applyNumberFormat="1" applyFont="1" applyBorder="1" applyAlignment="1">
      <alignment horizontal="left"/>
    </xf>
    <xf numFmtId="172" fontId="89" fillId="0" borderId="65" xfId="0" applyNumberFormat="1" applyFont="1" applyBorder="1" applyAlignment="1">
      <alignment horizontal="left"/>
    </xf>
    <xf numFmtId="0" fontId="91" fillId="0" borderId="57" xfId="0" applyFont="1" applyBorder="1" applyProtection="1">
      <protection hidden="1"/>
    </xf>
    <xf numFmtId="172" fontId="91" fillId="0" borderId="0" xfId="0" applyNumberFormat="1" applyFont="1" applyAlignment="1">
      <alignment horizontal="left"/>
    </xf>
    <xf numFmtId="0" fontId="91" fillId="61" borderId="0" xfId="0" applyFont="1" applyFill="1"/>
    <xf numFmtId="172" fontId="91" fillId="61" borderId="0" xfId="0" applyNumberFormat="1" applyFont="1" applyFill="1" applyAlignment="1">
      <alignment horizontal="center" vertical="top"/>
    </xf>
    <xf numFmtId="0" fontId="92" fillId="61" borderId="0" xfId="0" applyFont="1" applyFill="1"/>
    <xf numFmtId="0" fontId="92" fillId="61" borderId="0" xfId="0" applyFont="1" applyFill="1" applyAlignment="1">
      <alignment horizontal="center"/>
    </xf>
    <xf numFmtId="0" fontId="91" fillId="61" borderId="0" xfId="0" applyFont="1" applyFill="1" applyAlignment="1">
      <alignment horizontal="center" wrapText="1"/>
    </xf>
    <xf numFmtId="0" fontId="92" fillId="3" borderId="57" xfId="0" applyFont="1" applyFill="1" applyBorder="1"/>
    <xf numFmtId="165" fontId="91" fillId="0" borderId="0" xfId="11" applyNumberFormat="1" applyFont="1" applyFill="1" applyBorder="1" applyAlignment="1" applyProtection="1">
      <alignment horizontal="center" vertical="top"/>
    </xf>
    <xf numFmtId="0" fontId="104" fillId="0" borderId="1" xfId="0" applyFont="1" applyBorder="1"/>
    <xf numFmtId="172" fontId="91" fillId="0" borderId="1" xfId="0" applyNumberFormat="1" applyFont="1" applyBorder="1" applyAlignment="1">
      <alignment horizontal="center" vertical="top"/>
    </xf>
    <xf numFmtId="0" fontId="104" fillId="0" borderId="57" xfId="0" applyFont="1" applyBorder="1"/>
    <xf numFmtId="174" fontId="92" fillId="0" borderId="57" xfId="0" applyNumberFormat="1" applyFont="1" applyBorder="1" applyAlignment="1">
      <alignment horizontal="right"/>
    </xf>
    <xf numFmtId="0" fontId="92" fillId="0" borderId="57" xfId="0" applyFont="1" applyBorder="1" applyProtection="1">
      <protection hidden="1"/>
    </xf>
    <xf numFmtId="174" fontId="92" fillId="0" borderId="57" xfId="0" applyNumberFormat="1" applyFont="1" applyBorder="1" applyAlignment="1" applyProtection="1">
      <alignment horizontal="right"/>
      <protection hidden="1"/>
    </xf>
    <xf numFmtId="172" fontId="91" fillId="0" borderId="0" xfId="0" applyNumberFormat="1" applyFont="1" applyAlignment="1" applyProtection="1">
      <alignment horizontal="left"/>
      <protection hidden="1"/>
    </xf>
    <xf numFmtId="177" fontId="91" fillId="0" borderId="0" xfId="0" applyNumberFormat="1" applyFont="1" applyAlignment="1">
      <alignment horizontal="center"/>
    </xf>
    <xf numFmtId="188" fontId="92" fillId="0" borderId="0" xfId="0" applyNumberFormat="1" applyFont="1" applyAlignment="1">
      <alignment horizontal="center"/>
    </xf>
    <xf numFmtId="172" fontId="92" fillId="3" borderId="0" xfId="0" applyNumberFormat="1" applyFont="1" applyFill="1" applyAlignment="1">
      <alignment horizontal="center"/>
    </xf>
    <xf numFmtId="9" fontId="91" fillId="3" borderId="0" xfId="13330" applyFont="1" applyFill="1" applyBorder="1" applyAlignment="1">
      <alignment horizontal="center" vertical="top"/>
    </xf>
    <xf numFmtId="0" fontId="106" fillId="0" borderId="0" xfId="0" applyFont="1"/>
    <xf numFmtId="0" fontId="96" fillId="4" borderId="66" xfId="11" applyFont="1" applyBorder="1" applyAlignment="1" applyProtection="1">
      <protection locked="0"/>
    </xf>
    <xf numFmtId="1" fontId="96" fillId="4" borderId="66" xfId="11" applyNumberFormat="1" applyFont="1" applyBorder="1" applyAlignment="1" applyProtection="1">
      <alignment horizontal="center"/>
      <protection locked="0"/>
    </xf>
    <xf numFmtId="182" fontId="96" fillId="2" borderId="66" xfId="0" applyNumberFormat="1" applyFont="1" applyFill="1" applyBorder="1" applyAlignment="1" applyProtection="1">
      <alignment horizontal="center"/>
      <protection locked="0"/>
    </xf>
    <xf numFmtId="182" fontId="96" fillId="4" borderId="66" xfId="11" applyNumberFormat="1" applyFont="1" applyBorder="1" applyAlignment="1" applyProtection="1">
      <alignment horizontal="center"/>
      <protection locked="0"/>
    </xf>
    <xf numFmtId="0" fontId="96" fillId="4" borderId="54" xfId="11" applyFont="1" applyBorder="1" applyAlignment="1" applyProtection="1">
      <protection locked="0"/>
    </xf>
    <xf numFmtId="1" fontId="96" fillId="2" borderId="54" xfId="0" applyNumberFormat="1" applyFont="1" applyFill="1" applyBorder="1" applyAlignment="1" applyProtection="1">
      <alignment horizontal="center"/>
      <protection locked="0"/>
    </xf>
    <xf numFmtId="182" fontId="96" fillId="4" borderId="54" xfId="11" applyNumberFormat="1" applyFont="1" applyBorder="1" applyAlignment="1" applyProtection="1">
      <alignment horizontal="center"/>
      <protection locked="0"/>
    </xf>
    <xf numFmtId="1" fontId="96" fillId="4" borderId="55" xfId="11" applyNumberFormat="1" applyFont="1" applyBorder="1" applyAlignment="1" applyProtection="1">
      <alignment horizontal="left"/>
      <protection locked="0"/>
    </xf>
    <xf numFmtId="174" fontId="96" fillId="4" borderId="55" xfId="11" applyNumberFormat="1" applyFont="1" applyBorder="1" applyAlignment="1" applyProtection="1">
      <alignment horizontal="center"/>
      <protection locked="0"/>
    </xf>
    <xf numFmtId="172" fontId="104" fillId="0" borderId="0" xfId="0" applyNumberFormat="1" applyFont="1" applyAlignment="1">
      <alignment horizontal="center"/>
    </xf>
    <xf numFmtId="3" fontId="96" fillId="2" borderId="19" xfId="11" applyNumberFormat="1" applyFont="1" applyFill="1" applyBorder="1" applyAlignment="1" applyProtection="1">
      <alignment horizontal="center"/>
      <protection locked="0"/>
    </xf>
    <xf numFmtId="172" fontId="89" fillId="0" borderId="0" xfId="0" applyNumberFormat="1" applyFont="1" applyAlignment="1">
      <alignment horizontal="center"/>
    </xf>
    <xf numFmtId="0" fontId="104" fillId="0" borderId="0" xfId="0" applyFont="1" applyAlignment="1">
      <alignment horizontal="left" indent="1"/>
    </xf>
    <xf numFmtId="0" fontId="119" fillId="0" borderId="0" xfId="33111" applyAlignment="1">
      <alignment horizontal="left" vertical="top"/>
    </xf>
    <xf numFmtId="0" fontId="87" fillId="0" borderId="0" xfId="33111" applyFont="1" applyAlignment="1">
      <alignment horizontal="left" vertical="top"/>
    </xf>
    <xf numFmtId="0" fontId="86" fillId="0" borderId="0" xfId="33111" applyFont="1" applyAlignment="1">
      <alignment horizontal="left" vertical="top"/>
    </xf>
    <xf numFmtId="0" fontId="88" fillId="64" borderId="0" xfId="33111" applyFont="1" applyFill="1" applyAlignment="1">
      <alignment horizontal="left" vertical="top"/>
    </xf>
    <xf numFmtId="0" fontId="64" fillId="5" borderId="0" xfId="33111" applyFont="1" applyFill="1" applyAlignment="1">
      <alignment horizontal="left" vertical="top"/>
    </xf>
    <xf numFmtId="0" fontId="91" fillId="0" borderId="57" xfId="33111" applyFont="1" applyBorder="1" applyAlignment="1">
      <alignment horizontal="left" vertical="top" wrapText="1"/>
    </xf>
    <xf numFmtId="0" fontId="91" fillId="0" borderId="1" xfId="33111" applyFont="1" applyBorder="1" applyAlignment="1">
      <alignment horizontal="left" vertical="top" wrapText="1"/>
    </xf>
    <xf numFmtId="0" fontId="121" fillId="0" borderId="0" xfId="33111" applyFont="1" applyAlignment="1">
      <alignment vertical="top" wrapText="1"/>
    </xf>
    <xf numFmtId="172" fontId="91" fillId="0" borderId="57" xfId="33111" applyNumberFormat="1" applyFont="1" applyBorder="1" applyAlignment="1">
      <alignment vertical="top" wrapText="1"/>
    </xf>
    <xf numFmtId="0" fontId="91" fillId="67" borderId="76" xfId="33111" applyFont="1" applyFill="1" applyBorder="1" applyAlignment="1">
      <alignment vertical="center" wrapText="1"/>
    </xf>
    <xf numFmtId="172" fontId="91" fillId="67" borderId="76" xfId="33111" applyNumberFormat="1" applyFont="1" applyFill="1" applyBorder="1" applyAlignment="1">
      <alignment vertical="center" wrapText="1"/>
    </xf>
    <xf numFmtId="172" fontId="91" fillId="67" borderId="78" xfId="33111" applyNumberFormat="1" applyFont="1" applyFill="1" applyBorder="1" applyAlignment="1">
      <alignment vertical="center" wrapText="1"/>
    </xf>
    <xf numFmtId="0" fontId="91" fillId="0" borderId="83" xfId="33111" applyFont="1" applyBorder="1" applyAlignment="1">
      <alignment horizontal="left" vertical="top" wrapText="1"/>
    </xf>
    <xf numFmtId="0" fontId="91" fillId="0" borderId="84" xfId="33111" applyFont="1" applyBorder="1" applyAlignment="1">
      <alignment vertical="top" wrapText="1"/>
    </xf>
    <xf numFmtId="0" fontId="91" fillId="0" borderId="79" xfId="33111" applyFont="1" applyBorder="1" applyAlignment="1">
      <alignment horizontal="left" vertical="top" wrapText="1"/>
    </xf>
    <xf numFmtId="0" fontId="91" fillId="0" borderId="80" xfId="33111" applyFont="1" applyBorder="1" applyAlignment="1">
      <alignment vertical="top" wrapText="1"/>
    </xf>
    <xf numFmtId="0" fontId="64" fillId="61" borderId="77" xfId="33111" applyFont="1" applyFill="1" applyBorder="1" applyAlignment="1">
      <alignment horizontal="left" vertical="top" wrapText="1"/>
    </xf>
    <xf numFmtId="0" fontId="91" fillId="67" borderId="87" xfId="33111" applyFont="1" applyFill="1" applyBorder="1" applyAlignment="1">
      <alignment vertical="center" wrapText="1"/>
    </xf>
    <xf numFmtId="0" fontId="64" fillId="61" borderId="88" xfId="33111" applyFont="1" applyFill="1" applyBorder="1" applyAlignment="1">
      <alignment horizontal="center" vertical="top" wrapText="1"/>
    </xf>
    <xf numFmtId="0" fontId="64" fillId="61" borderId="89" xfId="33111" applyFont="1" applyFill="1" applyBorder="1" applyAlignment="1">
      <alignment horizontal="center" vertical="top" wrapText="1"/>
    </xf>
    <xf numFmtId="181" fontId="91" fillId="67" borderId="76" xfId="33111" applyNumberFormat="1" applyFont="1" applyFill="1" applyBorder="1" applyAlignment="1">
      <alignment vertical="center" wrapText="1"/>
    </xf>
    <xf numFmtId="0" fontId="120" fillId="0" borderId="0" xfId="33111" applyFont="1" applyAlignment="1">
      <alignment horizontal="left" vertical="top" wrapText="1"/>
    </xf>
    <xf numFmtId="0" fontId="123" fillId="0" borderId="0" xfId="33111" applyFont="1" applyAlignment="1">
      <alignment horizontal="left" vertical="top"/>
    </xf>
    <xf numFmtId="0" fontId="94" fillId="0" borderId="0" xfId="8" applyFont="1" applyAlignment="1">
      <alignment horizontal="center"/>
    </xf>
    <xf numFmtId="175" fontId="91" fillId="0" borderId="0" xfId="0" applyNumberFormat="1" applyFont="1"/>
    <xf numFmtId="0" fontId="91" fillId="61" borderId="57" xfId="0" applyFont="1" applyFill="1" applyBorder="1" applyAlignment="1">
      <alignment horizontal="center" wrapText="1"/>
    </xf>
    <xf numFmtId="0" fontId="91" fillId="61" borderId="57" xfId="0" applyFont="1" applyFill="1" applyBorder="1"/>
    <xf numFmtId="0" fontId="92" fillId="0" borderId="77" xfId="33111" applyFont="1" applyBorder="1" applyAlignment="1">
      <alignment horizontal="left" vertical="center" wrapText="1"/>
    </xf>
    <xf numFmtId="0" fontId="91" fillId="0" borderId="77" xfId="33111" applyFont="1" applyBorder="1" applyAlignment="1">
      <alignment horizontal="left" vertical="center" wrapText="1"/>
    </xf>
    <xf numFmtId="0" fontId="91" fillId="0" borderId="91" xfId="33111" applyFont="1" applyBorder="1" applyAlignment="1">
      <alignment horizontal="left" vertical="center" wrapText="1"/>
    </xf>
    <xf numFmtId="0" fontId="91" fillId="67" borderId="92" xfId="33111" applyFont="1" applyFill="1" applyBorder="1" applyAlignment="1">
      <alignment vertical="center" wrapText="1"/>
    </xf>
    <xf numFmtId="0" fontId="91" fillId="67" borderId="94" xfId="33111" applyFont="1" applyFill="1" applyBorder="1" applyAlignment="1">
      <alignment vertical="center" wrapText="1"/>
    </xf>
    <xf numFmtId="0" fontId="91" fillId="67" borderId="96" xfId="33111" applyFont="1" applyFill="1" applyBorder="1" applyAlignment="1">
      <alignment vertical="center" wrapText="1"/>
    </xf>
    <xf numFmtId="0" fontId="91" fillId="0" borderId="59" xfId="33111" applyFont="1" applyBorder="1" applyAlignment="1">
      <alignment vertical="top" wrapText="1"/>
    </xf>
    <xf numFmtId="0" fontId="119" fillId="0" borderId="1" xfId="33111" applyBorder="1" applyAlignment="1">
      <alignment horizontal="left" vertical="top"/>
    </xf>
    <xf numFmtId="0" fontId="91" fillId="0" borderId="15" xfId="33111" quotePrefix="1" applyFont="1" applyBorder="1" applyAlignment="1">
      <alignment vertical="top" wrapText="1"/>
    </xf>
    <xf numFmtId="172" fontId="91" fillId="0" borderId="1" xfId="33111" quotePrefix="1" applyNumberFormat="1" applyFont="1" applyBorder="1" applyAlignment="1">
      <alignment vertical="top" wrapText="1"/>
    </xf>
    <xf numFmtId="174" fontId="96" fillId="4" borderId="3" xfId="11" applyNumberFormat="1" applyFont="1" applyAlignment="1" applyProtection="1">
      <alignment horizontal="right"/>
      <protection locked="0"/>
    </xf>
    <xf numFmtId="0" fontId="92" fillId="61" borderId="1" xfId="0" applyFont="1" applyFill="1" applyBorder="1"/>
    <xf numFmtId="0" fontId="91" fillId="61" borderId="1" xfId="0" applyFont="1" applyFill="1" applyBorder="1"/>
    <xf numFmtId="3" fontId="92" fillId="61" borderId="1" xfId="11" applyNumberFormat="1" applyFont="1" applyFill="1" applyBorder="1" applyAlignment="1" applyProtection="1">
      <alignment horizontal="center"/>
    </xf>
    <xf numFmtId="174" fontId="104" fillId="63" borderId="57" xfId="0" applyNumberFormat="1" applyFont="1" applyFill="1" applyBorder="1"/>
    <xf numFmtId="0" fontId="0" fillId="67" borderId="0" xfId="0" applyFill="1"/>
    <xf numFmtId="172" fontId="96" fillId="0" borderId="0" xfId="0" applyNumberFormat="1" applyFont="1" applyAlignment="1">
      <alignment horizontal="right"/>
    </xf>
    <xf numFmtId="172" fontId="96" fillId="0" borderId="0" xfId="0" applyNumberFormat="1" applyFont="1"/>
    <xf numFmtId="10" fontId="125" fillId="0" borderId="0" xfId="8" applyNumberFormat="1" applyFont="1" applyAlignment="1">
      <alignment horizontal="center"/>
    </xf>
    <xf numFmtId="0" fontId="124" fillId="0" borderId="0" xfId="0" applyFont="1"/>
    <xf numFmtId="0" fontId="92" fillId="0" borderId="0" xfId="0" applyFont="1" applyAlignment="1">
      <alignment horizontal="center" vertical="top"/>
    </xf>
    <xf numFmtId="0" fontId="107" fillId="0" borderId="57" xfId="0" applyFont="1" applyBorder="1" applyAlignment="1">
      <alignment horizontal="center" vertical="top"/>
    </xf>
    <xf numFmtId="0" fontId="104" fillId="0" borderId="1" xfId="0" applyFont="1" applyBorder="1" applyAlignment="1">
      <alignment horizontal="center" vertical="top"/>
    </xf>
    <xf numFmtId="174" fontId="91" fillId="0" borderId="0" xfId="0" applyNumberFormat="1" applyFont="1" applyAlignment="1">
      <alignment horizontal="center" vertical="top"/>
    </xf>
    <xf numFmtId="0" fontId="96" fillId="0" borderId="0" xfId="0" applyFont="1"/>
    <xf numFmtId="175" fontId="96" fillId="0" borderId="0" xfId="0" applyNumberFormat="1" applyFont="1"/>
    <xf numFmtId="0" fontId="91" fillId="0" borderId="0" xfId="0" applyFont="1" applyAlignment="1">
      <alignment horizontal="center" vertical="top"/>
    </xf>
    <xf numFmtId="9" fontId="91" fillId="3" borderId="0" xfId="9" applyFont="1" applyFill="1" applyBorder="1" applyAlignment="1" applyProtection="1">
      <alignment horizontal="center" vertical="top"/>
    </xf>
    <xf numFmtId="0" fontId="96" fillId="2" borderId="51" xfId="0" applyFont="1" applyFill="1" applyBorder="1" applyProtection="1">
      <protection locked="0"/>
    </xf>
    <xf numFmtId="0" fontId="96" fillId="2" borderId="55" xfId="0" applyFont="1" applyFill="1" applyBorder="1" applyAlignment="1" applyProtection="1">
      <alignment horizontal="center"/>
      <protection locked="0"/>
    </xf>
    <xf numFmtId="0" fontId="96" fillId="2" borderId="55" xfId="0" applyFont="1" applyFill="1" applyBorder="1" applyAlignment="1" applyProtection="1">
      <alignment horizontal="center" vertical="center"/>
      <protection locked="0"/>
    </xf>
    <xf numFmtId="172" fontId="96" fillId="2" borderId="70" xfId="0" applyNumberFormat="1" applyFont="1" applyFill="1" applyBorder="1" applyAlignment="1" applyProtection="1">
      <alignment horizontal="center" vertical="center"/>
      <protection locked="0"/>
    </xf>
    <xf numFmtId="172" fontId="96" fillId="2" borderId="47" xfId="0" applyNumberFormat="1" applyFont="1" applyFill="1" applyBorder="1" applyProtection="1">
      <protection locked="0"/>
    </xf>
    <xf numFmtId="0" fontId="96" fillId="2" borderId="47" xfId="0" applyFont="1" applyFill="1" applyBorder="1" applyAlignment="1" applyProtection="1">
      <alignment vertical="center"/>
      <protection locked="0"/>
    </xf>
    <xf numFmtId="172" fontId="96" fillId="2" borderId="50" xfId="0" applyNumberFormat="1" applyFont="1" applyFill="1" applyBorder="1" applyProtection="1">
      <protection locked="0"/>
    </xf>
    <xf numFmtId="0" fontId="91" fillId="0" borderId="65" xfId="0" applyFont="1" applyBorder="1" applyAlignment="1">
      <alignment horizontal="center" vertical="top"/>
    </xf>
    <xf numFmtId="0" fontId="115" fillId="0" borderId="0" xfId="0" applyFont="1" applyAlignment="1">
      <alignment horizontal="center" vertical="top"/>
    </xf>
    <xf numFmtId="174" fontId="96" fillId="2" borderId="57" xfId="33110" applyNumberFormat="1" applyFont="1" applyFill="1" applyBorder="1" applyProtection="1">
      <protection locked="0"/>
    </xf>
    <xf numFmtId="172" fontId="96" fillId="2" borderId="47" xfId="33110" applyNumberFormat="1" applyFont="1" applyFill="1" applyBorder="1" applyProtection="1">
      <protection locked="0"/>
    </xf>
    <xf numFmtId="172" fontId="91" fillId="2" borderId="1" xfId="33110" applyNumberFormat="1" applyFont="1" applyFill="1" applyBorder="1" applyProtection="1">
      <protection locked="0"/>
    </xf>
    <xf numFmtId="0" fontId="96" fillId="2" borderId="94" xfId="33111" applyFont="1" applyFill="1" applyBorder="1" applyAlignment="1" applyProtection="1">
      <alignment horizontal="right" vertical="center" wrapText="1"/>
      <protection locked="0"/>
    </xf>
    <xf numFmtId="192" fontId="96" fillId="2" borderId="94" xfId="33111" applyNumberFormat="1" applyFont="1" applyFill="1" applyBorder="1" applyAlignment="1" applyProtection="1">
      <alignment horizontal="right" vertical="center" wrapText="1"/>
      <protection locked="0"/>
    </xf>
    <xf numFmtId="181" fontId="91" fillId="2" borderId="95" xfId="33111" applyNumberFormat="1" applyFont="1" applyFill="1" applyBorder="1" applyAlignment="1" applyProtection="1">
      <alignment vertical="center" wrapText="1"/>
      <protection locked="0"/>
    </xf>
    <xf numFmtId="172" fontId="90" fillId="2" borderId="95" xfId="33111" applyNumberFormat="1" applyFont="1" applyFill="1" applyBorder="1" applyAlignment="1" applyProtection="1">
      <alignment vertical="center" wrapText="1"/>
      <protection locked="0"/>
    </xf>
    <xf numFmtId="172" fontId="96" fillId="2" borderId="94" xfId="33111" applyNumberFormat="1" applyFont="1" applyFill="1" applyBorder="1" applyAlignment="1" applyProtection="1">
      <alignment horizontal="right" vertical="center" wrapText="1"/>
      <protection locked="0"/>
    </xf>
    <xf numFmtId="0" fontId="96" fillId="2" borderId="94" xfId="33111" applyFont="1" applyFill="1" applyBorder="1" applyAlignment="1" applyProtection="1">
      <alignment vertical="center" wrapText="1"/>
      <protection locked="0"/>
    </xf>
    <xf numFmtId="190" fontId="96" fillId="2" borderId="94" xfId="33111" applyNumberFormat="1" applyFont="1" applyFill="1" applyBorder="1" applyAlignment="1" applyProtection="1">
      <alignment vertical="center" wrapText="1"/>
      <protection locked="0"/>
    </xf>
    <xf numFmtId="0" fontId="96" fillId="2" borderId="100" xfId="33111" applyFont="1" applyFill="1" applyBorder="1" applyAlignment="1" applyProtection="1">
      <alignment vertical="center" wrapText="1"/>
      <protection locked="0"/>
    </xf>
    <xf numFmtId="172" fontId="90" fillId="2" borderId="97" xfId="33111" applyNumberFormat="1" applyFont="1" applyFill="1" applyBorder="1" applyAlignment="1" applyProtection="1">
      <alignment vertical="center" wrapText="1"/>
      <protection locked="0"/>
    </xf>
    <xf numFmtId="0" fontId="96" fillId="2" borderId="74" xfId="33111" applyFont="1" applyFill="1" applyBorder="1" applyAlignment="1" applyProtection="1">
      <alignment horizontal="right" vertical="center" wrapText="1"/>
      <protection locked="0"/>
    </xf>
    <xf numFmtId="192" fontId="96" fillId="2" borderId="74" xfId="33111" applyNumberFormat="1" applyFont="1" applyFill="1" applyBorder="1" applyAlignment="1" applyProtection="1">
      <alignment horizontal="right" vertical="center" wrapText="1"/>
      <protection locked="0"/>
    </xf>
    <xf numFmtId="0" fontId="96" fillId="2" borderId="100" xfId="33111" applyFont="1" applyFill="1" applyBorder="1" applyAlignment="1" applyProtection="1">
      <alignment horizontal="right" vertical="center" wrapText="1"/>
      <protection locked="0"/>
    </xf>
    <xf numFmtId="173" fontId="96" fillId="2" borderId="94" xfId="33111" applyNumberFormat="1" applyFont="1" applyFill="1" applyBorder="1" applyAlignment="1" applyProtection="1">
      <alignment horizontal="right" vertical="center" wrapText="1"/>
      <protection locked="0"/>
    </xf>
    <xf numFmtId="173" fontId="96" fillId="2" borderId="100" xfId="33111" applyNumberFormat="1" applyFont="1" applyFill="1" applyBorder="1" applyAlignment="1" applyProtection="1">
      <alignment horizontal="right" vertical="center" wrapText="1"/>
      <protection locked="0"/>
    </xf>
    <xf numFmtId="172" fontId="96" fillId="2" borderId="74" xfId="33111" applyNumberFormat="1" applyFont="1" applyFill="1" applyBorder="1" applyAlignment="1" applyProtection="1">
      <alignment horizontal="right" vertical="center" wrapText="1"/>
      <protection locked="0"/>
    </xf>
    <xf numFmtId="175" fontId="96" fillId="2" borderId="14" xfId="33111" quotePrefix="1" applyNumberFormat="1" applyFont="1" applyFill="1" applyBorder="1" applyAlignment="1" applyProtection="1">
      <alignment vertical="top" wrapText="1"/>
      <protection locked="0"/>
    </xf>
    <xf numFmtId="172" fontId="96" fillId="2" borderId="55" xfId="0" applyNumberFormat="1" applyFont="1" applyFill="1" applyBorder="1" applyAlignment="1" applyProtection="1">
      <alignment horizontal="right" wrapText="1"/>
      <protection locked="0"/>
    </xf>
    <xf numFmtId="172" fontId="96" fillId="2" borderId="0" xfId="0" applyNumberFormat="1" applyFont="1" applyFill="1" applyAlignment="1" applyProtection="1">
      <alignment horizontal="right" wrapText="1"/>
      <protection locked="0"/>
    </xf>
    <xf numFmtId="172" fontId="96" fillId="2" borderId="0" xfId="0" applyNumberFormat="1" applyFont="1" applyFill="1" applyAlignment="1" applyProtection="1">
      <alignment horizontal="right"/>
      <protection locked="0"/>
    </xf>
    <xf numFmtId="0" fontId="107" fillId="0" borderId="0" xfId="0" applyFont="1" applyAlignment="1">
      <alignment horizontal="center" vertical="top"/>
    </xf>
    <xf numFmtId="172" fontId="90" fillId="0" borderId="61" xfId="0" applyNumberFormat="1" applyFont="1" applyBorder="1" applyAlignment="1">
      <alignment horizontal="center" vertical="top"/>
    </xf>
    <xf numFmtId="172" fontId="90" fillId="0" borderId="62" xfId="0" applyNumberFormat="1" applyFont="1" applyBorder="1" applyAlignment="1">
      <alignment horizontal="center" vertical="top"/>
    </xf>
    <xf numFmtId="0" fontId="91" fillId="3" borderId="0" xfId="0" applyFont="1" applyFill="1" applyAlignment="1">
      <alignment horizontal="left"/>
    </xf>
    <xf numFmtId="172" fontId="91" fillId="0" borderId="0" xfId="11" applyNumberFormat="1" applyFont="1" applyFill="1" applyBorder="1" applyAlignment="1" applyProtection="1">
      <alignment horizontal="center"/>
    </xf>
    <xf numFmtId="172" fontId="91" fillId="0" borderId="0" xfId="11" applyNumberFormat="1" applyFont="1" applyFill="1" applyBorder="1" applyAlignment="1" applyProtection="1">
      <alignment horizontal="center" vertical="top"/>
    </xf>
    <xf numFmtId="182" fontId="91" fillId="0" borderId="0" xfId="11" applyNumberFormat="1" applyFont="1" applyFill="1" applyBorder="1" applyAlignment="1" applyProtection="1">
      <alignment horizontal="center" vertical="top"/>
    </xf>
    <xf numFmtId="172" fontId="90" fillId="0" borderId="60" xfId="0" applyNumberFormat="1" applyFont="1" applyBorder="1" applyAlignment="1">
      <alignment horizontal="center" vertical="top"/>
    </xf>
    <xf numFmtId="172" fontId="90" fillId="2" borderId="45" xfId="0" applyNumberFormat="1" applyFont="1" applyFill="1" applyBorder="1" applyAlignment="1">
      <alignment horizontal="center" vertical="top"/>
    </xf>
    <xf numFmtId="0" fontId="104" fillId="0" borderId="0" xfId="0" applyFont="1" applyAlignment="1">
      <alignment horizontal="center" vertical="top"/>
    </xf>
    <xf numFmtId="188" fontId="104" fillId="0" borderId="0" xfId="0" applyNumberFormat="1" applyFont="1" applyAlignment="1">
      <alignment horizontal="center" vertical="top"/>
    </xf>
    <xf numFmtId="0" fontId="90" fillId="0" borderId="0" xfId="0" applyFont="1" applyAlignment="1">
      <alignment horizontal="center" vertical="top"/>
    </xf>
    <xf numFmtId="172" fontId="90" fillId="0" borderId="45" xfId="0" applyNumberFormat="1" applyFont="1" applyBorder="1" applyAlignment="1">
      <alignment horizontal="center" vertical="top"/>
    </xf>
    <xf numFmtId="172" fontId="90" fillId="0" borderId="41" xfId="0" applyNumberFormat="1" applyFont="1" applyBorder="1" applyAlignment="1">
      <alignment horizontal="center" vertical="top"/>
    </xf>
    <xf numFmtId="172" fontId="90" fillId="0" borderId="46" xfId="0" applyNumberFormat="1" applyFont="1" applyBorder="1" applyAlignment="1">
      <alignment horizontal="center" vertical="top"/>
    </xf>
    <xf numFmtId="0" fontId="96" fillId="2" borderId="47" xfId="0" applyFont="1" applyFill="1" applyBorder="1" applyAlignment="1" applyProtection="1">
      <alignment horizontal="center"/>
      <protection locked="0"/>
    </xf>
    <xf numFmtId="49" fontId="96" fillId="2" borderId="47" xfId="0" applyNumberFormat="1" applyFont="1" applyFill="1" applyBorder="1" applyAlignment="1" applyProtection="1">
      <alignment horizontal="center"/>
      <protection locked="0"/>
    </xf>
    <xf numFmtId="0" fontId="101" fillId="2" borderId="55" xfId="0" applyFont="1" applyFill="1" applyBorder="1" applyAlignment="1" applyProtection="1">
      <alignment horizontal="center"/>
      <protection locked="0"/>
    </xf>
    <xf numFmtId="186" fontId="96" fillId="2" borderId="51" xfId="7" applyNumberFormat="1" applyFont="1" applyFill="1" applyBorder="1" applyAlignment="1" applyProtection="1">
      <alignment horizontal="center" wrapText="1"/>
      <protection locked="0"/>
    </xf>
    <xf numFmtId="0" fontId="96" fillId="2" borderId="0" xfId="0" applyFont="1" applyFill="1" applyAlignment="1">
      <alignment wrapText="1"/>
    </xf>
    <xf numFmtId="0" fontId="0" fillId="67" borderId="0" xfId="0" applyFill="1" applyAlignment="1">
      <alignment wrapText="1"/>
    </xf>
    <xf numFmtId="0" fontId="126" fillId="67" borderId="0" xfId="0" applyFont="1" applyFill="1"/>
    <xf numFmtId="0" fontId="88" fillId="64" borderId="0" xfId="6628" applyFont="1" applyFill="1"/>
    <xf numFmtId="0" fontId="91" fillId="3" borderId="65" xfId="0" applyFont="1" applyFill="1" applyBorder="1"/>
    <xf numFmtId="0" fontId="91" fillId="0" borderId="0" xfId="0" applyFont="1" applyProtection="1">
      <protection locked="0"/>
    </xf>
    <xf numFmtId="0" fontId="64" fillId="68" borderId="0" xfId="6628" applyFont="1" applyFill="1"/>
    <xf numFmtId="172" fontId="91" fillId="0" borderId="57" xfId="0" applyNumberFormat="1" applyFont="1" applyBorder="1" applyAlignment="1">
      <alignment horizontal="center"/>
    </xf>
    <xf numFmtId="165" fontId="91" fillId="0" borderId="1" xfId="0" applyNumberFormat="1" applyFont="1" applyBorder="1" applyAlignment="1">
      <alignment horizontal="center" vertical="top"/>
    </xf>
    <xf numFmtId="10" fontId="91" fillId="3" borderId="0" xfId="9" applyNumberFormat="1" applyFont="1" applyFill="1" applyBorder="1" applyAlignment="1" applyProtection="1">
      <alignment horizontal="center"/>
    </xf>
    <xf numFmtId="10" fontId="91" fillId="3" borderId="0" xfId="9" applyNumberFormat="1" applyFont="1" applyFill="1" applyBorder="1" applyAlignment="1" applyProtection="1">
      <alignment horizontal="center" vertical="top"/>
    </xf>
    <xf numFmtId="0" fontId="91" fillId="0" borderId="1" xfId="0" applyFont="1" applyBorder="1" applyAlignment="1">
      <alignment horizontal="center"/>
    </xf>
    <xf numFmtId="184" fontId="91" fillId="0" borderId="0" xfId="0" applyNumberFormat="1" applyFont="1" applyAlignment="1">
      <alignment horizontal="center"/>
    </xf>
    <xf numFmtId="164" fontId="104" fillId="61" borderId="0" xfId="0" applyNumberFormat="1" applyFont="1" applyFill="1" applyAlignment="1">
      <alignment horizontal="center"/>
    </xf>
    <xf numFmtId="172" fontId="104" fillId="61" borderId="0" xfId="0" applyNumberFormat="1" applyFont="1" applyFill="1" applyAlignment="1">
      <alignment horizontal="center"/>
    </xf>
    <xf numFmtId="172" fontId="92" fillId="0" borderId="0" xfId="0" applyNumberFormat="1" applyFont="1" applyAlignment="1">
      <alignment horizontal="center" wrapText="1"/>
    </xf>
    <xf numFmtId="193" fontId="91" fillId="3" borderId="0" xfId="0" quotePrefix="1" applyNumberFormat="1" applyFont="1" applyFill="1" applyAlignment="1">
      <alignment horizontal="center"/>
    </xf>
    <xf numFmtId="172" fontId="96" fillId="4" borderId="55" xfId="11" applyNumberFormat="1" applyFont="1" applyBorder="1" applyAlignment="1" applyProtection="1">
      <alignment horizontal="right" vertical="top"/>
      <protection locked="0"/>
    </xf>
    <xf numFmtId="172" fontId="96" fillId="2" borderId="55" xfId="11" applyNumberFormat="1" applyFont="1" applyFill="1" applyBorder="1" applyAlignment="1" applyProtection="1">
      <alignment horizontal="right" vertical="top"/>
      <protection locked="0"/>
    </xf>
    <xf numFmtId="0" fontId="61" fillId="64" borderId="0" xfId="0" applyFont="1" applyFill="1" applyProtection="1">
      <protection locked="0"/>
    </xf>
    <xf numFmtId="0" fontId="91" fillId="0" borderId="1" xfId="0" applyFont="1" applyBorder="1" applyAlignment="1">
      <alignment horizontal="center" vertical="top"/>
    </xf>
    <xf numFmtId="174" fontId="96" fillId="4" borderId="55" xfId="11" applyNumberFormat="1" applyFont="1" applyBorder="1" applyAlignment="1" applyProtection="1">
      <alignment horizontal="right"/>
      <protection locked="0"/>
    </xf>
    <xf numFmtId="0" fontId="97" fillId="0" borderId="0" xfId="8" applyFont="1" applyAlignment="1">
      <alignment horizontal="center"/>
    </xf>
    <xf numFmtId="0" fontId="90" fillId="0" borderId="0" xfId="0" quotePrefix="1" applyFont="1"/>
    <xf numFmtId="0" fontId="92" fillId="0" borderId="0" xfId="0" quotePrefix="1" applyFont="1" applyAlignment="1">
      <alignment horizontal="center"/>
    </xf>
    <xf numFmtId="0" fontId="115" fillId="0" borderId="1" xfId="0" applyFont="1" applyBorder="1"/>
    <xf numFmtId="0" fontId="91" fillId="3" borderId="0" xfId="0" applyFont="1" applyFill="1" applyAlignment="1">
      <alignment wrapText="1"/>
    </xf>
    <xf numFmtId="0" fontId="91" fillId="3" borderId="67" xfId="0" applyFont="1" applyFill="1" applyBorder="1"/>
    <xf numFmtId="0" fontId="96" fillId="2" borderId="47" xfId="0" quotePrefix="1" applyFont="1" applyFill="1" applyBorder="1" applyAlignment="1" applyProtection="1">
      <alignment vertical="center"/>
      <protection locked="0"/>
    </xf>
    <xf numFmtId="0" fontId="128" fillId="0" borderId="0" xfId="33111" applyFont="1" applyAlignment="1">
      <alignment horizontal="left" vertical="top"/>
    </xf>
    <xf numFmtId="172" fontId="2" fillId="0" borderId="57" xfId="6628" applyNumberFormat="1" applyBorder="1"/>
    <xf numFmtId="0" fontId="2" fillId="0" borderId="1" xfId="6628" applyBorder="1"/>
    <xf numFmtId="172" fontId="15" fillId="0" borderId="1" xfId="6628" applyNumberFormat="1" applyFont="1" applyBorder="1" applyAlignment="1">
      <alignment horizontal="center"/>
    </xf>
    <xf numFmtId="172" fontId="15" fillId="0" borderId="1" xfId="6628" applyNumberFormat="1" applyFont="1" applyBorder="1"/>
    <xf numFmtId="172" fontId="2" fillId="0" borderId="51" xfId="6628" applyNumberFormat="1" applyBorder="1"/>
    <xf numFmtId="172" fontId="2" fillId="0" borderId="66" xfId="6628" applyNumberFormat="1" applyBorder="1"/>
    <xf numFmtId="172" fontId="2" fillId="0" borderId="47" xfId="6628" applyNumberFormat="1" applyBorder="1"/>
    <xf numFmtId="172" fontId="2" fillId="0" borderId="55" xfId="6628" applyNumberFormat="1" applyBorder="1"/>
    <xf numFmtId="172" fontId="2" fillId="0" borderId="47" xfId="6628" quotePrefix="1" applyNumberFormat="1" applyBorder="1"/>
    <xf numFmtId="172" fontId="2" fillId="0" borderId="0" xfId="6628" quotePrefix="1" applyNumberFormat="1"/>
    <xf numFmtId="172" fontId="2" fillId="0" borderId="0" xfId="6628" applyNumberFormat="1" applyAlignment="1">
      <alignment horizontal="left"/>
    </xf>
    <xf numFmtId="0" fontId="91" fillId="2" borderId="47" xfId="0" applyFont="1" applyFill="1" applyBorder="1" applyProtection="1">
      <protection locked="0"/>
    </xf>
    <xf numFmtId="172" fontId="92" fillId="0" borderId="57" xfId="0" applyNumberFormat="1" applyFont="1" applyBorder="1" applyAlignment="1">
      <alignment horizontal="center" vertical="top"/>
    </xf>
    <xf numFmtId="172" fontId="91" fillId="2" borderId="47" xfId="0" applyNumberFormat="1" applyFont="1" applyFill="1" applyBorder="1" applyProtection="1">
      <protection locked="0"/>
    </xf>
    <xf numFmtId="0" fontId="129" fillId="0" borderId="0" xfId="0" applyFont="1" applyAlignment="1">
      <alignment horizontal="center"/>
    </xf>
    <xf numFmtId="14" fontId="91" fillId="0" borderId="0" xfId="0" applyNumberFormat="1" applyFont="1"/>
    <xf numFmtId="187" fontId="96" fillId="4" borderId="55" xfId="11" applyNumberFormat="1" applyFont="1" applyBorder="1" applyAlignment="1" applyProtection="1">
      <alignment horizontal="center"/>
      <protection locked="0"/>
    </xf>
    <xf numFmtId="174" fontId="91" fillId="0" borderId="57" xfId="0" applyNumberFormat="1" applyFont="1" applyBorder="1" applyAlignment="1">
      <alignment horizontal="right" wrapText="1"/>
    </xf>
    <xf numFmtId="174" fontId="91" fillId="0" borderId="57" xfId="0" applyNumberFormat="1" applyFont="1" applyBorder="1" applyAlignment="1">
      <alignment horizontal="right"/>
    </xf>
    <xf numFmtId="172" fontId="91" fillId="0" borderId="57" xfId="0" applyNumberFormat="1" applyFont="1" applyBorder="1" applyAlignment="1">
      <alignment horizontal="right"/>
    </xf>
    <xf numFmtId="174" fontId="91" fillId="0" borderId="0" xfId="0" quotePrefix="1" applyNumberFormat="1" applyFont="1"/>
    <xf numFmtId="172" fontId="96" fillId="0" borderId="0" xfId="0" applyNumberFormat="1" applyFont="1" applyProtection="1">
      <protection locked="0"/>
    </xf>
    <xf numFmtId="0" fontId="90" fillId="0" borderId="0" xfId="0" applyFont="1" applyProtection="1">
      <protection locked="0"/>
    </xf>
    <xf numFmtId="172" fontId="90" fillId="0" borderId="0" xfId="0" quotePrefix="1" applyNumberFormat="1" applyFont="1"/>
    <xf numFmtId="172" fontId="90" fillId="0" borderId="0" xfId="0" applyNumberFormat="1" applyFont="1"/>
    <xf numFmtId="0" fontId="90" fillId="0" borderId="57" xfId="0" applyFont="1" applyBorder="1" applyProtection="1">
      <protection locked="0"/>
    </xf>
    <xf numFmtId="172" fontId="96" fillId="0" borderId="57" xfId="0" applyNumberFormat="1" applyFont="1" applyBorder="1" applyProtection="1">
      <protection locked="0"/>
    </xf>
    <xf numFmtId="172" fontId="91" fillId="0" borderId="57" xfId="0" applyNumberFormat="1" applyFont="1" applyBorder="1"/>
    <xf numFmtId="172" fontId="90" fillId="0" borderId="103" xfId="0" applyNumberFormat="1" applyFont="1" applyBorder="1"/>
    <xf numFmtId="0" fontId="105" fillId="0" borderId="0" xfId="0" quotePrefix="1" applyFont="1"/>
    <xf numFmtId="174" fontId="104" fillId="62" borderId="57" xfId="0" applyNumberFormat="1" applyFont="1" applyFill="1" applyBorder="1"/>
    <xf numFmtId="174" fontId="107" fillId="62" borderId="57" xfId="0" applyNumberFormat="1" applyFont="1" applyFill="1" applyBorder="1"/>
    <xf numFmtId="182" fontId="92" fillId="62" borderId="57" xfId="0" applyNumberFormat="1" applyFont="1" applyFill="1" applyBorder="1" applyAlignment="1">
      <alignment horizontal="center" vertical="top"/>
    </xf>
    <xf numFmtId="0" fontId="91" fillId="69" borderId="0" xfId="0" applyFont="1" applyFill="1"/>
    <xf numFmtId="0" fontId="91" fillId="69" borderId="47" xfId="0" applyFont="1" applyFill="1" applyBorder="1"/>
    <xf numFmtId="0" fontId="2" fillId="0" borderId="0" xfId="6628" quotePrefix="1"/>
    <xf numFmtId="0" fontId="0" fillId="0" borderId="0" xfId="0" applyAlignment="1">
      <alignment horizontal="left" wrapText="1"/>
    </xf>
    <xf numFmtId="175" fontId="91" fillId="3" borderId="0" xfId="13330" applyNumberFormat="1" applyFont="1" applyFill="1" applyBorder="1" applyAlignment="1">
      <alignment horizontal="center" vertical="top"/>
    </xf>
    <xf numFmtId="175" fontId="91" fillId="3" borderId="0" xfId="13330" applyNumberFormat="1" applyFont="1" applyFill="1" applyAlignment="1">
      <alignment horizontal="center" vertical="top"/>
    </xf>
    <xf numFmtId="0" fontId="107" fillId="0" borderId="0" xfId="0" applyFont="1"/>
    <xf numFmtId="0" fontId="131" fillId="0" borderId="47" xfId="7" applyFont="1" applyBorder="1" applyAlignment="1" applyProtection="1">
      <alignment horizontal="left"/>
    </xf>
    <xf numFmtId="0" fontId="107" fillId="0" borderId="47" xfId="0" applyFont="1" applyBorder="1"/>
    <xf numFmtId="0" fontId="0" fillId="0" borderId="47" xfId="0" applyBorder="1"/>
    <xf numFmtId="0" fontId="132" fillId="0" borderId="0" xfId="0" applyFont="1"/>
    <xf numFmtId="0" fontId="133" fillId="0" borderId="0" xfId="0" applyFont="1"/>
    <xf numFmtId="0" fontId="83" fillId="0" borderId="0" xfId="0" applyFont="1"/>
    <xf numFmtId="0" fontId="120" fillId="0" borderId="0" xfId="8" applyFont="1" applyAlignment="1">
      <alignment horizontal="center"/>
    </xf>
    <xf numFmtId="172" fontId="83" fillId="0" borderId="0" xfId="0" applyNumberFormat="1" applyFont="1"/>
    <xf numFmtId="0" fontId="64" fillId="0" borderId="0" xfId="8" applyFont="1" applyAlignment="1">
      <alignment horizontal="center"/>
    </xf>
    <xf numFmtId="0" fontId="107" fillId="0" borderId="0" xfId="0" applyFont="1" applyAlignment="1">
      <alignment horizontal="center"/>
    </xf>
    <xf numFmtId="174" fontId="83" fillId="0" borderId="0" xfId="0" applyNumberFormat="1" applyFont="1"/>
    <xf numFmtId="43" fontId="107" fillId="0" borderId="57" xfId="4" applyFont="1" applyBorder="1" applyProtection="1"/>
    <xf numFmtId="0" fontId="107" fillId="0" borderId="0" xfId="8" applyFont="1" applyAlignment="1">
      <alignment horizontal="right"/>
    </xf>
    <xf numFmtId="43" fontId="107" fillId="0" borderId="0" xfId="4" applyFont="1" applyBorder="1" applyProtection="1"/>
    <xf numFmtId="172" fontId="107" fillId="0" borderId="0" xfId="5" applyNumberFormat="1" applyFont="1" applyBorder="1" applyAlignment="1" applyProtection="1">
      <alignment horizontal="center"/>
    </xf>
    <xf numFmtId="43" fontId="83" fillId="0" borderId="0" xfId="4" applyFont="1" applyProtection="1"/>
    <xf numFmtId="0" fontId="135" fillId="0" borderId="0" xfId="0" applyFont="1"/>
    <xf numFmtId="0" fontId="134" fillId="0" borderId="0" xfId="0" applyFont="1"/>
    <xf numFmtId="0" fontId="136" fillId="0" borderId="0" xfId="0" applyFont="1"/>
    <xf numFmtId="172" fontId="96" fillId="2" borderId="51" xfId="0" applyNumberFormat="1" applyFont="1" applyFill="1" applyBorder="1" applyProtection="1">
      <protection locked="0"/>
    </xf>
    <xf numFmtId="172" fontId="96" fillId="0" borderId="75" xfId="0" applyNumberFormat="1" applyFont="1" applyBorder="1" applyProtection="1">
      <protection locked="0"/>
    </xf>
    <xf numFmtId="0" fontId="96" fillId="0" borderId="51" xfId="0" applyFont="1" applyBorder="1" applyProtection="1">
      <protection locked="0"/>
    </xf>
    <xf numFmtId="174" fontId="96" fillId="0" borderId="51" xfId="0" applyNumberFormat="1" applyFont="1" applyBorder="1" applyProtection="1">
      <protection locked="0"/>
    </xf>
    <xf numFmtId="172" fontId="96" fillId="0" borderId="47" xfId="0" applyNumberFormat="1" applyFont="1" applyBorder="1" applyProtection="1">
      <protection locked="0"/>
    </xf>
    <xf numFmtId="0" fontId="89" fillId="0" borderId="75" xfId="0" applyFont="1" applyBorder="1" applyAlignment="1" applyProtection="1">
      <alignment vertical="center"/>
      <protection locked="0"/>
    </xf>
    <xf numFmtId="174" fontId="90" fillId="0" borderId="55" xfId="0" applyNumberFormat="1" applyFont="1" applyBorder="1"/>
    <xf numFmtId="183" fontId="91" fillId="0" borderId="0" xfId="4" applyNumberFormat="1" applyFont="1" applyFill="1" applyProtection="1"/>
    <xf numFmtId="183" fontId="91" fillId="0" borderId="0" xfId="4" applyNumberFormat="1" applyFont="1" applyProtection="1"/>
    <xf numFmtId="0" fontId="96" fillId="0" borderId="47" xfId="0" applyFont="1" applyBorder="1" applyAlignment="1" applyProtection="1">
      <alignment vertical="center"/>
      <protection locked="0"/>
    </xf>
    <xf numFmtId="0" fontId="91" fillId="0" borderId="51" xfId="0" applyFont="1" applyBorder="1"/>
    <xf numFmtId="0" fontId="0" fillId="0" borderId="51" xfId="0" applyBorder="1"/>
    <xf numFmtId="0" fontId="112" fillId="0" borderId="1" xfId="0" applyFont="1" applyBorder="1"/>
    <xf numFmtId="0" fontId="0" fillId="0" borderId="1" xfId="0" applyBorder="1"/>
    <xf numFmtId="0" fontId="12" fillId="70" borderId="0" xfId="0" applyFont="1" applyFill="1"/>
    <xf numFmtId="0" fontId="137" fillId="70" borderId="0" xfId="0" applyFont="1" applyFill="1"/>
    <xf numFmtId="0" fontId="131" fillId="0" borderId="0" xfId="7" applyFont="1" applyBorder="1" applyAlignment="1" applyProtection="1">
      <alignment horizontal="left"/>
    </xf>
    <xf numFmtId="0" fontId="131" fillId="0" borderId="0" xfId="7" applyFont="1" applyBorder="1" applyAlignment="1" applyProtection="1">
      <alignment horizontal="center"/>
    </xf>
    <xf numFmtId="0" fontId="104" fillId="0" borderId="0" xfId="0" applyFont="1"/>
    <xf numFmtId="1" fontId="91" fillId="0" borderId="57" xfId="0" applyNumberFormat="1" applyFont="1" applyBorder="1" applyAlignment="1">
      <alignment horizontal="left"/>
    </xf>
    <xf numFmtId="1" fontId="91" fillId="0" borderId="0" xfId="0" applyNumberFormat="1" applyFont="1" applyAlignment="1">
      <alignment horizontal="left"/>
    </xf>
    <xf numFmtId="5" fontId="91" fillId="0" borderId="0" xfId="0" applyNumberFormat="1" applyFont="1" applyAlignment="1">
      <alignment horizontal="center" vertical="top"/>
    </xf>
    <xf numFmtId="175" fontId="91" fillId="0" borderId="0" xfId="0" applyNumberFormat="1" applyFont="1" applyAlignment="1">
      <alignment horizontal="center" vertical="top"/>
    </xf>
    <xf numFmtId="175" fontId="92" fillId="0" borderId="0" xfId="0" applyNumberFormat="1" applyFont="1" applyAlignment="1">
      <alignment horizontal="center" vertical="top"/>
    </xf>
    <xf numFmtId="165" fontId="92" fillId="0" borderId="0" xfId="0" applyNumberFormat="1" applyFont="1" applyAlignment="1">
      <alignment horizontal="center" vertical="top"/>
    </xf>
    <xf numFmtId="0" fontId="92" fillId="0" borderId="5" xfId="0" applyFont="1" applyBorder="1" applyAlignment="1">
      <alignment horizontal="left"/>
    </xf>
    <xf numFmtId="175" fontId="92" fillId="0" borderId="6" xfId="0" applyNumberFormat="1" applyFont="1" applyBorder="1" applyAlignment="1">
      <alignment horizontal="center"/>
    </xf>
    <xf numFmtId="165" fontId="105" fillId="0" borderId="0" xfId="0" applyNumberFormat="1" applyFont="1" applyAlignment="1">
      <alignment horizontal="center"/>
    </xf>
    <xf numFmtId="165" fontId="106" fillId="0" borderId="0" xfId="0" applyNumberFormat="1" applyFont="1" applyAlignment="1">
      <alignment horizontal="center"/>
    </xf>
    <xf numFmtId="0" fontId="106" fillId="0" borderId="5" xfId="0" applyFont="1" applyBorder="1" applyAlignment="1">
      <alignment horizontal="left"/>
    </xf>
    <xf numFmtId="6" fontId="92" fillId="0" borderId="6" xfId="0" applyNumberFormat="1" applyFont="1" applyBorder="1" applyAlignment="1">
      <alignment horizontal="center"/>
    </xf>
    <xf numFmtId="172" fontId="92" fillId="0" borderId="0" xfId="0" applyNumberFormat="1" applyFont="1" applyAlignment="1">
      <alignment horizontal="center"/>
    </xf>
    <xf numFmtId="180" fontId="92" fillId="0" borderId="0" xfId="0" applyNumberFormat="1" applyFont="1" applyAlignment="1">
      <alignment horizontal="center"/>
    </xf>
    <xf numFmtId="6" fontId="91" fillId="0" borderId="57" xfId="0" applyNumberFormat="1" applyFont="1" applyBorder="1" applyAlignment="1">
      <alignment horizontal="center"/>
    </xf>
    <xf numFmtId="6" fontId="91" fillId="0" borderId="0" xfId="0" applyNumberFormat="1" applyFont="1" applyAlignment="1">
      <alignment horizontal="center"/>
    </xf>
    <xf numFmtId="1" fontId="92" fillId="0" borderId="57" xfId="0" applyNumberFormat="1" applyFont="1" applyBorder="1" applyAlignment="1">
      <alignment horizontal="left"/>
    </xf>
    <xf numFmtId="1" fontId="105" fillId="0" borderId="0" xfId="0" applyNumberFormat="1" applyFont="1" applyAlignment="1">
      <alignment horizontal="left"/>
    </xf>
    <xf numFmtId="1" fontId="91" fillId="0" borderId="0" xfId="0" applyNumberFormat="1" applyFont="1" applyAlignment="1">
      <alignment horizontal="center" vertical="top"/>
    </xf>
    <xf numFmtId="3" fontId="91" fillId="0" borderId="0" xfId="0" applyNumberFormat="1" applyFont="1" applyAlignment="1">
      <alignment horizontal="center" vertical="top"/>
    </xf>
    <xf numFmtId="3" fontId="91" fillId="0" borderId="57" xfId="0" applyNumberFormat="1" applyFont="1" applyBorder="1" applyAlignment="1">
      <alignment horizontal="center" vertical="top"/>
    </xf>
    <xf numFmtId="179" fontId="92" fillId="0" borderId="6" xfId="0" applyNumberFormat="1" applyFont="1" applyBorder="1" applyAlignment="1">
      <alignment horizontal="center"/>
    </xf>
    <xf numFmtId="0" fontId="106" fillId="0" borderId="0" xfId="0" quotePrefix="1" applyFont="1"/>
    <xf numFmtId="6" fontId="105" fillId="0" borderId="0" xfId="0" applyNumberFormat="1" applyFont="1" applyAlignment="1">
      <alignment horizontal="center"/>
    </xf>
    <xf numFmtId="0" fontId="92" fillId="62" borderId="1" xfId="0" applyFont="1" applyFill="1" applyBorder="1"/>
    <xf numFmtId="0" fontId="130" fillId="0" borderId="0" xfId="0" applyFont="1"/>
    <xf numFmtId="183" fontId="92" fillId="0" borderId="1" xfId="4" applyNumberFormat="1" applyFont="1" applyFill="1" applyBorder="1"/>
    <xf numFmtId="172" fontId="91" fillId="0" borderId="0" xfId="33110" applyNumberFormat="1" applyFont="1" applyFill="1" applyBorder="1" applyAlignment="1">
      <alignment horizontal="right"/>
    </xf>
    <xf numFmtId="172" fontId="91" fillId="0" borderId="47" xfId="33110" applyNumberFormat="1" applyFont="1" applyFill="1" applyBorder="1" applyAlignment="1">
      <alignment horizontal="right"/>
    </xf>
    <xf numFmtId="0" fontId="102" fillId="64" borderId="0" xfId="0" applyFont="1" applyFill="1"/>
    <xf numFmtId="174" fontId="107" fillId="0" borderId="47" xfId="0" applyNumberFormat="1" applyFont="1" applyBorder="1"/>
    <xf numFmtId="0" fontId="105" fillId="0" borderId="47" xfId="0" applyFont="1" applyBorder="1"/>
    <xf numFmtId="174" fontId="92" fillId="59" borderId="0" xfId="0" applyNumberFormat="1" applyFont="1" applyFill="1" applyAlignment="1">
      <alignment horizontal="right"/>
    </xf>
    <xf numFmtId="0" fontId="92" fillId="59" borderId="0" xfId="0" applyFont="1" applyFill="1" applyAlignment="1">
      <alignment horizontal="center"/>
    </xf>
    <xf numFmtId="0" fontId="92" fillId="59" borderId="5" xfId="0" applyFont="1" applyFill="1" applyBorder="1"/>
    <xf numFmtId="174" fontId="92" fillId="59" borderId="6" xfId="0" applyNumberFormat="1" applyFont="1" applyFill="1" applyBorder="1" applyAlignment="1">
      <alignment horizontal="right"/>
    </xf>
    <xf numFmtId="0" fontId="92" fillId="59" borderId="6" xfId="0" applyFont="1" applyFill="1" applyBorder="1"/>
    <xf numFmtId="172" fontId="91" fillId="0" borderId="47" xfId="0" applyNumberFormat="1" applyFont="1" applyBorder="1" applyAlignment="1">
      <alignment horizontal="right" vertical="top"/>
    </xf>
    <xf numFmtId="174" fontId="91" fillId="0" borderId="47" xfId="0" applyNumberFormat="1" applyFont="1" applyBorder="1" applyAlignment="1">
      <alignment horizontal="right" vertical="top"/>
    </xf>
    <xf numFmtId="174" fontId="90" fillId="0" borderId="47" xfId="13330" applyNumberFormat="1" applyFont="1" applyFill="1" applyBorder="1" applyAlignment="1">
      <alignment horizontal="right" vertical="top"/>
    </xf>
    <xf numFmtId="174" fontId="90" fillId="0" borderId="47" xfId="0" applyNumberFormat="1" applyFont="1" applyBorder="1" applyAlignment="1">
      <alignment horizontal="right"/>
    </xf>
    <xf numFmtId="174" fontId="91" fillId="0" borderId="47" xfId="9" applyNumberFormat="1" applyFont="1" applyFill="1" applyBorder="1" applyAlignment="1" applyProtection="1">
      <alignment horizontal="right" vertical="top"/>
    </xf>
    <xf numFmtId="172" fontId="96" fillId="2" borderId="48" xfId="13118" applyNumberFormat="1" applyFont="1" applyFill="1" applyBorder="1" applyProtection="1">
      <protection locked="0"/>
    </xf>
    <xf numFmtId="172" fontId="2" fillId="0" borderId="0" xfId="8" applyNumberFormat="1"/>
    <xf numFmtId="174" fontId="92" fillId="0" borderId="1" xfId="33110" applyNumberFormat="1" applyFont="1" applyFill="1" applyBorder="1"/>
    <xf numFmtId="174" fontId="92" fillId="0" borderId="1" xfId="0" applyNumberFormat="1" applyFont="1" applyBorder="1"/>
    <xf numFmtId="174" fontId="91" fillId="0" borderId="1" xfId="33110" applyNumberFormat="1" applyFont="1" applyFill="1" applyBorder="1" applyAlignment="1">
      <alignment horizontal="right"/>
    </xf>
    <xf numFmtId="174" fontId="91" fillId="0" borderId="1" xfId="33110" applyNumberFormat="1" applyFont="1" applyFill="1" applyBorder="1"/>
    <xf numFmtId="174" fontId="91" fillId="0" borderId="1" xfId="0" applyNumberFormat="1" applyFont="1" applyBorder="1"/>
    <xf numFmtId="175" fontId="91" fillId="2" borderId="0" xfId="0" applyNumberFormat="1" applyFont="1" applyFill="1" applyAlignment="1" applyProtection="1">
      <alignment horizontal="right"/>
      <protection locked="0"/>
    </xf>
    <xf numFmtId="0" fontId="92" fillId="0" borderId="0" xfId="0" applyFont="1" applyAlignment="1">
      <alignment horizontal="left" wrapText="1"/>
    </xf>
    <xf numFmtId="172" fontId="96" fillId="2" borderId="55" xfId="0" applyNumberFormat="1" applyFont="1" applyFill="1" applyBorder="1" applyProtection="1">
      <protection locked="0"/>
    </xf>
    <xf numFmtId="0" fontId="91" fillId="2" borderId="51" xfId="0" applyFont="1" applyFill="1" applyBorder="1" applyProtection="1">
      <protection locked="0"/>
    </xf>
    <xf numFmtId="174" fontId="107" fillId="0" borderId="52" xfId="0" applyNumberFormat="1" applyFont="1" applyBorder="1"/>
    <xf numFmtId="0" fontId="92" fillId="3" borderId="1" xfId="0" applyFont="1" applyFill="1" applyBorder="1"/>
    <xf numFmtId="172" fontId="107" fillId="0" borderId="0" xfId="33110" applyNumberFormat="1" applyFont="1" applyAlignment="1">
      <alignment horizontal="right" vertical="top"/>
    </xf>
    <xf numFmtId="172" fontId="91" fillId="0" borderId="0" xfId="33110" applyNumberFormat="1" applyFont="1" applyAlignment="1">
      <alignment horizontal="right"/>
    </xf>
    <xf numFmtId="0" fontId="89" fillId="0" borderId="75" xfId="0" applyFont="1" applyBorder="1"/>
    <xf numFmtId="172" fontId="96" fillId="0" borderId="75" xfId="0" applyNumberFormat="1" applyFont="1" applyBorder="1"/>
    <xf numFmtId="0" fontId="90" fillId="0" borderId="51" xfId="0" applyFont="1" applyBorder="1" applyAlignment="1">
      <alignment vertical="center"/>
    </xf>
    <xf numFmtId="0" fontId="90" fillId="0" borderId="47" xfId="0" applyFont="1" applyBorder="1" applyAlignment="1">
      <alignment wrapText="1"/>
    </xf>
    <xf numFmtId="174" fontId="90" fillId="0" borderId="47" xfId="0" applyNumberFormat="1" applyFont="1" applyBorder="1"/>
    <xf numFmtId="0" fontId="90" fillId="0" borderId="47" xfId="0" applyFont="1" applyBorder="1"/>
    <xf numFmtId="172" fontId="90" fillId="0" borderId="47" xfId="0" applyNumberFormat="1" applyFont="1" applyBorder="1"/>
    <xf numFmtId="0" fontId="90" fillId="0" borderId="47" xfId="0" applyFont="1" applyBorder="1" applyAlignment="1">
      <alignment vertical="center"/>
    </xf>
    <xf numFmtId="197" fontId="91" fillId="0" borderId="57" xfId="0" applyNumberFormat="1" applyFont="1" applyBorder="1" applyAlignment="1">
      <alignment horizontal="center"/>
    </xf>
    <xf numFmtId="197" fontId="91" fillId="0" borderId="0" xfId="0" applyNumberFormat="1" applyFont="1" applyAlignment="1">
      <alignment horizontal="center"/>
    </xf>
    <xf numFmtId="198" fontId="91" fillId="0" borderId="0" xfId="0" applyNumberFormat="1" applyFont="1" applyAlignment="1">
      <alignment horizontal="center" vertical="top"/>
    </xf>
    <xf numFmtId="198" fontId="91" fillId="0" borderId="57" xfId="0" applyNumberFormat="1" applyFont="1" applyBorder="1" applyAlignment="1">
      <alignment horizontal="center" vertical="top"/>
    </xf>
    <xf numFmtId="199" fontId="91" fillId="0" borderId="0" xfId="0" applyNumberFormat="1" applyFont="1" applyAlignment="1">
      <alignment horizontal="center" vertical="top"/>
    </xf>
    <xf numFmtId="0" fontId="129" fillId="0" borderId="0" xfId="0" applyFont="1" applyAlignment="1">
      <alignment horizontal="left" indent="1"/>
    </xf>
    <xf numFmtId="0" fontId="139" fillId="0" borderId="0" xfId="0" applyFont="1" applyAlignment="1">
      <alignment horizontal="center"/>
    </xf>
    <xf numFmtId="0" fontId="104" fillId="0" borderId="0" xfId="0" applyFont="1" applyAlignment="1">
      <alignment horizontal="left" vertical="top"/>
    </xf>
    <xf numFmtId="0" fontId="107" fillId="0" borderId="0" xfId="0" applyFont="1" applyAlignment="1">
      <alignment horizontal="left" vertical="top"/>
    </xf>
    <xf numFmtId="174" fontId="91" fillId="0" borderId="0" xfId="33110" applyNumberFormat="1" applyFont="1" applyFill="1" applyProtection="1"/>
    <xf numFmtId="174" fontId="91" fillId="0" borderId="0" xfId="33110" applyNumberFormat="1" applyFont="1" applyProtection="1"/>
    <xf numFmtId="172" fontId="91" fillId="0" borderId="0" xfId="33110" applyNumberFormat="1" applyFont="1" applyFill="1" applyProtection="1"/>
    <xf numFmtId="172" fontId="91" fillId="0" borderId="0" xfId="33110" applyNumberFormat="1" applyFont="1" applyProtection="1"/>
    <xf numFmtId="172" fontId="140" fillId="0" borderId="0" xfId="6628" applyNumberFormat="1" applyFont="1" applyAlignment="1">
      <alignment horizontal="center"/>
    </xf>
    <xf numFmtId="187" fontId="91" fillId="0" borderId="3" xfId="11" applyNumberFormat="1" applyFont="1" applyFill="1" applyAlignment="1" applyProtection="1">
      <alignment horizontal="right"/>
      <protection locked="0"/>
    </xf>
    <xf numFmtId="164" fontId="96" fillId="0" borderId="0" xfId="11" applyNumberFormat="1" applyFont="1" applyFill="1" applyBorder="1" applyAlignment="1" applyProtection="1">
      <alignment horizontal="center"/>
      <protection locked="0"/>
    </xf>
    <xf numFmtId="0" fontId="96" fillId="2" borderId="55" xfId="0" applyFont="1" applyFill="1" applyBorder="1" applyAlignment="1" applyProtection="1">
      <alignment horizontal="center" vertical="top"/>
      <protection locked="0"/>
    </xf>
    <xf numFmtId="1" fontId="96" fillId="2" borderId="55" xfId="0" applyNumberFormat="1" applyFont="1" applyFill="1" applyBorder="1" applyAlignment="1" applyProtection="1">
      <alignment horizontal="center" vertical="top"/>
      <protection locked="0"/>
    </xf>
    <xf numFmtId="0" fontId="90" fillId="0" borderId="55" xfId="0" applyFont="1" applyBorder="1" applyAlignment="1">
      <alignment horizontal="center" vertical="top"/>
    </xf>
    <xf numFmtId="172" fontId="90" fillId="0" borderId="55" xfId="0" applyNumberFormat="1" applyFont="1" applyBorder="1" applyAlignment="1">
      <alignment horizontal="center" vertical="top"/>
    </xf>
    <xf numFmtId="174" fontId="0" fillId="0" borderId="0" xfId="33110" applyNumberFormat="1" applyFont="1"/>
    <xf numFmtId="174" fontId="0" fillId="0" borderId="0" xfId="0" applyNumberFormat="1"/>
    <xf numFmtId="0" fontId="141" fillId="0" borderId="0" xfId="0" applyFont="1" applyAlignment="1">
      <alignment horizontal="center"/>
    </xf>
    <xf numFmtId="0" fontId="142" fillId="0" borderId="0" xfId="0" applyFont="1"/>
    <xf numFmtId="0" fontId="92" fillId="59" borderId="0" xfId="0" applyFont="1" applyFill="1" applyAlignment="1">
      <alignment horizontal="right"/>
    </xf>
    <xf numFmtId="194" fontId="92" fillId="59" borderId="0" xfId="0" applyNumberFormat="1" applyFont="1" applyFill="1" applyAlignment="1">
      <alignment horizontal="right"/>
    </xf>
    <xf numFmtId="0" fontId="92" fillId="67" borderId="8" xfId="0" applyFont="1" applyFill="1" applyBorder="1" applyAlignment="1">
      <alignment horizontal="right"/>
    </xf>
    <xf numFmtId="174" fontId="92" fillId="0" borderId="1" xfId="33110" applyNumberFormat="1" applyFont="1" applyFill="1" applyBorder="1" applyAlignment="1">
      <alignment horizontal="right"/>
    </xf>
    <xf numFmtId="0" fontId="91" fillId="0" borderId="0" xfId="0" applyFont="1" applyAlignment="1">
      <alignment horizontal="right"/>
    </xf>
    <xf numFmtId="0" fontId="115" fillId="0" borderId="0" xfId="0" applyFont="1" applyAlignment="1">
      <alignment horizontal="right" vertical="top"/>
    </xf>
    <xf numFmtId="194" fontId="92" fillId="0" borderId="0" xfId="0" applyNumberFormat="1" applyFont="1" applyAlignment="1">
      <alignment horizontal="right"/>
    </xf>
    <xf numFmtId="172" fontId="96" fillId="0" borderId="0" xfId="11" applyNumberFormat="1" applyFont="1" applyFill="1" applyBorder="1" applyAlignment="1" applyProtection="1">
      <alignment horizontal="center"/>
      <protection locked="0"/>
    </xf>
    <xf numFmtId="172" fontId="92" fillId="0" borderId="0" xfId="0" applyNumberFormat="1" applyFont="1" applyAlignment="1">
      <alignment horizontal="right"/>
    </xf>
    <xf numFmtId="165" fontId="91" fillId="0" borderId="0" xfId="0" applyNumberFormat="1" applyFont="1" applyAlignment="1">
      <alignment horizontal="right"/>
    </xf>
    <xf numFmtId="177" fontId="91" fillId="0" borderId="0" xfId="0" applyNumberFormat="1" applyFont="1" applyAlignment="1">
      <alignment horizontal="right"/>
    </xf>
    <xf numFmtId="176" fontId="92" fillId="0" borderId="0" xfId="0" applyNumberFormat="1" applyFont="1" applyAlignment="1">
      <alignment horizontal="right"/>
    </xf>
    <xf numFmtId="181" fontId="101" fillId="4" borderId="55" xfId="11" applyNumberFormat="1" applyFont="1" applyBorder="1" applyAlignment="1" applyProtection="1">
      <alignment horizontal="right"/>
      <protection locked="0"/>
    </xf>
    <xf numFmtId="187" fontId="90" fillId="0" borderId="55" xfId="11" applyNumberFormat="1" applyFont="1" applyFill="1" applyBorder="1" applyAlignment="1" applyProtection="1">
      <alignment horizontal="right"/>
    </xf>
    <xf numFmtId="175" fontId="96" fillId="4" borderId="55" xfId="11" applyNumberFormat="1" applyFont="1" applyBorder="1" applyAlignment="1" applyProtection="1">
      <alignment horizontal="right"/>
      <protection locked="0"/>
    </xf>
    <xf numFmtId="178" fontId="90" fillId="0" borderId="55" xfId="0" applyNumberFormat="1" applyFont="1" applyBorder="1" applyAlignment="1">
      <alignment horizontal="right"/>
    </xf>
    <xf numFmtId="0" fontId="104" fillId="0" borderId="40" xfId="0" applyFont="1" applyBorder="1" applyAlignment="1">
      <alignment horizontal="right" vertical="top"/>
    </xf>
    <xf numFmtId="194" fontId="92" fillId="0" borderId="1" xfId="0" applyNumberFormat="1" applyFont="1" applyBorder="1" applyAlignment="1">
      <alignment horizontal="right"/>
    </xf>
    <xf numFmtId="0" fontId="91" fillId="0" borderId="1" xfId="0" applyFont="1" applyBorder="1" applyAlignment="1">
      <alignment horizontal="right"/>
    </xf>
    <xf numFmtId="0" fontId="92" fillId="0" borderId="50" xfId="0" applyFont="1" applyBorder="1"/>
    <xf numFmtId="0" fontId="91" fillId="0" borderId="50" xfId="0" applyFont="1" applyBorder="1"/>
    <xf numFmtId="174" fontId="91" fillId="0" borderId="50" xfId="0" applyNumberFormat="1" applyFont="1" applyBorder="1" applyAlignment="1">
      <alignment horizontal="right"/>
    </xf>
    <xf numFmtId="177" fontId="92" fillId="0" borderId="50" xfId="0" applyNumberFormat="1" applyFont="1" applyBorder="1" applyAlignment="1">
      <alignment horizontal="right"/>
    </xf>
    <xf numFmtId="177" fontId="92" fillId="0" borderId="50" xfId="0" quotePrefix="1" applyNumberFormat="1" applyFont="1" applyBorder="1" applyAlignment="1">
      <alignment horizontal="right"/>
    </xf>
    <xf numFmtId="0" fontId="92" fillId="0" borderId="52" xfId="0" applyFont="1" applyBorder="1"/>
    <xf numFmtId="0" fontId="91" fillId="0" borderId="52" xfId="0" applyFont="1" applyBorder="1"/>
    <xf numFmtId="174" fontId="91" fillId="0" borderId="52" xfId="0" applyNumberFormat="1" applyFont="1" applyBorder="1" applyAlignment="1">
      <alignment horizontal="right"/>
    </xf>
    <xf numFmtId="177" fontId="92" fillId="0" borderId="52" xfId="0" applyNumberFormat="1" applyFont="1" applyBorder="1" applyAlignment="1">
      <alignment horizontal="right"/>
    </xf>
    <xf numFmtId="174" fontId="90" fillId="0" borderId="51" xfId="0" applyNumberFormat="1" applyFont="1" applyBorder="1"/>
    <xf numFmtId="174" fontId="96" fillId="2" borderId="51" xfId="0" applyNumberFormat="1" applyFont="1" applyFill="1" applyBorder="1" applyProtection="1">
      <protection locked="0"/>
    </xf>
    <xf numFmtId="174" fontId="96" fillId="2" borderId="55" xfId="0" applyNumberFormat="1" applyFont="1" applyFill="1" applyBorder="1" applyProtection="1">
      <protection locked="0"/>
    </xf>
    <xf numFmtId="172" fontId="96" fillId="0" borderId="55" xfId="0" applyNumberFormat="1" applyFont="1" applyBorder="1" applyProtection="1">
      <protection locked="0"/>
    </xf>
    <xf numFmtId="172" fontId="95" fillId="0" borderId="55" xfId="8" applyNumberFormat="1" applyFont="1" applyBorder="1"/>
    <xf numFmtId="172" fontId="116" fillId="2" borderId="55" xfId="6" applyNumberFormat="1" applyFont="1" applyFill="1" applyBorder="1" applyProtection="1">
      <protection locked="0"/>
    </xf>
    <xf numFmtId="172" fontId="116" fillId="2" borderId="55" xfId="6" applyNumberFormat="1" applyFont="1" applyFill="1" applyBorder="1" applyAlignment="1" applyProtection="1">
      <protection locked="0"/>
    </xf>
    <xf numFmtId="172" fontId="95" fillId="0" borderId="102" xfId="8" applyNumberFormat="1" applyFont="1" applyBorder="1"/>
    <xf numFmtId="172" fontId="116" fillId="2" borderId="102" xfId="6" applyNumberFormat="1" applyFont="1" applyFill="1" applyBorder="1" applyProtection="1">
      <protection locked="0"/>
    </xf>
    <xf numFmtId="172" fontId="117" fillId="0" borderId="0" xfId="8" quotePrefix="1" applyNumberFormat="1" applyFont="1" applyAlignment="1">
      <alignment horizontal="center"/>
    </xf>
    <xf numFmtId="38" fontId="95" fillId="0" borderId="0" xfId="6" applyNumberFormat="1" applyFont="1" applyBorder="1" applyProtection="1"/>
    <xf numFmtId="172" fontId="95" fillId="0" borderId="0" xfId="6" applyNumberFormat="1" applyFont="1" applyBorder="1" applyProtection="1"/>
    <xf numFmtId="172" fontId="94" fillId="0" borderId="0" xfId="10" quotePrefix="1" applyNumberFormat="1" applyFont="1" applyBorder="1" applyAlignment="1" applyProtection="1">
      <alignment horizontal="center"/>
    </xf>
    <xf numFmtId="175" fontId="94" fillId="0" borderId="0" xfId="10" applyNumberFormat="1" applyFont="1" applyBorder="1" applyProtection="1"/>
    <xf numFmtId="44" fontId="95" fillId="0" borderId="0" xfId="6" applyFont="1" applyBorder="1" applyAlignment="1" applyProtection="1"/>
    <xf numFmtId="44" fontId="95" fillId="0" borderId="0" xfId="6" applyFont="1" applyBorder="1" applyAlignment="1" applyProtection="1">
      <alignment horizontal="right"/>
    </xf>
    <xf numFmtId="44" fontId="95" fillId="59" borderId="0" xfId="6" applyFont="1" applyFill="1" applyBorder="1" applyProtection="1"/>
    <xf numFmtId="174" fontId="94" fillId="0" borderId="65" xfId="6" applyNumberFormat="1" applyFont="1" applyBorder="1" applyAlignment="1" applyProtection="1">
      <alignment horizontal="right"/>
    </xf>
    <xf numFmtId="172" fontId="94" fillId="0" borderId="65" xfId="8" applyNumberFormat="1" applyFont="1" applyBorder="1"/>
    <xf numFmtId="174" fontId="94" fillId="0" borderId="63" xfId="6" applyNumberFormat="1" applyFont="1" applyBorder="1" applyAlignment="1" applyProtection="1">
      <alignment horizontal="right"/>
    </xf>
    <xf numFmtId="172" fontId="95" fillId="0" borderId="109" xfId="8" applyNumberFormat="1" applyFont="1" applyBorder="1"/>
    <xf numFmtId="172" fontId="116" fillId="2" borderId="109" xfId="6" applyNumberFormat="1" applyFont="1" applyFill="1" applyBorder="1" applyProtection="1">
      <protection locked="0"/>
    </xf>
    <xf numFmtId="174" fontId="95" fillId="0" borderId="55" xfId="8" applyNumberFormat="1" applyFont="1" applyBorder="1"/>
    <xf numFmtId="9" fontId="95" fillId="0" borderId="0" xfId="10" applyFont="1" applyBorder="1" applyProtection="1"/>
    <xf numFmtId="175" fontId="95" fillId="0" borderId="102" xfId="6" applyNumberFormat="1" applyFont="1" applyFill="1" applyBorder="1" applyProtection="1"/>
    <xf numFmtId="175" fontId="95" fillId="0" borderId="102" xfId="6" applyNumberFormat="1" applyFont="1" applyFill="1" applyBorder="1" applyAlignment="1" applyProtection="1"/>
    <xf numFmtId="175" fontId="95" fillId="0" borderId="55" xfId="6" applyNumberFormat="1" applyFont="1" applyFill="1" applyBorder="1" applyProtection="1"/>
    <xf numFmtId="175" fontId="95" fillId="0" borderId="55" xfId="6" applyNumberFormat="1" applyFont="1" applyFill="1" applyBorder="1" applyAlignment="1" applyProtection="1"/>
    <xf numFmtId="175" fontId="95" fillId="0" borderId="109" xfId="6" applyNumberFormat="1" applyFont="1" applyFill="1" applyBorder="1" applyProtection="1"/>
    <xf numFmtId="38" fontId="95" fillId="0" borderId="0" xfId="6" applyNumberFormat="1" applyFont="1" applyFill="1" applyBorder="1" applyProtection="1"/>
    <xf numFmtId="9" fontId="95" fillId="0" borderId="0" xfId="9" applyFont="1" applyFill="1" applyBorder="1" applyProtection="1"/>
    <xf numFmtId="44" fontId="95" fillId="0" borderId="0" xfId="6" applyFont="1" applyFill="1" applyBorder="1" applyAlignment="1" applyProtection="1">
      <alignment horizontal="right"/>
    </xf>
    <xf numFmtId="44" fontId="95" fillId="0" borderId="0" xfId="6" applyFont="1" applyFill="1" applyBorder="1" applyAlignment="1" applyProtection="1"/>
    <xf numFmtId="38" fontId="95" fillId="0" borderId="66" xfId="8" applyNumberFormat="1" applyFont="1" applyBorder="1"/>
    <xf numFmtId="175" fontId="95" fillId="0" borderId="66" xfId="9" applyNumberFormat="1" applyFont="1" applyFill="1" applyBorder="1" applyProtection="1"/>
    <xf numFmtId="175" fontId="95" fillId="0" borderId="65" xfId="6" applyNumberFormat="1" applyFont="1" applyFill="1" applyBorder="1" applyProtection="1"/>
    <xf numFmtId="172" fontId="116" fillId="2" borderId="55" xfId="8" applyNumberFormat="1" applyFont="1" applyFill="1" applyBorder="1" applyProtection="1">
      <protection locked="0"/>
    </xf>
    <xf numFmtId="38" fontId="95" fillId="0" borderId="102" xfId="6" applyNumberFormat="1" applyFont="1" applyBorder="1" applyProtection="1"/>
    <xf numFmtId="38" fontId="95" fillId="0" borderId="102" xfId="8" applyNumberFormat="1" applyFont="1" applyBorder="1"/>
    <xf numFmtId="38" fontId="95" fillId="0" borderId="109" xfId="6" applyNumberFormat="1" applyFont="1" applyBorder="1" applyProtection="1"/>
    <xf numFmtId="175" fontId="95" fillId="0" borderId="103" xfId="6" applyNumberFormat="1" applyFont="1" applyFill="1" applyBorder="1" applyAlignment="1" applyProtection="1">
      <alignment horizontal="right"/>
    </xf>
    <xf numFmtId="44" fontId="95" fillId="0" borderId="0" xfId="6" applyFont="1" applyBorder="1" applyProtection="1"/>
    <xf numFmtId="172" fontId="95" fillId="0" borderId="102" xfId="6" applyNumberFormat="1" applyFont="1" applyBorder="1" applyProtection="1"/>
    <xf numFmtId="38" fontId="95" fillId="0" borderId="55" xfId="6" applyNumberFormat="1" applyFont="1" applyFill="1" applyBorder="1" applyProtection="1"/>
    <xf numFmtId="172" fontId="95" fillId="0" borderId="55" xfId="6" applyNumberFormat="1" applyFont="1" applyBorder="1" applyProtection="1"/>
    <xf numFmtId="38" fontId="94" fillId="0" borderId="103" xfId="6" applyNumberFormat="1" applyFont="1" applyBorder="1" applyProtection="1"/>
    <xf numFmtId="172" fontId="94" fillId="0" borderId="103" xfId="6" applyNumberFormat="1" applyFont="1" applyBorder="1" applyProtection="1"/>
    <xf numFmtId="38" fontId="95" fillId="0" borderId="66" xfId="6" applyNumberFormat="1" applyFont="1" applyBorder="1" applyProtection="1"/>
    <xf numFmtId="174" fontId="91" fillId="0" borderId="0" xfId="0" applyNumberFormat="1" applyFont="1" applyAlignment="1">
      <alignment horizontal="right" vertical="top"/>
    </xf>
    <xf numFmtId="0" fontId="107" fillId="62" borderId="1" xfId="0" applyFont="1" applyFill="1" applyBorder="1" applyAlignment="1">
      <alignment horizontal="right" vertical="top"/>
    </xf>
    <xf numFmtId="0" fontId="104" fillId="62" borderId="1" xfId="0" applyFont="1" applyFill="1" applyBorder="1" applyAlignment="1">
      <alignment horizontal="right" vertical="top"/>
    </xf>
    <xf numFmtId="0" fontId="107" fillId="0" borderId="0" xfId="0" applyFont="1" applyAlignment="1">
      <alignment horizontal="right" vertical="top"/>
    </xf>
    <xf numFmtId="172" fontId="96" fillId="69" borderId="42" xfId="0" applyNumberFormat="1" applyFont="1" applyFill="1" applyBorder="1" applyAlignment="1" applyProtection="1">
      <alignment horizontal="right" vertical="top"/>
      <protection locked="0"/>
    </xf>
    <xf numFmtId="172" fontId="96" fillId="69" borderId="43" xfId="0" applyNumberFormat="1" applyFont="1" applyFill="1" applyBorder="1" applyAlignment="1" applyProtection="1">
      <alignment horizontal="right" vertical="top"/>
      <protection locked="0"/>
    </xf>
    <xf numFmtId="172" fontId="96" fillId="69" borderId="73" xfId="0" applyNumberFormat="1" applyFont="1" applyFill="1" applyBorder="1" applyAlignment="1" applyProtection="1">
      <alignment horizontal="right" vertical="top"/>
      <protection locked="0"/>
    </xf>
    <xf numFmtId="172" fontId="90" fillId="69" borderId="43" xfId="0" applyNumberFormat="1" applyFont="1" applyFill="1" applyBorder="1" applyAlignment="1" applyProtection="1">
      <alignment horizontal="right" vertical="top"/>
      <protection locked="0"/>
    </xf>
    <xf numFmtId="172" fontId="90" fillId="69" borderId="73" xfId="0" applyNumberFormat="1" applyFont="1" applyFill="1" applyBorder="1" applyAlignment="1" applyProtection="1">
      <alignment horizontal="right" vertical="top"/>
      <protection locked="0"/>
    </xf>
    <xf numFmtId="172" fontId="90" fillId="69" borderId="3" xfId="0" applyNumberFormat="1" applyFont="1" applyFill="1" applyBorder="1" applyAlignment="1" applyProtection="1">
      <alignment horizontal="right" vertical="top"/>
      <protection locked="0"/>
    </xf>
    <xf numFmtId="172" fontId="90" fillId="69" borderId="44" xfId="0" applyNumberFormat="1" applyFont="1" applyFill="1" applyBorder="1" applyAlignment="1" applyProtection="1">
      <alignment horizontal="right" vertical="top"/>
      <protection locked="0"/>
    </xf>
    <xf numFmtId="172" fontId="90" fillId="69" borderId="39" xfId="0" applyNumberFormat="1" applyFont="1" applyFill="1" applyBorder="1" applyAlignment="1" applyProtection="1">
      <alignment horizontal="right" vertical="top"/>
      <protection locked="0"/>
    </xf>
    <xf numFmtId="0" fontId="90" fillId="0" borderId="47" xfId="0" applyFont="1" applyBorder="1" applyAlignment="1">
      <alignment horizontal="right"/>
    </xf>
    <xf numFmtId="172" fontId="90" fillId="0" borderId="47" xfId="9" applyNumberFormat="1" applyFont="1" applyFill="1" applyBorder="1" applyAlignment="1" applyProtection="1">
      <alignment horizontal="right" vertical="top"/>
    </xf>
    <xf numFmtId="172" fontId="91" fillId="0" borderId="1" xfId="0" applyNumberFormat="1" applyFont="1" applyBorder="1" applyAlignment="1">
      <alignment horizontal="right" vertical="top"/>
    </xf>
    <xf numFmtId="172" fontId="91" fillId="3" borderId="1" xfId="0" applyNumberFormat="1" applyFont="1" applyFill="1" applyBorder="1" applyAlignment="1">
      <alignment horizontal="right" vertical="top"/>
    </xf>
    <xf numFmtId="172" fontId="91" fillId="3" borderId="0" xfId="0" applyNumberFormat="1" applyFont="1" applyFill="1" applyAlignment="1">
      <alignment horizontal="right" vertical="top"/>
    </xf>
    <xf numFmtId="165" fontId="91" fillId="0" borderId="0" xfId="0" applyNumberFormat="1" applyFont="1" applyAlignment="1">
      <alignment horizontal="right" vertical="top"/>
    </xf>
    <xf numFmtId="174" fontId="105" fillId="0" borderId="0" xfId="0" applyNumberFormat="1" applyFont="1" applyAlignment="1">
      <alignment horizontal="right" vertical="top"/>
    </xf>
    <xf numFmtId="0" fontId="104" fillId="0" borderId="69" xfId="0" applyFont="1" applyBorder="1" applyAlignment="1">
      <alignment horizontal="center" vertical="top"/>
    </xf>
    <xf numFmtId="0" fontId="107" fillId="0" borderId="65" xfId="0" applyFont="1" applyBorder="1" applyAlignment="1">
      <alignment horizontal="center" vertical="top"/>
    </xf>
    <xf numFmtId="187" fontId="91" fillId="0" borderId="0" xfId="11" applyNumberFormat="1" applyFont="1" applyFill="1" applyBorder="1" applyAlignment="1" applyProtection="1">
      <alignment horizontal="center"/>
      <protection locked="0"/>
    </xf>
    <xf numFmtId="187" fontId="91" fillId="0" borderId="0" xfId="11" applyNumberFormat="1" applyFont="1" applyFill="1" applyBorder="1" applyAlignment="1" applyProtection="1">
      <alignment horizontal="center" wrapText="1"/>
      <protection locked="0"/>
    </xf>
    <xf numFmtId="187" fontId="96" fillId="4" borderId="55" xfId="11" applyNumberFormat="1" applyFont="1" applyBorder="1" applyAlignment="1" applyProtection="1">
      <alignment horizontal="center" wrapText="1"/>
      <protection locked="0"/>
    </xf>
    <xf numFmtId="0" fontId="91" fillId="0" borderId="57" xfId="0" applyFont="1" applyBorder="1" applyAlignment="1">
      <alignment horizontal="center" vertical="top"/>
    </xf>
    <xf numFmtId="172" fontId="91" fillId="0" borderId="55" xfId="0" applyNumberFormat="1" applyFont="1" applyBorder="1" applyAlignment="1">
      <alignment horizontal="center" vertical="top"/>
    </xf>
    <xf numFmtId="172" fontId="91" fillId="0" borderId="103" xfId="0" applyNumberFormat="1" applyFont="1" applyBorder="1" applyAlignment="1">
      <alignment horizontal="center" vertical="top"/>
    </xf>
    <xf numFmtId="172" fontId="91" fillId="0" borderId="109" xfId="0" applyNumberFormat="1" applyFont="1" applyBorder="1" applyAlignment="1">
      <alignment horizontal="center" vertical="top"/>
    </xf>
    <xf numFmtId="0" fontId="129" fillId="0" borderId="56" xfId="0" applyFont="1" applyBorder="1" applyAlignment="1">
      <alignment horizontal="left" indent="1"/>
    </xf>
    <xf numFmtId="0" fontId="129" fillId="0" borderId="18" xfId="0" applyFont="1" applyBorder="1" applyAlignment="1">
      <alignment horizontal="left" indent="1"/>
    </xf>
    <xf numFmtId="44" fontId="91" fillId="0" borderId="0" xfId="33110" applyFont="1" applyFill="1" applyBorder="1"/>
    <xf numFmtId="174" fontId="92" fillId="0" borderId="0" xfId="0" applyNumberFormat="1" applyFont="1"/>
    <xf numFmtId="174" fontId="92" fillId="0" borderId="0" xfId="33110" applyNumberFormat="1" applyFont="1" applyFill="1" applyBorder="1"/>
    <xf numFmtId="0" fontId="96" fillId="2" borderId="1" xfId="0" applyFont="1" applyFill="1" applyBorder="1" applyProtection="1">
      <protection locked="0"/>
    </xf>
    <xf numFmtId="0" fontId="96" fillId="2" borderId="57" xfId="0" applyFont="1" applyFill="1" applyBorder="1" applyProtection="1">
      <protection locked="0"/>
    </xf>
    <xf numFmtId="0" fontId="104" fillId="0" borderId="0" xfId="0" applyFont="1" applyAlignment="1">
      <alignment horizontal="right" vertical="top"/>
    </xf>
    <xf numFmtId="172" fontId="90" fillId="0" borderId="52" xfId="0" applyNumberFormat="1" applyFont="1" applyBorder="1" applyAlignment="1">
      <alignment horizontal="right" vertical="top"/>
    </xf>
    <xf numFmtId="0" fontId="92" fillId="0" borderId="47" xfId="0" applyFont="1" applyBorder="1"/>
    <xf numFmtId="0" fontId="91" fillId="0" borderId="50" xfId="0" applyFont="1" applyBorder="1" applyAlignment="1">
      <alignment horizontal="right"/>
    </xf>
    <xf numFmtId="9" fontId="91" fillId="0" borderId="50" xfId="9" applyFont="1" applyFill="1" applyBorder="1" applyAlignment="1">
      <alignment horizontal="right" vertical="top"/>
    </xf>
    <xf numFmtId="174" fontId="91" fillId="0" borderId="52" xfId="0" applyNumberFormat="1" applyFont="1" applyBorder="1" applyAlignment="1">
      <alignment horizontal="right" vertical="top"/>
    </xf>
    <xf numFmtId="172" fontId="91" fillId="0" borderId="52" xfId="0" applyNumberFormat="1" applyFont="1" applyBorder="1" applyAlignment="1">
      <alignment horizontal="right" vertical="top"/>
    </xf>
    <xf numFmtId="0" fontId="91" fillId="3" borderId="1" xfId="0" applyFont="1" applyFill="1" applyBorder="1" applyAlignment="1">
      <alignment wrapText="1"/>
    </xf>
    <xf numFmtId="0" fontId="100" fillId="0" borderId="47" xfId="7" applyFont="1" applyBorder="1" applyAlignment="1" applyProtection="1">
      <alignment horizontal="right" wrapText="1" indent="1"/>
    </xf>
    <xf numFmtId="0" fontId="91" fillId="0" borderId="47" xfId="0" applyFont="1" applyBorder="1" applyAlignment="1">
      <alignment horizontal="right" vertical="top"/>
    </xf>
    <xf numFmtId="172" fontId="92" fillId="0" borderId="47" xfId="0" applyNumberFormat="1" applyFont="1" applyBorder="1" applyAlignment="1">
      <alignment horizontal="right" vertical="top"/>
    </xf>
    <xf numFmtId="0" fontId="91" fillId="0" borderId="1" xfId="0" applyFont="1" applyBorder="1" applyAlignment="1">
      <alignment horizontal="right" vertical="top"/>
    </xf>
    <xf numFmtId="172" fontId="96" fillId="2" borderId="66" xfId="0" applyNumberFormat="1" applyFont="1" applyFill="1" applyBorder="1" applyAlignment="1" applyProtection="1">
      <alignment horizontal="right" vertical="top"/>
      <protection locked="0"/>
    </xf>
    <xf numFmtId="172" fontId="96" fillId="2" borderId="55" xfId="0" applyNumberFormat="1" applyFont="1" applyFill="1" applyBorder="1" applyAlignment="1" applyProtection="1">
      <alignment horizontal="right" vertical="top"/>
      <protection locked="0"/>
    </xf>
    <xf numFmtId="172" fontId="96" fillId="2" borderId="109" xfId="0" applyNumberFormat="1" applyFont="1" applyFill="1" applyBorder="1" applyAlignment="1" applyProtection="1">
      <alignment horizontal="right" vertical="top"/>
      <protection locked="0"/>
    </xf>
    <xf numFmtId="174" fontId="92" fillId="3" borderId="0" xfId="0" applyNumberFormat="1" applyFont="1" applyFill="1" applyAlignment="1">
      <alignment horizontal="right"/>
    </xf>
    <xf numFmtId="0" fontId="100" fillId="0" borderId="52" xfId="7" applyFont="1" applyBorder="1" applyAlignment="1" applyProtection="1">
      <alignment horizontal="right" wrapText="1" indent="1"/>
    </xf>
    <xf numFmtId="0" fontId="107" fillId="0" borderId="52" xfId="0" applyFont="1" applyBorder="1" applyAlignment="1">
      <alignment horizontal="right" vertical="top"/>
    </xf>
    <xf numFmtId="0" fontId="92" fillId="0" borderId="14" xfId="0" applyFont="1" applyBorder="1" applyAlignment="1">
      <alignment horizontal="center"/>
    </xf>
    <xf numFmtId="173" fontId="91" fillId="0" borderId="0" xfId="0" applyNumberFormat="1" applyFont="1" applyAlignment="1">
      <alignment horizontal="right"/>
    </xf>
    <xf numFmtId="165" fontId="92" fillId="0" borderId="0" xfId="0" applyNumberFormat="1" applyFont="1" applyAlignment="1">
      <alignment horizontal="right" vertical="top"/>
    </xf>
    <xf numFmtId="174" fontId="106" fillId="0" borderId="0" xfId="0" applyNumberFormat="1" applyFont="1" applyAlignment="1">
      <alignment horizontal="right"/>
    </xf>
    <xf numFmtId="174" fontId="91" fillId="0" borderId="6" xfId="0" applyNumberFormat="1" applyFont="1" applyBorder="1" applyAlignment="1">
      <alignment horizontal="right"/>
    </xf>
    <xf numFmtId="165" fontId="106" fillId="0" borderId="0" xfId="0" applyNumberFormat="1" applyFont="1" applyAlignment="1">
      <alignment horizontal="right"/>
    </xf>
    <xf numFmtId="172" fontId="92" fillId="0" borderId="57" xfId="0" applyNumberFormat="1" applyFont="1" applyBorder="1" applyAlignment="1">
      <alignment horizontal="right"/>
    </xf>
    <xf numFmtId="196" fontId="92" fillId="0" borderId="57" xfId="0" applyNumberFormat="1" applyFont="1" applyBorder="1" applyAlignment="1">
      <alignment horizontal="right"/>
    </xf>
    <xf numFmtId="180" fontId="92" fillId="0" borderId="0" xfId="0" applyNumberFormat="1" applyFont="1" applyAlignment="1">
      <alignment horizontal="right"/>
    </xf>
    <xf numFmtId="6" fontId="91" fillId="0" borderId="0" xfId="0" applyNumberFormat="1" applyFont="1" applyAlignment="1">
      <alignment horizontal="right"/>
    </xf>
    <xf numFmtId="175" fontId="91" fillId="0" borderId="0" xfId="0" applyNumberFormat="1" applyFont="1" applyAlignment="1">
      <alignment horizontal="right"/>
    </xf>
    <xf numFmtId="177" fontId="91" fillId="0" borderId="0" xfId="0" applyNumberFormat="1" applyFont="1" applyAlignment="1">
      <alignment horizontal="right" vertical="top"/>
    </xf>
    <xf numFmtId="175" fontId="91" fillId="0" borderId="0" xfId="0" applyNumberFormat="1" applyFont="1" applyAlignment="1">
      <alignment horizontal="right" vertical="top"/>
    </xf>
    <xf numFmtId="175" fontId="92" fillId="0" borderId="6" xfId="0" applyNumberFormat="1" applyFont="1" applyBorder="1" applyAlignment="1">
      <alignment horizontal="right"/>
    </xf>
    <xf numFmtId="165" fontId="105" fillId="0" borderId="0" xfId="0" applyNumberFormat="1" applyFont="1" applyAlignment="1">
      <alignment horizontal="right"/>
    </xf>
    <xf numFmtId="179" fontId="92" fillId="0" borderId="6" xfId="0" applyNumberFormat="1" applyFont="1" applyBorder="1" applyAlignment="1">
      <alignment horizontal="right"/>
    </xf>
    <xf numFmtId="180" fontId="106" fillId="0" borderId="0" xfId="0" applyNumberFormat="1" applyFont="1" applyAlignment="1">
      <alignment horizontal="right"/>
    </xf>
    <xf numFmtId="200" fontId="91" fillId="0" borderId="65" xfId="0" applyNumberFormat="1" applyFont="1" applyBorder="1" applyAlignment="1">
      <alignment horizontal="right"/>
    </xf>
    <xf numFmtId="172" fontId="91" fillId="2" borderId="110" xfId="0" applyNumberFormat="1" applyFont="1" applyFill="1" applyBorder="1" applyAlignment="1" applyProtection="1">
      <alignment horizontal="right"/>
      <protection locked="0"/>
    </xf>
    <xf numFmtId="174" fontId="91" fillId="0" borderId="0" xfId="0" applyNumberFormat="1" applyFont="1" applyAlignment="1">
      <alignment horizontal="right" wrapText="1"/>
    </xf>
    <xf numFmtId="172" fontId="96" fillId="2" borderId="102" xfId="0" applyNumberFormat="1" applyFont="1" applyFill="1" applyBorder="1" applyAlignment="1" applyProtection="1">
      <alignment horizontal="right" wrapText="1"/>
      <protection locked="0"/>
    </xf>
    <xf numFmtId="189" fontId="96" fillId="4" borderId="111" xfId="11" applyNumberFormat="1" applyFont="1" applyBorder="1" applyAlignment="1" applyProtection="1">
      <alignment horizontal="center"/>
      <protection locked="0"/>
    </xf>
    <xf numFmtId="172" fontId="96" fillId="2" borderId="103" xfId="0" applyNumberFormat="1" applyFont="1" applyFill="1" applyBorder="1" applyAlignment="1" applyProtection="1">
      <alignment horizontal="right" wrapText="1"/>
      <protection locked="0"/>
    </xf>
    <xf numFmtId="174" fontId="92" fillId="0" borderId="57" xfId="0" applyNumberFormat="1" applyFont="1" applyBorder="1"/>
    <xf numFmtId="174" fontId="96" fillId="2" borderId="55" xfId="0" applyNumberFormat="1" applyFont="1" applyFill="1" applyBorder="1" applyAlignment="1" applyProtection="1">
      <alignment horizontal="right"/>
      <protection locked="0"/>
    </xf>
    <xf numFmtId="172" fontId="96" fillId="2" borderId="55" xfId="0" applyNumberFormat="1" applyFont="1" applyFill="1" applyBorder="1" applyAlignment="1" applyProtection="1">
      <alignment horizontal="right"/>
      <protection locked="0"/>
    </xf>
    <xf numFmtId="172" fontId="96" fillId="2" borderId="109" xfId="0" applyNumberFormat="1" applyFont="1" applyFill="1" applyBorder="1" applyAlignment="1" applyProtection="1">
      <alignment horizontal="right"/>
      <protection locked="0"/>
    </xf>
    <xf numFmtId="0" fontId="91" fillId="3" borderId="75" xfId="0" applyFont="1" applyFill="1" applyBorder="1"/>
    <xf numFmtId="0" fontId="91" fillId="3" borderId="52" xfId="0" applyFont="1" applyFill="1" applyBorder="1"/>
    <xf numFmtId="0" fontId="90" fillId="0" borderId="103" xfId="0" applyFont="1" applyBorder="1" applyAlignment="1">
      <alignment horizontal="center" vertical="top"/>
    </xf>
    <xf numFmtId="175" fontId="92" fillId="0" borderId="0" xfId="0" applyNumberFormat="1" applyFont="1" applyAlignment="1">
      <alignment horizontal="right" vertical="top"/>
    </xf>
    <xf numFmtId="201" fontId="91" fillId="0" borderId="0" xfId="0" applyNumberFormat="1" applyFont="1" applyAlignment="1">
      <alignment horizontal="center"/>
    </xf>
    <xf numFmtId="172" fontId="96" fillId="0" borderId="75" xfId="0" applyNumberFormat="1" applyFont="1" applyBorder="1" applyAlignment="1">
      <alignment horizontal="right" vertical="top"/>
    </xf>
    <xf numFmtId="172" fontId="90" fillId="0" borderId="75" xfId="0" applyNumberFormat="1" applyFont="1" applyBorder="1" applyAlignment="1">
      <alignment horizontal="right" vertical="top"/>
    </xf>
    <xf numFmtId="200" fontId="107" fillId="0" borderId="0" xfId="0" applyNumberFormat="1" applyFont="1" applyAlignment="1">
      <alignment horizontal="right" vertical="top"/>
    </xf>
    <xf numFmtId="174" fontId="107" fillId="0" borderId="52" xfId="0" applyNumberFormat="1" applyFont="1" applyBorder="1" applyAlignment="1">
      <alignment horizontal="center" vertical="top"/>
    </xf>
    <xf numFmtId="174" fontId="107" fillId="0" borderId="47" xfId="0" applyNumberFormat="1" applyFont="1" applyBorder="1" applyAlignment="1">
      <alignment horizontal="center" vertical="top"/>
    </xf>
    <xf numFmtId="172" fontId="107" fillId="0" borderId="52" xfId="0" applyNumberFormat="1" applyFont="1" applyBorder="1" applyAlignment="1">
      <alignment horizontal="right" vertical="top"/>
    </xf>
    <xf numFmtId="174" fontId="107" fillId="0" borderId="47" xfId="0" applyNumberFormat="1" applyFont="1" applyBorder="1" applyAlignment="1">
      <alignment horizontal="right" vertical="top"/>
    </xf>
    <xf numFmtId="172" fontId="107" fillId="0" borderId="47" xfId="0" applyNumberFormat="1" applyFont="1" applyBorder="1" applyAlignment="1">
      <alignment horizontal="right" vertical="top"/>
    </xf>
    <xf numFmtId="0" fontId="107" fillId="3" borderId="47" xfId="0" applyFont="1" applyFill="1" applyBorder="1"/>
    <xf numFmtId="0" fontId="104" fillId="0" borderId="0" xfId="6628" applyFont="1"/>
    <xf numFmtId="0" fontId="96" fillId="2" borderId="103" xfId="0" applyFont="1" applyFill="1" applyBorder="1" applyAlignment="1" applyProtection="1">
      <alignment horizontal="center" vertical="top"/>
      <protection locked="0"/>
    </xf>
    <xf numFmtId="0" fontId="91" fillId="0" borderId="75" xfId="0" applyFont="1" applyBorder="1"/>
    <xf numFmtId="172" fontId="91" fillId="3" borderId="109" xfId="13330" applyNumberFormat="1" applyFont="1" applyFill="1" applyBorder="1" applyAlignment="1">
      <alignment horizontal="center" vertical="top"/>
    </xf>
    <xf numFmtId="0" fontId="92" fillId="61" borderId="0" xfId="0" applyFont="1" applyFill="1" applyAlignment="1">
      <alignment horizontal="left"/>
    </xf>
    <xf numFmtId="175" fontId="92" fillId="0" borderId="0" xfId="0" applyNumberFormat="1" applyFont="1" applyAlignment="1">
      <alignment horizontal="center"/>
    </xf>
    <xf numFmtId="174" fontId="96" fillId="2" borderId="0" xfId="0" applyNumberFormat="1" applyFont="1" applyFill="1" applyAlignment="1" applyProtection="1">
      <alignment horizontal="right"/>
      <protection locked="0"/>
    </xf>
    <xf numFmtId="0" fontId="143" fillId="0" borderId="0" xfId="0" applyFont="1" applyAlignment="1">
      <alignment wrapText="1"/>
    </xf>
    <xf numFmtId="175" fontId="92" fillId="0" borderId="65" xfId="0" applyNumberFormat="1" applyFont="1" applyBorder="1" applyAlignment="1">
      <alignment horizontal="center" vertical="top"/>
    </xf>
    <xf numFmtId="43" fontId="101" fillId="4" borderId="3" xfId="4" applyFont="1" applyFill="1" applyBorder="1" applyAlignment="1" applyProtection="1">
      <alignment horizontal="center"/>
      <protection locked="0"/>
    </xf>
    <xf numFmtId="43" fontId="101" fillId="4" borderId="3" xfId="4" applyFont="1" applyFill="1" applyBorder="1" applyAlignment="1" applyProtection="1">
      <alignment horizontal="right"/>
      <protection locked="0"/>
    </xf>
    <xf numFmtId="172" fontId="91" fillId="0" borderId="0" xfId="0" quotePrefix="1" applyNumberFormat="1" applyFont="1" applyAlignment="1">
      <alignment horizontal="right"/>
    </xf>
    <xf numFmtId="164" fontId="91" fillId="0" borderId="0" xfId="0" applyNumberFormat="1" applyFont="1" applyAlignment="1">
      <alignment horizontal="right"/>
    </xf>
    <xf numFmtId="43" fontId="91" fillId="0" borderId="0" xfId="0" applyNumberFormat="1" applyFont="1" applyAlignment="1">
      <alignment horizontal="right"/>
    </xf>
    <xf numFmtId="0" fontId="91" fillId="63" borderId="0" xfId="0" applyFont="1" applyFill="1" applyAlignment="1">
      <alignment wrapText="1"/>
    </xf>
    <xf numFmtId="0" fontId="106" fillId="0" borderId="65" xfId="0" applyFont="1" applyBorder="1" applyAlignment="1">
      <alignment horizontal="left"/>
    </xf>
    <xf numFmtId="174" fontId="92" fillId="0" borderId="65" xfId="0" applyNumberFormat="1" applyFont="1" applyBorder="1" applyAlignment="1">
      <alignment horizontal="center"/>
    </xf>
    <xf numFmtId="175" fontId="92" fillId="0" borderId="65" xfId="0" applyNumberFormat="1" applyFont="1" applyBorder="1" applyAlignment="1">
      <alignment horizontal="center"/>
    </xf>
    <xf numFmtId="202" fontId="92" fillId="0" borderId="57" xfId="0" applyNumberFormat="1" applyFont="1" applyBorder="1" applyAlignment="1">
      <alignment horizontal="right"/>
    </xf>
    <xf numFmtId="165" fontId="91" fillId="0" borderId="0" xfId="0" quotePrefix="1" applyNumberFormat="1" applyFont="1" applyAlignment="1">
      <alignment horizontal="right" vertical="top"/>
    </xf>
    <xf numFmtId="0" fontId="0" fillId="2" borderId="47" xfId="0" applyFill="1" applyBorder="1" applyProtection="1">
      <protection locked="0"/>
    </xf>
    <xf numFmtId="0" fontId="104" fillId="0" borderId="1" xfId="0" applyFont="1" applyBorder="1" applyAlignment="1">
      <alignment horizontal="left"/>
    </xf>
    <xf numFmtId="174" fontId="96" fillId="2" borderId="0" xfId="0" applyNumberFormat="1" applyFont="1" applyFill="1" applyAlignment="1" applyProtection="1">
      <alignment horizontal="right" vertical="top"/>
      <protection locked="0"/>
    </xf>
    <xf numFmtId="172" fontId="96" fillId="2" borderId="47" xfId="0" applyNumberFormat="1" applyFont="1" applyFill="1" applyBorder="1" applyAlignment="1" applyProtection="1">
      <alignment horizontal="right" vertical="top"/>
      <protection locked="0"/>
    </xf>
    <xf numFmtId="174" fontId="96" fillId="4" borderId="47" xfId="11" applyNumberFormat="1" applyFont="1" applyBorder="1" applyAlignment="1" applyProtection="1">
      <alignment horizontal="right" vertical="top"/>
      <protection locked="0"/>
    </xf>
    <xf numFmtId="172" fontId="91" fillId="2" borderId="47" xfId="0" applyNumberFormat="1" applyFont="1" applyFill="1" applyBorder="1" applyAlignment="1" applyProtection="1">
      <alignment horizontal="right" vertical="top"/>
      <protection locked="0"/>
    </xf>
    <xf numFmtId="172" fontId="91" fillId="2" borderId="103" xfId="0" applyNumberFormat="1" applyFont="1" applyFill="1" applyBorder="1" applyAlignment="1" applyProtection="1">
      <alignment horizontal="right"/>
      <protection locked="0"/>
    </xf>
    <xf numFmtId="10" fontId="96" fillId="4" borderId="55" xfId="11" applyNumberFormat="1" applyFont="1" applyBorder="1" applyAlignment="1" applyProtection="1">
      <alignment horizontal="center" vertical="top"/>
      <protection locked="0"/>
    </xf>
    <xf numFmtId="173" fontId="91" fillId="2" borderId="55" xfId="0" applyNumberFormat="1" applyFont="1" applyFill="1" applyBorder="1" applyAlignment="1" applyProtection="1">
      <alignment horizontal="center" vertical="top"/>
      <protection locked="0"/>
    </xf>
    <xf numFmtId="173" fontId="91" fillId="2" borderId="103" xfId="0" applyNumberFormat="1" applyFont="1" applyFill="1" applyBorder="1" applyAlignment="1" applyProtection="1">
      <alignment horizontal="center" vertical="top"/>
      <protection locked="0"/>
    </xf>
    <xf numFmtId="173" fontId="91" fillId="2" borderId="109" xfId="0" applyNumberFormat="1" applyFont="1" applyFill="1" applyBorder="1" applyAlignment="1" applyProtection="1">
      <alignment horizontal="center" vertical="top"/>
      <protection locked="0"/>
    </xf>
    <xf numFmtId="172" fontId="96" fillId="2" borderId="103" xfId="0" applyNumberFormat="1" applyFont="1" applyFill="1" applyBorder="1" applyAlignment="1" applyProtection="1">
      <alignment horizontal="right"/>
      <protection locked="0"/>
    </xf>
    <xf numFmtId="0" fontId="92" fillId="3" borderId="1" xfId="0" applyFont="1" applyFill="1" applyBorder="1" applyAlignment="1">
      <alignment horizontal="right"/>
    </xf>
    <xf numFmtId="0" fontId="92" fillId="3" borderId="1" xfId="0" applyFont="1" applyFill="1" applyBorder="1" applyAlignment="1">
      <alignment horizontal="center"/>
    </xf>
    <xf numFmtId="174" fontId="92" fillId="0" borderId="65" xfId="0" applyNumberFormat="1" applyFont="1" applyBorder="1" applyAlignment="1">
      <alignment horizontal="center" vertical="top"/>
    </xf>
    <xf numFmtId="174" fontId="105" fillId="0" borderId="0" xfId="0" applyNumberFormat="1" applyFont="1" applyAlignment="1">
      <alignment horizontal="center"/>
    </xf>
    <xf numFmtId="175" fontId="106" fillId="0" borderId="0" xfId="0" applyNumberFormat="1" applyFont="1" applyAlignment="1">
      <alignment horizontal="right"/>
    </xf>
    <xf numFmtId="203" fontId="92" fillId="0" borderId="6" xfId="0" applyNumberFormat="1" applyFont="1" applyBorder="1" applyAlignment="1">
      <alignment horizontal="center"/>
    </xf>
    <xf numFmtId="204" fontId="91" fillId="0" borderId="0" xfId="0" applyNumberFormat="1" applyFont="1" applyAlignment="1">
      <alignment horizontal="center"/>
    </xf>
    <xf numFmtId="204" fontId="91" fillId="0" borderId="57" xfId="0" applyNumberFormat="1" applyFont="1" applyBorder="1" applyAlignment="1">
      <alignment horizontal="center"/>
    </xf>
    <xf numFmtId="204" fontId="91" fillId="0" borderId="1" xfId="0" applyNumberFormat="1" applyFont="1" applyBorder="1" applyAlignment="1">
      <alignment horizontal="center"/>
    </xf>
    <xf numFmtId="204" fontId="91" fillId="0" borderId="65" xfId="0" applyNumberFormat="1" applyFont="1" applyBorder="1" applyAlignment="1">
      <alignment horizontal="center"/>
    </xf>
    <xf numFmtId="205" fontId="91" fillId="0" borderId="0" xfId="0" applyNumberFormat="1" applyFont="1" applyAlignment="1">
      <alignment horizontal="center"/>
    </xf>
    <xf numFmtId="0" fontId="92" fillId="62" borderId="65" xfId="0" applyFont="1" applyFill="1" applyBorder="1" applyAlignment="1">
      <alignment horizontal="right"/>
    </xf>
    <xf numFmtId="0" fontId="92" fillId="62" borderId="65" xfId="0" applyFont="1" applyFill="1" applyBorder="1" applyAlignment="1">
      <alignment horizontal="right" wrapText="1"/>
    </xf>
    <xf numFmtId="0" fontId="92" fillId="62" borderId="58" xfId="0" applyFont="1" applyFill="1" applyBorder="1" applyAlignment="1">
      <alignment horizontal="center" wrapText="1"/>
    </xf>
    <xf numFmtId="0" fontId="92" fillId="62" borderId="0" xfId="0" applyFont="1" applyFill="1"/>
    <xf numFmtId="0" fontId="91" fillId="62" borderId="0" xfId="0" applyFont="1" applyFill="1"/>
    <xf numFmtId="0" fontId="92" fillId="63" borderId="69" xfId="0" applyFont="1" applyFill="1" applyBorder="1" applyAlignment="1">
      <alignment horizontal="right"/>
    </xf>
    <xf numFmtId="194" fontId="92" fillId="63" borderId="65" xfId="0" applyNumberFormat="1" applyFont="1" applyFill="1" applyBorder="1" applyAlignment="1">
      <alignment horizontal="right"/>
    </xf>
    <xf numFmtId="0" fontId="92" fillId="63" borderId="104" xfId="0" applyFont="1" applyFill="1" applyBorder="1" applyAlignment="1">
      <alignment horizontal="right"/>
    </xf>
    <xf numFmtId="0" fontId="92" fillId="63" borderId="105" xfId="0" applyFont="1" applyFill="1" applyBorder="1" applyAlignment="1">
      <alignment horizontal="right"/>
    </xf>
    <xf numFmtId="0" fontId="92" fillId="63" borderId="106" xfId="0" applyFont="1" applyFill="1" applyBorder="1" applyAlignment="1">
      <alignment horizontal="right"/>
    </xf>
    <xf numFmtId="0" fontId="92" fillId="63" borderId="15" xfId="0" applyFont="1" applyFill="1" applyBorder="1" applyAlignment="1">
      <alignment horizontal="right"/>
    </xf>
    <xf numFmtId="0" fontId="92" fillId="63" borderId="1" xfId="0" applyFont="1" applyFill="1" applyBorder="1" applyAlignment="1">
      <alignment horizontal="right"/>
    </xf>
    <xf numFmtId="0" fontId="92" fillId="63" borderId="14" xfId="0" applyFont="1" applyFill="1" applyBorder="1" applyAlignment="1">
      <alignment horizontal="right"/>
    </xf>
    <xf numFmtId="0" fontId="104" fillId="62" borderId="65" xfId="0" applyFont="1" applyFill="1" applyBorder="1" applyAlignment="1">
      <alignment horizontal="center" vertical="top"/>
    </xf>
    <xf numFmtId="0" fontId="107" fillId="62" borderId="65" xfId="0" applyFont="1" applyFill="1" applyBorder="1" applyAlignment="1">
      <alignment horizontal="center" vertical="top"/>
    </xf>
    <xf numFmtId="0" fontId="92" fillId="63" borderId="69" xfId="0" applyFont="1" applyFill="1" applyBorder="1" applyAlignment="1">
      <alignment horizontal="center"/>
    </xf>
    <xf numFmtId="174" fontId="92" fillId="0" borderId="52" xfId="0" applyNumberFormat="1" applyFont="1" applyBorder="1" applyAlignment="1">
      <alignment horizontal="right"/>
    </xf>
    <xf numFmtId="0" fontId="107" fillId="63" borderId="17" xfId="0" applyFont="1" applyFill="1" applyBorder="1" applyAlignment="1">
      <alignment horizontal="right" vertical="top"/>
    </xf>
    <xf numFmtId="0" fontId="107" fillId="63" borderId="60" xfId="0" applyFont="1" applyFill="1" applyBorder="1" applyAlignment="1">
      <alignment horizontal="right" vertical="top"/>
    </xf>
    <xf numFmtId="0" fontId="107" fillId="63" borderId="61" xfId="0" applyFont="1" applyFill="1" applyBorder="1" applyAlignment="1">
      <alignment horizontal="right" vertical="top"/>
    </xf>
    <xf numFmtId="0" fontId="107" fillId="63" borderId="62" xfId="0" applyFont="1" applyFill="1" applyBorder="1" applyAlignment="1">
      <alignment horizontal="right" vertical="top"/>
    </xf>
    <xf numFmtId="0" fontId="104" fillId="63" borderId="40" xfId="0" applyFont="1" applyFill="1" applyBorder="1" applyAlignment="1">
      <alignment horizontal="right" vertical="top"/>
    </xf>
    <xf numFmtId="0" fontId="104" fillId="63" borderId="45" xfId="0" applyFont="1" applyFill="1" applyBorder="1" applyAlignment="1">
      <alignment horizontal="right" vertical="top"/>
    </xf>
    <xf numFmtId="0" fontId="104" fillId="63" borderId="41" xfId="0" applyFont="1" applyFill="1" applyBorder="1" applyAlignment="1">
      <alignment horizontal="right" vertical="top"/>
    </xf>
    <xf numFmtId="0" fontId="104" fillId="63" borderId="46" xfId="0" applyFont="1" applyFill="1" applyBorder="1" applyAlignment="1">
      <alignment horizontal="right" vertical="top"/>
    </xf>
    <xf numFmtId="206" fontId="104" fillId="0" borderId="0" xfId="33110" applyNumberFormat="1" applyFont="1" applyAlignment="1">
      <alignment horizontal="right" vertical="top"/>
    </xf>
    <xf numFmtId="206" fontId="104" fillId="0" borderId="0" xfId="33110" applyNumberFormat="1" applyFont="1" applyAlignment="1">
      <alignment horizontal="center" vertical="top"/>
    </xf>
    <xf numFmtId="174" fontId="92" fillId="0" borderId="0" xfId="0" applyNumberFormat="1" applyFont="1" applyAlignment="1">
      <alignment horizontal="right" wrapText="1"/>
    </xf>
    <xf numFmtId="0" fontId="92" fillId="63" borderId="0" xfId="0" applyFont="1" applyFill="1" applyAlignment="1">
      <alignment horizontal="center"/>
    </xf>
    <xf numFmtId="0" fontId="92" fillId="63" borderId="15" xfId="0" applyFont="1" applyFill="1" applyBorder="1" applyAlignment="1">
      <alignment horizontal="center"/>
    </xf>
    <xf numFmtId="0" fontId="92" fillId="63" borderId="1" xfId="0" applyFont="1" applyFill="1" applyBorder="1" applyAlignment="1">
      <alignment horizontal="center"/>
    </xf>
    <xf numFmtId="0" fontId="92" fillId="63" borderId="14" xfId="0" applyFont="1" applyFill="1" applyBorder="1" applyAlignment="1">
      <alignment horizontal="center"/>
    </xf>
    <xf numFmtId="0" fontId="92" fillId="63" borderId="59" xfId="0" applyFont="1" applyFill="1" applyBorder="1" applyAlignment="1">
      <alignment horizontal="center"/>
    </xf>
    <xf numFmtId="194" fontId="92" fillId="63" borderId="57" xfId="0" applyNumberFormat="1" applyFont="1" applyFill="1" applyBorder="1" applyAlignment="1">
      <alignment horizontal="center"/>
    </xf>
    <xf numFmtId="194" fontId="92" fillId="63" borderId="58" xfId="0" applyNumberFormat="1" applyFont="1" applyFill="1" applyBorder="1" applyAlignment="1">
      <alignment horizontal="center"/>
    </xf>
    <xf numFmtId="0" fontId="92" fillId="63" borderId="104" xfId="0" applyFont="1" applyFill="1" applyBorder="1" applyAlignment="1">
      <alignment horizontal="center"/>
    </xf>
    <xf numFmtId="0" fontId="92" fillId="63" borderId="105" xfId="0" applyFont="1" applyFill="1" applyBorder="1" applyAlignment="1">
      <alignment horizontal="center"/>
    </xf>
    <xf numFmtId="0" fontId="92" fillId="63" borderId="106" xfId="0" applyFont="1" applyFill="1" applyBorder="1" applyAlignment="1">
      <alignment horizontal="center"/>
    </xf>
    <xf numFmtId="0" fontId="92" fillId="0" borderId="5" xfId="0" applyFont="1" applyBorder="1" applyAlignment="1">
      <alignment wrapText="1"/>
    </xf>
    <xf numFmtId="177" fontId="92" fillId="0" borderId="6" xfId="0" applyNumberFormat="1" applyFont="1" applyBorder="1"/>
    <xf numFmtId="0" fontId="92" fillId="0" borderId="6" xfId="0" applyFont="1" applyBorder="1"/>
    <xf numFmtId="177" fontId="92" fillId="0" borderId="6" xfId="0" applyNumberFormat="1" applyFont="1" applyBorder="1" applyAlignment="1">
      <alignment horizontal="center"/>
    </xf>
    <xf numFmtId="0" fontId="104" fillId="63" borderId="45" xfId="0" applyFont="1" applyFill="1" applyBorder="1" applyAlignment="1">
      <alignment horizontal="center" vertical="top"/>
    </xf>
    <xf numFmtId="0" fontId="104" fillId="63" borderId="41" xfId="0" applyFont="1" applyFill="1" applyBorder="1" applyAlignment="1">
      <alignment horizontal="center" vertical="top"/>
    </xf>
    <xf numFmtId="0" fontId="104" fillId="63" borderId="46" xfId="0" applyFont="1" applyFill="1" applyBorder="1" applyAlignment="1">
      <alignment horizontal="center" vertical="top"/>
    </xf>
    <xf numFmtId="188" fontId="92" fillId="63" borderId="0" xfId="0" applyNumberFormat="1" applyFont="1" applyFill="1" applyAlignment="1">
      <alignment horizontal="center" wrapText="1"/>
    </xf>
    <xf numFmtId="0" fontId="92" fillId="63" borderId="65" xfId="0" applyFont="1" applyFill="1" applyBorder="1" applyAlignment="1">
      <alignment horizontal="right"/>
    </xf>
    <xf numFmtId="0" fontId="104" fillId="63" borderId="18" xfId="0" applyFont="1" applyFill="1" applyBorder="1" applyAlignment="1">
      <alignment horizontal="right" vertical="top"/>
    </xf>
    <xf numFmtId="0" fontId="104" fillId="63" borderId="0" xfId="0" quotePrefix="1" applyFont="1" applyFill="1" applyAlignment="1">
      <alignment horizontal="right" vertical="top"/>
    </xf>
    <xf numFmtId="0" fontId="104" fillId="63" borderId="0" xfId="0" applyFont="1" applyFill="1" applyAlignment="1">
      <alignment horizontal="right" vertical="top"/>
    </xf>
    <xf numFmtId="0" fontId="104" fillId="63" borderId="16" xfId="0" applyFont="1" applyFill="1" applyBorder="1" applyAlignment="1">
      <alignment horizontal="right" vertical="top"/>
    </xf>
    <xf numFmtId="0" fontId="104" fillId="63" borderId="15" xfId="0" applyFont="1" applyFill="1" applyBorder="1" applyAlignment="1">
      <alignment horizontal="right" vertical="top"/>
    </xf>
    <xf numFmtId="0" fontId="104" fillId="63" borderId="1" xfId="0" applyFont="1" applyFill="1" applyBorder="1" applyAlignment="1">
      <alignment horizontal="right" vertical="top"/>
    </xf>
    <xf numFmtId="0" fontId="104" fillId="63" borderId="14" xfId="0" applyFont="1" applyFill="1" applyBorder="1" applyAlignment="1">
      <alignment horizontal="right" vertical="top"/>
    </xf>
    <xf numFmtId="44" fontId="95" fillId="62" borderId="0" xfId="8" applyNumberFormat="1" applyFont="1" applyFill="1"/>
    <xf numFmtId="173" fontId="95" fillId="62" borderId="0" xfId="8" applyNumberFormat="1" applyFont="1" applyFill="1"/>
    <xf numFmtId="0" fontId="107" fillId="63" borderId="60" xfId="0" applyFont="1" applyFill="1" applyBorder="1" applyAlignment="1">
      <alignment horizontal="center" vertical="top"/>
    </xf>
    <xf numFmtId="0" fontId="107" fillId="63" borderId="61" xfId="0" applyFont="1" applyFill="1" applyBorder="1" applyAlignment="1">
      <alignment horizontal="center" vertical="top"/>
    </xf>
    <xf numFmtId="0" fontId="107" fillId="63" borderId="62" xfId="0" applyFont="1" applyFill="1" applyBorder="1" applyAlignment="1">
      <alignment horizontal="center" vertical="top"/>
    </xf>
    <xf numFmtId="0" fontId="102" fillId="71" borderId="0" xfId="33111" applyFont="1" applyFill="1" applyAlignment="1">
      <alignment horizontal="left" vertical="top"/>
    </xf>
    <xf numFmtId="0" fontId="120" fillId="71" borderId="0" xfId="33111" applyFont="1" applyFill="1" applyAlignment="1">
      <alignment horizontal="left" vertical="top" wrapText="1"/>
    </xf>
    <xf numFmtId="166" fontId="120" fillId="0" borderId="0" xfId="8" applyNumberFormat="1" applyFont="1" applyAlignment="1">
      <alignment horizontal="center"/>
    </xf>
    <xf numFmtId="43" fontId="91" fillId="0" borderId="0" xfId="4" applyFont="1" applyFill="1" applyProtection="1"/>
    <xf numFmtId="0" fontId="104" fillId="0" borderId="57" xfId="8" applyFont="1" applyBorder="1" applyAlignment="1">
      <alignment horizontal="left"/>
    </xf>
    <xf numFmtId="175" fontId="92" fillId="0" borderId="0" xfId="0" applyNumberFormat="1" applyFont="1" applyAlignment="1">
      <alignment horizontal="right"/>
    </xf>
    <xf numFmtId="194" fontId="92" fillId="63" borderId="65" xfId="0" applyNumberFormat="1" applyFont="1" applyFill="1" applyBorder="1" applyAlignment="1">
      <alignment horizontal="center"/>
    </xf>
    <xf numFmtId="194" fontId="92" fillId="63" borderId="63" xfId="0" applyNumberFormat="1" applyFont="1" applyFill="1" applyBorder="1" applyAlignment="1">
      <alignment horizontal="center"/>
    </xf>
    <xf numFmtId="0" fontId="107" fillId="63" borderId="40" xfId="0" applyFont="1" applyFill="1" applyBorder="1" applyAlignment="1">
      <alignment horizontal="center" vertical="top"/>
    </xf>
    <xf numFmtId="0" fontId="104" fillId="63" borderId="40" xfId="0" applyFont="1" applyFill="1" applyBorder="1" applyAlignment="1">
      <alignment horizontal="center" vertical="top"/>
    </xf>
    <xf numFmtId="0" fontId="102" fillId="59" borderId="1" xfId="0" applyFont="1" applyFill="1" applyBorder="1"/>
    <xf numFmtId="0" fontId="92" fillId="59" borderId="1" xfId="0" applyFont="1" applyFill="1" applyBorder="1"/>
    <xf numFmtId="0" fontId="92" fillId="59" borderId="1" xfId="0" applyFont="1" applyFill="1" applyBorder="1" applyAlignment="1">
      <alignment horizontal="right"/>
    </xf>
    <xf numFmtId="174" fontId="95" fillId="2" borderId="55" xfId="6" applyNumberFormat="1" applyFont="1" applyFill="1" applyBorder="1" applyProtection="1">
      <protection locked="0"/>
    </xf>
    <xf numFmtId="0" fontId="92" fillId="61" borderId="57" xfId="0" applyFont="1" applyFill="1" applyBorder="1"/>
    <xf numFmtId="172" fontId="91" fillId="0" borderId="55" xfId="0" applyNumberFormat="1" applyFont="1" applyBorder="1" applyAlignment="1">
      <alignment horizontal="right" vertical="top"/>
    </xf>
    <xf numFmtId="189" fontId="146" fillId="0" borderId="55" xfId="11" applyNumberFormat="1" applyFont="1" applyFill="1" applyBorder="1" applyAlignment="1" applyProtection="1">
      <alignment horizontal="center" vertical="top"/>
      <protection locked="0"/>
    </xf>
    <xf numFmtId="164" fontId="96" fillId="4" borderId="55" xfId="11" applyNumberFormat="1" applyFont="1" applyBorder="1" applyAlignment="1" applyProtection="1">
      <alignment horizontal="center" vertical="top"/>
      <protection locked="0"/>
    </xf>
    <xf numFmtId="174" fontId="91" fillId="0" borderId="1" xfId="0" applyNumberFormat="1" applyFont="1" applyBorder="1" applyAlignment="1">
      <alignment horizontal="right" vertical="top"/>
    </xf>
    <xf numFmtId="174" fontId="91" fillId="0" borderId="0" xfId="0" applyNumberFormat="1" applyFont="1" applyAlignment="1">
      <alignment horizontal="right" vertical="top" wrapText="1"/>
    </xf>
    <xf numFmtId="174" fontId="91" fillId="0" borderId="0" xfId="0" quotePrefix="1" applyNumberFormat="1" applyFont="1" applyAlignment="1">
      <alignment horizontal="right" vertical="top"/>
    </xf>
    <xf numFmtId="0" fontId="102" fillId="61" borderId="0" xfId="0" applyFont="1" applyFill="1"/>
    <xf numFmtId="0" fontId="92" fillId="67" borderId="113" xfId="0" applyFont="1" applyFill="1" applyBorder="1" applyAlignment="1">
      <alignment horizontal="right"/>
    </xf>
    <xf numFmtId="174" fontId="91" fillId="2" borderId="47" xfId="0" applyNumberFormat="1" applyFont="1" applyFill="1" applyBorder="1" applyAlignment="1" applyProtection="1">
      <alignment horizontal="right" vertical="top"/>
      <protection locked="0"/>
    </xf>
    <xf numFmtId="209" fontId="91" fillId="0" borderId="1" xfId="33110" applyNumberFormat="1" applyFont="1" applyFill="1" applyBorder="1"/>
    <xf numFmtId="209" fontId="91" fillId="0" borderId="47" xfId="33110" applyNumberFormat="1" applyFont="1" applyFill="1" applyBorder="1"/>
    <xf numFmtId="209" fontId="91" fillId="0" borderId="52" xfId="33110" applyNumberFormat="1" applyFont="1" applyFill="1" applyBorder="1"/>
    <xf numFmtId="174" fontId="96" fillId="4" borderId="55" xfId="11" applyNumberFormat="1" applyFont="1" applyBorder="1" applyAlignment="1" applyProtection="1">
      <alignment horizontal="center" vertical="top"/>
      <protection locked="0"/>
    </xf>
    <xf numFmtId="175" fontId="96" fillId="4" borderId="55" xfId="11" applyNumberFormat="1" applyFont="1" applyBorder="1" applyAlignment="1" applyProtection="1">
      <alignment horizontal="center" vertical="top"/>
      <protection locked="0"/>
    </xf>
    <xf numFmtId="174" fontId="96" fillId="2" borderId="55" xfId="11" applyNumberFormat="1" applyFont="1" applyFill="1" applyBorder="1" applyAlignment="1" applyProtection="1">
      <alignment horizontal="center" vertical="top"/>
      <protection locked="0"/>
    </xf>
    <xf numFmtId="187" fontId="96" fillId="4" borderId="3" xfId="11" applyNumberFormat="1" applyFont="1" applyAlignment="1" applyProtection="1">
      <alignment horizontal="right"/>
      <protection locked="0"/>
    </xf>
    <xf numFmtId="210" fontId="96" fillId="4" borderId="55" xfId="11" applyNumberFormat="1" applyFont="1" applyBorder="1" applyAlignment="1" applyProtection="1">
      <alignment horizontal="center"/>
      <protection locked="0"/>
    </xf>
    <xf numFmtId="210" fontId="96" fillId="4" borderId="66" xfId="11" applyNumberFormat="1" applyFont="1" applyBorder="1" applyAlignment="1" applyProtection="1">
      <alignment horizontal="center"/>
      <protection locked="0"/>
    </xf>
    <xf numFmtId="189" fontId="96" fillId="4" borderId="3" xfId="11" applyNumberFormat="1" applyFont="1" applyAlignment="1" applyProtection="1">
      <alignment horizontal="center"/>
      <protection locked="0"/>
    </xf>
    <xf numFmtId="211" fontId="96" fillId="4" borderId="3" xfId="11" applyNumberFormat="1" applyFont="1" applyAlignment="1" applyProtection="1">
      <alignment horizontal="center"/>
      <protection locked="0"/>
    </xf>
    <xf numFmtId="212" fontId="96" fillId="4" borderId="3" xfId="11" applyNumberFormat="1" applyFont="1" applyAlignment="1" applyProtection="1">
      <alignment horizontal="center"/>
      <protection locked="0"/>
    </xf>
    <xf numFmtId="213" fontId="96" fillId="4" borderId="3" xfId="11" applyNumberFormat="1" applyFont="1" applyAlignment="1" applyProtection="1">
      <alignment horizontal="center"/>
      <protection locked="0"/>
    </xf>
    <xf numFmtId="174" fontId="92" fillId="0" borderId="65" xfId="0" applyNumberFormat="1" applyFont="1" applyBorder="1" applyAlignment="1">
      <alignment horizontal="right"/>
    </xf>
    <xf numFmtId="172" fontId="90" fillId="0" borderId="103" xfId="0" applyNumberFormat="1" applyFont="1" applyBorder="1" applyAlignment="1">
      <alignment horizontal="right" vertical="top"/>
    </xf>
    <xf numFmtId="172" fontId="90" fillId="0" borderId="55" xfId="0" applyNumberFormat="1" applyFont="1" applyBorder="1" applyAlignment="1">
      <alignment horizontal="right" vertical="top"/>
    </xf>
    <xf numFmtId="172" fontId="96" fillId="2" borderId="0" xfId="0" applyNumberFormat="1" applyFont="1" applyFill="1" applyAlignment="1" applyProtection="1">
      <alignment horizontal="right" vertical="top"/>
      <protection locked="0"/>
    </xf>
    <xf numFmtId="172" fontId="101" fillId="2" borderId="0" xfId="0" applyNumberFormat="1" applyFont="1" applyFill="1" applyAlignment="1" applyProtection="1">
      <alignment horizontal="right" vertical="top"/>
      <protection locked="0"/>
    </xf>
    <xf numFmtId="172" fontId="92" fillId="3" borderId="109" xfId="13330" applyNumberFormat="1" applyFont="1" applyFill="1" applyBorder="1" applyAlignment="1">
      <alignment horizontal="right" vertical="top"/>
    </xf>
    <xf numFmtId="172" fontId="96" fillId="2" borderId="103" xfId="0" applyNumberFormat="1" applyFont="1" applyFill="1" applyBorder="1" applyAlignment="1" applyProtection="1">
      <alignment horizontal="right" vertical="top"/>
      <protection locked="0"/>
    </xf>
    <xf numFmtId="9" fontId="101" fillId="2" borderId="55" xfId="9" applyFont="1" applyFill="1" applyBorder="1" applyAlignment="1" applyProtection="1">
      <alignment horizontal="right" vertical="top"/>
      <protection locked="0"/>
    </xf>
    <xf numFmtId="0" fontId="91" fillId="3" borderId="0" xfId="0" applyFont="1" applyFill="1" applyAlignment="1">
      <alignment horizontal="right"/>
    </xf>
    <xf numFmtId="1" fontId="96" fillId="2" borderId="109" xfId="0" applyNumberFormat="1" applyFont="1" applyFill="1" applyBorder="1" applyAlignment="1" applyProtection="1">
      <alignment horizontal="center" vertical="top"/>
      <protection locked="0"/>
    </xf>
    <xf numFmtId="0" fontId="95" fillId="0" borderId="102" xfId="0" applyFont="1" applyBorder="1"/>
    <xf numFmtId="0" fontId="95" fillId="0" borderId="55" xfId="8" applyFont="1" applyBorder="1"/>
    <xf numFmtId="0" fontId="95" fillId="0" borderId="55" xfId="0" applyFont="1" applyBorder="1"/>
    <xf numFmtId="0" fontId="91" fillId="0" borderId="55" xfId="0" applyFont="1" applyBorder="1"/>
    <xf numFmtId="0" fontId="95" fillId="0" borderId="103" xfId="8" applyFont="1" applyBorder="1"/>
    <xf numFmtId="174" fontId="95" fillId="0" borderId="103" xfId="8" applyNumberFormat="1" applyFont="1" applyBorder="1"/>
    <xf numFmtId="172" fontId="116" fillId="2" borderId="103" xfId="6" applyNumberFormat="1" applyFont="1" applyFill="1" applyBorder="1" applyProtection="1">
      <protection locked="0"/>
    </xf>
    <xf numFmtId="172" fontId="116" fillId="2" borderId="109" xfId="6" applyNumberFormat="1" applyFont="1" applyFill="1" applyBorder="1" applyAlignment="1" applyProtection="1">
      <protection locked="0"/>
    </xf>
    <xf numFmtId="174" fontId="95" fillId="0" borderId="66" xfId="8" applyNumberFormat="1" applyFont="1" applyBorder="1"/>
    <xf numFmtId="174" fontId="116" fillId="2" borderId="66" xfId="6" quotePrefix="1" applyNumberFormat="1" applyFont="1" applyFill="1" applyBorder="1" applyProtection="1">
      <protection locked="0"/>
    </xf>
    <xf numFmtId="174" fontId="116" fillId="2" borderId="66" xfId="6" applyNumberFormat="1" applyFont="1" applyFill="1" applyBorder="1" applyProtection="1">
      <protection locked="0"/>
    </xf>
    <xf numFmtId="0" fontId="94" fillId="62" borderId="65" xfId="8" applyFont="1" applyFill="1" applyBorder="1"/>
    <xf numFmtId="0" fontId="94" fillId="62" borderId="114" xfId="8" applyFont="1" applyFill="1" applyBorder="1" applyAlignment="1">
      <alignment horizontal="center" wrapText="1"/>
    </xf>
    <xf numFmtId="44" fontId="94" fillId="62" borderId="114" xfId="6" applyFont="1" applyFill="1" applyBorder="1" applyAlignment="1" applyProtection="1">
      <alignment horizontal="center"/>
    </xf>
    <xf numFmtId="0" fontId="94" fillId="59" borderId="65" xfId="8" applyFont="1" applyFill="1" applyBorder="1"/>
    <xf numFmtId="0" fontId="95" fillId="59" borderId="65" xfId="8" applyFont="1" applyFill="1" applyBorder="1"/>
    <xf numFmtId="44" fontId="95" fillId="59" borderId="65" xfId="6" applyFont="1" applyFill="1" applyBorder="1" applyProtection="1"/>
    <xf numFmtId="0" fontId="91" fillId="2" borderId="103" xfId="0" applyFont="1" applyFill="1" applyBorder="1" applyAlignment="1">
      <alignment horizontal="center" vertical="top"/>
    </xf>
    <xf numFmtId="0" fontId="91" fillId="2" borderId="55" xfId="0" applyFont="1" applyFill="1" applyBorder="1" applyAlignment="1">
      <alignment horizontal="center" vertical="top"/>
    </xf>
    <xf numFmtId="0" fontId="91" fillId="2" borderId="109" xfId="0" applyFont="1" applyFill="1" applyBorder="1" applyAlignment="1">
      <alignment horizontal="center" vertical="top"/>
    </xf>
    <xf numFmtId="172" fontId="91" fillId="2" borderId="55" xfId="0" applyNumberFormat="1" applyFont="1" applyFill="1" applyBorder="1" applyAlignment="1">
      <alignment horizontal="center" vertical="top"/>
    </xf>
    <xf numFmtId="0" fontId="96" fillId="2" borderId="55" xfId="0" applyFont="1" applyFill="1" applyBorder="1" applyProtection="1">
      <protection locked="0"/>
    </xf>
    <xf numFmtId="175" fontId="96" fillId="2" borderId="55" xfId="0" applyNumberFormat="1" applyFont="1" applyFill="1" applyBorder="1" applyProtection="1">
      <protection locked="0"/>
    </xf>
    <xf numFmtId="0" fontId="96" fillId="2" borderId="109" xfId="0" applyFont="1" applyFill="1" applyBorder="1" applyProtection="1">
      <protection locked="0"/>
    </xf>
    <xf numFmtId="175" fontId="96" fillId="2" borderId="109" xfId="0" applyNumberFormat="1" applyFont="1" applyFill="1" applyBorder="1" applyProtection="1">
      <protection locked="0"/>
    </xf>
    <xf numFmtId="174" fontId="96" fillId="2" borderId="103" xfId="0" applyNumberFormat="1" applyFont="1" applyFill="1" applyBorder="1" applyProtection="1">
      <protection locked="0"/>
    </xf>
    <xf numFmtId="0" fontId="92" fillId="0" borderId="65" xfId="0" applyFont="1" applyBorder="1"/>
    <xf numFmtId="0" fontId="91" fillId="3" borderId="115" xfId="0" applyFont="1" applyFill="1" applyBorder="1"/>
    <xf numFmtId="0" fontId="91" fillId="3" borderId="116" xfId="0" applyFont="1" applyFill="1" applyBorder="1"/>
    <xf numFmtId="0" fontId="91" fillId="0" borderId="59" xfId="0" applyFont="1" applyBorder="1" applyAlignment="1">
      <alignment horizontal="left" indent="1"/>
    </xf>
    <xf numFmtId="0" fontId="92" fillId="62" borderId="57" xfId="0" applyFont="1" applyFill="1" applyBorder="1" applyAlignment="1">
      <alignment horizontal="right"/>
    </xf>
    <xf numFmtId="0" fontId="92" fillId="62" borderId="57" xfId="0" applyFont="1" applyFill="1" applyBorder="1" applyAlignment="1">
      <alignment horizontal="right" wrapText="1"/>
    </xf>
    <xf numFmtId="0" fontId="129" fillId="0" borderId="118" xfId="0" applyFont="1" applyBorder="1" applyAlignment="1">
      <alignment horizontal="left" indent="1"/>
    </xf>
    <xf numFmtId="173" fontId="96" fillId="2" borderId="120" xfId="0" applyNumberFormat="1" applyFont="1" applyFill="1" applyBorder="1" applyAlignment="1" applyProtection="1">
      <alignment horizontal="center"/>
      <protection locked="0"/>
    </xf>
    <xf numFmtId="0" fontId="92" fillId="62" borderId="65" xfId="0" applyFont="1" applyFill="1" applyBorder="1"/>
    <xf numFmtId="0" fontId="91" fillId="62" borderId="65" xfId="0" applyFont="1" applyFill="1" applyBorder="1"/>
    <xf numFmtId="172" fontId="91" fillId="0" borderId="50" xfId="0" applyNumberFormat="1" applyFont="1" applyBorder="1"/>
    <xf numFmtId="174" fontId="90" fillId="0" borderId="67" xfId="0" applyNumberFormat="1" applyFont="1" applyBorder="1"/>
    <xf numFmtId="172" fontId="96" fillId="2" borderId="67" xfId="0" applyNumberFormat="1" applyFont="1" applyFill="1" applyBorder="1" applyProtection="1">
      <protection locked="0"/>
    </xf>
    <xf numFmtId="172" fontId="96" fillId="0" borderId="67" xfId="0" applyNumberFormat="1" applyFont="1" applyBorder="1" applyProtection="1">
      <protection locked="0"/>
    </xf>
    <xf numFmtId="172" fontId="90" fillId="0" borderId="115" xfId="0" applyNumberFormat="1" applyFont="1" applyBorder="1"/>
    <xf numFmtId="0" fontId="92" fillId="63" borderId="59" xfId="0" applyFont="1" applyFill="1" applyBorder="1" applyAlignment="1">
      <alignment horizontal="right"/>
    </xf>
    <xf numFmtId="194" fontId="92" fillId="63" borderId="57" xfId="0" applyNumberFormat="1" applyFont="1" applyFill="1" applyBorder="1" applyAlignment="1">
      <alignment horizontal="right"/>
    </xf>
    <xf numFmtId="194" fontId="92" fillId="63" borderId="58" xfId="0" applyNumberFormat="1" applyFont="1" applyFill="1" applyBorder="1" applyAlignment="1">
      <alignment horizontal="right"/>
    </xf>
    <xf numFmtId="0" fontId="92" fillId="63" borderId="57" xfId="0" applyFont="1" applyFill="1" applyBorder="1" applyAlignment="1">
      <alignment horizontal="right"/>
    </xf>
    <xf numFmtId="0" fontId="92" fillId="63" borderId="58" xfId="0" applyFont="1" applyFill="1" applyBorder="1" applyAlignment="1">
      <alignment horizontal="right"/>
    </xf>
    <xf numFmtId="0" fontId="95" fillId="0" borderId="115" xfId="8" applyFont="1" applyBorder="1"/>
    <xf numFmtId="0" fontId="95" fillId="0" borderId="67" xfId="8" applyFont="1" applyBorder="1"/>
    <xf numFmtId="0" fontId="95" fillId="0" borderId="121" xfId="8" applyFont="1" applyBorder="1"/>
    <xf numFmtId="0" fontId="94" fillId="0" borderId="65" xfId="8" applyFont="1" applyBorder="1"/>
    <xf numFmtId="174" fontId="94" fillId="0" borderId="65" xfId="8" applyNumberFormat="1" applyFont="1" applyBorder="1"/>
    <xf numFmtId="174" fontId="94" fillId="0" borderId="65" xfId="6" applyNumberFormat="1" applyFont="1" applyBorder="1" applyProtection="1"/>
    <xf numFmtId="0" fontId="111" fillId="0" borderId="14" xfId="0" applyFont="1" applyBorder="1"/>
    <xf numFmtId="175" fontId="95" fillId="0" borderId="66" xfId="6" applyNumberFormat="1" applyFont="1" applyFill="1" applyBorder="1" applyProtection="1"/>
    <xf numFmtId="0" fontId="129" fillId="0" borderId="0" xfId="0" applyFont="1" applyAlignment="1">
      <alignment horizontal="left" vertical="center" indent="1"/>
    </xf>
    <xf numFmtId="172" fontId="101" fillId="4" borderId="55" xfId="11" applyNumberFormat="1" applyFont="1" applyBorder="1" applyAlignment="1" applyProtection="1">
      <alignment horizontal="center" vertical="top"/>
      <protection locked="0"/>
    </xf>
    <xf numFmtId="174" fontId="101" fillId="4" borderId="55" xfId="11" applyNumberFormat="1" applyFont="1" applyBorder="1" applyAlignment="1" applyProtection="1">
      <alignment horizontal="center" vertical="top"/>
      <protection locked="0"/>
    </xf>
    <xf numFmtId="173" fontId="101" fillId="4" borderId="55" xfId="11" applyNumberFormat="1" applyFont="1" applyBorder="1" applyAlignment="1" applyProtection="1">
      <alignment horizontal="center" vertical="top"/>
      <protection locked="0"/>
    </xf>
    <xf numFmtId="208" fontId="101" fillId="4" borderId="55" xfId="11" applyNumberFormat="1" applyFont="1" applyBorder="1" applyAlignment="1" applyProtection="1">
      <alignment horizontal="center" vertical="top"/>
      <protection locked="0"/>
    </xf>
    <xf numFmtId="187" fontId="101" fillId="4" borderId="55" xfId="11" applyNumberFormat="1" applyFont="1" applyBorder="1" applyAlignment="1" applyProtection="1">
      <alignment horizontal="center" vertical="top"/>
      <protection locked="0"/>
    </xf>
    <xf numFmtId="172" fontId="96" fillId="0" borderId="121" xfId="0" applyNumberFormat="1" applyFont="1" applyBorder="1" applyProtection="1">
      <protection locked="0"/>
    </xf>
    <xf numFmtId="172" fontId="96" fillId="0" borderId="102" xfId="0" applyNumberFormat="1" applyFont="1" applyBorder="1" applyProtection="1">
      <protection locked="0"/>
    </xf>
    <xf numFmtId="172" fontId="96" fillId="2" borderId="115" xfId="0" applyNumberFormat="1" applyFont="1" applyFill="1" applyBorder="1" applyProtection="1">
      <protection locked="0"/>
    </xf>
    <xf numFmtId="172" fontId="96" fillId="2" borderId="103" xfId="0" applyNumberFormat="1" applyFont="1" applyFill="1" applyBorder="1" applyProtection="1">
      <protection locked="0"/>
    </xf>
    <xf numFmtId="172" fontId="90" fillId="0" borderId="121" xfId="0" applyNumberFormat="1" applyFont="1" applyBorder="1" applyProtection="1">
      <protection locked="0"/>
    </xf>
    <xf numFmtId="172" fontId="90" fillId="0" borderId="102" xfId="0" applyNumberFormat="1" applyFont="1" applyBorder="1" applyProtection="1">
      <protection locked="0"/>
    </xf>
    <xf numFmtId="174" fontId="96" fillId="2" borderId="115" xfId="0" applyNumberFormat="1" applyFont="1" applyFill="1" applyBorder="1" applyProtection="1">
      <protection locked="0"/>
    </xf>
    <xf numFmtId="195" fontId="96" fillId="2" borderId="75" xfId="0" applyNumberFormat="1" applyFont="1" applyFill="1" applyBorder="1" applyProtection="1">
      <protection locked="0"/>
    </xf>
    <xf numFmtId="172" fontId="91" fillId="0" borderId="75" xfId="0" applyNumberFormat="1" applyFont="1" applyBorder="1"/>
    <xf numFmtId="0" fontId="114" fillId="0" borderId="0" xfId="0" applyFont="1" applyAlignment="1">
      <alignment horizontal="center" vertical="center"/>
    </xf>
    <xf numFmtId="172" fontId="91" fillId="2" borderId="103" xfId="0" applyNumberFormat="1" applyFont="1" applyFill="1" applyBorder="1" applyAlignment="1">
      <alignment horizontal="center" vertical="top"/>
    </xf>
    <xf numFmtId="0" fontId="92" fillId="63" borderId="59" xfId="0" applyFont="1" applyFill="1" applyBorder="1"/>
    <xf numFmtId="0" fontId="91" fillId="63" borderId="57" xfId="0" applyFont="1" applyFill="1" applyBorder="1"/>
    <xf numFmtId="0" fontId="91" fillId="63" borderId="58" xfId="0" applyFont="1" applyFill="1" applyBorder="1"/>
    <xf numFmtId="0" fontId="92" fillId="63" borderId="65" xfId="0" applyFont="1" applyFill="1" applyBorder="1" applyAlignment="1">
      <alignment horizontal="center"/>
    </xf>
    <xf numFmtId="0" fontId="92" fillId="63" borderId="63" xfId="0" applyFont="1" applyFill="1" applyBorder="1" applyAlignment="1">
      <alignment horizontal="center"/>
    </xf>
    <xf numFmtId="0" fontId="104" fillId="63" borderId="60" xfId="0" applyFont="1" applyFill="1" applyBorder="1" applyAlignment="1">
      <alignment horizontal="center" vertical="top"/>
    </xf>
    <xf numFmtId="0" fontId="104" fillId="63" borderId="60" xfId="0" quotePrefix="1" applyFont="1" applyFill="1" applyBorder="1" applyAlignment="1">
      <alignment horizontal="center" vertical="top"/>
    </xf>
    <xf numFmtId="0" fontId="104" fillId="63" borderId="61" xfId="0" applyFont="1" applyFill="1" applyBorder="1" applyAlignment="1">
      <alignment horizontal="center" vertical="top"/>
    </xf>
    <xf numFmtId="0" fontId="104" fillId="63" borderId="62" xfId="0" applyFont="1" applyFill="1" applyBorder="1" applyAlignment="1">
      <alignment horizontal="center" vertical="top"/>
    </xf>
    <xf numFmtId="0" fontId="129" fillId="0" borderId="0" xfId="0" applyFont="1" applyAlignment="1">
      <alignment horizontal="center" vertical="center"/>
    </xf>
    <xf numFmtId="0" fontId="96" fillId="2" borderId="66" xfId="0" applyFont="1" applyFill="1" applyBorder="1" applyAlignment="1" applyProtection="1">
      <alignment horizontal="center" vertical="center"/>
      <protection locked="0"/>
    </xf>
    <xf numFmtId="172" fontId="96" fillId="2" borderId="68" xfId="0" applyNumberFormat="1" applyFont="1" applyFill="1" applyBorder="1" applyAlignment="1" applyProtection="1">
      <alignment horizontal="center" vertical="center"/>
      <protection locked="0"/>
    </xf>
    <xf numFmtId="172" fontId="96" fillId="2" borderId="71" xfId="0" applyNumberFormat="1" applyFont="1" applyFill="1" applyBorder="1" applyAlignment="1" applyProtection="1">
      <alignment horizontal="center" vertical="center"/>
      <protection locked="0"/>
    </xf>
    <xf numFmtId="172" fontId="96" fillId="2" borderId="72" xfId="0" applyNumberFormat="1" applyFont="1" applyFill="1" applyBorder="1" applyAlignment="1" applyProtection="1">
      <alignment horizontal="center" vertical="center"/>
      <protection locked="0"/>
    </xf>
    <xf numFmtId="0" fontId="92" fillId="0" borderId="5" xfId="0" applyFont="1" applyBorder="1"/>
    <xf numFmtId="174" fontId="92" fillId="0" borderId="6" xfId="0" applyNumberFormat="1" applyFont="1" applyBorder="1" applyAlignment="1">
      <alignment horizontal="right"/>
    </xf>
    <xf numFmtId="0" fontId="96" fillId="0" borderId="50" xfId="0" applyFont="1" applyBorder="1" applyAlignment="1" applyProtection="1">
      <alignment vertical="center"/>
      <protection locked="0"/>
    </xf>
    <xf numFmtId="172" fontId="96" fillId="0" borderId="50" xfId="0" applyNumberFormat="1" applyFont="1" applyBorder="1" applyProtection="1">
      <protection locked="0"/>
    </xf>
    <xf numFmtId="0" fontId="90" fillId="0" borderId="50" xfId="0" applyFont="1" applyBorder="1" applyAlignment="1" applyProtection="1">
      <alignment vertical="center"/>
      <protection locked="0"/>
    </xf>
    <xf numFmtId="174" fontId="96" fillId="2" borderId="122" xfId="0" applyNumberFormat="1" applyFont="1" applyFill="1" applyBorder="1" applyProtection="1">
      <protection locked="0"/>
    </xf>
    <xf numFmtId="172" fontId="96" fillId="2" borderId="74" xfId="0" applyNumberFormat="1" applyFont="1" applyFill="1" applyBorder="1" applyProtection="1">
      <protection locked="0"/>
    </xf>
    <xf numFmtId="172" fontId="96" fillId="0" borderId="74" xfId="0" applyNumberFormat="1" applyFont="1" applyBorder="1" applyProtection="1">
      <protection locked="0"/>
    </xf>
    <xf numFmtId="172" fontId="96" fillId="0" borderId="123" xfId="0" applyNumberFormat="1" applyFont="1" applyBorder="1" applyProtection="1">
      <protection locked="0"/>
    </xf>
    <xf numFmtId="172" fontId="96" fillId="2" borderId="122" xfId="0" applyNumberFormat="1" applyFont="1" applyFill="1" applyBorder="1" applyProtection="1">
      <protection locked="0"/>
    </xf>
    <xf numFmtId="0" fontId="91" fillId="2" borderId="47" xfId="0" quotePrefix="1" applyFont="1" applyFill="1" applyBorder="1" applyProtection="1">
      <protection locked="0"/>
    </xf>
    <xf numFmtId="0" fontId="92" fillId="0" borderId="57" xfId="0" applyFont="1" applyBorder="1" applyAlignment="1">
      <alignment horizontal="left" wrapText="1"/>
    </xf>
    <xf numFmtId="172" fontId="92" fillId="0" borderId="57" xfId="0" quotePrefix="1" applyNumberFormat="1" applyFont="1" applyBorder="1" applyAlignment="1">
      <alignment horizontal="right"/>
    </xf>
    <xf numFmtId="0" fontId="96" fillId="2" borderId="50" xfId="0" applyFont="1" applyFill="1" applyBorder="1" applyAlignment="1" applyProtection="1">
      <alignment horizontal="center"/>
      <protection locked="0"/>
    </xf>
    <xf numFmtId="49" fontId="96" fillId="2" borderId="50" xfId="0" applyNumberFormat="1" applyFont="1" applyFill="1" applyBorder="1" applyAlignment="1" applyProtection="1">
      <alignment horizontal="center"/>
      <protection locked="0"/>
    </xf>
    <xf numFmtId="173" fontId="96" fillId="2" borderId="125" xfId="0" applyNumberFormat="1" applyFont="1" applyFill="1" applyBorder="1" applyAlignment="1" applyProtection="1">
      <alignment horizontal="center"/>
      <protection locked="0"/>
    </xf>
    <xf numFmtId="172" fontId="91" fillId="3" borderId="57" xfId="0" applyNumberFormat="1" applyFont="1" applyFill="1" applyBorder="1"/>
    <xf numFmtId="193" fontId="91" fillId="3" borderId="57" xfId="0" quotePrefix="1" applyNumberFormat="1" applyFont="1" applyFill="1" applyBorder="1" applyAlignment="1">
      <alignment horizontal="center"/>
    </xf>
    <xf numFmtId="0" fontId="129" fillId="0" borderId="117" xfId="0" applyFont="1" applyBorder="1" applyAlignment="1">
      <alignment horizontal="left" indent="1"/>
    </xf>
    <xf numFmtId="0" fontId="91" fillId="2" borderId="47" xfId="0" applyFont="1" applyFill="1" applyBorder="1" applyAlignment="1" applyProtection="1">
      <alignment wrapText="1"/>
      <protection locked="0"/>
    </xf>
    <xf numFmtId="0" fontId="96" fillId="2" borderId="122" xfId="0" applyFont="1" applyFill="1" applyBorder="1" applyAlignment="1" applyProtection="1">
      <alignment horizontal="center" vertical="center"/>
      <protection locked="0"/>
    </xf>
    <xf numFmtId="0" fontId="96" fillId="2" borderId="103" xfId="0" applyFont="1" applyFill="1" applyBorder="1" applyAlignment="1" applyProtection="1">
      <alignment horizontal="center" vertical="center"/>
      <protection locked="0"/>
    </xf>
    <xf numFmtId="0" fontId="96" fillId="2" borderId="126" xfId="0" applyFont="1" applyFill="1" applyBorder="1" applyAlignment="1" applyProtection="1">
      <alignment horizontal="center" vertical="center"/>
      <protection locked="0"/>
    </xf>
    <xf numFmtId="0" fontId="96" fillId="2" borderId="74" xfId="0" applyFont="1" applyFill="1" applyBorder="1" applyAlignment="1" applyProtection="1">
      <alignment horizontal="center" vertical="center"/>
      <protection locked="0"/>
    </xf>
    <xf numFmtId="0" fontId="96" fillId="2" borderId="124" xfId="0" applyFont="1" applyFill="1" applyBorder="1" applyAlignment="1" applyProtection="1">
      <alignment horizontal="center" vertical="center"/>
      <protection locked="0"/>
    </xf>
    <xf numFmtId="0" fontId="96" fillId="2" borderId="109" xfId="0" applyFont="1" applyFill="1" applyBorder="1" applyAlignment="1" applyProtection="1">
      <alignment horizontal="center" vertical="center"/>
      <protection locked="0"/>
    </xf>
    <xf numFmtId="0" fontId="107" fillId="3" borderId="0" xfId="0" applyFont="1" applyFill="1"/>
    <xf numFmtId="0" fontId="91" fillId="0" borderId="0" xfId="0" applyFont="1" applyAlignment="1">
      <alignment horizontal="right" vertical="top"/>
    </xf>
    <xf numFmtId="172" fontId="92" fillId="0" borderId="0" xfId="0" applyNumberFormat="1" applyFont="1" applyAlignment="1">
      <alignment horizontal="right" vertical="top"/>
    </xf>
    <xf numFmtId="0" fontId="147" fillId="2" borderId="103" xfId="0" applyFont="1" applyFill="1" applyBorder="1" applyProtection="1">
      <protection locked="0"/>
    </xf>
    <xf numFmtId="174" fontId="96" fillId="4" borderId="55" xfId="11" applyNumberFormat="1" applyFont="1" applyBorder="1" applyAlignment="1" applyProtection="1">
      <alignment horizontal="right" vertical="center"/>
      <protection locked="0"/>
    </xf>
    <xf numFmtId="0" fontId="106" fillId="0" borderId="57" xfId="0" applyFont="1" applyBorder="1"/>
    <xf numFmtId="0" fontId="104" fillId="71" borderId="0" xfId="0" applyFont="1" applyFill="1"/>
    <xf numFmtId="174" fontId="104" fillId="71" borderId="0" xfId="0" applyNumberFormat="1" applyFont="1" applyFill="1" applyAlignment="1">
      <alignment horizontal="right"/>
    </xf>
    <xf numFmtId="0" fontId="104" fillId="71" borderId="0" xfId="0" applyFont="1" applyFill="1" applyAlignment="1">
      <alignment horizontal="right"/>
    </xf>
    <xf numFmtId="164" fontId="104" fillId="71" borderId="0" xfId="0" applyNumberFormat="1" applyFont="1" applyFill="1" applyAlignment="1">
      <alignment horizontal="right"/>
    </xf>
    <xf numFmtId="0" fontId="148" fillId="60" borderId="1" xfId="0" applyFont="1" applyFill="1" applyBorder="1"/>
    <xf numFmtId="0" fontId="149" fillId="60" borderId="1" xfId="0" applyFont="1" applyFill="1" applyBorder="1"/>
    <xf numFmtId="194" fontId="61" fillId="60" borderId="1" xfId="0" applyNumberFormat="1" applyFont="1" applyFill="1" applyBorder="1"/>
    <xf numFmtId="0" fontId="148" fillId="59" borderId="1" xfId="0" applyFont="1" applyFill="1" applyBorder="1"/>
    <xf numFmtId="164" fontId="61" fillId="59" borderId="1" xfId="0" applyNumberFormat="1" applyFont="1" applyFill="1" applyBorder="1" applyAlignment="1">
      <alignment horizontal="center" vertical="top"/>
    </xf>
    <xf numFmtId="165" fontId="61" fillId="59" borderId="1" xfId="0" applyNumberFormat="1" applyFont="1" applyFill="1" applyBorder="1"/>
    <xf numFmtId="194" fontId="61" fillId="59" borderId="1" xfId="0" applyNumberFormat="1" applyFont="1" applyFill="1" applyBorder="1" applyAlignment="1">
      <alignment horizontal="right"/>
    </xf>
    <xf numFmtId="0" fontId="148" fillId="62" borderId="1" xfId="0" applyFont="1" applyFill="1" applyBorder="1"/>
    <xf numFmtId="164" fontId="61" fillId="62" borderId="1" xfId="0" applyNumberFormat="1" applyFont="1" applyFill="1" applyBorder="1" applyAlignment="1">
      <alignment horizontal="center" vertical="top"/>
    </xf>
    <xf numFmtId="164" fontId="61" fillId="62" borderId="1" xfId="0" quotePrefix="1" applyNumberFormat="1" applyFont="1" applyFill="1" applyBorder="1" applyAlignment="1">
      <alignment horizontal="center" vertical="top"/>
    </xf>
    <xf numFmtId="194" fontId="61" fillId="62" borderId="1" xfId="0" applyNumberFormat="1" applyFont="1" applyFill="1" applyBorder="1" applyAlignment="1">
      <alignment horizontal="right"/>
    </xf>
    <xf numFmtId="0" fontId="148" fillId="61" borderId="65" xfId="0" applyFont="1" applyFill="1" applyBorder="1"/>
    <xf numFmtId="0" fontId="149" fillId="61" borderId="65" xfId="0" applyFont="1" applyFill="1" applyBorder="1"/>
    <xf numFmtId="194" fontId="61" fillId="61" borderId="65" xfId="0" applyNumberFormat="1" applyFont="1" applyFill="1" applyBorder="1"/>
    <xf numFmtId="164" fontId="149" fillId="62" borderId="65" xfId="0" applyNumberFormat="1" applyFont="1" applyFill="1" applyBorder="1" applyAlignment="1">
      <alignment horizontal="center" vertical="top"/>
    </xf>
    <xf numFmtId="0" fontId="110" fillId="59" borderId="0" xfId="0" applyFont="1" applyFill="1"/>
    <xf numFmtId="165" fontId="149" fillId="59" borderId="0" xfId="0" applyNumberFormat="1" applyFont="1" applyFill="1"/>
    <xf numFmtId="194" fontId="61" fillId="61" borderId="65" xfId="0" applyNumberFormat="1" applyFont="1" applyFill="1" applyBorder="1" applyAlignment="1">
      <alignment horizontal="right"/>
    </xf>
    <xf numFmtId="0" fontId="110" fillId="62" borderId="0" xfId="0" applyFont="1" applyFill="1"/>
    <xf numFmtId="164" fontId="110" fillId="62" borderId="0" xfId="0" applyNumberFormat="1" applyFont="1" applyFill="1" applyAlignment="1">
      <alignment horizontal="center" vertical="top"/>
    </xf>
    <xf numFmtId="164" fontId="149" fillId="62" borderId="0" xfId="0" applyNumberFormat="1" applyFont="1" applyFill="1" applyAlignment="1">
      <alignment horizontal="center" vertical="top"/>
    </xf>
    <xf numFmtId="164" fontId="149" fillId="62" borderId="0" xfId="0" applyNumberFormat="1" applyFont="1" applyFill="1" applyAlignment="1">
      <alignment horizontal="right" vertical="top"/>
    </xf>
    <xf numFmtId="214" fontId="91" fillId="0" borderId="0" xfId="0" applyNumberFormat="1" applyFont="1"/>
    <xf numFmtId="172" fontId="91" fillId="2" borderId="0" xfId="0" applyNumberFormat="1" applyFont="1" applyFill="1" applyAlignment="1">
      <alignment horizontal="right" vertical="top"/>
    </xf>
    <xf numFmtId="0" fontId="92" fillId="65" borderId="5" xfId="0" applyFont="1" applyFill="1" applyBorder="1"/>
    <xf numFmtId="174" fontId="92" fillId="65" borderId="6" xfId="0" applyNumberFormat="1" applyFont="1" applyFill="1" applyBorder="1" applyAlignment="1">
      <alignment horizontal="right"/>
    </xf>
    <xf numFmtId="0" fontId="91" fillId="65" borderId="6" xfId="0" applyFont="1" applyFill="1" applyBorder="1"/>
    <xf numFmtId="0" fontId="92" fillId="65" borderId="53" xfId="0" applyFont="1" applyFill="1" applyBorder="1"/>
    <xf numFmtId="174" fontId="92" fillId="65" borderId="53" xfId="0" applyNumberFormat="1" applyFont="1" applyFill="1" applyBorder="1" applyAlignment="1">
      <alignment horizontal="right"/>
    </xf>
    <xf numFmtId="184" fontId="92" fillId="65" borderId="53" xfId="0" applyNumberFormat="1" applyFont="1" applyFill="1" applyBorder="1" applyAlignment="1">
      <alignment horizontal="right"/>
    </xf>
    <xf numFmtId="0" fontId="105" fillId="2" borderId="47" xfId="0" applyFont="1" applyFill="1" applyBorder="1" applyProtection="1">
      <protection locked="0"/>
    </xf>
    <xf numFmtId="183" fontId="92" fillId="0" borderId="0" xfId="4" applyNumberFormat="1" applyFont="1" applyFill="1" applyBorder="1" applyAlignment="1" applyProtection="1">
      <alignment horizontal="center"/>
      <protection locked="0"/>
    </xf>
    <xf numFmtId="183" fontId="92" fillId="0" borderId="57" xfId="4" applyNumberFormat="1" applyFont="1" applyFill="1" applyBorder="1" applyAlignment="1" applyProtection="1">
      <alignment horizontal="center"/>
      <protection locked="0"/>
    </xf>
    <xf numFmtId="172" fontId="91" fillId="65" borderId="57" xfId="0" applyNumberFormat="1" applyFont="1" applyFill="1" applyBorder="1" applyAlignment="1">
      <alignment horizontal="center"/>
    </xf>
    <xf numFmtId="0" fontId="92" fillId="65" borderId="57" xfId="0" applyFont="1" applyFill="1" applyBorder="1"/>
    <xf numFmtId="174" fontId="92" fillId="65" borderId="57" xfId="0" applyNumberFormat="1" applyFont="1" applyFill="1" applyBorder="1" applyAlignment="1">
      <alignment horizontal="right"/>
    </xf>
    <xf numFmtId="172" fontId="92" fillId="65" borderId="57" xfId="0" applyNumberFormat="1" applyFont="1" applyFill="1" applyBorder="1" applyAlignment="1">
      <alignment horizontal="center"/>
    </xf>
    <xf numFmtId="172" fontId="92" fillId="65" borderId="57" xfId="0" applyNumberFormat="1" applyFont="1" applyFill="1" applyBorder="1" applyAlignment="1">
      <alignment horizontal="right"/>
    </xf>
    <xf numFmtId="172" fontId="92" fillId="65" borderId="57" xfId="0" applyNumberFormat="1" applyFont="1" applyFill="1" applyBorder="1" applyAlignment="1">
      <alignment horizontal="left"/>
    </xf>
    <xf numFmtId="0" fontId="92" fillId="65" borderId="0" xfId="0" applyFont="1" applyFill="1"/>
    <xf numFmtId="172" fontId="91" fillId="65" borderId="0" xfId="0" applyNumberFormat="1" applyFont="1" applyFill="1" applyAlignment="1">
      <alignment horizontal="right"/>
    </xf>
    <xf numFmtId="172" fontId="91" fillId="65" borderId="0" xfId="0" applyNumberFormat="1" applyFont="1" applyFill="1" applyAlignment="1">
      <alignment horizontal="center"/>
    </xf>
    <xf numFmtId="175" fontId="96" fillId="69" borderId="55" xfId="11" applyNumberFormat="1" applyFont="1" applyFill="1" applyBorder="1" applyAlignment="1" applyProtection="1">
      <alignment horizontal="right"/>
      <protection locked="0"/>
    </xf>
    <xf numFmtId="174" fontId="101" fillId="2" borderId="103" xfId="0" applyNumberFormat="1" applyFont="1" applyFill="1" applyBorder="1" applyAlignment="1" applyProtection="1">
      <alignment horizontal="right" wrapText="1"/>
      <protection locked="0"/>
    </xf>
    <xf numFmtId="0" fontId="104" fillId="65" borderId="0" xfId="0" applyFont="1" applyFill="1"/>
    <xf numFmtId="174" fontId="104" fillId="65" borderId="0" xfId="0" applyNumberFormat="1" applyFont="1" applyFill="1" applyAlignment="1">
      <alignment horizontal="right"/>
    </xf>
    <xf numFmtId="0" fontId="104" fillId="65" borderId="0" xfId="0" applyFont="1" applyFill="1" applyAlignment="1">
      <alignment horizontal="right"/>
    </xf>
    <xf numFmtId="164" fontId="104" fillId="65" borderId="0" xfId="0" applyNumberFormat="1" applyFont="1" applyFill="1" applyAlignment="1">
      <alignment horizontal="right"/>
    </xf>
    <xf numFmtId="172" fontId="92" fillId="65" borderId="6" xfId="0" applyNumberFormat="1" applyFont="1" applyFill="1" applyBorder="1" applyAlignment="1">
      <alignment horizontal="center"/>
    </xf>
    <xf numFmtId="172" fontId="96" fillId="2" borderId="102" xfId="0" applyNumberFormat="1" applyFont="1" applyFill="1" applyBorder="1" applyAlignment="1" applyProtection="1">
      <alignment horizontal="right"/>
      <protection locked="0"/>
    </xf>
    <xf numFmtId="0" fontId="104" fillId="65" borderId="57" xfId="0" applyFont="1" applyFill="1" applyBorder="1"/>
    <xf numFmtId="174" fontId="104" fillId="65" borderId="57" xfId="0" applyNumberFormat="1" applyFont="1" applyFill="1" applyBorder="1" applyAlignment="1">
      <alignment horizontal="right"/>
    </xf>
    <xf numFmtId="174" fontId="91" fillId="0" borderId="0" xfId="0" quotePrefix="1" applyNumberFormat="1" applyFont="1" applyAlignment="1">
      <alignment horizontal="right"/>
    </xf>
    <xf numFmtId="172" fontId="91" fillId="0" borderId="15" xfId="0" applyNumberFormat="1" applyFont="1" applyBorder="1" applyAlignment="1">
      <alignment horizontal="right"/>
    </xf>
    <xf numFmtId="0" fontId="92" fillId="65" borderId="6" xfId="0" applyFont="1" applyFill="1" applyBorder="1"/>
    <xf numFmtId="189" fontId="91" fillId="0" borderId="0" xfId="0" applyNumberFormat="1" applyFont="1" applyAlignment="1">
      <alignment horizontal="center" vertical="top"/>
    </xf>
    <xf numFmtId="0" fontId="129" fillId="0" borderId="127" xfId="0" applyFont="1" applyBorder="1" applyAlignment="1">
      <alignment horizontal="left" indent="1"/>
    </xf>
    <xf numFmtId="0" fontId="0" fillId="62" borderId="0" xfId="0" applyFill="1"/>
    <xf numFmtId="164" fontId="96" fillId="2" borderId="55" xfId="11" applyNumberFormat="1" applyFont="1" applyFill="1" applyBorder="1" applyAlignment="1" applyProtection="1">
      <alignment horizontal="center" vertical="top"/>
      <protection locked="0"/>
    </xf>
    <xf numFmtId="189" fontId="96" fillId="4" borderId="66" xfId="11" applyNumberFormat="1" applyFont="1" applyBorder="1" applyAlignment="1" applyProtection="1">
      <alignment horizontal="center" vertical="top"/>
      <protection locked="0"/>
    </xf>
    <xf numFmtId="0" fontId="91" fillId="3" borderId="1" xfId="0" applyFont="1" applyFill="1" applyBorder="1" applyAlignment="1">
      <alignment vertical="center" wrapText="1"/>
    </xf>
    <xf numFmtId="0" fontId="91" fillId="3" borderId="1" xfId="0" applyFont="1" applyFill="1" applyBorder="1" applyAlignment="1">
      <alignment vertical="center"/>
    </xf>
    <xf numFmtId="0" fontId="91" fillId="3" borderId="1" xfId="0" applyFont="1" applyFill="1" applyBorder="1" applyAlignment="1">
      <alignment horizontal="center" vertical="top"/>
    </xf>
    <xf numFmtId="0" fontId="134" fillId="2" borderId="0" xfId="0" applyFont="1" applyFill="1"/>
    <xf numFmtId="0" fontId="11" fillId="2" borderId="0" xfId="0" applyFont="1" applyFill="1"/>
    <xf numFmtId="0" fontId="11" fillId="0" borderId="1" xfId="0" applyFont="1" applyBorder="1"/>
    <xf numFmtId="0" fontId="134" fillId="0" borderId="1" xfId="0" applyFont="1" applyBorder="1"/>
    <xf numFmtId="0" fontId="83" fillId="0" borderId="1" xfId="0" applyFont="1" applyBorder="1"/>
    <xf numFmtId="0" fontId="11" fillId="0" borderId="1" xfId="0" applyFont="1" applyBorder="1" applyAlignment="1">
      <alignment horizontal="right"/>
    </xf>
    <xf numFmtId="174" fontId="83" fillId="0" borderId="0" xfId="0" applyNumberFormat="1" applyFont="1" applyAlignment="1">
      <alignment horizontal="right"/>
    </xf>
    <xf numFmtId="0" fontId="134" fillId="62" borderId="0" xfId="0" applyFont="1" applyFill="1"/>
    <xf numFmtId="0" fontId="83" fillId="62" borderId="0" xfId="0" applyFont="1" applyFill="1"/>
    <xf numFmtId="0" fontId="134" fillId="63" borderId="0" xfId="0" applyFont="1" applyFill="1"/>
    <xf numFmtId="0" fontId="83" fillId="63" borderId="0" xfId="0" applyFont="1" applyFill="1"/>
    <xf numFmtId="0" fontId="0" fillId="63" borderId="0" xfId="0" applyFill="1"/>
    <xf numFmtId="0" fontId="134" fillId="65" borderId="1" xfId="0" applyFont="1" applyFill="1" applyBorder="1"/>
    <xf numFmtId="0" fontId="83" fillId="65" borderId="1" xfId="0" applyFont="1" applyFill="1" applyBorder="1"/>
    <xf numFmtId="0" fontId="0" fillId="65" borderId="1" xfId="0" applyFill="1" applyBorder="1"/>
    <xf numFmtId="0" fontId="134" fillId="61" borderId="1" xfId="0" applyFont="1" applyFill="1" applyBorder="1"/>
    <xf numFmtId="0" fontId="83" fillId="61" borderId="1" xfId="0" applyFont="1" applyFill="1" applyBorder="1"/>
    <xf numFmtId="0" fontId="0" fillId="61" borderId="1" xfId="0" applyFill="1" applyBorder="1"/>
    <xf numFmtId="174" fontId="83" fillId="69" borderId="0" xfId="0" applyNumberFormat="1" applyFont="1" applyFill="1"/>
    <xf numFmtId="172" fontId="83" fillId="69" borderId="0" xfId="0" applyNumberFormat="1" applyFont="1" applyFill="1"/>
    <xf numFmtId="0" fontId="83" fillId="69" borderId="0" xfId="0" applyFont="1" applyFill="1"/>
    <xf numFmtId="172" fontId="83" fillId="69" borderId="0" xfId="0" applyNumberFormat="1" applyFont="1" applyFill="1" applyAlignment="1">
      <alignment horizontal="right"/>
    </xf>
    <xf numFmtId="174" fontId="0" fillId="62" borderId="0" xfId="0" applyNumberFormat="1" applyFill="1"/>
    <xf numFmtId="172" fontId="0" fillId="62" borderId="0" xfId="0" applyNumberFormat="1" applyFill="1"/>
    <xf numFmtId="174" fontId="83" fillId="62" borderId="0" xfId="0" applyNumberFormat="1" applyFont="1" applyFill="1" applyAlignment="1">
      <alignment horizontal="right"/>
    </xf>
    <xf numFmtId="0" fontId="0" fillId="62" borderId="0" xfId="0" applyFill="1" applyAlignment="1">
      <alignment horizontal="right"/>
    </xf>
    <xf numFmtId="0" fontId="134" fillId="69" borderId="0" xfId="0" applyFont="1" applyFill="1"/>
    <xf numFmtId="0" fontId="0" fillId="69" borderId="0" xfId="0" applyFill="1"/>
    <xf numFmtId="0" fontId="0" fillId="2" borderId="0" xfId="0" applyFill="1"/>
    <xf numFmtId="0" fontId="83" fillId="62" borderId="47" xfId="0" applyFont="1" applyFill="1" applyBorder="1"/>
    <xf numFmtId="172" fontId="0" fillId="62" borderId="47" xfId="0" applyNumberFormat="1" applyFill="1" applyBorder="1"/>
    <xf numFmtId="174" fontId="83" fillId="0" borderId="47" xfId="0" applyNumberFormat="1" applyFont="1" applyBorder="1" applyAlignment="1">
      <alignment horizontal="right"/>
    </xf>
    <xf numFmtId="0" fontId="134" fillId="0" borderId="47" xfId="0" applyFont="1" applyBorder="1"/>
    <xf numFmtId="0" fontId="83" fillId="65" borderId="0" xfId="0" applyFont="1" applyFill="1"/>
    <xf numFmtId="0" fontId="0" fillId="65" borderId="0" xfId="0" applyFill="1"/>
    <xf numFmtId="0" fontId="11" fillId="0" borderId="0" xfId="0" applyFont="1" applyAlignment="1">
      <alignment horizontal="right"/>
    </xf>
    <xf numFmtId="172" fontId="107" fillId="2" borderId="55" xfId="8" applyNumberFormat="1" applyFont="1" applyFill="1" applyBorder="1" applyAlignment="1">
      <alignment horizontal="right"/>
    </xf>
    <xf numFmtId="172" fontId="107" fillId="0" borderId="55" xfId="8" applyNumberFormat="1" applyFont="1" applyBorder="1" applyAlignment="1">
      <alignment horizontal="right"/>
    </xf>
    <xf numFmtId="0" fontId="0" fillId="0" borderId="65" xfId="0" applyBorder="1"/>
    <xf numFmtId="172" fontId="0" fillId="0" borderId="57" xfId="0" applyNumberFormat="1" applyBorder="1"/>
    <xf numFmtId="0" fontId="146" fillId="67" borderId="0" xfId="0" applyFont="1" applyFill="1"/>
    <xf numFmtId="172" fontId="146" fillId="2" borderId="103" xfId="0" applyNumberFormat="1" applyFont="1" applyFill="1" applyBorder="1"/>
    <xf numFmtId="172" fontId="146" fillId="0" borderId="0" xfId="0" applyNumberFormat="1" applyFont="1"/>
    <xf numFmtId="172" fontId="146" fillId="2" borderId="55" xfId="0" applyNumberFormat="1" applyFont="1" applyFill="1" applyBorder="1"/>
    <xf numFmtId="172" fontId="146" fillId="2" borderId="102" xfId="0" applyNumberFormat="1" applyFont="1" applyFill="1" applyBorder="1"/>
    <xf numFmtId="172" fontId="146" fillId="67" borderId="57" xfId="0" applyNumberFormat="1" applyFont="1" applyFill="1" applyBorder="1"/>
    <xf numFmtId="172" fontId="146" fillId="0" borderId="57" xfId="0" applyNumberFormat="1" applyFont="1" applyBorder="1"/>
    <xf numFmtId="172" fontId="107" fillId="2" borderId="102" xfId="8" applyNumberFormat="1" applyFont="1" applyFill="1" applyBorder="1" applyAlignment="1">
      <alignment horizontal="right"/>
    </xf>
    <xf numFmtId="172" fontId="107" fillId="0" borderId="102" xfId="8" applyNumberFormat="1" applyFont="1" applyBorder="1" applyAlignment="1">
      <alignment horizontal="right"/>
    </xf>
    <xf numFmtId="0" fontId="11" fillId="0" borderId="57" xfId="0" applyFont="1" applyBorder="1"/>
    <xf numFmtId="0" fontId="11" fillId="0" borderId="65" xfId="0" applyFont="1" applyBorder="1" applyAlignment="1">
      <alignment horizontal="right"/>
    </xf>
    <xf numFmtId="172" fontId="146" fillId="67" borderId="103" xfId="0" applyNumberFormat="1" applyFont="1" applyFill="1" applyBorder="1"/>
    <xf numFmtId="172" fontId="146" fillId="67" borderId="55" xfId="0" applyNumberFormat="1" applyFont="1" applyFill="1" applyBorder="1"/>
    <xf numFmtId="172" fontId="146" fillId="67" borderId="102" xfId="0" applyNumberFormat="1" applyFont="1" applyFill="1" applyBorder="1"/>
    <xf numFmtId="172" fontId="107" fillId="0" borderId="57" xfId="8" applyNumberFormat="1" applyFont="1" applyBorder="1" applyAlignment="1">
      <alignment horizontal="right"/>
    </xf>
    <xf numFmtId="0" fontId="146" fillId="0" borderId="103" xfId="0" applyFont="1" applyBorder="1" applyAlignment="1">
      <alignment horizontal="right"/>
    </xf>
    <xf numFmtId="43" fontId="107" fillId="0" borderId="1" xfId="4" applyFont="1" applyBorder="1" applyProtection="1"/>
    <xf numFmtId="0" fontId="83" fillId="62" borderId="102" xfId="0" applyFont="1" applyFill="1" applyBorder="1"/>
    <xf numFmtId="0" fontId="83" fillId="62" borderId="66" xfId="0" applyFont="1" applyFill="1" applyBorder="1"/>
    <xf numFmtId="0" fontId="0" fillId="0" borderId="57" xfId="0" applyBorder="1"/>
    <xf numFmtId="0" fontId="11" fillId="65" borderId="1" xfId="0" applyFont="1" applyFill="1" applyBorder="1"/>
    <xf numFmtId="43" fontId="107" fillId="65" borderId="1" xfId="4" applyFont="1" applyFill="1" applyBorder="1" applyProtection="1"/>
    <xf numFmtId="0" fontId="11" fillId="61" borderId="1" xfId="0" applyFont="1" applyFill="1" applyBorder="1"/>
    <xf numFmtId="172" fontId="0" fillId="61" borderId="1" xfId="0" applyNumberFormat="1" applyFill="1" applyBorder="1"/>
    <xf numFmtId="43" fontId="107" fillId="61" borderId="1" xfId="4" applyFont="1" applyFill="1" applyBorder="1" applyProtection="1"/>
    <xf numFmtId="0" fontId="11" fillId="72" borderId="1" xfId="0" applyFont="1" applyFill="1" applyBorder="1"/>
    <xf numFmtId="0" fontId="0" fillId="72" borderId="1" xfId="0" applyFill="1" applyBorder="1"/>
    <xf numFmtId="172" fontId="146" fillId="0" borderId="103" xfId="0" applyNumberFormat="1" applyFont="1" applyBorder="1"/>
    <xf numFmtId="172" fontId="146" fillId="0" borderId="55" xfId="0" applyNumberFormat="1" applyFont="1" applyBorder="1"/>
    <xf numFmtId="172" fontId="146" fillId="0" borderId="102" xfId="0" applyNumberFormat="1" applyFont="1" applyBorder="1"/>
    <xf numFmtId="172" fontId="146" fillId="0" borderId="103" xfId="0" applyNumberFormat="1" applyFont="1" applyBorder="1" applyAlignment="1">
      <alignment horizontal="right"/>
    </xf>
    <xf numFmtId="174" fontId="146" fillId="0" borderId="103" xfId="0" applyNumberFormat="1" applyFont="1" applyBorder="1" applyAlignment="1">
      <alignment horizontal="right"/>
    </xf>
    <xf numFmtId="174" fontId="107" fillId="0" borderId="57" xfId="8" applyNumberFormat="1" applyFont="1" applyBorder="1" applyAlignment="1">
      <alignment horizontal="right"/>
    </xf>
    <xf numFmtId="174" fontId="107" fillId="0" borderId="55" xfId="8" applyNumberFormat="1" applyFont="1" applyBorder="1" applyAlignment="1">
      <alignment horizontal="right"/>
    </xf>
    <xf numFmtId="174" fontId="104" fillId="0" borderId="57" xfId="8" applyNumberFormat="1" applyFont="1" applyBorder="1" applyAlignment="1">
      <alignment horizontal="right"/>
    </xf>
    <xf numFmtId="174" fontId="146" fillId="0" borderId="0" xfId="0" applyNumberFormat="1" applyFont="1"/>
    <xf numFmtId="174" fontId="146" fillId="0" borderId="57" xfId="0" applyNumberFormat="1" applyFont="1" applyBorder="1"/>
    <xf numFmtId="174" fontId="146" fillId="67" borderId="57" xfId="0" applyNumberFormat="1" applyFont="1" applyFill="1" applyBorder="1"/>
    <xf numFmtId="174" fontId="151" fillId="0" borderId="57" xfId="0" applyNumberFormat="1" applyFont="1" applyBorder="1"/>
    <xf numFmtId="175" fontId="83" fillId="62" borderId="47" xfId="0" applyNumberFormat="1" applyFont="1" applyFill="1" applyBorder="1"/>
    <xf numFmtId="175" fontId="11" fillId="63" borderId="0" xfId="0" applyNumberFormat="1" applyFont="1" applyFill="1" applyAlignment="1">
      <alignment horizontal="right"/>
    </xf>
    <xf numFmtId="175" fontId="11" fillId="0" borderId="0" xfId="0" applyNumberFormat="1" applyFont="1" applyAlignment="1">
      <alignment horizontal="right"/>
    </xf>
    <xf numFmtId="175" fontId="0" fillId="0" borderId="65" xfId="0" applyNumberFormat="1" applyBorder="1"/>
    <xf numFmtId="0" fontId="152" fillId="2" borderId="0" xfId="0" applyFont="1" applyFill="1"/>
    <xf numFmtId="0" fontId="152" fillId="0" borderId="0" xfId="0" applyFont="1"/>
    <xf numFmtId="172" fontId="153" fillId="2" borderId="55" xfId="8" applyNumberFormat="1" applyFont="1" applyFill="1" applyBorder="1" applyAlignment="1">
      <alignment horizontal="right"/>
    </xf>
    <xf numFmtId="172" fontId="153" fillId="2" borderId="102" xfId="8" applyNumberFormat="1" applyFont="1" applyFill="1" applyBorder="1" applyAlignment="1">
      <alignment horizontal="right"/>
    </xf>
    <xf numFmtId="0" fontId="11" fillId="59" borderId="0" xfId="0" applyFont="1" applyFill="1"/>
    <xf numFmtId="175" fontId="11" fillId="0" borderId="65" xfId="0" applyNumberFormat="1" applyFont="1" applyBorder="1"/>
    <xf numFmtId="0" fontId="11" fillId="67" borderId="1" xfId="0" applyFont="1" applyFill="1" applyBorder="1"/>
    <xf numFmtId="0" fontId="0" fillId="67" borderId="1" xfId="0" applyFill="1" applyBorder="1"/>
    <xf numFmtId="174" fontId="146" fillId="0" borderId="103" xfId="0" applyNumberFormat="1" applyFont="1" applyBorder="1"/>
    <xf numFmtId="174" fontId="146" fillId="67" borderId="103" xfId="0" applyNumberFormat="1" applyFont="1" applyFill="1" applyBorder="1"/>
    <xf numFmtId="0" fontId="121" fillId="0" borderId="0" xfId="0" applyFont="1" applyAlignment="1">
      <alignment horizontal="left"/>
    </xf>
    <xf numFmtId="0" fontId="16" fillId="0" borderId="0" xfId="0" applyFont="1" applyAlignment="1">
      <alignment horizontal="center"/>
    </xf>
    <xf numFmtId="0" fontId="121" fillId="0" borderId="0" xfId="0" applyFont="1" applyAlignment="1">
      <alignment horizontal="center"/>
    </xf>
    <xf numFmtId="0" fontId="121" fillId="0" borderId="0" xfId="0" applyFont="1"/>
    <xf numFmtId="0" fontId="16" fillId="0" borderId="1" xfId="0" applyFont="1" applyBorder="1" applyAlignment="1">
      <alignment horizontal="center"/>
    </xf>
    <xf numFmtId="0" fontId="4" fillId="0" borderId="0" xfId="0" applyFont="1" applyAlignment="1">
      <alignment horizontal="center"/>
    </xf>
    <xf numFmtId="0" fontId="155" fillId="2" borderId="40" xfId="0" applyFont="1" applyFill="1" applyBorder="1" applyAlignment="1">
      <alignment horizontal="center"/>
    </xf>
    <xf numFmtId="0" fontId="156" fillId="2" borderId="40" xfId="0" applyFont="1" applyFill="1" applyBorder="1" applyAlignment="1">
      <alignment horizontal="center" vertical="center"/>
    </xf>
    <xf numFmtId="0" fontId="120" fillId="0" borderId="0" xfId="0" applyFont="1" applyAlignment="1">
      <alignment horizontal="center" vertical="center"/>
    </xf>
    <xf numFmtId="0" fontId="121" fillId="0" borderId="1" xfId="0" applyFont="1" applyBorder="1" applyAlignment="1">
      <alignment horizontal="center"/>
    </xf>
    <xf numFmtId="0" fontId="121" fillId="0" borderId="1" xfId="0" applyFont="1" applyBorder="1"/>
    <xf numFmtId="0" fontId="120" fillId="0" borderId="1" xfId="0" applyFont="1" applyBorder="1" applyAlignment="1">
      <alignment horizontal="center" vertical="center"/>
    </xf>
    <xf numFmtId="172" fontId="16" fillId="62" borderId="40" xfId="0" applyNumberFormat="1" applyFont="1" applyFill="1" applyBorder="1" applyAlignment="1">
      <alignment horizontal="center"/>
    </xf>
    <xf numFmtId="175" fontId="121" fillId="0" borderId="0" xfId="0" applyNumberFormat="1" applyFont="1" applyAlignment="1">
      <alignment horizontal="center"/>
    </xf>
    <xf numFmtId="0" fontId="16" fillId="0" borderId="1" xfId="0" applyFont="1" applyBorder="1" applyAlignment="1">
      <alignment horizontal="left"/>
    </xf>
    <xf numFmtId="0" fontId="11" fillId="0" borderId="1" xfId="0" applyFont="1" applyBorder="1" applyAlignment="1">
      <alignment horizontal="center"/>
    </xf>
    <xf numFmtId="0" fontId="16" fillId="0" borderId="0" xfId="0" applyFont="1"/>
    <xf numFmtId="0" fontId="16" fillId="2" borderId="55" xfId="0" applyFont="1" applyFill="1" applyBorder="1" applyAlignment="1">
      <alignment horizontal="center"/>
    </xf>
    <xf numFmtId="0" fontId="14" fillId="0" borderId="0" xfId="0" applyFont="1" applyAlignment="1">
      <alignment horizontal="center"/>
    </xf>
    <xf numFmtId="172" fontId="157" fillId="0" borderId="0" xfId="0" applyNumberFormat="1" applyFont="1" applyAlignment="1">
      <alignment horizontal="center"/>
    </xf>
    <xf numFmtId="174" fontId="11" fillId="0" borderId="128" xfId="0" applyNumberFormat="1" applyFont="1" applyBorder="1"/>
    <xf numFmtId="0" fontId="0" fillId="2" borderId="0" xfId="0" applyFill="1" applyAlignment="1">
      <alignment horizontal="center"/>
    </xf>
    <xf numFmtId="0" fontId="0" fillId="2" borderId="57" xfId="0" applyFill="1" applyBorder="1" applyAlignment="1">
      <alignment horizontal="center"/>
    </xf>
    <xf numFmtId="172" fontId="153" fillId="0" borderId="55" xfId="8" applyNumberFormat="1" applyFont="1" applyBorder="1" applyAlignment="1">
      <alignment horizontal="right"/>
    </xf>
    <xf numFmtId="172" fontId="153" fillId="0" borderId="102" xfId="8" applyNumberFormat="1" applyFont="1" applyBorder="1" applyAlignment="1">
      <alignment horizontal="right"/>
    </xf>
    <xf numFmtId="172" fontId="153" fillId="0" borderId="114" xfId="8" applyNumberFormat="1" applyFont="1" applyBorder="1" applyAlignment="1">
      <alignment horizontal="right"/>
    </xf>
    <xf numFmtId="172" fontId="153" fillId="0" borderId="103" xfId="8" applyNumberFormat="1" applyFont="1" applyBorder="1" applyAlignment="1">
      <alignment horizontal="right"/>
    </xf>
    <xf numFmtId="172" fontId="153" fillId="0" borderId="109" xfId="8" applyNumberFormat="1" applyFont="1" applyBorder="1" applyAlignment="1">
      <alignment horizontal="right"/>
    </xf>
    <xf numFmtId="172" fontId="153" fillId="0" borderId="129" xfId="8" applyNumberFormat="1" applyFont="1" applyBorder="1" applyAlignment="1">
      <alignment horizontal="right"/>
    </xf>
    <xf numFmtId="172" fontId="153" fillId="0" borderId="130" xfId="8" applyNumberFormat="1" applyFont="1" applyBorder="1" applyAlignment="1">
      <alignment horizontal="right"/>
    </xf>
    <xf numFmtId="172" fontId="153" fillId="0" borderId="131" xfId="8" applyNumberFormat="1" applyFont="1" applyBorder="1" applyAlignment="1">
      <alignment horizontal="right"/>
    </xf>
    <xf numFmtId="172" fontId="153" fillId="0" borderId="132" xfId="8" applyNumberFormat="1" applyFont="1" applyBorder="1" applyAlignment="1">
      <alignment horizontal="right"/>
    </xf>
    <xf numFmtId="172" fontId="107" fillId="0" borderId="74" xfId="8" applyNumberFormat="1" applyFont="1" applyBorder="1" applyAlignment="1">
      <alignment horizontal="right"/>
    </xf>
    <xf numFmtId="172" fontId="107" fillId="0" borderId="124" xfId="8" applyNumberFormat="1" applyFont="1" applyBorder="1" applyAlignment="1">
      <alignment horizontal="right"/>
    </xf>
    <xf numFmtId="172" fontId="153" fillId="0" borderId="134" xfId="8" applyNumberFormat="1" applyFont="1" applyBorder="1" applyAlignment="1">
      <alignment horizontal="right"/>
    </xf>
    <xf numFmtId="172" fontId="107" fillId="0" borderId="133" xfId="8" applyNumberFormat="1" applyFont="1" applyBorder="1" applyAlignment="1">
      <alignment horizontal="right"/>
    </xf>
    <xf numFmtId="0" fontId="11" fillId="0" borderId="0" xfId="0" applyFont="1" applyAlignment="1">
      <alignment horizontal="center"/>
    </xf>
    <xf numFmtId="0" fontId="158" fillId="0" borderId="0" xfId="0" applyFont="1" applyAlignment="1">
      <alignment horizontal="center"/>
    </xf>
    <xf numFmtId="0" fontId="0" fillId="2" borderId="47" xfId="0" applyFill="1" applyBorder="1" applyAlignment="1">
      <alignment horizontal="center"/>
    </xf>
    <xf numFmtId="172" fontId="0" fillId="0" borderId="47" xfId="0" applyNumberFormat="1" applyBorder="1"/>
    <xf numFmtId="175" fontId="16" fillId="0" borderId="0" xfId="0" applyNumberFormat="1" applyFont="1" applyAlignment="1">
      <alignment horizontal="center"/>
    </xf>
    <xf numFmtId="172" fontId="16" fillId="0" borderId="0" xfId="0" applyNumberFormat="1" applyFont="1" applyAlignment="1">
      <alignment horizontal="center"/>
    </xf>
    <xf numFmtId="175" fontId="16" fillId="0" borderId="0" xfId="0" applyNumberFormat="1" applyFont="1" applyAlignment="1">
      <alignment horizontal="left"/>
    </xf>
    <xf numFmtId="0" fontId="16" fillId="0" borderId="1" xfId="0" applyFont="1" applyBorder="1"/>
    <xf numFmtId="0" fontId="159" fillId="0" borderId="0" xfId="0" applyFont="1"/>
    <xf numFmtId="175" fontId="159" fillId="0" borderId="0" xfId="0" applyNumberFormat="1" applyFont="1" applyAlignment="1">
      <alignment horizontal="center"/>
    </xf>
    <xf numFmtId="175" fontId="121" fillId="0" borderId="57" xfId="0" applyNumberFormat="1" applyFont="1" applyBorder="1" applyAlignment="1">
      <alignment horizontal="center"/>
    </xf>
    <xf numFmtId="0" fontId="160" fillId="61" borderId="0" xfId="0" applyFont="1" applyFill="1" applyAlignment="1">
      <alignment horizontal="center"/>
    </xf>
    <xf numFmtId="0" fontId="160" fillId="60" borderId="0" xfId="0" applyFont="1" applyFill="1" applyAlignment="1">
      <alignment horizontal="center"/>
    </xf>
    <xf numFmtId="174" fontId="0" fillId="67" borderId="0" xfId="0" applyNumberFormat="1" applyFill="1"/>
    <xf numFmtId="172" fontId="0" fillId="67" borderId="47" xfId="0" applyNumberFormat="1" applyFill="1" applyBorder="1"/>
    <xf numFmtId="0" fontId="161" fillId="0" borderId="0" xfId="0" applyFont="1"/>
    <xf numFmtId="172" fontId="162" fillId="0" borderId="103" xfId="8" applyNumberFormat="1" applyFont="1" applyBorder="1" applyAlignment="1">
      <alignment horizontal="right"/>
    </xf>
    <xf numFmtId="172" fontId="162" fillId="0" borderId="129" xfId="8" applyNumberFormat="1" applyFont="1" applyBorder="1" applyAlignment="1">
      <alignment horizontal="right"/>
    </xf>
    <xf numFmtId="172" fontId="162" fillId="0" borderId="55" xfId="8" applyNumberFormat="1" applyFont="1" applyBorder="1" applyAlignment="1">
      <alignment horizontal="right"/>
    </xf>
    <xf numFmtId="172" fontId="162" fillId="0" borderId="130" xfId="8" applyNumberFormat="1" applyFont="1" applyBorder="1" applyAlignment="1">
      <alignment horizontal="right"/>
    </xf>
    <xf numFmtId="172" fontId="162" fillId="0" borderId="102" xfId="8" applyNumberFormat="1" applyFont="1" applyBorder="1" applyAlignment="1">
      <alignment horizontal="right"/>
    </xf>
    <xf numFmtId="172" fontId="162" fillId="0" borderId="131" xfId="8" applyNumberFormat="1" applyFont="1" applyBorder="1" applyAlignment="1">
      <alignment horizontal="right"/>
    </xf>
    <xf numFmtId="172" fontId="162" fillId="0" borderId="109" xfId="8" applyNumberFormat="1" applyFont="1" applyBorder="1" applyAlignment="1">
      <alignment horizontal="right"/>
    </xf>
    <xf numFmtId="172" fontId="162" fillId="0" borderId="132" xfId="8" applyNumberFormat="1" applyFont="1" applyBorder="1" applyAlignment="1">
      <alignment horizontal="right"/>
    </xf>
    <xf numFmtId="172" fontId="107" fillId="0" borderId="126" xfId="8" applyNumberFormat="1" applyFont="1" applyBorder="1" applyAlignment="1">
      <alignment horizontal="right"/>
    </xf>
    <xf numFmtId="175" fontId="146" fillId="0" borderId="0" xfId="0" applyNumberFormat="1" applyFont="1" applyAlignment="1">
      <alignment horizontal="center"/>
    </xf>
    <xf numFmtId="0" fontId="146" fillId="0" borderId="0" xfId="0" applyFont="1"/>
    <xf numFmtId="174" fontId="162" fillId="0" borderId="0" xfId="0" applyNumberFormat="1" applyFont="1" applyAlignment="1">
      <alignment horizontal="right"/>
    </xf>
    <xf numFmtId="175" fontId="162" fillId="0" borderId="0" xfId="0" applyNumberFormat="1" applyFont="1" applyAlignment="1">
      <alignment horizontal="right"/>
    </xf>
    <xf numFmtId="172" fontId="83" fillId="59" borderId="66" xfId="0" applyNumberFormat="1" applyFont="1" applyFill="1" applyBorder="1"/>
    <xf numFmtId="172" fontId="83" fillId="59" borderId="102" xfId="0" applyNumberFormat="1" applyFont="1" applyFill="1" applyBorder="1"/>
    <xf numFmtId="0" fontId="16" fillId="2" borderId="0" xfId="0" applyFont="1" applyFill="1" applyAlignment="1">
      <alignment horizontal="center"/>
    </xf>
    <xf numFmtId="0" fontId="0" fillId="59" borderId="0" xfId="0" applyFill="1"/>
    <xf numFmtId="9" fontId="0" fillId="0" borderId="0" xfId="0" applyNumberFormat="1"/>
    <xf numFmtId="9" fontId="0" fillId="2" borderId="0" xfId="0" applyNumberFormat="1" applyFill="1"/>
    <xf numFmtId="0" fontId="0" fillId="0" borderId="0" xfId="0" applyAlignment="1">
      <alignment horizontal="left"/>
    </xf>
    <xf numFmtId="9" fontId="163" fillId="2" borderId="55" xfId="9" applyFont="1" applyFill="1" applyBorder="1" applyAlignment="1" applyProtection="1">
      <alignment horizontal="center" vertical="top"/>
      <protection locked="0"/>
    </xf>
    <xf numFmtId="172" fontId="163" fillId="2" borderId="55" xfId="9" applyNumberFormat="1" applyFont="1" applyFill="1" applyBorder="1" applyAlignment="1" applyProtection="1">
      <alignment horizontal="right" vertical="top"/>
      <protection locked="0"/>
    </xf>
    <xf numFmtId="172" fontId="163" fillId="2" borderId="55" xfId="9" applyNumberFormat="1" applyFont="1" applyFill="1" applyBorder="1" applyAlignment="1" applyProtection="1">
      <alignment horizontal="center" vertical="top"/>
      <protection locked="0"/>
    </xf>
    <xf numFmtId="172" fontId="163" fillId="2" borderId="102" xfId="9" applyNumberFormat="1" applyFont="1" applyFill="1" applyBorder="1" applyAlignment="1" applyProtection="1">
      <alignment horizontal="right" vertical="top"/>
      <protection locked="0"/>
    </xf>
    <xf numFmtId="0" fontId="0" fillId="63" borderId="47" xfId="0" applyFill="1" applyBorder="1"/>
    <xf numFmtId="0" fontId="0" fillId="63" borderId="57" xfId="0" applyFill="1" applyBorder="1"/>
    <xf numFmtId="174" fontId="0" fillId="63" borderId="0" xfId="0" applyNumberFormat="1" applyFill="1"/>
    <xf numFmtId="172" fontId="0" fillId="63" borderId="47" xfId="0" applyNumberFormat="1" applyFill="1" applyBorder="1"/>
    <xf numFmtId="174" fontId="11" fillId="63" borderId="128" xfId="0" applyNumberFormat="1" applyFont="1" applyFill="1" applyBorder="1"/>
    <xf numFmtId="9" fontId="163" fillId="2" borderId="102" xfId="9" applyFont="1" applyFill="1" applyBorder="1" applyAlignment="1" applyProtection="1">
      <alignment horizontal="center" vertical="top"/>
      <protection locked="0"/>
    </xf>
    <xf numFmtId="172" fontId="91" fillId="0" borderId="0" xfId="9" applyNumberFormat="1" applyFont="1" applyFill="1" applyBorder="1" applyAlignment="1" applyProtection="1">
      <alignment horizontal="center" vertical="top"/>
    </xf>
    <xf numFmtId="174" fontId="91" fillId="0" borderId="0" xfId="9" applyNumberFormat="1" applyFont="1" applyFill="1" applyBorder="1" applyAlignment="1" applyProtection="1">
      <alignment vertical="top"/>
    </xf>
    <xf numFmtId="172" fontId="154" fillId="2" borderId="55" xfId="9" applyNumberFormat="1" applyFont="1" applyFill="1" applyBorder="1" applyAlignment="1" applyProtection="1">
      <alignment horizontal="center" vertical="top"/>
      <protection locked="0"/>
    </xf>
    <xf numFmtId="172" fontId="154" fillId="2" borderId="55" xfId="9" applyNumberFormat="1" applyFont="1" applyFill="1" applyBorder="1" applyAlignment="1" applyProtection="1">
      <alignment horizontal="right" vertical="top"/>
      <protection locked="0"/>
    </xf>
    <xf numFmtId="0" fontId="91" fillId="2" borderId="103" xfId="0" applyFont="1" applyFill="1" applyBorder="1" applyProtection="1">
      <protection locked="0"/>
    </xf>
    <xf numFmtId="189" fontId="91" fillId="0" borderId="0" xfId="9" applyNumberFormat="1" applyFont="1" applyFill="1" applyBorder="1" applyAlignment="1" applyProtection="1">
      <alignment horizontal="center" vertical="top"/>
    </xf>
    <xf numFmtId="172" fontId="91" fillId="0" borderId="57" xfId="9" applyNumberFormat="1" applyFont="1" applyFill="1" applyBorder="1" applyAlignment="1" applyProtection="1">
      <alignment horizontal="center" vertical="top"/>
    </xf>
    <xf numFmtId="174" fontId="91" fillId="0" borderId="57" xfId="9" applyNumberFormat="1" applyFont="1" applyFill="1" applyBorder="1" applyAlignment="1" applyProtection="1">
      <alignment vertical="top"/>
    </xf>
    <xf numFmtId="174" fontId="91" fillId="0" borderId="0" xfId="9" applyNumberFormat="1" applyFont="1" applyFill="1" applyBorder="1" applyAlignment="1" applyProtection="1">
      <alignment horizontal="right" vertical="top"/>
    </xf>
    <xf numFmtId="174" fontId="91" fillId="0" borderId="57" xfId="0" applyNumberFormat="1" applyFont="1" applyBorder="1"/>
    <xf numFmtId="164" fontId="105" fillId="0" borderId="0" xfId="0" applyNumberFormat="1" applyFont="1" applyAlignment="1">
      <alignment horizontal="center" vertical="top"/>
    </xf>
    <xf numFmtId="194" fontId="92" fillId="63" borderId="63" xfId="0" applyNumberFormat="1" applyFont="1" applyFill="1" applyBorder="1" applyAlignment="1">
      <alignment horizontal="right"/>
    </xf>
    <xf numFmtId="174" fontId="92" fillId="0" borderId="65" xfId="0" applyNumberFormat="1" applyFont="1" applyBorder="1" applyAlignment="1">
      <alignment horizontal="right" vertical="top"/>
    </xf>
    <xf numFmtId="5" fontId="92" fillId="0" borderId="65" xfId="0" applyNumberFormat="1" applyFont="1" applyBorder="1" applyAlignment="1">
      <alignment horizontal="center" vertical="top"/>
    </xf>
    <xf numFmtId="1" fontId="91" fillId="0" borderId="65" xfId="0" applyNumberFormat="1" applyFont="1" applyBorder="1" applyAlignment="1">
      <alignment horizontal="left"/>
    </xf>
    <xf numFmtId="172" fontId="91" fillId="0" borderId="65" xfId="0" applyNumberFormat="1" applyFont="1" applyBorder="1" applyAlignment="1">
      <alignment horizontal="center"/>
    </xf>
    <xf numFmtId="177" fontId="91" fillId="0" borderId="57" xfId="0" applyNumberFormat="1" applyFont="1" applyBorder="1" applyAlignment="1">
      <alignment horizontal="left"/>
    </xf>
    <xf numFmtId="177" fontId="91" fillId="0" borderId="57" xfId="0" applyNumberFormat="1" applyFont="1" applyBorder="1" applyAlignment="1">
      <alignment horizontal="right" vertical="top"/>
    </xf>
    <xf numFmtId="174" fontId="91" fillId="0" borderId="57" xfId="0" applyNumberFormat="1" applyFont="1" applyBorder="1" applyAlignment="1">
      <alignment horizontal="right" vertical="top"/>
    </xf>
    <xf numFmtId="0" fontId="110" fillId="62" borderId="65" xfId="0" applyFont="1" applyFill="1" applyBorder="1"/>
    <xf numFmtId="164" fontId="149" fillId="62" borderId="65" xfId="0" applyNumberFormat="1" applyFont="1" applyFill="1" applyBorder="1" applyAlignment="1">
      <alignment horizontal="right" vertical="top"/>
    </xf>
    <xf numFmtId="175" fontId="92" fillId="0" borderId="65" xfId="0" applyNumberFormat="1" applyFont="1" applyBorder="1" applyAlignment="1">
      <alignment horizontal="right" vertical="top"/>
    </xf>
    <xf numFmtId="0" fontId="104" fillId="0" borderId="57" xfId="0" applyFont="1" applyBorder="1" applyAlignment="1">
      <alignment horizontal="center" vertical="top"/>
    </xf>
    <xf numFmtId="172" fontId="92" fillId="3" borderId="57" xfId="0" applyNumberFormat="1" applyFont="1" applyFill="1" applyBorder="1" applyAlignment="1">
      <alignment horizontal="right"/>
    </xf>
    <xf numFmtId="0" fontId="92" fillId="62" borderId="57" xfId="0" applyFont="1" applyFill="1" applyBorder="1"/>
    <xf numFmtId="172" fontId="92" fillId="0" borderId="57" xfId="0" applyNumberFormat="1" applyFont="1" applyBorder="1" applyAlignment="1">
      <alignment horizontal="center"/>
    </xf>
    <xf numFmtId="172" fontId="91" fillId="65" borderId="57" xfId="0" applyNumberFormat="1" applyFont="1" applyFill="1" applyBorder="1" applyAlignment="1">
      <alignment horizontal="right"/>
    </xf>
    <xf numFmtId="0" fontId="107" fillId="0" borderId="57" xfId="0" applyFont="1" applyBorder="1" applyAlignment="1">
      <alignment horizontal="right" vertical="top"/>
    </xf>
    <xf numFmtId="0" fontId="104" fillId="0" borderId="57" xfId="0" applyFont="1" applyBorder="1" applyAlignment="1">
      <alignment horizontal="right" vertical="top"/>
    </xf>
    <xf numFmtId="0" fontId="91" fillId="69" borderId="57" xfId="0" applyFont="1" applyFill="1" applyBorder="1"/>
    <xf numFmtId="200" fontId="91" fillId="0" borderId="63" xfId="0" applyNumberFormat="1" applyFont="1" applyBorder="1" applyAlignment="1">
      <alignment horizontal="right"/>
    </xf>
    <xf numFmtId="172" fontId="92" fillId="5" borderId="57" xfId="0" applyNumberFormat="1" applyFont="1" applyFill="1" applyBorder="1" applyAlignment="1">
      <alignment horizontal="center"/>
    </xf>
    <xf numFmtId="164" fontId="91" fillId="3" borderId="65" xfId="0" applyNumberFormat="1" applyFont="1" applyFill="1" applyBorder="1" applyAlignment="1">
      <alignment horizontal="center" vertical="top"/>
    </xf>
    <xf numFmtId="0" fontId="92" fillId="3" borderId="57" xfId="0" applyFont="1" applyFill="1" applyBorder="1" applyAlignment="1">
      <alignment horizontal="center"/>
    </xf>
    <xf numFmtId="0" fontId="89" fillId="0" borderId="57" xfId="0" applyFont="1" applyBorder="1"/>
    <xf numFmtId="183" fontId="91" fillId="0" borderId="57" xfId="13118" applyNumberFormat="1" applyFont="1" applyFill="1" applyBorder="1" applyProtection="1"/>
    <xf numFmtId="174" fontId="92" fillId="0" borderId="57" xfId="13118" applyNumberFormat="1" applyFont="1" applyFill="1" applyBorder="1" applyProtection="1"/>
    <xf numFmtId="0" fontId="92" fillId="63" borderId="63" xfId="0" applyFont="1" applyFill="1" applyBorder="1" applyAlignment="1">
      <alignment horizontal="right"/>
    </xf>
    <xf numFmtId="0" fontId="104" fillId="0" borderId="40" xfId="0" applyFont="1" applyBorder="1" applyAlignment="1">
      <alignment horizontal="center" vertical="top"/>
    </xf>
    <xf numFmtId="0" fontId="107" fillId="0" borderId="40" xfId="0" applyFont="1" applyBorder="1" applyAlignment="1">
      <alignment horizontal="center" vertical="top"/>
    </xf>
    <xf numFmtId="172" fontId="107" fillId="0" borderId="57" xfId="5" applyNumberFormat="1" applyFont="1" applyBorder="1" applyAlignment="1" applyProtection="1">
      <alignment horizontal="center"/>
    </xf>
    <xf numFmtId="43" fontId="83" fillId="0" borderId="57" xfId="4" applyFont="1" applyBorder="1" applyProtection="1"/>
    <xf numFmtId="0" fontId="83" fillId="0" borderId="57" xfId="0" applyFont="1" applyBorder="1"/>
    <xf numFmtId="43" fontId="8" fillId="0" borderId="0" xfId="4" applyFont="1"/>
    <xf numFmtId="189" fontId="0" fillId="0" borderId="0" xfId="0" applyNumberFormat="1"/>
    <xf numFmtId="0" fontId="11" fillId="0" borderId="1" xfId="0" quotePrefix="1" applyFont="1" applyBorder="1" applyAlignment="1">
      <alignment horizontal="right"/>
    </xf>
    <xf numFmtId="0" fontId="83" fillId="67" borderId="0" xfId="0" applyFont="1" applyFill="1"/>
    <xf numFmtId="0" fontId="83" fillId="67" borderId="47" xfId="0" applyFont="1" applyFill="1" applyBorder="1"/>
    <xf numFmtId="0" fontId="91" fillId="0" borderId="0" xfId="0" quotePrefix="1" applyFont="1" applyAlignment="1">
      <alignment horizontal="right" vertical="top"/>
    </xf>
    <xf numFmtId="174" fontId="11" fillId="2" borderId="0" xfId="0" applyNumberFormat="1" applyFont="1" applyFill="1"/>
    <xf numFmtId="174" fontId="0" fillId="0" borderId="0" xfId="0" quotePrefix="1" applyNumberFormat="1"/>
    <xf numFmtId="175" fontId="152" fillId="2" borderId="0" xfId="0" applyNumberFormat="1" applyFont="1" applyFill="1"/>
    <xf numFmtId="174" fontId="150" fillId="0" borderId="65" xfId="0" applyNumberFormat="1" applyFont="1" applyBorder="1" applyAlignment="1">
      <alignment horizontal="right"/>
    </xf>
    <xf numFmtId="38" fontId="95" fillId="0" borderId="0" xfId="8" applyNumberFormat="1" applyFont="1"/>
    <xf numFmtId="174" fontId="166" fillId="0" borderId="0" xfId="0" applyNumberFormat="1" applyFont="1" applyAlignment="1">
      <alignment horizontal="right"/>
    </xf>
    <xf numFmtId="174" fontId="105" fillId="0" borderId="0" xfId="0" applyNumberFormat="1" applyFont="1"/>
    <xf numFmtId="175" fontId="95" fillId="0" borderId="0" xfId="8" applyNumberFormat="1" applyFont="1"/>
    <xf numFmtId="172" fontId="104" fillId="0" borderId="57" xfId="0" applyNumberFormat="1" applyFont="1" applyBorder="1" applyAlignment="1">
      <alignment horizontal="right"/>
    </xf>
    <xf numFmtId="174" fontId="168" fillId="0" borderId="57" xfId="0" applyNumberFormat="1" applyFont="1" applyBorder="1" applyAlignment="1">
      <alignment horizontal="right"/>
    </xf>
    <xf numFmtId="174" fontId="169" fillId="0" borderId="57" xfId="0" applyNumberFormat="1" applyFont="1" applyBorder="1"/>
    <xf numFmtId="174" fontId="92" fillId="0" borderId="65" xfId="0" applyNumberFormat="1" applyFont="1" applyBorder="1"/>
    <xf numFmtId="172" fontId="116" fillId="2" borderId="102" xfId="8" applyNumberFormat="1" applyFont="1" applyFill="1" applyBorder="1" applyProtection="1">
      <protection locked="0"/>
    </xf>
    <xf numFmtId="172" fontId="95" fillId="0" borderId="0" xfId="8" applyNumberFormat="1" applyFont="1"/>
    <xf numFmtId="0" fontId="94" fillId="0" borderId="0" xfId="8" applyFont="1" applyAlignment="1">
      <alignment horizontal="center" wrapText="1"/>
    </xf>
    <xf numFmtId="0" fontId="94" fillId="0" borderId="0" xfId="8" quotePrefix="1" applyFont="1" applyAlignment="1">
      <alignment horizontal="center" wrapText="1"/>
    </xf>
    <xf numFmtId="0" fontId="95" fillId="0" borderId="0" xfId="8" applyFont="1" applyAlignment="1">
      <alignment horizontal="center" wrapText="1"/>
    </xf>
    <xf numFmtId="172" fontId="95" fillId="0" borderId="0" xfId="6" applyNumberFormat="1" applyFont="1" applyFill="1" applyBorder="1" applyAlignment="1" applyProtection="1">
      <alignment horizontal="center"/>
    </xf>
    <xf numFmtId="14" fontId="95" fillId="0" borderId="0" xfId="6" applyNumberFormat="1" applyFont="1" applyFill="1" applyBorder="1" applyAlignment="1" applyProtection="1">
      <alignment horizontal="center"/>
    </xf>
    <xf numFmtId="0" fontId="95" fillId="0" borderId="0" xfId="8" quotePrefix="1" applyFont="1" applyAlignment="1">
      <alignment horizontal="center" wrapText="1"/>
    </xf>
    <xf numFmtId="0" fontId="11" fillId="0" borderId="1" xfId="0" applyFont="1" applyBorder="1" applyAlignment="1">
      <alignment horizontal="right" wrapText="1"/>
    </xf>
    <xf numFmtId="0" fontId="83" fillId="0" borderId="47" xfId="0" applyFont="1" applyBorder="1"/>
    <xf numFmtId="0" fontId="83" fillId="0" borderId="75" xfId="0" applyFont="1" applyBorder="1"/>
    <xf numFmtId="172" fontId="0" fillId="0" borderId="75" xfId="0" applyNumberFormat="1" applyBorder="1"/>
    <xf numFmtId="172" fontId="0" fillId="62" borderId="75" xfId="0" applyNumberFormat="1" applyFill="1" applyBorder="1"/>
    <xf numFmtId="189" fontId="0" fillId="0" borderId="1" xfId="0" applyNumberFormat="1" applyBorder="1"/>
    <xf numFmtId="0" fontId="92" fillId="62" borderId="5" xfId="0" applyFont="1" applyFill="1" applyBorder="1" applyAlignment="1">
      <alignment horizontal="left"/>
    </xf>
    <xf numFmtId="174" fontId="92" fillId="62" borderId="6" xfId="0" applyNumberFormat="1" applyFont="1" applyFill="1" applyBorder="1" applyAlignment="1">
      <alignment horizontal="center"/>
    </xf>
    <xf numFmtId="175" fontId="92" fillId="62" borderId="6" xfId="0" applyNumberFormat="1" applyFont="1" applyFill="1" applyBorder="1" applyAlignment="1">
      <alignment horizontal="center"/>
    </xf>
    <xf numFmtId="174" fontId="92" fillId="62" borderId="6" xfId="0" applyNumberFormat="1" applyFont="1" applyFill="1" applyBorder="1" applyAlignment="1">
      <alignment horizontal="right"/>
    </xf>
    <xf numFmtId="0" fontId="96" fillId="2" borderId="48" xfId="0" quotePrefix="1" applyFont="1" applyFill="1" applyBorder="1" applyProtection="1">
      <protection locked="0"/>
    </xf>
    <xf numFmtId="0" fontId="96" fillId="2" borderId="107" xfId="0" applyFont="1" applyFill="1" applyBorder="1" applyProtection="1">
      <protection locked="0"/>
    </xf>
    <xf numFmtId="0" fontId="96" fillId="2" borderId="48" xfId="0" applyFont="1" applyFill="1" applyBorder="1" applyProtection="1">
      <protection locked="0"/>
    </xf>
    <xf numFmtId="187" fontId="0" fillId="0" borderId="0" xfId="0" applyNumberFormat="1"/>
    <xf numFmtId="8" fontId="0" fillId="0" borderId="0" xfId="0" applyNumberFormat="1"/>
    <xf numFmtId="0" fontId="0" fillId="0" borderId="0" xfId="0" quotePrefix="1"/>
    <xf numFmtId="172" fontId="2" fillId="66" borderId="0" xfId="6628" applyNumberFormat="1" applyFill="1"/>
    <xf numFmtId="0" fontId="107" fillId="0" borderId="55" xfId="0" applyFont="1" applyBorder="1" applyAlignment="1">
      <alignment horizontal="center"/>
    </xf>
    <xf numFmtId="0" fontId="118" fillId="2" borderId="55" xfId="0" applyFont="1" applyFill="1" applyBorder="1" applyAlignment="1" applyProtection="1">
      <alignment horizontal="center"/>
      <protection locked="0"/>
    </xf>
    <xf numFmtId="0" fontId="96" fillId="2" borderId="137" xfId="0" applyFont="1" applyFill="1" applyBorder="1" applyProtection="1">
      <protection locked="0"/>
    </xf>
    <xf numFmtId="172" fontId="96" fillId="73" borderId="55" xfId="0" applyNumberFormat="1" applyFont="1" applyFill="1" applyBorder="1" applyAlignment="1" applyProtection="1">
      <alignment horizontal="right" wrapText="1"/>
      <protection locked="0"/>
    </xf>
    <xf numFmtId="172" fontId="96" fillId="73" borderId="55" xfId="0" applyNumberFormat="1" applyFont="1" applyFill="1" applyBorder="1" applyAlignment="1" applyProtection="1">
      <alignment horizontal="right"/>
      <protection locked="0"/>
    </xf>
    <xf numFmtId="172" fontId="96" fillId="2" borderId="49" xfId="13118" applyNumberFormat="1" applyFont="1" applyFill="1" applyBorder="1" applyProtection="1">
      <protection locked="0"/>
    </xf>
    <xf numFmtId="174" fontId="96" fillId="2" borderId="48" xfId="13118" applyNumberFormat="1" applyFont="1" applyFill="1" applyBorder="1" applyProtection="1">
      <protection locked="0"/>
    </xf>
    <xf numFmtId="0" fontId="167" fillId="0" borderId="0" xfId="0" applyFont="1"/>
    <xf numFmtId="172" fontId="104" fillId="0" borderId="0" xfId="0" applyNumberFormat="1" applyFont="1" applyAlignment="1">
      <alignment horizontal="right"/>
    </xf>
    <xf numFmtId="174" fontId="168" fillId="0" borderId="0" xfId="0" applyNumberFormat="1" applyFont="1" applyAlignment="1">
      <alignment horizontal="right"/>
    </xf>
    <xf numFmtId="174" fontId="169" fillId="0" borderId="0" xfId="0" applyNumberFormat="1" applyFont="1"/>
    <xf numFmtId="172" fontId="91" fillId="0" borderId="0" xfId="0" quotePrefix="1" applyNumberFormat="1" applyFont="1" applyAlignment="1">
      <alignment horizontal="right" vertical="top"/>
    </xf>
    <xf numFmtId="0" fontId="91" fillId="3" borderId="50" xfId="0" applyFont="1" applyFill="1" applyBorder="1"/>
    <xf numFmtId="172" fontId="91" fillId="0" borderId="103" xfId="9" applyNumberFormat="1" applyFont="1" applyFill="1" applyBorder="1" applyAlignment="1" applyProtection="1">
      <alignment horizontal="center" vertical="top"/>
    </xf>
    <xf numFmtId="172" fontId="91" fillId="0" borderId="103" xfId="9" applyNumberFormat="1" applyFont="1" applyFill="1" applyBorder="1" applyAlignment="1" applyProtection="1">
      <alignment horizontal="right" vertical="top"/>
    </xf>
    <xf numFmtId="0" fontId="92" fillId="0" borderId="0" xfId="0" applyFont="1" applyProtection="1">
      <protection locked="0"/>
    </xf>
    <xf numFmtId="175" fontId="91" fillId="62" borderId="1" xfId="0" applyNumberFormat="1" applyFont="1" applyFill="1" applyBorder="1"/>
    <xf numFmtId="0" fontId="91" fillId="62" borderId="1" xfId="0" applyFont="1" applyFill="1" applyBorder="1" applyAlignment="1">
      <alignment horizontal="right"/>
    </xf>
    <xf numFmtId="0" fontId="92" fillId="62" borderId="1" xfId="0" applyFont="1" applyFill="1" applyBorder="1" applyAlignment="1">
      <alignment horizontal="right"/>
    </xf>
    <xf numFmtId="172" fontId="91" fillId="62" borderId="0" xfId="0" applyNumberFormat="1" applyFont="1" applyFill="1"/>
    <xf numFmtId="0" fontId="107" fillId="62" borderId="0" xfId="0" applyFont="1" applyFill="1" applyAlignment="1">
      <alignment horizontal="center" vertical="top"/>
    </xf>
    <xf numFmtId="0" fontId="104" fillId="62" borderId="0" xfId="0" applyFont="1" applyFill="1" applyAlignment="1">
      <alignment horizontal="center" vertical="top"/>
    </xf>
    <xf numFmtId="195" fontId="171" fillId="2" borderId="47" xfId="0" applyNumberFormat="1" applyFont="1" applyFill="1" applyBorder="1" applyProtection="1">
      <protection locked="0"/>
    </xf>
    <xf numFmtId="0" fontId="105" fillId="0" borderId="0" xfId="0" applyFont="1" applyAlignment="1">
      <alignment horizontal="left"/>
    </xf>
    <xf numFmtId="0" fontId="105" fillId="73" borderId="0" xfId="0" applyFont="1" applyFill="1" applyAlignment="1">
      <alignment horizontal="left"/>
    </xf>
    <xf numFmtId="174" fontId="91" fillId="73" borderId="0" xfId="0" applyNumberFormat="1" applyFont="1" applyFill="1" applyAlignment="1">
      <alignment horizontal="center"/>
    </xf>
    <xf numFmtId="174" fontId="92" fillId="73" borderId="0" xfId="0" applyNumberFormat="1" applyFont="1" applyFill="1" applyAlignment="1">
      <alignment horizontal="center"/>
    </xf>
    <xf numFmtId="0" fontId="136" fillId="0" borderId="0" xfId="0" applyFont="1" applyAlignment="1">
      <alignment horizontal="left"/>
    </xf>
    <xf numFmtId="215" fontId="92" fillId="0" borderId="6" xfId="0" applyNumberFormat="1" applyFont="1" applyBorder="1" applyAlignment="1">
      <alignment horizontal="right"/>
    </xf>
    <xf numFmtId="0" fontId="91" fillId="0" borderId="6" xfId="0" applyFont="1" applyBorder="1"/>
    <xf numFmtId="195" fontId="91" fillId="0" borderId="0" xfId="0" applyNumberFormat="1" applyFont="1" applyAlignment="1">
      <alignment horizontal="right"/>
    </xf>
    <xf numFmtId="0" fontId="92" fillId="65" borderId="1" xfId="0" applyFont="1" applyFill="1" applyBorder="1"/>
    <xf numFmtId="174" fontId="91" fillId="65" borderId="1" xfId="0" applyNumberFormat="1" applyFont="1" applyFill="1" applyBorder="1" applyAlignment="1">
      <alignment horizontal="right"/>
    </xf>
    <xf numFmtId="0" fontId="91" fillId="65" borderId="1" xfId="0" applyFont="1" applyFill="1" applyBorder="1"/>
    <xf numFmtId="172" fontId="91" fillId="65" borderId="1" xfId="0" applyNumberFormat="1" applyFont="1" applyFill="1" applyBorder="1"/>
    <xf numFmtId="174" fontId="96" fillId="0" borderId="0" xfId="0" applyNumberFormat="1" applyFont="1" applyAlignment="1" applyProtection="1">
      <alignment horizontal="right"/>
      <protection locked="0"/>
    </xf>
    <xf numFmtId="174" fontId="90" fillId="0" borderId="0" xfId="0" applyNumberFormat="1" applyFont="1" applyAlignment="1" applyProtection="1">
      <alignment horizontal="right"/>
      <protection locked="0"/>
    </xf>
    <xf numFmtId="174" fontId="90" fillId="0" borderId="57" xfId="0" applyNumberFormat="1" applyFont="1" applyBorder="1" applyAlignment="1" applyProtection="1">
      <alignment horizontal="right"/>
      <protection locked="0"/>
    </xf>
    <xf numFmtId="174" fontId="96" fillId="2" borderId="57" xfId="0" applyNumberFormat="1" applyFont="1" applyFill="1" applyBorder="1" applyAlignment="1" applyProtection="1">
      <alignment horizontal="right"/>
      <protection locked="0"/>
    </xf>
    <xf numFmtId="174" fontId="15" fillId="0" borderId="57" xfId="6628" applyNumberFormat="1" applyFont="1" applyBorder="1"/>
    <xf numFmtId="172" fontId="15" fillId="0" borderId="0" xfId="6628" applyNumberFormat="1" applyFont="1" applyAlignment="1">
      <alignment horizontal="left"/>
    </xf>
    <xf numFmtId="172" fontId="15" fillId="0" borderId="0" xfId="6628" applyNumberFormat="1" applyFont="1"/>
    <xf numFmtId="174" fontId="2" fillId="2" borderId="0" xfId="6628" applyNumberFormat="1" applyFill="1"/>
    <xf numFmtId="194" fontId="92" fillId="63" borderId="69" xfId="0" applyNumberFormat="1" applyFont="1" applyFill="1" applyBorder="1" applyAlignment="1">
      <alignment horizontal="right"/>
    </xf>
    <xf numFmtId="0" fontId="173" fillId="0" borderId="138" xfId="0" applyFont="1" applyBorder="1" applyAlignment="1">
      <alignment vertical="center" wrapText="1"/>
    </xf>
    <xf numFmtId="0" fontId="109" fillId="64" borderId="55" xfId="0" applyFont="1" applyFill="1" applyBorder="1"/>
    <xf numFmtId="0" fontId="173" fillId="0" borderId="0" xfId="0" applyFont="1" applyAlignment="1">
      <alignment vertical="center" wrapText="1"/>
    </xf>
    <xf numFmtId="164" fontId="90" fillId="0" borderId="55" xfId="11" applyNumberFormat="1" applyFont="1" applyFill="1" applyBorder="1" applyAlignment="1" applyProtection="1">
      <alignment horizontal="center" vertical="top"/>
      <protection locked="0"/>
    </xf>
    <xf numFmtId="189" fontId="96" fillId="2" borderId="0" xfId="0" applyNumberFormat="1" applyFont="1" applyFill="1" applyAlignment="1" applyProtection="1">
      <alignment horizontal="right"/>
      <protection locked="0"/>
    </xf>
    <xf numFmtId="172" fontId="90" fillId="0" borderId="0" xfId="0" applyNumberFormat="1" applyFont="1" applyAlignment="1" applyProtection="1">
      <alignment horizontal="right"/>
      <protection locked="0"/>
    </xf>
    <xf numFmtId="0" fontId="174" fillId="0" borderId="0" xfId="0" applyFont="1"/>
    <xf numFmtId="173" fontId="107" fillId="0" borderId="0" xfId="0" applyNumberFormat="1" applyFont="1" applyAlignment="1">
      <alignment horizontal="right" vertical="top"/>
    </xf>
    <xf numFmtId="164" fontId="107" fillId="0" borderId="0" xfId="0" applyNumberFormat="1" applyFont="1" applyAlignment="1">
      <alignment horizontal="center"/>
    </xf>
    <xf numFmtId="0" fontId="107" fillId="0" borderId="57" xfId="0" applyFont="1" applyBorder="1"/>
    <xf numFmtId="202" fontId="107" fillId="0" borderId="57" xfId="0" applyNumberFormat="1" applyFont="1" applyBorder="1"/>
    <xf numFmtId="202" fontId="104" fillId="0" borderId="57" xfId="0" applyNumberFormat="1" applyFont="1" applyBorder="1"/>
    <xf numFmtId="173" fontId="104" fillId="0" borderId="57" xfId="0" applyNumberFormat="1" applyFont="1" applyBorder="1" applyAlignment="1">
      <alignment horizontal="right" vertical="top"/>
    </xf>
    <xf numFmtId="0" fontId="102" fillId="0" borderId="1" xfId="0" applyFont="1" applyBorder="1"/>
    <xf numFmtId="188" fontId="110" fillId="0" borderId="1" xfId="0" applyNumberFormat="1" applyFont="1" applyBorder="1"/>
    <xf numFmtId="218" fontId="101" fillId="4" borderId="55" xfId="11" applyNumberFormat="1" applyFont="1" applyBorder="1" applyAlignment="1" applyProtection="1">
      <alignment horizontal="right"/>
      <protection locked="0"/>
    </xf>
    <xf numFmtId="0" fontId="105" fillId="66" borderId="0" xfId="0" applyFont="1" applyFill="1" applyAlignment="1">
      <alignment horizontal="left"/>
    </xf>
    <xf numFmtId="174" fontId="91" fillId="66" borderId="0" xfId="0" applyNumberFormat="1" applyFont="1" applyFill="1" applyAlignment="1">
      <alignment horizontal="center"/>
    </xf>
    <xf numFmtId="174" fontId="177" fillId="0" borderId="0" xfId="8" applyNumberFormat="1" applyFont="1"/>
    <xf numFmtId="174" fontId="177" fillId="0" borderId="0" xfId="10" applyNumberFormat="1" applyFont="1" applyProtection="1"/>
    <xf numFmtId="174" fontId="104" fillId="0" borderId="57" xfId="0" applyNumberFormat="1" applyFont="1" applyBorder="1"/>
    <xf numFmtId="174" fontId="107" fillId="0" borderId="57" xfId="0" applyNumberFormat="1" applyFont="1" applyBorder="1"/>
    <xf numFmtId="182" fontId="92" fillId="0" borderId="57" xfId="0" applyNumberFormat="1" applyFont="1" applyBorder="1" applyAlignment="1">
      <alignment horizontal="center" vertical="top"/>
    </xf>
    <xf numFmtId="174" fontId="90" fillId="2" borderId="55" xfId="11" applyNumberFormat="1" applyFont="1" applyFill="1" applyBorder="1" applyAlignment="1" applyProtection="1">
      <alignment horizontal="right" vertical="center"/>
      <protection locked="0"/>
    </xf>
    <xf numFmtId="172" fontId="90" fillId="2" borderId="55" xfId="11" applyNumberFormat="1" applyFont="1" applyFill="1" applyBorder="1" applyAlignment="1" applyProtection="1">
      <alignment horizontal="right" vertical="top"/>
      <protection locked="0"/>
    </xf>
    <xf numFmtId="172" fontId="171" fillId="2" borderId="55" xfId="11" applyNumberFormat="1" applyFont="1" applyFill="1" applyBorder="1" applyAlignment="1" applyProtection="1">
      <alignment horizontal="right" vertical="top"/>
      <protection locked="0"/>
    </xf>
    <xf numFmtId="0" fontId="89" fillId="0" borderId="0" xfId="0" applyFont="1"/>
    <xf numFmtId="183" fontId="91" fillId="0" borderId="0" xfId="13118" applyNumberFormat="1" applyFont="1" applyFill="1" applyBorder="1" applyProtection="1"/>
    <xf numFmtId="174" fontId="92" fillId="0" borderId="0" xfId="13118" applyNumberFormat="1" applyFont="1" applyFill="1" applyBorder="1" applyProtection="1"/>
    <xf numFmtId="209" fontId="91" fillId="0" borderId="0" xfId="33110" applyNumberFormat="1" applyFont="1" applyFill="1" applyBorder="1"/>
    <xf numFmtId="183" fontId="92" fillId="0" borderId="0" xfId="4" applyNumberFormat="1" applyFont="1" applyFill="1" applyBorder="1"/>
    <xf numFmtId="183" fontId="92" fillId="0" borderId="0" xfId="4" applyNumberFormat="1" applyFont="1" applyFill="1" applyBorder="1" applyAlignment="1">
      <alignment horizontal="center"/>
    </xf>
    <xf numFmtId="209" fontId="91" fillId="0" borderId="57" xfId="33110" applyNumberFormat="1" applyFont="1" applyFill="1" applyBorder="1"/>
    <xf numFmtId="183" fontId="92" fillId="0" borderId="57" xfId="4" applyNumberFormat="1" applyFont="1" applyFill="1" applyBorder="1"/>
    <xf numFmtId="183" fontId="92" fillId="0" borderId="57" xfId="4" applyNumberFormat="1" applyFont="1" applyFill="1" applyBorder="1" applyAlignment="1">
      <alignment horizontal="center"/>
    </xf>
    <xf numFmtId="172" fontId="101" fillId="2" borderId="55" xfId="9" applyNumberFormat="1" applyFont="1" applyFill="1" applyBorder="1" applyAlignment="1" applyProtection="1">
      <alignment horizontal="right" vertical="top"/>
      <protection locked="0"/>
    </xf>
    <xf numFmtId="185" fontId="94" fillId="63" borderId="64" xfId="6628" applyNumberFormat="1" applyFont="1" applyFill="1" applyBorder="1" applyAlignment="1">
      <alignment horizontal="center"/>
    </xf>
    <xf numFmtId="185" fontId="94" fillId="63" borderId="17" xfId="6628" applyNumberFormat="1" applyFont="1" applyFill="1" applyBorder="1" applyAlignment="1">
      <alignment horizontal="center"/>
    </xf>
    <xf numFmtId="172" fontId="125" fillId="0" borderId="0" xfId="6628" applyNumberFormat="1" applyFont="1" applyAlignment="1">
      <alignment horizontal="center"/>
    </xf>
    <xf numFmtId="174" fontId="171" fillId="2" borderId="55" xfId="0" applyNumberFormat="1" applyFont="1" applyFill="1" applyBorder="1" applyAlignment="1" applyProtection="1">
      <alignment horizontal="right" vertical="top"/>
      <protection locked="0"/>
    </xf>
    <xf numFmtId="174" fontId="171" fillId="67" borderId="55" xfId="0" applyNumberFormat="1" applyFont="1" applyFill="1" applyBorder="1" applyAlignment="1" applyProtection="1">
      <alignment horizontal="right" vertical="top"/>
      <protection locked="0"/>
    </xf>
    <xf numFmtId="172" fontId="2" fillId="0" borderId="0" xfId="6628" applyNumberFormat="1" applyProtection="1">
      <protection locked="0"/>
    </xf>
    <xf numFmtId="0" fontId="2" fillId="0" borderId="0" xfId="6628" applyProtection="1">
      <protection locked="0"/>
    </xf>
    <xf numFmtId="173" fontId="96" fillId="2" borderId="136" xfId="0" applyNumberFormat="1" applyFont="1" applyFill="1" applyBorder="1" applyAlignment="1" applyProtection="1">
      <alignment horizontal="center"/>
      <protection locked="0"/>
    </xf>
    <xf numFmtId="0" fontId="160" fillId="61" borderId="0" xfId="0" applyFont="1" applyFill="1" applyAlignment="1">
      <alignment horizontal="center" vertical="center"/>
    </xf>
    <xf numFmtId="0" fontId="138" fillId="0" borderId="0" xfId="0" applyFont="1" applyAlignment="1">
      <alignment horizontal="center" vertical="center"/>
    </xf>
    <xf numFmtId="0" fontId="91" fillId="61" borderId="47" xfId="0" applyFont="1" applyFill="1" applyBorder="1"/>
    <xf numFmtId="0" fontId="0" fillId="61" borderId="47" xfId="0" applyFill="1" applyBorder="1"/>
    <xf numFmtId="0" fontId="104" fillId="61" borderId="47" xfId="0" applyFont="1" applyFill="1" applyBorder="1"/>
    <xf numFmtId="0" fontId="180" fillId="0" borderId="0" xfId="0" applyFont="1" applyAlignment="1">
      <alignment horizontal="center"/>
    </xf>
    <xf numFmtId="0" fontId="181" fillId="0" borderId="0" xfId="7" applyFont="1" applyBorder="1" applyAlignment="1" applyProtection="1">
      <alignment horizontal="left"/>
    </xf>
    <xf numFmtId="0" fontId="181" fillId="0" borderId="51" xfId="7" applyFont="1" applyBorder="1" applyAlignment="1" applyProtection="1">
      <alignment horizontal="right"/>
    </xf>
    <xf numFmtId="0" fontId="104" fillId="0" borderId="0" xfId="0" applyFont="1" applyAlignment="1">
      <alignment horizontal="center"/>
    </xf>
    <xf numFmtId="0" fontId="104" fillId="0" borderId="1" xfId="0" applyFont="1" applyBorder="1" applyAlignment="1">
      <alignment horizontal="center"/>
    </xf>
    <xf numFmtId="0" fontId="172" fillId="2" borderId="0" xfId="0" applyFont="1" applyFill="1" applyAlignment="1" applyProtection="1">
      <alignment horizontal="left"/>
      <protection locked="0"/>
    </xf>
    <xf numFmtId="174" fontId="96" fillId="2" borderId="0" xfId="0" applyNumberFormat="1" applyFont="1" applyFill="1" applyAlignment="1" applyProtection="1">
      <alignment horizontal="center"/>
      <protection locked="0"/>
    </xf>
    <xf numFmtId="174" fontId="101" fillId="2" borderId="0" xfId="0" applyNumberFormat="1" applyFont="1" applyFill="1" applyAlignment="1" applyProtection="1">
      <alignment horizontal="center"/>
      <protection locked="0"/>
    </xf>
    <xf numFmtId="175" fontId="101" fillId="0" borderId="0" xfId="0" applyNumberFormat="1" applyFont="1" applyAlignment="1" applyProtection="1">
      <alignment horizontal="center"/>
      <protection locked="0"/>
    </xf>
    <xf numFmtId="0" fontId="92" fillId="0" borderId="1" xfId="0" applyFont="1" applyBorder="1" applyProtection="1">
      <protection locked="0"/>
    </xf>
    <xf numFmtId="0" fontId="0" fillId="0" borderId="0" xfId="0" applyProtection="1">
      <protection locked="0"/>
    </xf>
    <xf numFmtId="5" fontId="105" fillId="0" borderId="0" xfId="0" applyNumberFormat="1" applyFont="1" applyAlignment="1">
      <alignment horizontal="center" vertical="top"/>
    </xf>
    <xf numFmtId="175" fontId="105" fillId="0" borderId="0" xfId="0" applyNumberFormat="1" applyFont="1" applyAlignment="1">
      <alignment horizontal="center" vertical="top"/>
    </xf>
    <xf numFmtId="0" fontId="92" fillId="0" borderId="112" xfId="0" applyFont="1" applyBorder="1"/>
    <xf numFmtId="0" fontId="92" fillId="62" borderId="65" xfId="0" applyFont="1" applyFill="1" applyBorder="1" applyAlignment="1">
      <alignment horizontal="center" wrapText="1"/>
    </xf>
    <xf numFmtId="172" fontId="2" fillId="0" borderId="0" xfId="8" applyNumberFormat="1" applyProtection="1">
      <protection locked="0"/>
    </xf>
    <xf numFmtId="0" fontId="91" fillId="3" borderId="57" xfId="0" applyFont="1" applyFill="1" applyBorder="1" applyProtection="1">
      <protection locked="0"/>
    </xf>
    <xf numFmtId="172" fontId="91" fillId="3" borderId="57" xfId="0" applyNumberFormat="1" applyFont="1" applyFill="1" applyBorder="1" applyProtection="1">
      <protection locked="0"/>
    </xf>
    <xf numFmtId="193" fontId="91" fillId="3" borderId="57" xfId="0" quotePrefix="1" applyNumberFormat="1" applyFont="1" applyFill="1" applyBorder="1" applyAlignment="1" applyProtection="1">
      <alignment horizontal="center"/>
      <protection locked="0"/>
    </xf>
    <xf numFmtId="172" fontId="91" fillId="0" borderId="0" xfId="0" applyNumberFormat="1" applyFont="1" applyProtection="1">
      <protection locked="0"/>
    </xf>
    <xf numFmtId="0" fontId="105" fillId="3" borderId="0" xfId="0" applyFont="1" applyFill="1" applyProtection="1">
      <protection locked="0"/>
    </xf>
    <xf numFmtId="0" fontId="91" fillId="3" borderId="0" xfId="0" applyFont="1" applyFill="1" applyProtection="1">
      <protection locked="0"/>
    </xf>
    <xf numFmtId="0" fontId="91" fillId="2" borderId="0" xfId="0" applyFont="1" applyFill="1" applyProtection="1">
      <protection locked="0"/>
    </xf>
    <xf numFmtId="172" fontId="91" fillId="2" borderId="0" xfId="0" applyNumberFormat="1" applyFont="1" applyFill="1" applyProtection="1">
      <protection locked="0"/>
    </xf>
    <xf numFmtId="193" fontId="91" fillId="2" borderId="0" xfId="0" quotePrefix="1" applyNumberFormat="1" applyFont="1" applyFill="1" applyAlignment="1" applyProtection="1">
      <alignment horizontal="center"/>
      <protection locked="0"/>
    </xf>
    <xf numFmtId="174" fontId="91" fillId="0" borderId="0" xfId="0" applyNumberFormat="1" applyFont="1" applyAlignment="1" applyProtection="1">
      <alignment horizontal="right" vertical="top"/>
      <protection locked="0"/>
    </xf>
    <xf numFmtId="172" fontId="91" fillId="0" borderId="55" xfId="0" quotePrefix="1" applyNumberFormat="1" applyFont="1" applyBorder="1" applyAlignment="1">
      <alignment horizontal="right" vertical="top"/>
    </xf>
    <xf numFmtId="182" fontId="106" fillId="0" borderId="57" xfId="0" applyNumberFormat="1" applyFont="1" applyBorder="1" applyAlignment="1">
      <alignment horizontal="center" vertical="top"/>
    </xf>
    <xf numFmtId="182" fontId="106" fillId="0" borderId="0" xfId="0" applyNumberFormat="1" applyFont="1" applyAlignment="1">
      <alignment horizontal="center" vertical="top"/>
    </xf>
    <xf numFmtId="0" fontId="91" fillId="0" borderId="47" xfId="0" applyFont="1" applyBorder="1" applyProtection="1">
      <protection locked="0"/>
    </xf>
    <xf numFmtId="189" fontId="170" fillId="2" borderId="0" xfId="8" applyNumberFormat="1" applyFont="1" applyFill="1" applyProtection="1">
      <protection locked="0"/>
    </xf>
    <xf numFmtId="174" fontId="91" fillId="0" borderId="0" xfId="0" applyNumberFormat="1" applyFont="1" applyAlignment="1" applyProtection="1">
      <alignment horizontal="right"/>
      <protection locked="0"/>
    </xf>
    <xf numFmtId="172" fontId="91" fillId="0" borderId="0" xfId="0" applyNumberFormat="1" applyFont="1" applyAlignment="1" applyProtection="1">
      <alignment horizontal="right"/>
      <protection locked="0"/>
    </xf>
    <xf numFmtId="0" fontId="91" fillId="0" borderId="47" xfId="0" quotePrefix="1" applyFont="1" applyBorder="1" applyProtection="1">
      <protection locked="0"/>
    </xf>
    <xf numFmtId="0" fontId="96" fillId="0" borderId="0" xfId="0" applyFont="1" applyAlignment="1" applyProtection="1">
      <alignment horizontal="left"/>
      <protection locked="0"/>
    </xf>
    <xf numFmtId="0" fontId="96" fillId="0" borderId="0" xfId="0" applyFont="1" applyAlignment="1" applyProtection="1">
      <alignment horizontal="center"/>
      <protection locked="0"/>
    </xf>
    <xf numFmtId="1" fontId="96" fillId="0" borderId="0" xfId="0" applyNumberFormat="1" applyFont="1" applyAlignment="1" applyProtection="1">
      <alignment horizontal="right"/>
      <protection locked="0"/>
    </xf>
    <xf numFmtId="1" fontId="96" fillId="0" borderId="0" xfId="0" applyNumberFormat="1" applyFont="1" applyAlignment="1" applyProtection="1">
      <alignment horizontal="center"/>
      <protection locked="0"/>
    </xf>
    <xf numFmtId="174" fontId="96" fillId="0" borderId="0" xfId="0" applyNumberFormat="1" applyFont="1" applyAlignment="1" applyProtection="1">
      <alignment horizontal="center"/>
      <protection locked="0"/>
    </xf>
    <xf numFmtId="0" fontId="96" fillId="0" borderId="0" xfId="0" applyFont="1" applyProtection="1">
      <protection locked="0"/>
    </xf>
    <xf numFmtId="1" fontId="92" fillId="3" borderId="0" xfId="11" applyNumberFormat="1" applyFont="1" applyFill="1" applyBorder="1" applyAlignment="1" applyProtection="1">
      <alignment horizontal="center"/>
      <protection locked="0"/>
    </xf>
    <xf numFmtId="164" fontId="92" fillId="3" borderId="0" xfId="11" applyNumberFormat="1" applyFont="1" applyFill="1" applyBorder="1" applyAlignment="1" applyProtection="1">
      <alignment horizontal="center"/>
      <protection locked="0"/>
    </xf>
    <xf numFmtId="174" fontId="96" fillId="0" borderId="0" xfId="0" applyNumberFormat="1" applyFont="1" applyProtection="1">
      <protection locked="0"/>
    </xf>
    <xf numFmtId="172" fontId="96" fillId="0" borderId="0" xfId="11" applyNumberFormat="1" applyFont="1" applyFill="1" applyBorder="1" applyAlignment="1" applyProtection="1">
      <alignment horizontal="right"/>
      <protection locked="0"/>
    </xf>
    <xf numFmtId="182" fontId="96" fillId="0" borderId="0" xfId="11" applyNumberFormat="1" applyFont="1" applyFill="1" applyBorder="1" applyAlignment="1" applyProtection="1">
      <alignment horizontal="center"/>
      <protection locked="0"/>
    </xf>
    <xf numFmtId="182" fontId="96" fillId="0" borderId="0" xfId="0" applyNumberFormat="1" applyFont="1" applyAlignment="1" applyProtection="1">
      <alignment horizontal="center"/>
      <protection locked="0"/>
    </xf>
    <xf numFmtId="1" fontId="91" fillId="0" borderId="0" xfId="0" applyNumberFormat="1" applyFont="1" applyAlignment="1" applyProtection="1">
      <alignment horizontal="center"/>
      <protection locked="0"/>
    </xf>
    <xf numFmtId="182" fontId="91" fillId="0" borderId="0" xfId="0" applyNumberFormat="1" applyFont="1" applyAlignment="1" applyProtection="1">
      <alignment horizontal="center"/>
      <protection locked="0"/>
    </xf>
    <xf numFmtId="0" fontId="92" fillId="0" borderId="57" xfId="0" applyFont="1" applyBorder="1" applyProtection="1">
      <protection locked="0"/>
    </xf>
    <xf numFmtId="0" fontId="91" fillId="0" borderId="57" xfId="0" applyFont="1" applyBorder="1" applyProtection="1">
      <protection locked="0"/>
    </xf>
    <xf numFmtId="182" fontId="91" fillId="0" borderId="57" xfId="0" applyNumberFormat="1" applyFont="1" applyBorder="1" applyAlignment="1" applyProtection="1">
      <alignment horizontal="center"/>
      <protection locked="0"/>
    </xf>
    <xf numFmtId="172" fontId="92" fillId="0" borderId="57" xfId="0" applyNumberFormat="1" applyFont="1" applyBorder="1" applyAlignment="1" applyProtection="1">
      <alignment horizontal="center" vertical="top"/>
      <protection locked="0"/>
    </xf>
    <xf numFmtId="0" fontId="91" fillId="61" borderId="0" xfId="0" applyFont="1" applyFill="1" applyProtection="1">
      <protection locked="0"/>
    </xf>
    <xf numFmtId="182" fontId="91" fillId="61" borderId="0" xfId="0" applyNumberFormat="1" applyFont="1" applyFill="1" applyAlignment="1" applyProtection="1">
      <alignment horizontal="center"/>
      <protection locked="0"/>
    </xf>
    <xf numFmtId="164" fontId="91" fillId="61" borderId="0" xfId="0" applyNumberFormat="1" applyFont="1" applyFill="1" applyAlignment="1" applyProtection="1">
      <alignment horizontal="center"/>
      <protection locked="0"/>
    </xf>
    <xf numFmtId="172" fontId="91" fillId="61" borderId="0" xfId="0" applyNumberFormat="1" applyFont="1" applyFill="1" applyAlignment="1" applyProtection="1">
      <alignment horizontal="center" vertical="top"/>
      <protection locked="0"/>
    </xf>
    <xf numFmtId="0" fontId="91" fillId="0" borderId="1" xfId="0" applyFont="1" applyBorder="1" applyProtection="1">
      <protection locked="0"/>
    </xf>
    <xf numFmtId="182" fontId="91" fillId="0" borderId="1" xfId="0" applyNumberFormat="1" applyFont="1" applyBorder="1" applyAlignment="1" applyProtection="1">
      <alignment horizontal="center"/>
      <protection locked="0"/>
    </xf>
    <xf numFmtId="164" fontId="91" fillId="0" borderId="1" xfId="0" applyNumberFormat="1" applyFont="1" applyBorder="1" applyAlignment="1" applyProtection="1">
      <alignment horizontal="center"/>
      <protection locked="0"/>
    </xf>
    <xf numFmtId="172" fontId="91" fillId="0" borderId="1" xfId="0" applyNumberFormat="1" applyFont="1" applyBorder="1" applyAlignment="1" applyProtection="1">
      <alignment horizontal="center" vertical="top"/>
      <protection locked="0"/>
    </xf>
    <xf numFmtId="182" fontId="91" fillId="0" borderId="0" xfId="0" applyNumberFormat="1" applyFont="1" applyProtection="1">
      <protection locked="0"/>
    </xf>
    <xf numFmtId="182" fontId="91" fillId="0" borderId="57" xfId="0" applyNumberFormat="1" applyFont="1" applyBorder="1" applyProtection="1">
      <protection locked="0"/>
    </xf>
    <xf numFmtId="182" fontId="91" fillId="61" borderId="0" xfId="0" applyNumberFormat="1" applyFont="1" applyFill="1" applyProtection="1">
      <protection locked="0"/>
    </xf>
    <xf numFmtId="172" fontId="92" fillId="0" borderId="57" xfId="0" applyNumberFormat="1" applyFont="1" applyBorder="1" applyAlignment="1" applyProtection="1">
      <alignment horizontal="center"/>
      <protection locked="0"/>
    </xf>
    <xf numFmtId="173" fontId="92" fillId="0" borderId="57" xfId="0" applyNumberFormat="1" applyFont="1" applyBorder="1" applyAlignment="1" applyProtection="1">
      <alignment horizontal="center"/>
      <protection locked="0"/>
    </xf>
    <xf numFmtId="173" fontId="92" fillId="0" borderId="57" xfId="0" applyNumberFormat="1" applyFont="1" applyBorder="1" applyAlignment="1" applyProtection="1">
      <alignment horizontal="center" vertical="top"/>
      <protection locked="0"/>
    </xf>
    <xf numFmtId="0" fontId="92" fillId="61" borderId="0" xfId="0" applyFont="1" applyFill="1" applyProtection="1">
      <protection locked="0"/>
    </xf>
    <xf numFmtId="172" fontId="92" fillId="61" borderId="0" xfId="0" applyNumberFormat="1" applyFont="1" applyFill="1" applyAlignment="1" applyProtection="1">
      <alignment horizontal="center" vertical="top"/>
      <protection locked="0"/>
    </xf>
    <xf numFmtId="0" fontId="104" fillId="0" borderId="1" xfId="0" applyFont="1" applyBorder="1" applyProtection="1">
      <protection locked="0"/>
    </xf>
    <xf numFmtId="174" fontId="92" fillId="3" borderId="0" xfId="9" applyNumberFormat="1" applyFont="1" applyFill="1" applyBorder="1" applyAlignment="1" applyProtection="1">
      <alignment horizontal="center" vertical="top"/>
      <protection locked="0"/>
    </xf>
    <xf numFmtId="10" fontId="91" fillId="3" borderId="0" xfId="9" applyNumberFormat="1" applyFont="1" applyFill="1" applyBorder="1" applyAlignment="1" applyProtection="1">
      <alignment horizontal="center" vertical="top"/>
      <protection locked="0"/>
    </xf>
    <xf numFmtId="10" fontId="91" fillId="3" borderId="0" xfId="9" quotePrefix="1" applyNumberFormat="1" applyFont="1" applyFill="1" applyBorder="1" applyAlignment="1" applyProtection="1">
      <alignment horizontal="center" vertical="top"/>
      <protection locked="0"/>
    </xf>
    <xf numFmtId="0" fontId="182" fillId="0" borderId="0" xfId="0" applyFont="1"/>
    <xf numFmtId="0" fontId="182" fillId="0" borderId="57" xfId="0" applyFont="1" applyBorder="1"/>
    <xf numFmtId="174" fontId="92" fillId="0" borderId="0" xfId="0" applyNumberFormat="1" applyFont="1" applyAlignment="1" applyProtection="1">
      <alignment horizontal="center"/>
      <protection locked="0"/>
    </xf>
    <xf numFmtId="6" fontId="91" fillId="0" borderId="0" xfId="0" applyNumberFormat="1" applyFont="1" applyAlignment="1" applyProtection="1">
      <alignment horizontal="center"/>
      <protection locked="0"/>
    </xf>
    <xf numFmtId="174" fontId="91" fillId="0" borderId="0" xfId="0" applyNumberFormat="1" applyFont="1" applyAlignment="1" applyProtection="1">
      <alignment horizontal="center"/>
      <protection locked="0"/>
    </xf>
    <xf numFmtId="174" fontId="90" fillId="0" borderId="0" xfId="0" applyNumberFormat="1" applyFont="1" applyAlignment="1" applyProtection="1">
      <alignment horizontal="center"/>
      <protection locked="0"/>
    </xf>
    <xf numFmtId="8" fontId="92" fillId="0" borderId="0" xfId="0" applyNumberFormat="1" applyFont="1" applyProtection="1">
      <protection locked="0"/>
    </xf>
    <xf numFmtId="172" fontId="96" fillId="0" borderId="0" xfId="0" applyNumberFormat="1" applyFont="1" applyAlignment="1" applyProtection="1">
      <alignment horizontal="right"/>
      <protection locked="0"/>
    </xf>
    <xf numFmtId="172" fontId="90" fillId="0" borderId="0" xfId="0" applyNumberFormat="1" applyFont="1" applyProtection="1">
      <protection locked="0"/>
    </xf>
    <xf numFmtId="0" fontId="91" fillId="0" borderId="0" xfId="0" quotePrefix="1" applyFont="1" applyProtection="1">
      <protection locked="0"/>
    </xf>
    <xf numFmtId="172" fontId="91" fillId="0" borderId="0" xfId="0" applyNumberFormat="1" applyFont="1" applyAlignment="1" applyProtection="1">
      <alignment horizontal="right" wrapText="1"/>
      <protection locked="0"/>
    </xf>
    <xf numFmtId="0" fontId="91" fillId="0" borderId="57" xfId="0" quotePrefix="1" applyFont="1" applyBorder="1" applyProtection="1">
      <protection locked="0"/>
    </xf>
    <xf numFmtId="172" fontId="91" fillId="0" borderId="57" xfId="0" applyNumberFormat="1" applyFont="1" applyBorder="1" applyAlignment="1" applyProtection="1">
      <alignment horizontal="right" wrapText="1"/>
      <protection locked="0"/>
    </xf>
    <xf numFmtId="0" fontId="178" fillId="0" borderId="0" xfId="0" applyFont="1" applyAlignment="1">
      <alignment horizontal="left"/>
    </xf>
    <xf numFmtId="174" fontId="92" fillId="0" borderId="65" xfId="0" applyNumberFormat="1" applyFont="1" applyBorder="1" applyAlignment="1">
      <alignment horizontal="right" wrapText="1"/>
    </xf>
    <xf numFmtId="0" fontId="171" fillId="2" borderId="47" xfId="0" applyFont="1" applyFill="1" applyBorder="1" applyProtection="1">
      <protection locked="0"/>
    </xf>
    <xf numFmtId="172" fontId="91" fillId="3" borderId="47" xfId="9" applyNumberFormat="1" applyFont="1" applyFill="1" applyBorder="1" applyAlignment="1" applyProtection="1">
      <alignment horizontal="center" vertical="top"/>
      <protection locked="0"/>
    </xf>
    <xf numFmtId="187" fontId="91" fillId="3" borderId="47" xfId="0" applyNumberFormat="1" applyFont="1" applyFill="1" applyBorder="1" applyAlignment="1" applyProtection="1">
      <alignment horizontal="center" vertical="top"/>
      <protection locked="0"/>
    </xf>
    <xf numFmtId="174" fontId="91" fillId="3" borderId="47" xfId="0" applyNumberFormat="1" applyFont="1" applyFill="1" applyBorder="1" applyAlignment="1" applyProtection="1">
      <alignment horizontal="center"/>
      <protection locked="0"/>
    </xf>
    <xf numFmtId="174" fontId="90" fillId="0" borderId="57" xfId="4" applyNumberFormat="1" applyFont="1" applyFill="1" applyBorder="1" applyAlignment="1" applyProtection="1">
      <alignment horizontal="center"/>
      <protection locked="0"/>
    </xf>
    <xf numFmtId="174" fontId="90" fillId="0" borderId="0" xfId="4" applyNumberFormat="1" applyFont="1" applyFill="1" applyBorder="1" applyAlignment="1" applyProtection="1">
      <alignment horizontal="center"/>
      <protection locked="0"/>
    </xf>
    <xf numFmtId="0" fontId="105" fillId="0" borderId="0" xfId="0" quotePrefix="1" applyFont="1" applyAlignment="1">
      <alignment horizontal="center"/>
    </xf>
    <xf numFmtId="172" fontId="171" fillId="2" borderId="55" xfId="0" applyNumberFormat="1" applyFont="1" applyFill="1" applyBorder="1" applyAlignment="1" applyProtection="1">
      <alignment horizontal="center"/>
      <protection locked="0"/>
    </xf>
    <xf numFmtId="172" fontId="171" fillId="2" borderId="55" xfId="0" applyNumberFormat="1" applyFont="1" applyFill="1" applyBorder="1" applyAlignment="1" applyProtection="1">
      <alignment horizontal="center" vertical="top"/>
      <protection locked="0"/>
    </xf>
    <xf numFmtId="164" fontId="92" fillId="0" borderId="0" xfId="0" applyNumberFormat="1" applyFont="1" applyAlignment="1" applyProtection="1">
      <alignment horizontal="left"/>
      <protection locked="0"/>
    </xf>
    <xf numFmtId="172" fontId="91" fillId="0" borderId="52" xfId="0" applyNumberFormat="1" applyFont="1" applyBorder="1" applyProtection="1">
      <protection locked="0"/>
    </xf>
    <xf numFmtId="172" fontId="91" fillId="0" borderId="47" xfId="0" applyNumberFormat="1" applyFont="1" applyBorder="1" applyProtection="1">
      <protection locked="0"/>
    </xf>
    <xf numFmtId="174" fontId="91" fillId="0" borderId="52" xfId="0" applyNumberFormat="1" applyFont="1" applyBorder="1" applyProtection="1">
      <protection locked="0"/>
    </xf>
    <xf numFmtId="172" fontId="91" fillId="0" borderId="50" xfId="0" applyNumberFormat="1" applyFont="1" applyBorder="1" applyProtection="1">
      <protection locked="0"/>
    </xf>
    <xf numFmtId="174" fontId="91" fillId="0" borderId="47" xfId="0" applyNumberFormat="1" applyFont="1" applyBorder="1" applyProtection="1">
      <protection locked="0"/>
    </xf>
    <xf numFmtId="0" fontId="91" fillId="63" borderId="0" xfId="0" applyFont="1" applyFill="1"/>
    <xf numFmtId="0" fontId="92" fillId="63" borderId="0" xfId="0" applyFont="1" applyFill="1"/>
    <xf numFmtId="0" fontId="92" fillId="63" borderId="0" xfId="0" applyFont="1" applyFill="1" applyAlignment="1">
      <alignment horizontal="right" wrapText="1"/>
    </xf>
    <xf numFmtId="174" fontId="90" fillId="0" borderId="57" xfId="0" applyNumberFormat="1" applyFont="1" applyBorder="1" applyProtection="1">
      <protection locked="0"/>
    </xf>
    <xf numFmtId="172" fontId="90" fillId="0" borderId="47" xfId="0" applyNumberFormat="1" applyFont="1" applyBorder="1" applyProtection="1">
      <protection locked="0"/>
    </xf>
    <xf numFmtId="172" fontId="90" fillId="0" borderId="1" xfId="0" applyNumberFormat="1" applyFont="1" applyBorder="1" applyProtection="1">
      <protection locked="0"/>
    </xf>
    <xf numFmtId="174" fontId="91" fillId="0" borderId="103" xfId="0" applyNumberFormat="1" applyFont="1" applyBorder="1" applyAlignment="1" applyProtection="1">
      <alignment horizontal="right" vertical="top"/>
      <protection locked="0"/>
    </xf>
    <xf numFmtId="174" fontId="91" fillId="0" borderId="55" xfId="0" applyNumberFormat="1" applyFont="1" applyBorder="1" applyAlignment="1" applyProtection="1">
      <alignment horizontal="right" vertical="top"/>
      <protection locked="0"/>
    </xf>
    <xf numFmtId="174" fontId="91" fillId="0" borderId="109" xfId="0" applyNumberFormat="1" applyFont="1" applyBorder="1" applyAlignment="1" applyProtection="1">
      <alignment horizontal="right" vertical="top"/>
      <protection locked="0"/>
    </xf>
    <xf numFmtId="0" fontId="92" fillId="60" borderId="47" xfId="0" applyFont="1" applyFill="1" applyBorder="1" applyAlignment="1" applyProtection="1">
      <alignment horizontal="center" vertical="top"/>
      <protection locked="0"/>
    </xf>
    <xf numFmtId="174" fontId="91" fillId="0" borderId="0" xfId="0" applyNumberFormat="1" applyFont="1" applyAlignment="1" applyProtection="1">
      <alignment horizontal="center" vertical="top"/>
      <protection locked="0"/>
    </xf>
    <xf numFmtId="0" fontId="91" fillId="0" borderId="0" xfId="7" applyFont="1" applyFill="1" applyBorder="1" applyAlignment="1" applyProtection="1">
      <alignment horizontal="left" wrapText="1"/>
      <protection locked="0"/>
    </xf>
    <xf numFmtId="0" fontId="119" fillId="0" borderId="0" xfId="33111" applyAlignment="1" applyProtection="1">
      <alignment horizontal="left" vertical="top"/>
      <protection locked="0"/>
    </xf>
    <xf numFmtId="0" fontId="92" fillId="63" borderId="1" xfId="0" applyFont="1" applyFill="1" applyBorder="1" applyAlignment="1" applyProtection="1">
      <alignment horizontal="center"/>
      <protection locked="0"/>
    </xf>
    <xf numFmtId="0" fontId="92" fillId="63" borderId="14" xfId="0" applyFont="1" applyFill="1" applyBorder="1" applyAlignment="1" applyProtection="1">
      <alignment horizontal="center"/>
      <protection locked="0"/>
    </xf>
    <xf numFmtId="0" fontId="107" fillId="63" borderId="60" xfId="0" applyFont="1" applyFill="1" applyBorder="1" applyAlignment="1" applyProtection="1">
      <alignment horizontal="center" vertical="top"/>
      <protection locked="0"/>
    </xf>
    <xf numFmtId="0" fontId="107" fillId="63" borderId="61" xfId="0" applyFont="1" applyFill="1" applyBorder="1" applyAlignment="1" applyProtection="1">
      <alignment horizontal="center" vertical="top"/>
      <protection locked="0"/>
    </xf>
    <xf numFmtId="0" fontId="107" fillId="63" borderId="62" xfId="0" applyFont="1" applyFill="1" applyBorder="1" applyAlignment="1" applyProtection="1">
      <alignment horizontal="center" vertical="top"/>
      <protection locked="0"/>
    </xf>
    <xf numFmtId="0" fontId="104" fillId="63" borderId="45" xfId="0" applyFont="1" applyFill="1" applyBorder="1" applyAlignment="1" applyProtection="1">
      <alignment horizontal="center" vertical="top"/>
      <protection locked="0"/>
    </xf>
    <xf numFmtId="0" fontId="104" fillId="63" borderId="41" xfId="0" applyFont="1" applyFill="1" applyBorder="1" applyAlignment="1" applyProtection="1">
      <alignment horizontal="center" vertical="top"/>
      <protection locked="0"/>
    </xf>
    <xf numFmtId="0" fontId="104" fillId="63" borderId="46" xfId="0" applyFont="1" applyFill="1" applyBorder="1" applyAlignment="1" applyProtection="1">
      <alignment horizontal="center" vertical="top"/>
      <protection locked="0"/>
    </xf>
    <xf numFmtId="0" fontId="122" fillId="0" borderId="55" xfId="33111" applyFont="1" applyBorder="1" applyAlignment="1" applyProtection="1">
      <alignment horizontal="center" vertical="top"/>
      <protection locked="0"/>
    </xf>
    <xf numFmtId="172" fontId="122" fillId="0" borderId="55" xfId="33111" applyNumberFormat="1" applyFont="1" applyBorder="1" applyAlignment="1" applyProtection="1">
      <alignment horizontal="center" vertical="top"/>
      <protection locked="0"/>
    </xf>
    <xf numFmtId="0" fontId="120" fillId="71" borderId="0" xfId="33111" applyFont="1" applyFill="1" applyAlignment="1" applyProtection="1">
      <alignment horizontal="left" vertical="top" wrapText="1"/>
      <protection locked="0"/>
    </xf>
    <xf numFmtId="0" fontId="64" fillId="61" borderId="90" xfId="33111" applyFont="1" applyFill="1" applyBorder="1" applyAlignment="1" applyProtection="1">
      <alignment horizontal="center" vertical="top" wrapText="1"/>
      <protection locked="0"/>
    </xf>
    <xf numFmtId="0" fontId="91" fillId="0" borderId="93" xfId="33111" applyFont="1" applyBorder="1" applyAlignment="1" applyProtection="1">
      <alignment vertical="center" wrapText="1"/>
      <protection locked="0"/>
    </xf>
    <xf numFmtId="0" fontId="91" fillId="0" borderId="16" xfId="33111" applyFont="1" applyBorder="1" applyAlignment="1" applyProtection="1">
      <alignment horizontal="left" vertical="center"/>
      <protection locked="0"/>
    </xf>
    <xf numFmtId="0" fontId="91" fillId="0" borderId="95" xfId="33111" applyFont="1" applyBorder="1" applyAlignment="1" applyProtection="1">
      <alignment horizontal="right" vertical="center" wrapText="1"/>
      <protection locked="0"/>
    </xf>
    <xf numFmtId="0" fontId="91" fillId="0" borderId="95" xfId="33111" applyFont="1" applyBorder="1" applyAlignment="1" applyProtection="1">
      <alignment vertical="center" wrapText="1"/>
      <protection locked="0"/>
    </xf>
    <xf numFmtId="0" fontId="91" fillId="0" borderId="94" xfId="33111" applyFont="1" applyBorder="1" applyAlignment="1" applyProtection="1">
      <alignment horizontal="right" vertical="center" wrapText="1"/>
      <protection locked="0"/>
    </xf>
    <xf numFmtId="0" fontId="91" fillId="0" borderId="70" xfId="33111" applyFont="1" applyBorder="1" applyAlignment="1" applyProtection="1">
      <alignment horizontal="left" vertical="center"/>
      <protection locked="0"/>
    </xf>
    <xf numFmtId="0" fontId="91" fillId="0" borderId="74" xfId="33111" applyFont="1" applyBorder="1" applyAlignment="1" applyProtection="1">
      <alignment horizontal="right" vertical="center" wrapText="1"/>
      <protection locked="0"/>
    </xf>
    <xf numFmtId="0" fontId="91" fillId="0" borderId="70" xfId="33111" applyFont="1" applyBorder="1" applyAlignment="1" applyProtection="1">
      <alignment horizontal="right" vertical="center" wrapText="1"/>
      <protection locked="0"/>
    </xf>
    <xf numFmtId="172" fontId="91" fillId="0" borderId="70" xfId="33111" applyNumberFormat="1" applyFont="1" applyBorder="1" applyAlignment="1" applyProtection="1">
      <alignment horizontal="right" vertical="center"/>
      <protection locked="0"/>
    </xf>
    <xf numFmtId="172" fontId="91" fillId="0" borderId="95" xfId="33111" applyNumberFormat="1" applyFont="1" applyBorder="1" applyAlignment="1" applyProtection="1">
      <alignment vertical="center" wrapText="1"/>
      <protection locked="0"/>
    </xf>
    <xf numFmtId="0" fontId="96" fillId="0" borderId="94" xfId="33111" applyFont="1" applyBorder="1" applyAlignment="1" applyProtection="1">
      <alignment horizontal="right" vertical="center" wrapText="1"/>
      <protection locked="0"/>
    </xf>
    <xf numFmtId="181" fontId="91" fillId="0" borderId="95" xfId="33111" applyNumberFormat="1" applyFont="1" applyBorder="1" applyAlignment="1" applyProtection="1">
      <alignment horizontal="right" vertical="center" wrapText="1"/>
      <protection locked="0"/>
    </xf>
    <xf numFmtId="172" fontId="91" fillId="0" borderId="94" xfId="33111" applyNumberFormat="1" applyFont="1" applyBorder="1" applyAlignment="1" applyProtection="1">
      <alignment horizontal="right" vertical="center" wrapText="1"/>
      <protection locked="0"/>
    </xf>
    <xf numFmtId="172" fontId="91" fillId="0" borderId="95" xfId="33111" applyNumberFormat="1" applyFont="1" applyBorder="1" applyAlignment="1" applyProtection="1">
      <alignment horizontal="right" vertical="center" wrapText="1"/>
      <protection locked="0"/>
    </xf>
    <xf numFmtId="172" fontId="90" fillId="0" borderId="95" xfId="33111" quotePrefix="1" applyNumberFormat="1" applyFont="1" applyBorder="1" applyAlignment="1" applyProtection="1">
      <alignment vertical="center" wrapText="1"/>
      <protection locked="0"/>
    </xf>
    <xf numFmtId="172" fontId="91" fillId="0" borderId="101" xfId="33111" applyNumberFormat="1" applyFont="1" applyBorder="1" applyAlignment="1" applyProtection="1">
      <alignment horizontal="right" vertical="center" wrapText="1"/>
      <protection locked="0"/>
    </xf>
    <xf numFmtId="0" fontId="91" fillId="0" borderId="58" xfId="33111" applyFont="1" applyBorder="1" applyAlignment="1" applyProtection="1">
      <alignment vertical="top" wrapText="1"/>
      <protection locked="0"/>
    </xf>
    <xf numFmtId="0" fontId="91" fillId="0" borderId="57" xfId="33111" applyFont="1" applyBorder="1" applyAlignment="1" applyProtection="1">
      <alignment vertical="top" wrapText="1"/>
      <protection locked="0"/>
    </xf>
    <xf numFmtId="172" fontId="91" fillId="0" borderId="57" xfId="33111" applyNumberFormat="1" applyFont="1" applyBorder="1" applyAlignment="1" applyProtection="1">
      <alignment horizontal="right" vertical="top" wrapText="1"/>
      <protection locked="0"/>
    </xf>
    <xf numFmtId="0" fontId="91" fillId="0" borderId="57" xfId="33111" applyFont="1" applyBorder="1" applyAlignment="1" applyProtection="1">
      <alignment horizontal="right" vertical="top" wrapText="1"/>
      <protection locked="0"/>
    </xf>
    <xf numFmtId="0" fontId="91" fillId="0" borderId="1" xfId="33111" applyFont="1" applyBorder="1" applyAlignment="1" applyProtection="1">
      <alignment vertical="top" wrapText="1"/>
      <protection locked="0"/>
    </xf>
    <xf numFmtId="172" fontId="91" fillId="0" borderId="1" xfId="33111" applyNumberFormat="1" applyFont="1" applyBorder="1" applyAlignment="1" applyProtection="1">
      <alignment horizontal="right" vertical="top" wrapText="1"/>
      <protection locked="0"/>
    </xf>
    <xf numFmtId="0" fontId="91" fillId="0" borderId="1" xfId="33111" applyFont="1" applyBorder="1" applyAlignment="1" applyProtection="1">
      <alignment horizontal="right" vertical="top" wrapText="1"/>
      <protection locked="0"/>
    </xf>
    <xf numFmtId="0" fontId="121" fillId="0" borderId="0" xfId="33111" applyFont="1" applyAlignment="1" applyProtection="1">
      <alignment vertical="top" wrapText="1"/>
      <protection locked="0"/>
    </xf>
    <xf numFmtId="181" fontId="89" fillId="0" borderId="85" xfId="33111" applyNumberFormat="1" applyFont="1" applyBorder="1" applyAlignment="1" applyProtection="1">
      <alignment horizontal="right" vertical="top" wrapText="1"/>
      <protection locked="0"/>
    </xf>
    <xf numFmtId="0" fontId="89" fillId="0" borderId="86" xfId="33111" applyFont="1" applyBorder="1" applyAlignment="1" applyProtection="1">
      <alignment horizontal="left" vertical="top" wrapText="1"/>
      <protection locked="0"/>
    </xf>
    <xf numFmtId="191" fontId="90" fillId="0" borderId="81" xfId="33111" applyNumberFormat="1" applyFont="1" applyBorder="1" applyAlignment="1" applyProtection="1">
      <alignment horizontal="right" vertical="top" wrapText="1"/>
      <protection locked="0"/>
    </xf>
    <xf numFmtId="0" fontId="90" fillId="0" borderId="82" xfId="33111" applyFont="1" applyBorder="1" applyAlignment="1" applyProtection="1">
      <alignment horizontal="left" vertical="top" wrapText="1"/>
      <protection locked="0"/>
    </xf>
    <xf numFmtId="187" fontId="128" fillId="2" borderId="0" xfId="33111" applyNumberFormat="1" applyFont="1" applyFill="1" applyAlignment="1" applyProtection="1">
      <alignment horizontal="right" vertical="top"/>
      <protection locked="0"/>
    </xf>
    <xf numFmtId="0" fontId="128" fillId="0" borderId="0" xfId="33111" applyFont="1" applyAlignment="1" applyProtection="1">
      <alignment horizontal="left" vertical="top"/>
      <protection locked="0"/>
    </xf>
    <xf numFmtId="174" fontId="128" fillId="0" borderId="0" xfId="33111" applyNumberFormat="1" applyFont="1" applyAlignment="1" applyProtection="1">
      <alignment horizontal="right" vertical="top"/>
      <protection locked="0"/>
    </xf>
    <xf numFmtId="0" fontId="128" fillId="0" borderId="0" xfId="33111" quotePrefix="1" applyFont="1" applyAlignment="1" applyProtection="1">
      <alignment horizontal="left" vertical="top"/>
      <protection locked="0"/>
    </xf>
    <xf numFmtId="174" fontId="119" fillId="0" borderId="0" xfId="33111" applyNumberFormat="1" applyAlignment="1" applyProtection="1">
      <alignment horizontal="right" vertical="top"/>
      <protection locked="0"/>
    </xf>
    <xf numFmtId="207" fontId="92" fillId="0" borderId="47" xfId="0" applyNumberFormat="1" applyFont="1" applyBorder="1" applyAlignment="1">
      <alignment horizontal="right" vertical="top"/>
    </xf>
    <xf numFmtId="172" fontId="89" fillId="0" borderId="52" xfId="0" applyNumberFormat="1" applyFont="1" applyBorder="1" applyAlignment="1">
      <alignment horizontal="right" vertical="top"/>
    </xf>
    <xf numFmtId="0" fontId="92" fillId="3" borderId="47" xfId="0" applyFont="1" applyFill="1" applyBorder="1"/>
    <xf numFmtId="172" fontId="91" fillId="3" borderId="47" xfId="0" applyNumberFormat="1" applyFont="1" applyFill="1" applyBorder="1" applyAlignment="1">
      <alignment horizontal="right" vertical="top"/>
    </xf>
    <xf numFmtId="172" fontId="92" fillId="0" borderId="57" xfId="0" applyNumberFormat="1" applyFont="1" applyBorder="1" applyAlignment="1">
      <alignment horizontal="right" vertical="top"/>
    </xf>
    <xf numFmtId="174" fontId="171" fillId="2" borderId="47" xfId="0" applyNumberFormat="1" applyFont="1" applyFill="1" applyBorder="1" applyAlignment="1">
      <alignment horizontal="center" vertical="top"/>
    </xf>
    <xf numFmtId="172" fontId="171" fillId="2" borderId="47" xfId="0" applyNumberFormat="1" applyFont="1" applyFill="1" applyBorder="1" applyAlignment="1">
      <alignment horizontal="center" vertical="top"/>
    </xf>
    <xf numFmtId="0" fontId="105" fillId="0" borderId="0" xfId="0" applyFont="1" applyAlignment="1">
      <alignment horizontal="center"/>
    </xf>
    <xf numFmtId="219" fontId="90" fillId="0" borderId="55" xfId="11" applyNumberFormat="1" applyFont="1" applyFill="1" applyBorder="1" applyAlignment="1" applyProtection="1">
      <alignment horizontal="right"/>
    </xf>
    <xf numFmtId="0" fontId="92" fillId="63" borderId="13" xfId="0" applyFont="1" applyFill="1" applyBorder="1"/>
    <xf numFmtId="0" fontId="92" fillId="63" borderId="11" xfId="0" applyFont="1" applyFill="1" applyBorder="1"/>
    <xf numFmtId="0" fontId="92" fillId="63" borderId="12" xfId="0" applyFont="1" applyFill="1" applyBorder="1"/>
    <xf numFmtId="0" fontId="92" fillId="63" borderId="10" xfId="0" applyFont="1" applyFill="1" applyBorder="1"/>
    <xf numFmtId="0" fontId="92" fillId="63" borderId="9" xfId="0" applyFont="1" applyFill="1" applyBorder="1"/>
    <xf numFmtId="172" fontId="171" fillId="2" borderId="0" xfId="0" applyNumberFormat="1" applyFont="1" applyFill="1" applyProtection="1">
      <protection locked="0"/>
    </xf>
    <xf numFmtId="172" fontId="91" fillId="0" borderId="57" xfId="0" applyNumberFormat="1" applyFont="1" applyBorder="1" applyProtection="1">
      <protection locked="0"/>
    </xf>
    <xf numFmtId="172" fontId="92" fillId="0" borderId="57" xfId="0" applyNumberFormat="1" applyFont="1" applyBorder="1" applyProtection="1">
      <protection locked="0"/>
    </xf>
    <xf numFmtId="172" fontId="92" fillId="0" borderId="57" xfId="0" applyNumberFormat="1" applyFont="1" applyBorder="1"/>
    <xf numFmtId="172" fontId="91" fillId="0" borderId="65" xfId="0" applyNumberFormat="1" applyFont="1" applyBorder="1"/>
    <xf numFmtId="0" fontId="102" fillId="63" borderId="1" xfId="0" applyFont="1" applyFill="1" applyBorder="1"/>
    <xf numFmtId="209" fontId="91" fillId="63" borderId="1" xfId="33110" applyNumberFormat="1" applyFont="1" applyFill="1" applyBorder="1"/>
    <xf numFmtId="183" fontId="92" fillId="63" borderId="1" xfId="4" applyNumberFormat="1" applyFont="1" applyFill="1" applyBorder="1"/>
    <xf numFmtId="183" fontId="92" fillId="63" borderId="1" xfId="4" applyNumberFormat="1" applyFont="1" applyFill="1" applyBorder="1" applyAlignment="1">
      <alignment horizontal="center"/>
    </xf>
    <xf numFmtId="0" fontId="179" fillId="61" borderId="47" xfId="7" applyFont="1" applyFill="1" applyBorder="1" applyAlignment="1" applyProtection="1">
      <alignment horizontal="left" vertical="center"/>
    </xf>
    <xf numFmtId="0" fontId="179" fillId="0" borderId="47" xfId="7" applyFont="1" applyBorder="1" applyAlignment="1" applyProtection="1">
      <alignment horizontal="left" vertical="center"/>
    </xf>
    <xf numFmtId="0" fontId="179" fillId="0" borderId="47" xfId="7" applyFont="1" applyBorder="1" applyAlignment="1" applyProtection="1">
      <alignment horizontal="left" vertical="center" wrapText="1"/>
    </xf>
    <xf numFmtId="0" fontId="183" fillId="0" borderId="47" xfId="7" applyFont="1" applyBorder="1" applyAlignment="1" applyProtection="1"/>
    <xf numFmtId="174" fontId="90" fillId="0" borderId="47" xfId="9" applyNumberFormat="1" applyFont="1" applyFill="1" applyBorder="1" applyAlignment="1" applyProtection="1">
      <alignment horizontal="right" vertical="top"/>
      <protection locked="0"/>
    </xf>
    <xf numFmtId="174" fontId="90" fillId="0" borderId="47" xfId="9" applyNumberFormat="1" applyFont="1" applyFill="1" applyBorder="1" applyAlignment="1" applyProtection="1">
      <alignment horizontal="right" vertical="top"/>
    </xf>
    <xf numFmtId="174" fontId="91" fillId="0" borderId="47" xfId="9" applyNumberFormat="1" applyFont="1" applyFill="1" applyBorder="1" applyAlignment="1" applyProtection="1">
      <alignment horizontal="right" vertical="top"/>
      <protection locked="0"/>
    </xf>
    <xf numFmtId="172" fontId="90" fillId="0" borderId="50" xfId="13330" applyNumberFormat="1" applyFont="1" applyFill="1" applyBorder="1" applyAlignment="1">
      <alignment horizontal="right" vertical="top"/>
    </xf>
    <xf numFmtId="172" fontId="90" fillId="0" borderId="51" xfId="9" applyNumberFormat="1" applyFont="1" applyFill="1" applyBorder="1" applyAlignment="1" applyProtection="1">
      <alignment horizontal="right" vertical="top"/>
    </xf>
    <xf numFmtId="9" fontId="90" fillId="0" borderId="47" xfId="9" applyFont="1" applyFill="1" applyBorder="1" applyAlignment="1" applyProtection="1">
      <alignment horizontal="right" vertical="top"/>
      <protection locked="0"/>
    </xf>
    <xf numFmtId="172" fontId="96" fillId="0" borderId="47" xfId="9" applyNumberFormat="1" applyFont="1" applyFill="1" applyBorder="1" applyAlignment="1" applyProtection="1">
      <alignment horizontal="right" vertical="top"/>
      <protection locked="0"/>
    </xf>
    <xf numFmtId="0" fontId="184" fillId="0" borderId="57" xfId="0" applyFont="1" applyBorder="1"/>
    <xf numFmtId="172" fontId="116" fillId="69" borderId="55" xfId="6" applyNumberFormat="1" applyFont="1" applyFill="1" applyBorder="1" applyProtection="1">
      <protection locked="0"/>
    </xf>
    <xf numFmtId="0" fontId="105" fillId="65" borderId="47" xfId="0" applyFont="1" applyFill="1" applyBorder="1" applyProtection="1">
      <protection locked="0"/>
    </xf>
    <xf numFmtId="220" fontId="95" fillId="0" borderId="0" xfId="8" quotePrefix="1" applyNumberFormat="1" applyFont="1" applyAlignment="1">
      <alignment horizontal="center" wrapText="1"/>
    </xf>
    <xf numFmtId="174" fontId="104" fillId="65" borderId="0" xfId="0" quotePrefix="1" applyNumberFormat="1" applyFont="1" applyFill="1" applyAlignment="1">
      <alignment horizontal="right"/>
    </xf>
    <xf numFmtId="172" fontId="96" fillId="69" borderId="74" xfId="0" applyNumberFormat="1" applyFont="1" applyFill="1" applyBorder="1" applyAlignment="1" applyProtection="1">
      <alignment horizontal="right"/>
      <protection locked="0"/>
    </xf>
    <xf numFmtId="172" fontId="96" fillId="69" borderId="67" xfId="0" applyNumberFormat="1" applyFont="1" applyFill="1" applyBorder="1" applyAlignment="1" applyProtection="1">
      <alignment horizontal="right"/>
      <protection locked="0"/>
    </xf>
    <xf numFmtId="172" fontId="96" fillId="69" borderId="55" xfId="0" applyNumberFormat="1" applyFont="1" applyFill="1" applyBorder="1" applyAlignment="1" applyProtection="1">
      <alignment horizontal="right"/>
      <protection locked="0"/>
    </xf>
    <xf numFmtId="172" fontId="96" fillId="69" borderId="124" xfId="0" applyNumberFormat="1" applyFont="1" applyFill="1" applyBorder="1" applyAlignment="1" applyProtection="1">
      <alignment horizontal="right"/>
      <protection locked="0"/>
    </xf>
    <xf numFmtId="172" fontId="96" fillId="69" borderId="121" xfId="0" applyNumberFormat="1" applyFont="1" applyFill="1" applyBorder="1" applyAlignment="1" applyProtection="1">
      <alignment horizontal="right"/>
      <protection locked="0"/>
    </xf>
    <xf numFmtId="172" fontId="96" fillId="69" borderId="102" xfId="0" applyNumberFormat="1" applyFont="1" applyFill="1" applyBorder="1" applyAlignment="1" applyProtection="1">
      <alignment horizontal="right"/>
      <protection locked="0"/>
    </xf>
    <xf numFmtId="172" fontId="96" fillId="69" borderId="50" xfId="0" applyNumberFormat="1" applyFont="1" applyFill="1" applyBorder="1" applyProtection="1">
      <protection locked="0"/>
    </xf>
    <xf numFmtId="0" fontId="147" fillId="2" borderId="47" xfId="0" applyFont="1" applyFill="1" applyBorder="1" applyProtection="1">
      <protection locked="0"/>
    </xf>
    <xf numFmtId="0" fontId="147" fillId="2" borderId="50" xfId="0" applyFont="1" applyFill="1" applyBorder="1" applyProtection="1">
      <protection locked="0"/>
    </xf>
    <xf numFmtId="0" fontId="185" fillId="0" borderId="0" xfId="7" applyFont="1" applyAlignment="1" applyProtection="1"/>
    <xf numFmtId="222" fontId="91" fillId="0" borderId="0" xfId="0" applyNumberFormat="1" applyFont="1" applyAlignment="1">
      <alignment horizontal="right"/>
    </xf>
    <xf numFmtId="223" fontId="91" fillId="3" borderId="0" xfId="0" applyNumberFormat="1" applyFont="1" applyFill="1" applyAlignment="1">
      <alignment horizontal="right"/>
    </xf>
    <xf numFmtId="0" fontId="165" fillId="0" borderId="0" xfId="0" applyFont="1"/>
    <xf numFmtId="189" fontId="83" fillId="2" borderId="0" xfId="0" applyNumberFormat="1" applyFont="1" applyFill="1" applyAlignment="1">
      <alignment horizontal="right"/>
    </xf>
    <xf numFmtId="175" fontId="83" fillId="2" borderId="0" xfId="0" applyNumberFormat="1" applyFont="1" applyFill="1" applyAlignment="1">
      <alignment horizontal="right"/>
    </xf>
    <xf numFmtId="0" fontId="11" fillId="67" borderId="0" xfId="0" applyFont="1" applyFill="1" applyAlignment="1">
      <alignment horizontal="left" indent="1"/>
    </xf>
    <xf numFmtId="0" fontId="186" fillId="67" borderId="0" xfId="0" applyFont="1" applyFill="1"/>
    <xf numFmtId="0" fontId="146" fillId="0" borderId="0" xfId="0" applyFont="1" applyAlignment="1">
      <alignment wrapText="1"/>
    </xf>
    <xf numFmtId="0" fontId="91" fillId="3" borderId="0" xfId="0" quotePrefix="1" applyFont="1" applyFill="1"/>
    <xf numFmtId="175" fontId="92" fillId="3" borderId="0" xfId="0" applyNumberFormat="1" applyFont="1" applyFill="1" applyAlignment="1">
      <alignment horizontal="right"/>
    </xf>
    <xf numFmtId="175" fontId="91" fillId="3" borderId="0" xfId="0" applyNumberFormat="1" applyFont="1" applyFill="1" applyAlignment="1">
      <alignment horizontal="right"/>
    </xf>
    <xf numFmtId="172" fontId="91" fillId="0" borderId="0" xfId="0" applyNumberFormat="1" applyFont="1" applyAlignment="1" applyProtection="1">
      <alignment horizontal="center"/>
      <protection locked="0"/>
    </xf>
    <xf numFmtId="172" fontId="104" fillId="0" borderId="57" xfId="0" applyNumberFormat="1" applyFont="1" applyBorder="1" applyAlignment="1">
      <alignment horizontal="right" vertical="top"/>
    </xf>
    <xf numFmtId="0" fontId="92" fillId="62" borderId="65" xfId="0" applyFont="1" applyFill="1" applyBorder="1" applyAlignment="1">
      <alignment wrapText="1"/>
    </xf>
    <xf numFmtId="173" fontId="92" fillId="0" borderId="0" xfId="0" applyNumberFormat="1" applyFont="1" applyAlignment="1">
      <alignment horizontal="right" vertical="top"/>
    </xf>
    <xf numFmtId="224" fontId="91" fillId="0" borderId="0" xfId="0" applyNumberFormat="1" applyFont="1" applyAlignment="1">
      <alignment horizontal="right"/>
    </xf>
    <xf numFmtId="176" fontId="91" fillId="0" borderId="0" xfId="0" applyNumberFormat="1" applyFont="1" applyAlignment="1">
      <alignment horizontal="right"/>
    </xf>
    <xf numFmtId="0" fontId="92" fillId="61" borderId="1" xfId="0" applyFont="1" applyFill="1" applyBorder="1" applyProtection="1">
      <protection locked="0"/>
    </xf>
    <xf numFmtId="189" fontId="96" fillId="4" borderId="55" xfId="11" applyNumberFormat="1" applyFont="1" applyBorder="1" applyAlignment="1" applyProtection="1">
      <alignment horizontal="center"/>
      <protection locked="0"/>
    </xf>
    <xf numFmtId="0" fontId="162" fillId="0" borderId="47" xfId="7" applyFont="1" applyBorder="1" applyAlignment="1" applyProtection="1">
      <alignment horizontal="left" vertical="center"/>
    </xf>
    <xf numFmtId="175" fontId="105" fillId="0" borderId="0" xfId="0" applyNumberFormat="1" applyFont="1"/>
    <xf numFmtId="0" fontId="92" fillId="62" borderId="57" xfId="0" applyFont="1" applyFill="1" applyBorder="1" applyAlignment="1">
      <alignment horizontal="center" wrapText="1"/>
    </xf>
    <xf numFmtId="0" fontId="89" fillId="65" borderId="47" xfId="0" applyFont="1" applyFill="1" applyBorder="1" applyProtection="1">
      <protection locked="0"/>
    </xf>
    <xf numFmtId="0" fontId="90" fillId="65" borderId="47" xfId="0" applyFont="1" applyFill="1" applyBorder="1" applyProtection="1">
      <protection locked="0"/>
    </xf>
    <xf numFmtId="0" fontId="90" fillId="65" borderId="47" xfId="0" applyFont="1" applyFill="1" applyBorder="1" applyAlignment="1" applyProtection="1">
      <alignment horizontal="center"/>
      <protection locked="0"/>
    </xf>
    <xf numFmtId="49" fontId="90" fillId="65" borderId="47" xfId="0" applyNumberFormat="1" applyFont="1" applyFill="1" applyBorder="1" applyAlignment="1" applyProtection="1">
      <alignment horizontal="center"/>
      <protection locked="0"/>
    </xf>
    <xf numFmtId="172" fontId="90" fillId="65" borderId="47" xfId="0" applyNumberFormat="1" applyFont="1" applyFill="1" applyBorder="1" applyProtection="1">
      <protection locked="0"/>
    </xf>
    <xf numFmtId="173" fontId="90" fillId="65" borderId="120" xfId="0" applyNumberFormat="1" applyFont="1" applyFill="1" applyBorder="1" applyAlignment="1" applyProtection="1">
      <alignment horizontal="center"/>
      <protection locked="0"/>
    </xf>
    <xf numFmtId="0" fontId="90" fillId="65" borderId="52" xfId="0" applyFont="1" applyFill="1" applyBorder="1" applyAlignment="1" applyProtection="1">
      <alignment horizontal="center"/>
      <protection locked="0"/>
    </xf>
    <xf numFmtId="49" fontId="90" fillId="65" borderId="52" xfId="0" applyNumberFormat="1" applyFont="1" applyFill="1" applyBorder="1" applyAlignment="1" applyProtection="1">
      <alignment horizontal="center"/>
      <protection locked="0"/>
    </xf>
    <xf numFmtId="172" fontId="90" fillId="65" borderId="52" xfId="0" applyNumberFormat="1" applyFont="1" applyFill="1" applyBorder="1" applyProtection="1">
      <protection locked="0"/>
    </xf>
    <xf numFmtId="193" fontId="90" fillId="65" borderId="119" xfId="0" applyNumberFormat="1" applyFont="1" applyFill="1" applyBorder="1" applyAlignment="1" applyProtection="1">
      <alignment horizontal="center"/>
      <protection locked="0"/>
    </xf>
    <xf numFmtId="172" fontId="116" fillId="69" borderId="109" xfId="6" applyNumberFormat="1" applyFont="1" applyFill="1" applyBorder="1" applyProtection="1">
      <protection locked="0"/>
    </xf>
    <xf numFmtId="172" fontId="116" fillId="73" borderId="55" xfId="6" applyNumberFormat="1" applyFont="1" applyFill="1" applyBorder="1" applyProtection="1">
      <protection locked="0"/>
    </xf>
    <xf numFmtId="172" fontId="116" fillId="73" borderId="103" xfId="6" applyNumberFormat="1" applyFont="1" applyFill="1" applyBorder="1" applyProtection="1">
      <protection locked="0"/>
    </xf>
    <xf numFmtId="172" fontId="116" fillId="73" borderId="102" xfId="6" applyNumberFormat="1" applyFont="1" applyFill="1" applyBorder="1" applyProtection="1">
      <protection locked="0"/>
    </xf>
    <xf numFmtId="216" fontId="11" fillId="0" borderId="0" xfId="0" applyNumberFormat="1" applyFont="1" applyAlignment="1">
      <alignment horizontal="right"/>
    </xf>
    <xf numFmtId="217" fontId="11" fillId="0" borderId="0" xfId="0" applyNumberFormat="1" applyFont="1" applyAlignment="1">
      <alignment horizontal="right"/>
    </xf>
    <xf numFmtId="0" fontId="104" fillId="63" borderId="59" xfId="0" applyFont="1" applyFill="1" applyBorder="1"/>
    <xf numFmtId="0" fontId="92" fillId="63" borderId="57" xfId="0" applyFont="1" applyFill="1" applyBorder="1" applyAlignment="1">
      <alignment horizontal="center"/>
    </xf>
    <xf numFmtId="0" fontId="92" fillId="63" borderId="40" xfId="0" applyFont="1" applyFill="1" applyBorder="1" applyAlignment="1">
      <alignment horizontal="center"/>
    </xf>
    <xf numFmtId="188" fontId="92" fillId="63" borderId="63" xfId="0" applyNumberFormat="1" applyFont="1" applyFill="1" applyBorder="1" applyAlignment="1">
      <alignment horizontal="center"/>
    </xf>
    <xf numFmtId="0" fontId="104" fillId="63" borderId="18" xfId="0" applyFont="1" applyFill="1" applyBorder="1"/>
    <xf numFmtId="188" fontId="92" fillId="63" borderId="14" xfId="0" applyNumberFormat="1" applyFont="1" applyFill="1" applyBorder="1" applyAlignment="1">
      <alignment horizontal="center"/>
    </xf>
    <xf numFmtId="0" fontId="104" fillId="63" borderId="15" xfId="0" applyFont="1" applyFill="1" applyBorder="1"/>
    <xf numFmtId="0" fontId="92" fillId="63" borderId="17" xfId="0" quotePrefix="1" applyFont="1" applyFill="1" applyBorder="1" applyAlignment="1">
      <alignment horizontal="center"/>
    </xf>
    <xf numFmtId="172" fontId="187" fillId="0" borderId="0" xfId="6628" applyNumberFormat="1" applyFont="1"/>
    <xf numFmtId="172" fontId="188" fillId="0" borderId="0" xfId="7" applyNumberFormat="1" applyFont="1" applyAlignment="1" applyProtection="1"/>
    <xf numFmtId="174" fontId="171" fillId="2" borderId="0" xfId="0" applyNumberFormat="1" applyFont="1" applyFill="1" applyProtection="1">
      <protection locked="0"/>
    </xf>
    <xf numFmtId="0" fontId="92" fillId="63" borderId="139" xfId="0" applyFont="1" applyFill="1" applyBorder="1" applyAlignment="1">
      <alignment horizontal="right"/>
    </xf>
    <xf numFmtId="0" fontId="118" fillId="2" borderId="55" xfId="0" applyFont="1" applyFill="1" applyBorder="1" applyAlignment="1" applyProtection="1">
      <alignment horizontal="left"/>
      <protection locked="0"/>
    </xf>
    <xf numFmtId="0" fontId="107" fillId="0" borderId="47" xfId="0" applyFont="1" applyBorder="1" applyAlignment="1">
      <alignment vertical="center"/>
    </xf>
    <xf numFmtId="0" fontId="0" fillId="0" borderId="0" xfId="0" applyAlignment="1">
      <alignment vertical="center"/>
    </xf>
    <xf numFmtId="0" fontId="189" fillId="3" borderId="0" xfId="7" applyFont="1" applyFill="1" applyBorder="1" applyAlignment="1" applyProtection="1"/>
    <xf numFmtId="175" fontId="92" fillId="3" borderId="57" xfId="0" applyNumberFormat="1" applyFont="1" applyFill="1" applyBorder="1" applyAlignment="1">
      <alignment horizontal="right"/>
    </xf>
    <xf numFmtId="172" fontId="92" fillId="3" borderId="1" xfId="0" applyNumberFormat="1" applyFont="1" applyFill="1" applyBorder="1" applyAlignment="1">
      <alignment horizontal="center"/>
    </xf>
    <xf numFmtId="175" fontId="92" fillId="3" borderId="1" xfId="0" applyNumberFormat="1" applyFont="1" applyFill="1" applyBorder="1" applyAlignment="1">
      <alignment horizontal="right"/>
    </xf>
    <xf numFmtId="10" fontId="90" fillId="0" borderId="55" xfId="11" applyNumberFormat="1" applyFont="1" applyFill="1" applyBorder="1" applyAlignment="1" applyProtection="1">
      <alignment horizontal="center" vertical="top"/>
    </xf>
    <xf numFmtId="0" fontId="190" fillId="0" borderId="0" xfId="7" applyFont="1" applyAlignment="1" applyProtection="1"/>
    <xf numFmtId="174" fontId="89" fillId="0" borderId="57" xfId="0" applyNumberFormat="1" applyFont="1" applyBorder="1"/>
    <xf numFmtId="189" fontId="96" fillId="4" borderId="55" xfId="11" applyNumberFormat="1" applyFont="1" applyBorder="1" applyAlignment="1" applyProtection="1">
      <alignment horizontal="center" vertical="top"/>
      <protection locked="0"/>
    </xf>
    <xf numFmtId="10" fontId="91" fillId="3" borderId="0" xfId="9" quotePrefix="1" applyNumberFormat="1" applyFont="1" applyFill="1" applyBorder="1" applyAlignment="1">
      <alignment horizontal="left" vertical="top"/>
    </xf>
    <xf numFmtId="1" fontId="96" fillId="2" borderId="102" xfId="0" applyNumberFormat="1" applyFont="1" applyFill="1" applyBorder="1" applyAlignment="1" applyProtection="1">
      <alignment horizontal="center" vertical="top"/>
      <protection locked="0"/>
    </xf>
    <xf numFmtId="172" fontId="96" fillId="2" borderId="102" xfId="0" applyNumberFormat="1" applyFont="1" applyFill="1" applyBorder="1" applyAlignment="1" applyProtection="1">
      <alignment horizontal="right" vertical="top"/>
      <protection locked="0"/>
    </xf>
    <xf numFmtId="1" fontId="96" fillId="2" borderId="103" xfId="0" applyNumberFormat="1" applyFont="1" applyFill="1" applyBorder="1" applyAlignment="1" applyProtection="1">
      <alignment horizontal="center" vertical="top"/>
      <protection locked="0"/>
    </xf>
    <xf numFmtId="175" fontId="106" fillId="0" borderId="0" xfId="9" applyNumberFormat="1" applyFont="1" applyAlignment="1" applyProtection="1">
      <alignment horizontal="right"/>
    </xf>
    <xf numFmtId="173" fontId="92" fillId="0" borderId="57" xfId="0" applyNumberFormat="1" applyFont="1" applyBorder="1" applyProtection="1">
      <protection locked="0"/>
    </xf>
    <xf numFmtId="0" fontId="92" fillId="67" borderId="5" xfId="0" applyFont="1" applyFill="1" applyBorder="1"/>
    <xf numFmtId="174" fontId="92" fillId="67" borderId="6" xfId="0" applyNumberFormat="1" applyFont="1" applyFill="1" applyBorder="1" applyAlignment="1">
      <alignment horizontal="right"/>
    </xf>
    <xf numFmtId="0" fontId="92" fillId="67" borderId="6" xfId="0" applyFont="1" applyFill="1" applyBorder="1"/>
    <xf numFmtId="202" fontId="92" fillId="0" borderId="0" xfId="0" applyNumberFormat="1" applyFont="1"/>
    <xf numFmtId="194" fontId="61" fillId="59" borderId="65" xfId="0" applyNumberFormat="1" applyFont="1" applyFill="1" applyBorder="1"/>
    <xf numFmtId="172" fontId="95" fillId="0" borderId="1" xfId="6" applyNumberFormat="1" applyFont="1" applyBorder="1" applyProtection="1"/>
    <xf numFmtId="221" fontId="92" fillId="63" borderId="69" xfId="0" applyNumberFormat="1" applyFont="1" applyFill="1" applyBorder="1" applyAlignment="1">
      <alignment horizontal="right"/>
    </xf>
    <xf numFmtId="0" fontId="108" fillId="0" borderId="0" xfId="7" applyFont="1" applyFill="1" applyBorder="1" applyAlignment="1" applyProtection="1">
      <alignment wrapText="1"/>
    </xf>
    <xf numFmtId="164" fontId="91" fillId="0" borderId="1" xfId="0" applyNumberFormat="1" applyFont="1" applyBorder="1" applyAlignment="1">
      <alignment horizontal="center" vertical="top"/>
    </xf>
    <xf numFmtId="0" fontId="104" fillId="0" borderId="50" xfId="0" applyFont="1" applyBorder="1"/>
    <xf numFmtId="0" fontId="100" fillId="0" borderId="50" xfId="7" applyFont="1" applyFill="1" applyBorder="1" applyAlignment="1" applyProtection="1">
      <alignment horizontal="right" wrapText="1" indent="1"/>
    </xf>
    <xf numFmtId="0" fontId="107" fillId="0" borderId="50" xfId="0" applyFont="1" applyBorder="1" applyAlignment="1">
      <alignment horizontal="center" vertical="top"/>
    </xf>
    <xf numFmtId="175" fontId="94" fillId="60" borderId="0" xfId="6" applyNumberFormat="1" applyFont="1" applyFill="1" applyBorder="1" applyProtection="1"/>
    <xf numFmtId="175" fontId="94" fillId="73" borderId="0" xfId="6" applyNumberFormat="1" applyFont="1" applyFill="1" applyBorder="1" applyProtection="1"/>
    <xf numFmtId="0" fontId="185" fillId="62" borderId="0" xfId="7" applyFont="1" applyFill="1" applyAlignment="1" applyProtection="1"/>
    <xf numFmtId="0" fontId="185" fillId="2" borderId="0" xfId="7" applyFont="1" applyFill="1" applyAlignment="1" applyProtection="1"/>
    <xf numFmtId="0" fontId="107" fillId="0" borderId="0" xfId="0" applyFont="1" applyAlignment="1">
      <alignment horizontal="left"/>
    </xf>
    <xf numFmtId="174" fontId="83" fillId="2" borderId="0" xfId="0" applyNumberFormat="1" applyFont="1" applyFill="1" applyAlignment="1">
      <alignment horizontal="right"/>
    </xf>
    <xf numFmtId="0" fontId="92" fillId="0" borderId="1" xfId="0" applyFont="1" applyBorder="1"/>
    <xf numFmtId="0" fontId="96" fillId="2" borderId="50" xfId="0" applyFont="1" applyFill="1" applyBorder="1" applyProtection="1">
      <protection locked="0"/>
    </xf>
    <xf numFmtId="0" fontId="96" fillId="2" borderId="47" xfId="0" applyFont="1" applyFill="1" applyBorder="1" applyProtection="1">
      <protection locked="0"/>
    </xf>
    <xf numFmtId="0" fontId="64" fillId="5" borderId="0" xfId="0" applyFont="1" applyFill="1"/>
    <xf numFmtId="0" fontId="92" fillId="62" borderId="57" xfId="0" applyFont="1" applyFill="1" applyBorder="1" applyAlignment="1">
      <alignment wrapText="1"/>
    </xf>
    <xf numFmtId="0" fontId="92" fillId="0" borderId="69" xfId="0" applyFont="1" applyBorder="1" applyAlignment="1">
      <alignment horizontal="center"/>
    </xf>
    <xf numFmtId="0" fontId="134" fillId="0" borderId="0" xfId="0" applyFont="1" applyAlignment="1">
      <alignment horizontal="center"/>
    </xf>
    <xf numFmtId="172" fontId="15" fillId="0" borderId="57" xfId="6628" applyNumberFormat="1" applyFont="1" applyBorder="1" applyAlignment="1">
      <alignment horizontal="center"/>
    </xf>
    <xf numFmtId="0" fontId="134" fillId="60" borderId="1" xfId="0" applyFont="1" applyFill="1" applyBorder="1"/>
    <xf numFmtId="0" fontId="83" fillId="60" borderId="1" xfId="0" applyFont="1" applyFill="1" applyBorder="1"/>
    <xf numFmtId="0" fontId="92" fillId="2" borderId="135" xfId="0" applyFont="1" applyFill="1" applyBorder="1" applyAlignment="1" applyProtection="1">
      <alignment horizontal="left"/>
      <protection locked="0"/>
    </xf>
    <xf numFmtId="0" fontId="102" fillId="0" borderId="57" xfId="7" applyFont="1" applyFill="1" applyBorder="1" applyAlignment="1" applyProtection="1">
      <alignment horizontal="left" wrapText="1" indent="1"/>
    </xf>
    <xf numFmtId="0" fontId="107" fillId="0" borderId="58" xfId="0" applyFont="1" applyBorder="1" applyAlignment="1">
      <alignment horizontal="center" vertical="top"/>
    </xf>
    <xf numFmtId="0" fontId="147" fillId="3" borderId="65" xfId="0" applyFont="1" applyFill="1" applyBorder="1"/>
    <xf numFmtId="0" fontId="91" fillId="0" borderId="65" xfId="0" applyFont="1" applyBorder="1"/>
    <xf numFmtId="165" fontId="90" fillId="0" borderId="55" xfId="11" applyNumberFormat="1" applyFont="1" applyFill="1" applyBorder="1" applyAlignment="1" applyProtection="1">
      <alignment horizontal="center" vertical="top"/>
      <protection locked="0"/>
    </xf>
    <xf numFmtId="174" fontId="0" fillId="67" borderId="47" xfId="0" applyNumberFormat="1" applyFill="1" applyBorder="1"/>
    <xf numFmtId="174" fontId="0" fillId="62" borderId="47" xfId="0" applyNumberFormat="1" applyFill="1" applyBorder="1"/>
    <xf numFmtId="0" fontId="13" fillId="0" borderId="0" xfId="0" applyFont="1"/>
    <xf numFmtId="0" fontId="91" fillId="0" borderId="103" xfId="0" applyFont="1" applyBorder="1"/>
    <xf numFmtId="172" fontId="166" fillId="0" borderId="55" xfId="9" applyNumberFormat="1" applyFont="1" applyFill="1" applyBorder="1" applyAlignment="1" applyProtection="1">
      <alignment horizontal="right" vertical="top"/>
    </xf>
    <xf numFmtId="172" fontId="175" fillId="0" borderId="102" xfId="9" applyNumberFormat="1" applyFont="1" applyFill="1" applyBorder="1" applyAlignment="1" applyProtection="1">
      <alignment horizontal="right" vertical="top"/>
    </xf>
    <xf numFmtId="172" fontId="176" fillId="0" borderId="57" xfId="9" applyNumberFormat="1" applyFont="1" applyFill="1" applyBorder="1" applyAlignment="1" applyProtection="1">
      <alignment vertical="top"/>
    </xf>
    <xf numFmtId="0" fontId="91" fillId="0" borderId="0" xfId="0" quotePrefix="1" applyFont="1" applyAlignment="1">
      <alignment horizontal="center"/>
    </xf>
    <xf numFmtId="0" fontId="105" fillId="0" borderId="52" xfId="0" applyFont="1" applyBorder="1"/>
    <xf numFmtId="0" fontId="91" fillId="0" borderId="52" xfId="0" applyFont="1" applyBorder="1" applyAlignment="1">
      <alignment horizontal="right"/>
    </xf>
    <xf numFmtId="195" fontId="91" fillId="0" borderId="47" xfId="0" applyNumberFormat="1" applyFont="1" applyBorder="1"/>
    <xf numFmtId="195" fontId="91" fillId="0" borderId="75" xfId="0" applyNumberFormat="1" applyFont="1" applyBorder="1"/>
    <xf numFmtId="9" fontId="92" fillId="0" borderId="55" xfId="9" applyFont="1" applyFill="1" applyBorder="1" applyAlignment="1" applyProtection="1">
      <alignment horizontal="center" vertical="top"/>
    </xf>
    <xf numFmtId="0" fontId="92" fillId="62" borderId="1" xfId="0" quotePrefix="1" applyFont="1" applyFill="1" applyBorder="1"/>
    <xf numFmtId="0" fontId="91" fillId="62" borderId="1" xfId="0" applyFont="1" applyFill="1" applyBorder="1" applyAlignment="1">
      <alignment horizontal="center"/>
    </xf>
    <xf numFmtId="0" fontId="91" fillId="0" borderId="52" xfId="0" applyFont="1" applyBorder="1" applyAlignment="1">
      <alignment horizontal="center"/>
    </xf>
    <xf numFmtId="9" fontId="175" fillId="0" borderId="55" xfId="9" applyFont="1" applyFill="1" applyBorder="1" applyAlignment="1" applyProtection="1">
      <alignment horizontal="center" vertical="top"/>
    </xf>
    <xf numFmtId="172" fontId="176" fillId="0" borderId="55" xfId="9" applyNumberFormat="1" applyFont="1" applyFill="1" applyBorder="1" applyAlignment="1" applyProtection="1">
      <alignment horizontal="center" vertical="top"/>
    </xf>
    <xf numFmtId="195" fontId="91" fillId="0" borderId="47" xfId="0" quotePrefix="1" applyNumberFormat="1" applyFont="1" applyBorder="1"/>
    <xf numFmtId="172" fontId="175" fillId="0" borderId="55" xfId="9" applyNumberFormat="1" applyFont="1" applyFill="1" applyBorder="1" applyAlignment="1" applyProtection="1">
      <alignment horizontal="center" vertical="top"/>
    </xf>
    <xf numFmtId="195" fontId="91" fillId="0" borderId="50" xfId="0" applyNumberFormat="1" applyFont="1" applyBorder="1"/>
    <xf numFmtId="9" fontId="175" fillId="0" borderId="102" xfId="9" applyFont="1" applyFill="1" applyBorder="1" applyAlignment="1" applyProtection="1">
      <alignment horizontal="center" vertical="top"/>
    </xf>
    <xf numFmtId="195" fontId="92" fillId="0" borderId="57" xfId="0" applyNumberFormat="1" applyFont="1" applyBorder="1"/>
    <xf numFmtId="172" fontId="176" fillId="0" borderId="57" xfId="9" applyNumberFormat="1" applyFont="1" applyFill="1" applyBorder="1" applyAlignment="1" applyProtection="1">
      <alignment horizontal="center" vertical="top"/>
    </xf>
    <xf numFmtId="195" fontId="91" fillId="0" borderId="57" xfId="0" applyNumberFormat="1" applyFont="1" applyBorder="1"/>
    <xf numFmtId="172" fontId="154" fillId="0" borderId="0" xfId="9" applyNumberFormat="1" applyFont="1" applyFill="1" applyBorder="1" applyAlignment="1" applyProtection="1">
      <alignment horizontal="center" vertical="top"/>
    </xf>
    <xf numFmtId="172" fontId="164" fillId="0" borderId="0" xfId="9" applyNumberFormat="1" applyFont="1" applyFill="1" applyBorder="1" applyAlignment="1" applyProtection="1">
      <alignment horizontal="right" vertical="top"/>
    </xf>
    <xf numFmtId="172" fontId="171" fillId="2" borderId="57" xfId="0" applyNumberFormat="1" applyFont="1" applyFill="1" applyBorder="1" applyAlignment="1" applyProtection="1">
      <alignment horizontal="right"/>
      <protection locked="0"/>
    </xf>
    <xf numFmtId="195" fontId="171" fillId="0" borderId="47" xfId="0" applyNumberFormat="1" applyFont="1" applyBorder="1"/>
    <xf numFmtId="0" fontId="91" fillId="0" borderId="0" xfId="0" quotePrefix="1" applyFont="1" applyAlignment="1">
      <alignment horizontal="left"/>
    </xf>
    <xf numFmtId="195" fontId="90" fillId="0" borderId="47" xfId="0" applyNumberFormat="1" applyFont="1" applyBorder="1" applyAlignment="1">
      <alignment horizontal="center"/>
    </xf>
    <xf numFmtId="189" fontId="90" fillId="0" borderId="47" xfId="0" applyNumberFormat="1" applyFont="1" applyBorder="1" applyAlignment="1">
      <alignment horizontal="center"/>
    </xf>
    <xf numFmtId="189" fontId="90" fillId="0" borderId="47" xfId="0" quotePrefix="1" applyNumberFormat="1" applyFont="1" applyBorder="1" applyAlignment="1">
      <alignment horizontal="center"/>
    </xf>
    <xf numFmtId="195" fontId="171" fillId="0" borderId="50" xfId="0" applyNumberFormat="1" applyFont="1" applyBorder="1" applyAlignment="1">
      <alignment horizontal="center"/>
    </xf>
    <xf numFmtId="195" fontId="90" fillId="0" borderId="50" xfId="0" applyNumberFormat="1" applyFont="1" applyBorder="1" applyAlignment="1">
      <alignment horizontal="center"/>
    </xf>
    <xf numFmtId="189" fontId="90" fillId="0" borderId="50" xfId="0" quotePrefix="1" applyNumberFormat="1" applyFont="1" applyBorder="1" applyAlignment="1">
      <alignment horizontal="center"/>
    </xf>
    <xf numFmtId="195" fontId="91" fillId="0" borderId="57" xfId="0" applyNumberFormat="1" applyFont="1" applyBorder="1" applyAlignment="1">
      <alignment horizontal="center"/>
    </xf>
    <xf numFmtId="195" fontId="92" fillId="0" borderId="57" xfId="0" applyNumberFormat="1" applyFont="1" applyBorder="1" applyAlignment="1">
      <alignment horizontal="center"/>
    </xf>
    <xf numFmtId="195" fontId="91" fillId="0" borderId="0" xfId="0" applyNumberFormat="1" applyFont="1"/>
    <xf numFmtId="195" fontId="92" fillId="0" borderId="0" xfId="0" applyNumberFormat="1" applyFont="1"/>
    <xf numFmtId="172" fontId="154" fillId="0" borderId="57" xfId="9" applyNumberFormat="1" applyFont="1" applyFill="1" applyBorder="1" applyAlignment="1" applyProtection="1">
      <alignment horizontal="center" vertical="top"/>
    </xf>
    <xf numFmtId="172" fontId="89" fillId="0" borderId="57" xfId="9" applyNumberFormat="1" applyFont="1" applyFill="1" applyBorder="1" applyAlignment="1" applyProtection="1">
      <alignment vertical="top"/>
    </xf>
    <xf numFmtId="172" fontId="89" fillId="0" borderId="0" xfId="9" applyNumberFormat="1" applyFont="1" applyFill="1" applyBorder="1" applyAlignment="1" applyProtection="1">
      <alignment vertical="top"/>
    </xf>
    <xf numFmtId="175" fontId="89" fillId="0" borderId="0" xfId="9" applyNumberFormat="1" applyFont="1" applyFill="1" applyBorder="1" applyAlignment="1" applyProtection="1">
      <alignment vertical="top"/>
    </xf>
    <xf numFmtId="172" fontId="154" fillId="0" borderId="0" xfId="9" applyNumberFormat="1" applyFont="1" applyFill="1" applyBorder="1" applyAlignment="1" applyProtection="1">
      <alignment vertical="top"/>
    </xf>
    <xf numFmtId="9" fontId="92" fillId="0" borderId="0" xfId="9" applyFont="1" applyFill="1" applyBorder="1" applyAlignment="1" applyProtection="1">
      <alignment horizontal="center" vertical="top"/>
    </xf>
    <xf numFmtId="172" fontId="101" fillId="0" borderId="0" xfId="9" applyNumberFormat="1" applyFont="1" applyFill="1" applyBorder="1" applyAlignment="1" applyProtection="1">
      <alignment vertical="top"/>
    </xf>
    <xf numFmtId="9" fontId="92" fillId="62" borderId="1" xfId="9" applyFont="1" applyFill="1" applyBorder="1" applyAlignment="1" applyProtection="1">
      <alignment horizontal="center" vertical="top"/>
    </xf>
    <xf numFmtId="172" fontId="101" fillId="62" borderId="1" xfId="9" applyNumberFormat="1" applyFont="1" applyFill="1" applyBorder="1" applyAlignment="1" applyProtection="1">
      <alignment vertical="top"/>
    </xf>
    <xf numFmtId="0" fontId="192" fillId="0" borderId="0" xfId="7" applyFont="1" applyAlignment="1" applyProtection="1"/>
    <xf numFmtId="174" fontId="92" fillId="0" borderId="0" xfId="9" applyNumberFormat="1" applyFont="1" applyFill="1" applyBorder="1" applyAlignment="1" applyProtection="1">
      <alignment horizontal="center" vertical="top"/>
    </xf>
    <xf numFmtId="174" fontId="90" fillId="0" borderId="0" xfId="9" applyNumberFormat="1" applyFont="1" applyFill="1" applyBorder="1" applyAlignment="1" applyProtection="1">
      <alignment vertical="top"/>
    </xf>
    <xf numFmtId="172" fontId="90" fillId="0" borderId="0" xfId="9" applyNumberFormat="1" applyFont="1" applyFill="1" applyBorder="1" applyAlignment="1" applyProtection="1">
      <alignment vertical="top"/>
    </xf>
    <xf numFmtId="9" fontId="92" fillId="0" borderId="47" xfId="9" applyFont="1" applyFill="1" applyBorder="1" applyAlignment="1" applyProtection="1">
      <alignment horizontal="center" vertical="top"/>
    </xf>
    <xf numFmtId="172" fontId="90" fillId="0" borderId="47" xfId="9" applyNumberFormat="1" applyFont="1" applyFill="1" applyBorder="1" applyAlignment="1" applyProtection="1">
      <alignment vertical="top"/>
    </xf>
    <xf numFmtId="174" fontId="90" fillId="0" borderId="47" xfId="9" applyNumberFormat="1" applyFont="1" applyFill="1" applyBorder="1" applyAlignment="1" applyProtection="1">
      <alignment vertical="top"/>
    </xf>
    <xf numFmtId="195" fontId="114" fillId="0" borderId="0" xfId="0" applyNumberFormat="1" applyFont="1"/>
    <xf numFmtId="174" fontId="91" fillId="0" borderId="47" xfId="0" applyNumberFormat="1" applyFont="1" applyBorder="1"/>
    <xf numFmtId="175" fontId="90" fillId="0" borderId="66" xfId="9" applyNumberFormat="1" applyFont="1" applyFill="1" applyBorder="1" applyAlignment="1" applyProtection="1">
      <alignment horizontal="right" vertical="top"/>
    </xf>
    <xf numFmtId="175" fontId="90" fillId="0" borderId="55" xfId="9" applyNumberFormat="1" applyFont="1" applyFill="1" applyBorder="1" applyAlignment="1" applyProtection="1">
      <alignment horizontal="right" vertical="top"/>
    </xf>
    <xf numFmtId="175" fontId="90" fillId="0" borderId="102" xfId="9" applyNumberFormat="1" applyFont="1" applyFill="1" applyBorder="1" applyAlignment="1" applyProtection="1">
      <alignment horizontal="right" vertical="top"/>
    </xf>
    <xf numFmtId="9" fontId="89" fillId="0" borderId="66" xfId="9" applyFont="1" applyFill="1" applyBorder="1" applyAlignment="1" applyProtection="1">
      <alignment horizontal="center" vertical="top"/>
    </xf>
    <xf numFmtId="9" fontId="89" fillId="0" borderId="55" xfId="9" applyFont="1" applyFill="1" applyBorder="1" applyAlignment="1" applyProtection="1">
      <alignment horizontal="center" vertical="top"/>
    </xf>
    <xf numFmtId="9" fontId="89" fillId="0" borderId="102" xfId="9" applyFont="1" applyFill="1" applyBorder="1" applyAlignment="1" applyProtection="1">
      <alignment horizontal="center" vertical="top"/>
    </xf>
    <xf numFmtId="174" fontId="90" fillId="0" borderId="57" xfId="9" applyNumberFormat="1" applyFont="1" applyFill="1" applyBorder="1" applyAlignment="1" applyProtection="1">
      <alignment vertical="top"/>
    </xf>
    <xf numFmtId="9" fontId="92" fillId="62" borderId="0" xfId="9" applyFont="1" applyFill="1" applyBorder="1" applyAlignment="1" applyProtection="1">
      <alignment horizontal="center" vertical="top"/>
    </xf>
    <xf numFmtId="165" fontId="91" fillId="0" borderId="102" xfId="11" applyNumberFormat="1" applyFont="1" applyFill="1" applyBorder="1" applyAlignment="1" applyProtection="1">
      <alignment horizontal="center" vertical="top"/>
    </xf>
    <xf numFmtId="0" fontId="94" fillId="0" borderId="59" xfId="8" applyFont="1" applyBorder="1" applyAlignment="1">
      <alignment horizontal="center" wrapText="1"/>
    </xf>
    <xf numFmtId="0" fontId="94" fillId="0" borderId="57" xfId="8" applyFont="1" applyBorder="1" applyAlignment="1">
      <alignment horizontal="center" wrapText="1"/>
    </xf>
    <xf numFmtId="0" fontId="94" fillId="63" borderId="57" xfId="8" applyFont="1" applyFill="1" applyBorder="1" applyAlignment="1">
      <alignment horizontal="center" wrapText="1"/>
    </xf>
    <xf numFmtId="44" fontId="95" fillId="63" borderId="57" xfId="6" applyFont="1" applyFill="1" applyBorder="1" applyAlignment="1" applyProtection="1">
      <alignment horizontal="center"/>
    </xf>
    <xf numFmtId="44" fontId="95" fillId="74" borderId="57" xfId="6" applyFont="1" applyFill="1" applyBorder="1" applyAlignment="1" applyProtection="1">
      <alignment horizontal="center"/>
    </xf>
    <xf numFmtId="44" fontId="95" fillId="63" borderId="58" xfId="6" applyFont="1" applyFill="1" applyBorder="1" applyAlignment="1" applyProtection="1">
      <alignment horizontal="center"/>
    </xf>
    <xf numFmtId="0" fontId="94" fillId="0" borderId="15" xfId="8" applyFont="1" applyBorder="1" applyAlignment="1">
      <alignment horizontal="center" wrapText="1"/>
    </xf>
    <xf numFmtId="0" fontId="94" fillId="0" borderId="1" xfId="8" quotePrefix="1" applyFont="1" applyBorder="1" applyAlignment="1">
      <alignment horizontal="center" wrapText="1"/>
    </xf>
    <xf numFmtId="0" fontId="94" fillId="63" borderId="1" xfId="8" applyFont="1" applyFill="1" applyBorder="1" applyAlignment="1">
      <alignment horizontal="center" wrapText="1"/>
    </xf>
    <xf numFmtId="225" fontId="94" fillId="63" borderId="1" xfId="6" applyNumberFormat="1" applyFont="1" applyFill="1" applyBorder="1" applyAlignment="1" applyProtection="1">
      <alignment horizontal="center"/>
    </xf>
    <xf numFmtId="225" fontId="94" fillId="74" borderId="1" xfId="6" applyNumberFormat="1" applyFont="1" applyFill="1" applyBorder="1" applyAlignment="1" applyProtection="1">
      <alignment horizontal="center"/>
    </xf>
    <xf numFmtId="226" fontId="94" fillId="63" borderId="14" xfId="6" applyNumberFormat="1" applyFont="1" applyFill="1" applyBorder="1" applyAlignment="1" applyProtection="1">
      <alignment horizontal="center"/>
    </xf>
    <xf numFmtId="172" fontId="92" fillId="0" borderId="59" xfId="0" quotePrefix="1" applyNumberFormat="1" applyFont="1" applyBorder="1"/>
    <xf numFmtId="172" fontId="92" fillId="0" borderId="57" xfId="6" applyNumberFormat="1" applyFont="1" applyBorder="1" applyAlignment="1" applyProtection="1">
      <alignment horizontal="center"/>
    </xf>
    <xf numFmtId="44" fontId="91" fillId="0" borderId="58" xfId="6" applyFont="1" applyBorder="1" applyAlignment="1" applyProtection="1">
      <alignment horizontal="center"/>
    </xf>
    <xf numFmtId="44" fontId="94" fillId="0" borderId="69" xfId="6" applyFont="1" applyBorder="1" applyProtection="1"/>
    <xf numFmtId="44" fontId="94" fillId="0" borderId="65" xfId="6" applyFont="1" applyBorder="1" applyProtection="1"/>
    <xf numFmtId="0" fontId="94" fillId="74" borderId="65" xfId="8" applyFont="1" applyFill="1" applyBorder="1" applyAlignment="1">
      <alignment horizontal="center"/>
    </xf>
    <xf numFmtId="0" fontId="95" fillId="0" borderId="65" xfId="8" applyFont="1" applyBorder="1"/>
    <xf numFmtId="0" fontId="95" fillId="0" borderId="63" xfId="8" applyFont="1" applyBorder="1" applyAlignment="1">
      <alignment horizontal="center"/>
    </xf>
    <xf numFmtId="172" fontId="32" fillId="0" borderId="55" xfId="8" applyNumberFormat="1" applyFont="1" applyBorder="1"/>
    <xf numFmtId="172" fontId="32" fillId="0" borderId="103" xfId="8" applyNumberFormat="1" applyFont="1" applyBorder="1"/>
    <xf numFmtId="174" fontId="95" fillId="0" borderId="102" xfId="8" applyNumberFormat="1" applyFont="1" applyBorder="1"/>
    <xf numFmtId="172" fontId="94" fillId="0" borderId="111" xfId="8" applyNumberFormat="1" applyFont="1" applyBorder="1"/>
    <xf numFmtId="174" fontId="95" fillId="0" borderId="0" xfId="8" applyNumberFormat="1" applyFont="1"/>
    <xf numFmtId="174" fontId="94" fillId="0" borderId="57" xfId="8" applyNumberFormat="1" applyFont="1" applyBorder="1"/>
    <xf numFmtId="174" fontId="94" fillId="69" borderId="57" xfId="8" applyNumberFormat="1" applyFont="1" applyFill="1" applyBorder="1"/>
    <xf numFmtId="44" fontId="95" fillId="0" borderId="1" xfId="8" applyNumberFormat="1" applyFont="1" applyBorder="1"/>
    <xf numFmtId="3" fontId="92" fillId="0" borderId="0" xfId="0" applyNumberFormat="1" applyFont="1" applyAlignment="1">
      <alignment horizontal="center"/>
    </xf>
    <xf numFmtId="0" fontId="193" fillId="0" borderId="0" xfId="0" applyFont="1"/>
    <xf numFmtId="0" fontId="193" fillId="2" borderId="0" xfId="0" applyFont="1" applyFill="1"/>
    <xf numFmtId="172" fontId="96" fillId="2" borderId="55" xfId="0" applyNumberFormat="1" applyFont="1" applyFill="1" applyBorder="1" applyAlignment="1" applyProtection="1">
      <alignment horizontal="center" vertical="top"/>
      <protection locked="0"/>
    </xf>
    <xf numFmtId="0" fontId="96" fillId="2" borderId="47" xfId="0" applyFont="1" applyFill="1" applyBorder="1" applyProtection="1">
      <protection locked="0"/>
    </xf>
    <xf numFmtId="0" fontId="96" fillId="2" borderId="47" xfId="0" applyFont="1" applyFill="1" applyBorder="1" applyProtection="1">
      <protection locked="0"/>
    </xf>
    <xf numFmtId="0" fontId="118" fillId="2" borderId="47" xfId="0" applyFont="1" applyFill="1" applyBorder="1" applyAlignment="1" applyProtection="1">
      <alignment horizontal="left"/>
      <protection locked="0"/>
    </xf>
    <xf numFmtId="0" fontId="127" fillId="2" borderId="52" xfId="0" applyFont="1" applyFill="1" applyBorder="1" applyAlignment="1" applyProtection="1">
      <alignment horizontal="center"/>
      <protection locked="0"/>
    </xf>
    <xf numFmtId="0" fontId="92" fillId="0" borderId="1" xfId="0" applyFont="1" applyBorder="1" applyAlignment="1">
      <alignment wrapText="1"/>
    </xf>
    <xf numFmtId="0" fontId="92" fillId="0" borderId="1" xfId="0" applyFont="1" applyBorder="1"/>
    <xf numFmtId="0" fontId="96" fillId="2" borderId="52" xfId="0" applyFont="1" applyFill="1" applyBorder="1" applyAlignment="1" applyProtection="1">
      <alignment horizontal="left"/>
      <protection locked="0"/>
    </xf>
    <xf numFmtId="0" fontId="91" fillId="2" borderId="52" xfId="7" applyFont="1" applyFill="1" applyBorder="1" applyAlignment="1" applyProtection="1">
      <alignment horizontal="left" wrapText="1"/>
      <protection locked="0"/>
    </xf>
    <xf numFmtId="0" fontId="96" fillId="2" borderId="47" xfId="0" applyFont="1" applyFill="1" applyBorder="1" applyAlignment="1" applyProtection="1">
      <alignment horizontal="left"/>
      <protection locked="0"/>
    </xf>
    <xf numFmtId="0" fontId="91" fillId="2" borderId="47" xfId="7" applyFont="1" applyFill="1" applyBorder="1" applyAlignment="1" applyProtection="1">
      <alignment horizontal="left" wrapText="1"/>
      <protection locked="0"/>
    </xf>
    <xf numFmtId="0" fontId="118" fillId="2" borderId="52" xfId="0" applyFont="1" applyFill="1" applyBorder="1" applyAlignment="1" applyProtection="1">
      <alignment horizontal="left"/>
      <protection locked="0"/>
    </xf>
    <xf numFmtId="0" fontId="107" fillId="0" borderId="130" xfId="0" applyFont="1" applyBorder="1" applyAlignment="1">
      <alignment horizontal="left" vertical="center" wrapText="1"/>
    </xf>
    <xf numFmtId="0" fontId="107" fillId="0" borderId="47" xfId="0" applyFont="1" applyBorder="1" applyAlignment="1">
      <alignment horizontal="left" vertical="center" wrapText="1"/>
    </xf>
    <xf numFmtId="0" fontId="96" fillId="2" borderId="50" xfId="0" applyFont="1" applyFill="1" applyBorder="1" applyProtection="1">
      <protection locked="0"/>
    </xf>
    <xf numFmtId="0" fontId="89" fillId="65" borderId="52" xfId="0" applyFont="1" applyFill="1" applyBorder="1" applyProtection="1">
      <protection locked="0"/>
    </xf>
    <xf numFmtId="0" fontId="96" fillId="2" borderId="47" xfId="0" applyFont="1" applyFill="1" applyBorder="1" applyProtection="1">
      <protection locked="0"/>
    </xf>
    <xf numFmtId="0" fontId="92" fillId="62" borderId="57" xfId="0" applyFont="1" applyFill="1" applyBorder="1" applyAlignment="1">
      <alignment wrapText="1"/>
    </xf>
    <xf numFmtId="0" fontId="89" fillId="59" borderId="69" xfId="0" applyFont="1" applyFill="1" applyBorder="1" applyAlignment="1">
      <alignment horizontal="center" vertical="center" wrapText="1"/>
    </xf>
    <xf numFmtId="0" fontId="89" fillId="59" borderId="65" xfId="0" applyFont="1" applyFill="1" applyBorder="1" applyAlignment="1">
      <alignment horizontal="center" vertical="center" wrapText="1"/>
    </xf>
    <xf numFmtId="0" fontId="89" fillId="59" borderId="63" xfId="0" applyFont="1" applyFill="1" applyBorder="1" applyAlignment="1">
      <alignment horizontal="center" vertical="center" wrapText="1"/>
    </xf>
    <xf numFmtId="0" fontId="96" fillId="2" borderId="108" xfId="0" applyFont="1" applyFill="1" applyBorder="1" applyProtection="1">
      <protection locked="0"/>
    </xf>
    <xf numFmtId="10" fontId="191" fillId="2" borderId="47" xfId="9" applyNumberFormat="1" applyFont="1" applyFill="1" applyBorder="1" applyAlignment="1" applyProtection="1">
      <alignment horizontal="left" vertical="top"/>
      <protection locked="0"/>
    </xf>
    <xf numFmtId="6" fontId="191" fillId="2" borderId="47" xfId="9" applyNumberFormat="1" applyFont="1" applyFill="1" applyBorder="1" applyAlignment="1" applyProtection="1">
      <alignment horizontal="left" vertical="top"/>
      <protection locked="0"/>
    </xf>
    <xf numFmtId="0" fontId="89" fillId="0" borderId="57" xfId="0" applyFont="1" applyBorder="1" applyAlignment="1">
      <alignment horizontal="left"/>
    </xf>
    <xf numFmtId="0" fontId="89" fillId="0" borderId="65" xfId="0" applyFont="1" applyBorder="1" applyAlignment="1">
      <alignment horizontal="left"/>
    </xf>
    <xf numFmtId="0" fontId="100" fillId="0" borderId="1" xfId="7" applyFont="1" applyFill="1" applyBorder="1" applyAlignment="1" applyProtection="1">
      <alignment horizontal="right" wrapText="1" indent="1"/>
    </xf>
    <xf numFmtId="0" fontId="100" fillId="0" borderId="14" xfId="7" applyFont="1" applyFill="1" applyBorder="1" applyAlignment="1" applyProtection="1">
      <alignment horizontal="right" wrapText="1" indent="1"/>
    </xf>
    <xf numFmtId="0" fontId="91" fillId="0" borderId="0" xfId="0" applyFont="1"/>
    <xf numFmtId="0" fontId="109" fillId="64" borderId="0" xfId="0" applyFont="1" applyFill="1" applyAlignment="1">
      <alignment wrapText="1"/>
    </xf>
    <xf numFmtId="0" fontId="102" fillId="63" borderId="0" xfId="0" applyFont="1" applyFill="1" applyAlignment="1">
      <alignment horizontal="left"/>
    </xf>
    <xf numFmtId="0" fontId="113" fillId="64" borderId="0" xfId="0" quotePrefix="1" applyFont="1" applyFill="1" applyAlignment="1">
      <alignment wrapText="1"/>
    </xf>
    <xf numFmtId="0" fontId="92" fillId="0" borderId="69" xfId="0" applyFont="1" applyBorder="1" applyAlignment="1">
      <alignment horizontal="center"/>
    </xf>
    <xf numFmtId="0" fontId="92" fillId="0" borderId="65" xfId="0" applyFont="1" applyBorder="1" applyAlignment="1">
      <alignment horizontal="center"/>
    </xf>
    <xf numFmtId="0" fontId="92" fillId="0" borderId="63" xfId="0" applyFont="1" applyBorder="1" applyAlignment="1">
      <alignment horizontal="center"/>
    </xf>
    <xf numFmtId="0" fontId="64" fillId="5" borderId="0" xfId="0" applyFont="1" applyFill="1"/>
    <xf numFmtId="0" fontId="134" fillId="0" borderId="0" xfId="0" applyFont="1" applyAlignment="1">
      <alignment horizontal="center"/>
    </xf>
    <xf numFmtId="0" fontId="64" fillId="61" borderId="98" xfId="33111" applyFont="1" applyFill="1" applyBorder="1" applyAlignment="1" applyProtection="1">
      <alignment horizontal="center" vertical="top" wrapText="1"/>
      <protection locked="0"/>
    </xf>
    <xf numFmtId="0" fontId="64" fillId="61" borderId="99" xfId="33111" applyFont="1" applyFill="1" applyBorder="1" applyAlignment="1" applyProtection="1">
      <alignment horizontal="center" vertical="top" wrapText="1"/>
      <protection locked="0"/>
    </xf>
    <xf numFmtId="172" fontId="15" fillId="0" borderId="57" xfId="6628" applyNumberFormat="1" applyFont="1" applyBorder="1" applyAlignment="1">
      <alignment horizontal="center"/>
    </xf>
  </cellXfs>
  <cellStyles count="33112">
    <cellStyle name="20% - Accent1" xfId="28" builtinId="30" customBuiltin="1"/>
    <cellStyle name="20% - Accent1 10" xfId="53"/>
    <cellStyle name="20% - Accent1 10 2" xfId="54"/>
    <cellStyle name="20% - Accent1 10 2 2" xfId="55"/>
    <cellStyle name="20% - Accent1 10 2 2 2" xfId="12454"/>
    <cellStyle name="20% - Accent1 10 2 2 2 2" xfId="26166"/>
    <cellStyle name="20% - Accent1 10 2 2 3" xfId="17378"/>
    <cellStyle name="20% - Accent1 10 2 3" xfId="56"/>
    <cellStyle name="20% - Accent1 10 2 3 2" xfId="14599"/>
    <cellStyle name="20% - Accent1 10 2 3 2 2" xfId="28148"/>
    <cellStyle name="20% - Accent1 10 2 3 3" xfId="17379"/>
    <cellStyle name="20% - Accent1 10 2 4" xfId="10546"/>
    <cellStyle name="20% - Accent1 10 2 4 2" xfId="24488"/>
    <cellStyle name="20% - Accent1 10 2 5" xfId="17377"/>
    <cellStyle name="20% - Accent1 10 3" xfId="57"/>
    <cellStyle name="20% - Accent1 10 3 2" xfId="12413"/>
    <cellStyle name="20% - Accent1 10 3 2 2" xfId="26125"/>
    <cellStyle name="20% - Accent1 10 3 3" xfId="17380"/>
    <cellStyle name="20% - Accent1 10 4" xfId="58"/>
    <cellStyle name="20% - Accent1 10 4 2" xfId="14600"/>
    <cellStyle name="20% - Accent1 10 4 2 2" xfId="28149"/>
    <cellStyle name="20% - Accent1 10 4 3" xfId="17381"/>
    <cellStyle name="20% - Accent1 10 5" xfId="59"/>
    <cellStyle name="20% - Accent1 10 5 2" xfId="17185"/>
    <cellStyle name="20% - Accent1 10 5 2 2" xfId="30544"/>
    <cellStyle name="20% - Accent1 10 5 3" xfId="17382"/>
    <cellStyle name="20% - Accent1 10 6" xfId="8821"/>
    <cellStyle name="20% - Accent1 10 6 2" xfId="23296"/>
    <cellStyle name="20% - Accent1 10 7" xfId="17376"/>
    <cellStyle name="20% - Accent1 11" xfId="60"/>
    <cellStyle name="20% - Accent1 11 2" xfId="61"/>
    <cellStyle name="20% - Accent1 11 2 2" xfId="10547"/>
    <cellStyle name="20% - Accent1 11 2 2 2" xfId="24489"/>
    <cellStyle name="20% - Accent1 11 2 3" xfId="17384"/>
    <cellStyle name="20% - Accent1 11 3" xfId="62"/>
    <cellStyle name="20% - Accent1 11 3 2" xfId="12645"/>
    <cellStyle name="20% - Accent1 11 3 2 2" xfId="26357"/>
    <cellStyle name="20% - Accent1 11 3 3" xfId="17385"/>
    <cellStyle name="20% - Accent1 11 4" xfId="63"/>
    <cellStyle name="20% - Accent1 11 4 2" xfId="14598"/>
    <cellStyle name="20% - Accent1 11 4 2 2" xfId="28147"/>
    <cellStyle name="20% - Accent1 11 4 3" xfId="17386"/>
    <cellStyle name="20% - Accent1 11 5" xfId="64"/>
    <cellStyle name="20% - Accent1 11 5 2" xfId="17274"/>
    <cellStyle name="20% - Accent1 11 5 2 2" xfId="30633"/>
    <cellStyle name="20% - Accent1 11 5 3" xfId="17387"/>
    <cellStyle name="20% - Accent1 11 6" xfId="8822"/>
    <cellStyle name="20% - Accent1 11 6 2" xfId="23297"/>
    <cellStyle name="20% - Accent1 11 7" xfId="17383"/>
    <cellStyle name="20% - Accent1 12" xfId="65"/>
    <cellStyle name="20% - Accent1 12 2" xfId="66"/>
    <cellStyle name="20% - Accent1 12 2 2" xfId="67"/>
    <cellStyle name="20% - Accent1 12 2 2 2" xfId="10549"/>
    <cellStyle name="20% - Accent1 12 2 2 2 2" xfId="24491"/>
    <cellStyle name="20% - Accent1 12 2 2 3" xfId="17390"/>
    <cellStyle name="20% - Accent1 12 2 3" xfId="68"/>
    <cellStyle name="20% - Accent1 12 2 3 2" xfId="12765"/>
    <cellStyle name="20% - Accent1 12 2 3 2 2" xfId="26477"/>
    <cellStyle name="20% - Accent1 12 2 3 3" xfId="17391"/>
    <cellStyle name="20% - Accent1 12 2 4" xfId="69"/>
    <cellStyle name="20% - Accent1 12 2 4 2" xfId="14596"/>
    <cellStyle name="20% - Accent1 12 2 4 2 2" xfId="28145"/>
    <cellStyle name="20% - Accent1 12 2 4 3" xfId="17392"/>
    <cellStyle name="20% - Accent1 12 2 5" xfId="8824"/>
    <cellStyle name="20% - Accent1 12 2 5 2" xfId="23299"/>
    <cellStyle name="20% - Accent1 12 2 6" xfId="17389"/>
    <cellStyle name="20% - Accent1 12 3" xfId="70"/>
    <cellStyle name="20% - Accent1 12 3 2" xfId="10548"/>
    <cellStyle name="20% - Accent1 12 3 2 2" xfId="24490"/>
    <cellStyle name="20% - Accent1 12 3 3" xfId="17393"/>
    <cellStyle name="20% - Accent1 12 4" xfId="71"/>
    <cellStyle name="20% - Accent1 12 4 2" xfId="12433"/>
    <cellStyle name="20% - Accent1 12 4 2 2" xfId="26145"/>
    <cellStyle name="20% - Accent1 12 4 3" xfId="17394"/>
    <cellStyle name="20% - Accent1 12 5" xfId="72"/>
    <cellStyle name="20% - Accent1 12 5 2" xfId="14597"/>
    <cellStyle name="20% - Accent1 12 5 2 2" xfId="28146"/>
    <cellStyle name="20% - Accent1 12 5 3" xfId="17395"/>
    <cellStyle name="20% - Accent1 12 6" xfId="73"/>
    <cellStyle name="20% - Accent1 12 6 2" xfId="16426"/>
    <cellStyle name="20% - Accent1 12 6 2 2" xfId="29833"/>
    <cellStyle name="20% - Accent1 12 6 3" xfId="17396"/>
    <cellStyle name="20% - Accent1 12 7" xfId="8823"/>
    <cellStyle name="20% - Accent1 12 7 2" xfId="23298"/>
    <cellStyle name="20% - Accent1 12 8" xfId="17388"/>
    <cellStyle name="20% - Accent1 13" xfId="74"/>
    <cellStyle name="20% - Accent1 13 2" xfId="75"/>
    <cellStyle name="20% - Accent1 13 2 2" xfId="10550"/>
    <cellStyle name="20% - Accent1 13 2 2 2" xfId="24492"/>
    <cellStyle name="20% - Accent1 13 2 3" xfId="17398"/>
    <cellStyle name="20% - Accent1 13 3" xfId="76"/>
    <cellStyle name="20% - Accent1 13 3 2" xfId="12634"/>
    <cellStyle name="20% - Accent1 13 3 2 2" xfId="26346"/>
    <cellStyle name="20% - Accent1 13 3 3" xfId="17399"/>
    <cellStyle name="20% - Accent1 13 4" xfId="77"/>
    <cellStyle name="20% - Accent1 13 4 2" xfId="14595"/>
    <cellStyle name="20% - Accent1 13 4 2 2" xfId="28144"/>
    <cellStyle name="20% - Accent1 13 4 3" xfId="17400"/>
    <cellStyle name="20% - Accent1 13 5" xfId="8825"/>
    <cellStyle name="20% - Accent1 13 5 2" xfId="23300"/>
    <cellStyle name="20% - Accent1 13 6" xfId="17397"/>
    <cellStyle name="20% - Accent1 14" xfId="78"/>
    <cellStyle name="20% - Accent1 14 2" xfId="79"/>
    <cellStyle name="20% - Accent1 14 2 2" xfId="10551"/>
    <cellStyle name="20% - Accent1 14 2 2 2" xfId="24493"/>
    <cellStyle name="20% - Accent1 14 2 3" xfId="17402"/>
    <cellStyle name="20% - Accent1 14 3" xfId="80"/>
    <cellStyle name="20% - Accent1 14 3 2" xfId="12602"/>
    <cellStyle name="20% - Accent1 14 3 2 2" xfId="26314"/>
    <cellStyle name="20% - Accent1 14 3 3" xfId="17403"/>
    <cellStyle name="20% - Accent1 14 4" xfId="81"/>
    <cellStyle name="20% - Accent1 14 4 2" xfId="14594"/>
    <cellStyle name="20% - Accent1 14 4 2 2" xfId="28143"/>
    <cellStyle name="20% - Accent1 14 4 3" xfId="17404"/>
    <cellStyle name="20% - Accent1 14 5" xfId="8826"/>
    <cellStyle name="20% - Accent1 14 5 2" xfId="23301"/>
    <cellStyle name="20% - Accent1 14 6" xfId="17401"/>
    <cellStyle name="20% - Accent1 15" xfId="82"/>
    <cellStyle name="20% - Accent1 15 2" xfId="83"/>
    <cellStyle name="20% - Accent1 15 2 2" xfId="10552"/>
    <cellStyle name="20% - Accent1 15 2 2 2" xfId="24494"/>
    <cellStyle name="20% - Accent1 15 2 3" xfId="17406"/>
    <cellStyle name="20% - Accent1 15 3" xfId="84"/>
    <cellStyle name="20% - Accent1 15 3 2" xfId="12475"/>
    <cellStyle name="20% - Accent1 15 3 2 2" xfId="26187"/>
    <cellStyle name="20% - Accent1 15 3 3" xfId="17407"/>
    <cellStyle name="20% - Accent1 15 4" xfId="85"/>
    <cellStyle name="20% - Accent1 15 4 2" xfId="14593"/>
    <cellStyle name="20% - Accent1 15 4 2 2" xfId="28142"/>
    <cellStyle name="20% - Accent1 15 4 3" xfId="17408"/>
    <cellStyle name="20% - Accent1 15 5" xfId="8827"/>
    <cellStyle name="20% - Accent1 15 5 2" xfId="23302"/>
    <cellStyle name="20% - Accent1 15 6" xfId="17405"/>
    <cellStyle name="20% - Accent1 16" xfId="86"/>
    <cellStyle name="20% - Accent1 16 2" xfId="87"/>
    <cellStyle name="20% - Accent1 16 2 2" xfId="10553"/>
    <cellStyle name="20% - Accent1 16 2 2 2" xfId="24495"/>
    <cellStyle name="20% - Accent1 16 2 3" xfId="17410"/>
    <cellStyle name="20% - Accent1 16 3" xfId="88"/>
    <cellStyle name="20% - Accent1 16 3 2" xfId="12498"/>
    <cellStyle name="20% - Accent1 16 3 2 2" xfId="26210"/>
    <cellStyle name="20% - Accent1 16 3 3" xfId="17411"/>
    <cellStyle name="20% - Accent1 16 4" xfId="89"/>
    <cellStyle name="20% - Accent1 16 4 2" xfId="14592"/>
    <cellStyle name="20% - Accent1 16 4 2 2" xfId="28141"/>
    <cellStyle name="20% - Accent1 16 4 3" xfId="17412"/>
    <cellStyle name="20% - Accent1 16 5" xfId="8828"/>
    <cellStyle name="20% - Accent1 16 5 2" xfId="23303"/>
    <cellStyle name="20% - Accent1 16 6" xfId="17409"/>
    <cellStyle name="20% - Accent1 17" xfId="90"/>
    <cellStyle name="20% - Accent1 17 2" xfId="91"/>
    <cellStyle name="20% - Accent1 17 2 2" xfId="10554"/>
    <cellStyle name="20% - Accent1 17 2 2 2" xfId="24496"/>
    <cellStyle name="20% - Accent1 17 2 3" xfId="17414"/>
    <cellStyle name="20% - Accent1 17 3" xfId="92"/>
    <cellStyle name="20% - Accent1 17 3 2" xfId="12112"/>
    <cellStyle name="20% - Accent1 17 3 2 2" xfId="25824"/>
    <cellStyle name="20% - Accent1 17 3 3" xfId="17415"/>
    <cellStyle name="20% - Accent1 17 4" xfId="93"/>
    <cellStyle name="20% - Accent1 17 4 2" xfId="14591"/>
    <cellStyle name="20% - Accent1 17 4 2 2" xfId="28140"/>
    <cellStyle name="20% - Accent1 17 4 3" xfId="17416"/>
    <cellStyle name="20% - Accent1 17 5" xfId="8829"/>
    <cellStyle name="20% - Accent1 17 5 2" xfId="23304"/>
    <cellStyle name="20% - Accent1 17 6" xfId="17413"/>
    <cellStyle name="20% - Accent1 18" xfId="94"/>
    <cellStyle name="20% - Accent1 18 2" xfId="95"/>
    <cellStyle name="20% - Accent1 18 2 2" xfId="10555"/>
    <cellStyle name="20% - Accent1 18 2 2 2" xfId="24497"/>
    <cellStyle name="20% - Accent1 18 2 3" xfId="17418"/>
    <cellStyle name="20% - Accent1 18 3" xfId="96"/>
    <cellStyle name="20% - Accent1 18 3 2" xfId="12802"/>
    <cellStyle name="20% - Accent1 18 3 2 2" xfId="26514"/>
    <cellStyle name="20% - Accent1 18 3 3" xfId="17419"/>
    <cellStyle name="20% - Accent1 18 4" xfId="97"/>
    <cellStyle name="20% - Accent1 18 4 2" xfId="14540"/>
    <cellStyle name="20% - Accent1 18 4 2 2" xfId="28089"/>
    <cellStyle name="20% - Accent1 18 4 3" xfId="17420"/>
    <cellStyle name="20% - Accent1 18 5" xfId="8830"/>
    <cellStyle name="20% - Accent1 18 5 2" xfId="23305"/>
    <cellStyle name="20% - Accent1 18 6" xfId="17417"/>
    <cellStyle name="20% - Accent1 19" xfId="98"/>
    <cellStyle name="20% - Accent1 19 2" xfId="99"/>
    <cellStyle name="20% - Accent1 19 2 2" xfId="11710"/>
    <cellStyle name="20% - Accent1 19 2 2 2" xfId="25430"/>
    <cellStyle name="20% - Accent1 19 2 3" xfId="17422"/>
    <cellStyle name="20% - Accent1 19 3" xfId="100"/>
    <cellStyle name="20% - Accent1 19 3 2" xfId="12757"/>
    <cellStyle name="20% - Accent1 19 3 2 2" xfId="26469"/>
    <cellStyle name="20% - Accent1 19 3 3" xfId="17423"/>
    <cellStyle name="20% - Accent1 19 4" xfId="101"/>
    <cellStyle name="20% - Accent1 19 4 2" xfId="14590"/>
    <cellStyle name="20% - Accent1 19 4 2 2" xfId="28139"/>
    <cellStyle name="20% - Accent1 19 4 3" xfId="17424"/>
    <cellStyle name="20% - Accent1 19 5" xfId="10462"/>
    <cellStyle name="20% - Accent1 19 5 2" xfId="24421"/>
    <cellStyle name="20% - Accent1 19 6" xfId="17421"/>
    <cellStyle name="20% - Accent1 2" xfId="102"/>
    <cellStyle name="20% - Accent1 2 10" xfId="103"/>
    <cellStyle name="20% - Accent1 2 10 2" xfId="104"/>
    <cellStyle name="20% - Accent1 2 10 2 2" xfId="14588"/>
    <cellStyle name="20% - Accent1 2 10 2 2 2" xfId="28137"/>
    <cellStyle name="20% - Accent1 2 10 2 3" xfId="17427"/>
    <cellStyle name="20% - Accent1 2 10 3" xfId="11835"/>
    <cellStyle name="20% - Accent1 2 10 3 2" xfId="25550"/>
    <cellStyle name="20% - Accent1 2 10 4" xfId="17426"/>
    <cellStyle name="20% - Accent1 2 11" xfId="105"/>
    <cellStyle name="20% - Accent1 2 11 2" xfId="12718"/>
    <cellStyle name="20% - Accent1 2 11 2 2" xfId="26430"/>
    <cellStyle name="20% - Accent1 2 11 3" xfId="17428"/>
    <cellStyle name="20% - Accent1 2 12" xfId="106"/>
    <cellStyle name="20% - Accent1 2 12 2" xfId="13435"/>
    <cellStyle name="20% - Accent1 2 12 2 2" xfId="26984"/>
    <cellStyle name="20% - Accent1 2 12 3" xfId="17429"/>
    <cellStyle name="20% - Accent1 2 13" xfId="107"/>
    <cellStyle name="20% - Accent1 2 13 2" xfId="14016"/>
    <cellStyle name="20% - Accent1 2 13 2 2" xfId="27565"/>
    <cellStyle name="20% - Accent1 2 13 3" xfId="17430"/>
    <cellStyle name="20% - Accent1 2 14" xfId="108"/>
    <cellStyle name="20% - Accent1 2 14 2" xfId="14589"/>
    <cellStyle name="20% - Accent1 2 14 2 2" xfId="28138"/>
    <cellStyle name="20% - Accent1 2 14 3" xfId="17431"/>
    <cellStyle name="20% - Accent1 2 15" xfId="109"/>
    <cellStyle name="20% - Accent1 2 15 2" xfId="15902"/>
    <cellStyle name="20% - Accent1 2 15 2 2" xfId="29309"/>
    <cellStyle name="20% - Accent1 2 15 3" xfId="17432"/>
    <cellStyle name="20% - Accent1 2 16" xfId="8831"/>
    <cellStyle name="20% - Accent1 2 16 2" xfId="23306"/>
    <cellStyle name="20% - Accent1 2 17" xfId="17425"/>
    <cellStyle name="20% - Accent1 2 18" xfId="33062"/>
    <cellStyle name="20% - Accent1 2 2" xfId="110"/>
    <cellStyle name="20% - Accent1 2 2 10" xfId="111"/>
    <cellStyle name="20% - Accent1 2 2 10 2" xfId="14587"/>
    <cellStyle name="20% - Accent1 2 2 10 2 2" xfId="28136"/>
    <cellStyle name="20% - Accent1 2 2 10 3" xfId="17434"/>
    <cellStyle name="20% - Accent1 2 2 11" xfId="112"/>
    <cellStyle name="20% - Accent1 2 2 11 2" xfId="15948"/>
    <cellStyle name="20% - Accent1 2 2 11 2 2" xfId="29355"/>
    <cellStyle name="20% - Accent1 2 2 11 3" xfId="17435"/>
    <cellStyle name="20% - Accent1 2 2 12" xfId="8832"/>
    <cellStyle name="20% - Accent1 2 2 12 2" xfId="23307"/>
    <cellStyle name="20% - Accent1 2 2 13" xfId="17433"/>
    <cellStyle name="20% - Accent1 2 2 2" xfId="113"/>
    <cellStyle name="20% - Accent1 2 2 2 10" xfId="114"/>
    <cellStyle name="20% - Accent1 2 2 2 10 2" xfId="16091"/>
    <cellStyle name="20% - Accent1 2 2 2 10 2 2" xfId="29498"/>
    <cellStyle name="20% - Accent1 2 2 2 10 3" xfId="17437"/>
    <cellStyle name="20% - Accent1 2 2 2 11" xfId="8833"/>
    <cellStyle name="20% - Accent1 2 2 2 11 2" xfId="23308"/>
    <cellStyle name="20% - Accent1 2 2 2 12" xfId="17436"/>
    <cellStyle name="20% - Accent1 2 2 2 2" xfId="115"/>
    <cellStyle name="20% - Accent1 2 2 2 2 10" xfId="8834"/>
    <cellStyle name="20% - Accent1 2 2 2 2 10 2" xfId="23309"/>
    <cellStyle name="20% - Accent1 2 2 2 2 11" xfId="17438"/>
    <cellStyle name="20% - Accent1 2 2 2 2 2" xfId="116"/>
    <cellStyle name="20% - Accent1 2 2 2 2 2 2" xfId="117"/>
    <cellStyle name="20% - Accent1 2 2 2 2 2 2 2" xfId="10560"/>
    <cellStyle name="20% - Accent1 2 2 2 2 2 2 2 2" xfId="24502"/>
    <cellStyle name="20% - Accent1 2 2 2 2 2 2 3" xfId="17440"/>
    <cellStyle name="20% - Accent1 2 2 2 2 2 3" xfId="118"/>
    <cellStyle name="20% - Accent1 2 2 2 2 2 3 2" xfId="12489"/>
    <cellStyle name="20% - Accent1 2 2 2 2 2 3 2 2" xfId="26201"/>
    <cellStyle name="20% - Accent1 2 2 2 2 2 3 3" xfId="17441"/>
    <cellStyle name="20% - Accent1 2 2 2 2 2 4" xfId="119"/>
    <cellStyle name="20% - Accent1 2 2 2 2 2 4 2" xfId="14584"/>
    <cellStyle name="20% - Accent1 2 2 2 2 2 4 2 2" xfId="28133"/>
    <cellStyle name="20% - Accent1 2 2 2 2 2 4 3" xfId="17442"/>
    <cellStyle name="20% - Accent1 2 2 2 2 2 5" xfId="120"/>
    <cellStyle name="20% - Accent1 2 2 2 2 2 5 2" xfId="16961"/>
    <cellStyle name="20% - Accent1 2 2 2 2 2 5 2 2" xfId="30368"/>
    <cellStyle name="20% - Accent1 2 2 2 2 2 5 3" xfId="17443"/>
    <cellStyle name="20% - Accent1 2 2 2 2 2 6" xfId="8835"/>
    <cellStyle name="20% - Accent1 2 2 2 2 2 6 2" xfId="23310"/>
    <cellStyle name="20% - Accent1 2 2 2 2 2 7" xfId="17439"/>
    <cellStyle name="20% - Accent1 2 2 2 2 3" xfId="121"/>
    <cellStyle name="20% - Accent1 2 2 2 2 3 2" xfId="122"/>
    <cellStyle name="20% - Accent1 2 2 2 2 3 2 2" xfId="14583"/>
    <cellStyle name="20% - Accent1 2 2 2 2 3 2 2 2" xfId="28132"/>
    <cellStyle name="20% - Accent1 2 2 2 2 3 2 3" xfId="17445"/>
    <cellStyle name="20% - Accent1 2 2 2 2 3 3" xfId="10559"/>
    <cellStyle name="20% - Accent1 2 2 2 2 3 3 2" xfId="24501"/>
    <cellStyle name="20% - Accent1 2 2 2 2 3 4" xfId="17444"/>
    <cellStyle name="20% - Accent1 2 2 2 2 4" xfId="123"/>
    <cellStyle name="20% - Accent1 2 2 2 2 4 2" xfId="12349"/>
    <cellStyle name="20% - Accent1 2 2 2 2 4 2 2" xfId="26061"/>
    <cellStyle name="20% - Accent1 2 2 2 2 4 3" xfId="17446"/>
    <cellStyle name="20% - Accent1 2 2 2 2 5" xfId="124"/>
    <cellStyle name="20% - Accent1 2 2 2 2 5 2" xfId="12777"/>
    <cellStyle name="20% - Accent1 2 2 2 2 5 2 2" xfId="26489"/>
    <cellStyle name="20% - Accent1 2 2 2 2 5 3" xfId="17447"/>
    <cellStyle name="20% - Accent1 2 2 2 2 6" xfId="125"/>
    <cellStyle name="20% - Accent1 2 2 2 2 6 2" xfId="13913"/>
    <cellStyle name="20% - Accent1 2 2 2 2 6 2 2" xfId="27462"/>
    <cellStyle name="20% - Accent1 2 2 2 2 6 3" xfId="17448"/>
    <cellStyle name="20% - Accent1 2 2 2 2 7" xfId="126"/>
    <cellStyle name="20% - Accent1 2 2 2 2 7 2" xfId="14494"/>
    <cellStyle name="20% - Accent1 2 2 2 2 7 2 2" xfId="28043"/>
    <cellStyle name="20% - Accent1 2 2 2 2 7 3" xfId="17449"/>
    <cellStyle name="20% - Accent1 2 2 2 2 8" xfId="127"/>
    <cellStyle name="20% - Accent1 2 2 2 2 8 2" xfId="14585"/>
    <cellStyle name="20% - Accent1 2 2 2 2 8 2 2" xfId="28134"/>
    <cellStyle name="20% - Accent1 2 2 2 2 8 3" xfId="17450"/>
    <cellStyle name="20% - Accent1 2 2 2 2 9" xfId="128"/>
    <cellStyle name="20% - Accent1 2 2 2 2 9 2" xfId="16380"/>
    <cellStyle name="20% - Accent1 2 2 2 2 9 2 2" xfId="29787"/>
    <cellStyle name="20% - Accent1 2 2 2 2 9 3" xfId="17451"/>
    <cellStyle name="20% - Accent1 2 2 2 3" xfId="129"/>
    <cellStyle name="20% - Accent1 2 2 2 3 2" xfId="130"/>
    <cellStyle name="20% - Accent1 2 2 2 3 2 2" xfId="10561"/>
    <cellStyle name="20% - Accent1 2 2 2 3 2 2 2" xfId="24503"/>
    <cellStyle name="20% - Accent1 2 2 2 3 2 3" xfId="17453"/>
    <cellStyle name="20% - Accent1 2 2 2 3 3" xfId="131"/>
    <cellStyle name="20% - Accent1 2 2 2 3 3 2" xfId="11776"/>
    <cellStyle name="20% - Accent1 2 2 2 3 3 2 2" xfId="25491"/>
    <cellStyle name="20% - Accent1 2 2 2 3 3 3" xfId="17454"/>
    <cellStyle name="20% - Accent1 2 2 2 3 4" xfId="132"/>
    <cellStyle name="20% - Accent1 2 2 2 3 4 2" xfId="14582"/>
    <cellStyle name="20% - Accent1 2 2 2 3 4 2 2" xfId="28131"/>
    <cellStyle name="20% - Accent1 2 2 2 3 4 3" xfId="17455"/>
    <cellStyle name="20% - Accent1 2 2 2 3 5" xfId="133"/>
    <cellStyle name="20% - Accent1 2 2 2 3 5 2" xfId="16672"/>
    <cellStyle name="20% - Accent1 2 2 2 3 5 2 2" xfId="30079"/>
    <cellStyle name="20% - Accent1 2 2 2 3 5 3" xfId="17456"/>
    <cellStyle name="20% - Accent1 2 2 2 3 6" xfId="8836"/>
    <cellStyle name="20% - Accent1 2 2 2 3 6 2" xfId="23311"/>
    <cellStyle name="20% - Accent1 2 2 2 3 7" xfId="17452"/>
    <cellStyle name="20% - Accent1 2 2 2 4" xfId="134"/>
    <cellStyle name="20% - Accent1 2 2 2 4 2" xfId="135"/>
    <cellStyle name="20% - Accent1 2 2 2 4 2 2" xfId="14581"/>
    <cellStyle name="20% - Accent1 2 2 2 4 2 2 2" xfId="28130"/>
    <cellStyle name="20% - Accent1 2 2 2 4 2 3" xfId="17458"/>
    <cellStyle name="20% - Accent1 2 2 2 4 3" xfId="10558"/>
    <cellStyle name="20% - Accent1 2 2 2 4 3 2" xfId="24500"/>
    <cellStyle name="20% - Accent1 2 2 2 4 4" xfId="17457"/>
    <cellStyle name="20% - Accent1 2 2 2 5" xfId="136"/>
    <cellStyle name="20% - Accent1 2 2 2 5 2" xfId="12049"/>
    <cellStyle name="20% - Accent1 2 2 2 5 2 2" xfId="25764"/>
    <cellStyle name="20% - Accent1 2 2 2 5 3" xfId="17459"/>
    <cellStyle name="20% - Accent1 2 2 2 6" xfId="137"/>
    <cellStyle name="20% - Accent1 2 2 2 6 2" xfId="12750"/>
    <cellStyle name="20% - Accent1 2 2 2 6 2 2" xfId="26462"/>
    <cellStyle name="20% - Accent1 2 2 2 6 3" xfId="17460"/>
    <cellStyle name="20% - Accent1 2 2 2 7" xfId="138"/>
    <cellStyle name="20% - Accent1 2 2 2 7 2" xfId="13624"/>
    <cellStyle name="20% - Accent1 2 2 2 7 2 2" xfId="27173"/>
    <cellStyle name="20% - Accent1 2 2 2 7 3" xfId="17461"/>
    <cellStyle name="20% - Accent1 2 2 2 8" xfId="139"/>
    <cellStyle name="20% - Accent1 2 2 2 8 2" xfId="14205"/>
    <cellStyle name="20% - Accent1 2 2 2 8 2 2" xfId="27754"/>
    <cellStyle name="20% - Accent1 2 2 2 8 3" xfId="17462"/>
    <cellStyle name="20% - Accent1 2 2 2 9" xfId="140"/>
    <cellStyle name="20% - Accent1 2 2 2 9 2" xfId="14586"/>
    <cellStyle name="20% - Accent1 2 2 2 9 2 2" xfId="28135"/>
    <cellStyle name="20% - Accent1 2 2 2 9 3" xfId="17463"/>
    <cellStyle name="20% - Accent1 2 2 3" xfId="141"/>
    <cellStyle name="20% - Accent1 2 2 3 10" xfId="8837"/>
    <cellStyle name="20% - Accent1 2 2 3 10 2" xfId="23312"/>
    <cellStyle name="20% - Accent1 2 2 3 11" xfId="17464"/>
    <cellStyle name="20% - Accent1 2 2 3 2" xfId="142"/>
    <cellStyle name="20% - Accent1 2 2 3 2 2" xfId="143"/>
    <cellStyle name="20% - Accent1 2 2 3 2 2 2" xfId="10563"/>
    <cellStyle name="20% - Accent1 2 2 3 2 2 2 2" xfId="24505"/>
    <cellStyle name="20% - Accent1 2 2 3 2 2 3" xfId="17466"/>
    <cellStyle name="20% - Accent1 2 2 3 2 3" xfId="144"/>
    <cellStyle name="20% - Accent1 2 2 3 2 3 2" xfId="12713"/>
    <cellStyle name="20% - Accent1 2 2 3 2 3 2 2" xfId="26425"/>
    <cellStyle name="20% - Accent1 2 2 3 2 3 3" xfId="17467"/>
    <cellStyle name="20% - Accent1 2 2 3 2 4" xfId="145"/>
    <cellStyle name="20% - Accent1 2 2 3 2 4 2" xfId="14579"/>
    <cellStyle name="20% - Accent1 2 2 3 2 4 2 2" xfId="28128"/>
    <cellStyle name="20% - Accent1 2 2 3 2 4 3" xfId="17468"/>
    <cellStyle name="20% - Accent1 2 2 3 2 5" xfId="146"/>
    <cellStyle name="20% - Accent1 2 2 3 2 5 2" xfId="16818"/>
    <cellStyle name="20% - Accent1 2 2 3 2 5 2 2" xfId="30225"/>
    <cellStyle name="20% - Accent1 2 2 3 2 5 3" xfId="17469"/>
    <cellStyle name="20% - Accent1 2 2 3 2 6" xfId="8838"/>
    <cellStyle name="20% - Accent1 2 2 3 2 6 2" xfId="23313"/>
    <cellStyle name="20% - Accent1 2 2 3 2 7" xfId="17465"/>
    <cellStyle name="20% - Accent1 2 2 3 3" xfId="147"/>
    <cellStyle name="20% - Accent1 2 2 3 3 2" xfId="148"/>
    <cellStyle name="20% - Accent1 2 2 3 3 2 2" xfId="14578"/>
    <cellStyle name="20% - Accent1 2 2 3 3 2 2 2" xfId="28127"/>
    <cellStyle name="20% - Accent1 2 2 3 3 2 3" xfId="17471"/>
    <cellStyle name="20% - Accent1 2 2 3 3 3" xfId="10562"/>
    <cellStyle name="20% - Accent1 2 2 3 3 3 2" xfId="24504"/>
    <cellStyle name="20% - Accent1 2 2 3 3 4" xfId="17470"/>
    <cellStyle name="20% - Accent1 2 2 3 4" xfId="149"/>
    <cellStyle name="20% - Accent1 2 2 3 4 2" xfId="12206"/>
    <cellStyle name="20% - Accent1 2 2 3 4 2 2" xfId="25918"/>
    <cellStyle name="20% - Accent1 2 2 3 4 3" xfId="17472"/>
    <cellStyle name="20% - Accent1 2 2 3 5" xfId="150"/>
    <cellStyle name="20% - Accent1 2 2 3 5 2" xfId="12579"/>
    <cellStyle name="20% - Accent1 2 2 3 5 2 2" xfId="26291"/>
    <cellStyle name="20% - Accent1 2 2 3 5 3" xfId="17473"/>
    <cellStyle name="20% - Accent1 2 2 3 6" xfId="151"/>
    <cellStyle name="20% - Accent1 2 2 3 6 2" xfId="13770"/>
    <cellStyle name="20% - Accent1 2 2 3 6 2 2" xfId="27319"/>
    <cellStyle name="20% - Accent1 2 2 3 6 3" xfId="17474"/>
    <cellStyle name="20% - Accent1 2 2 3 7" xfId="152"/>
    <cellStyle name="20% - Accent1 2 2 3 7 2" xfId="14351"/>
    <cellStyle name="20% - Accent1 2 2 3 7 2 2" xfId="27900"/>
    <cellStyle name="20% - Accent1 2 2 3 7 3" xfId="17475"/>
    <cellStyle name="20% - Accent1 2 2 3 8" xfId="153"/>
    <cellStyle name="20% - Accent1 2 2 3 8 2" xfId="14580"/>
    <cellStyle name="20% - Accent1 2 2 3 8 2 2" xfId="28129"/>
    <cellStyle name="20% - Accent1 2 2 3 8 3" xfId="17476"/>
    <cellStyle name="20% - Accent1 2 2 3 9" xfId="154"/>
    <cellStyle name="20% - Accent1 2 2 3 9 2" xfId="16237"/>
    <cellStyle name="20% - Accent1 2 2 3 9 2 2" xfId="29644"/>
    <cellStyle name="20% - Accent1 2 2 3 9 3" xfId="17477"/>
    <cellStyle name="20% - Accent1 2 2 4" xfId="155"/>
    <cellStyle name="20% - Accent1 2 2 4 2" xfId="156"/>
    <cellStyle name="20% - Accent1 2 2 4 2 2" xfId="10564"/>
    <cellStyle name="20% - Accent1 2 2 4 2 2 2" xfId="24506"/>
    <cellStyle name="20% - Accent1 2 2 4 2 3" xfId="17479"/>
    <cellStyle name="20% - Accent1 2 2 4 3" xfId="157"/>
    <cellStyle name="20% - Accent1 2 2 4 3 2" xfId="12115"/>
    <cellStyle name="20% - Accent1 2 2 4 3 2 2" xfId="25827"/>
    <cellStyle name="20% - Accent1 2 2 4 3 3" xfId="17480"/>
    <cellStyle name="20% - Accent1 2 2 4 4" xfId="158"/>
    <cellStyle name="20% - Accent1 2 2 4 4 2" xfId="14577"/>
    <cellStyle name="20% - Accent1 2 2 4 4 2 2" xfId="28126"/>
    <cellStyle name="20% - Accent1 2 2 4 4 3" xfId="17481"/>
    <cellStyle name="20% - Accent1 2 2 4 5" xfId="159"/>
    <cellStyle name="20% - Accent1 2 2 4 5 2" xfId="17165"/>
    <cellStyle name="20% - Accent1 2 2 4 5 2 2" xfId="30524"/>
    <cellStyle name="20% - Accent1 2 2 4 5 3" xfId="17482"/>
    <cellStyle name="20% - Accent1 2 2 4 6" xfId="8839"/>
    <cellStyle name="20% - Accent1 2 2 4 6 2" xfId="23314"/>
    <cellStyle name="20% - Accent1 2 2 4 7" xfId="17478"/>
    <cellStyle name="20% - Accent1 2 2 5" xfId="160"/>
    <cellStyle name="20% - Accent1 2 2 5 2" xfId="161"/>
    <cellStyle name="20% - Accent1 2 2 5 2 2" xfId="14576"/>
    <cellStyle name="20% - Accent1 2 2 5 2 2 2" xfId="28125"/>
    <cellStyle name="20% - Accent1 2 2 5 2 3" xfId="17484"/>
    <cellStyle name="20% - Accent1 2 2 5 3" xfId="162"/>
    <cellStyle name="20% - Accent1 2 2 5 3 2" xfId="17254"/>
    <cellStyle name="20% - Accent1 2 2 5 3 2 2" xfId="30613"/>
    <cellStyle name="20% - Accent1 2 2 5 3 3" xfId="17485"/>
    <cellStyle name="20% - Accent1 2 2 5 4" xfId="10557"/>
    <cellStyle name="20% - Accent1 2 2 5 4 2" xfId="24499"/>
    <cellStyle name="20% - Accent1 2 2 5 5" xfId="17483"/>
    <cellStyle name="20% - Accent1 2 2 6" xfId="163"/>
    <cellStyle name="20% - Accent1 2 2 6 2" xfId="164"/>
    <cellStyle name="20% - Accent1 2 2 6 2 2" xfId="16529"/>
    <cellStyle name="20% - Accent1 2 2 6 2 2 2" xfId="29936"/>
    <cellStyle name="20% - Accent1 2 2 6 2 3" xfId="17487"/>
    <cellStyle name="20% - Accent1 2 2 6 3" xfId="11904"/>
    <cellStyle name="20% - Accent1 2 2 6 3 2" xfId="25619"/>
    <cellStyle name="20% - Accent1 2 2 6 4" xfId="17486"/>
    <cellStyle name="20% - Accent1 2 2 7" xfId="165"/>
    <cellStyle name="20% - Accent1 2 2 7 2" xfId="12416"/>
    <cellStyle name="20% - Accent1 2 2 7 2 2" xfId="26128"/>
    <cellStyle name="20% - Accent1 2 2 7 3" xfId="17488"/>
    <cellStyle name="20% - Accent1 2 2 8" xfId="166"/>
    <cellStyle name="20% - Accent1 2 2 8 2" xfId="13481"/>
    <cellStyle name="20% - Accent1 2 2 8 2 2" xfId="27030"/>
    <cellStyle name="20% - Accent1 2 2 8 3" xfId="17489"/>
    <cellStyle name="20% - Accent1 2 2 9" xfId="167"/>
    <cellStyle name="20% - Accent1 2 2 9 2" xfId="14062"/>
    <cellStyle name="20% - Accent1 2 2 9 2 2" xfId="27611"/>
    <cellStyle name="20% - Accent1 2 2 9 3" xfId="17490"/>
    <cellStyle name="20% - Accent1 2 3" xfId="168"/>
    <cellStyle name="20% - Accent1 2 3 10" xfId="169"/>
    <cellStyle name="20% - Accent1 2 3 10 2" xfId="16045"/>
    <cellStyle name="20% - Accent1 2 3 10 2 2" xfId="29452"/>
    <cellStyle name="20% - Accent1 2 3 10 3" xfId="17492"/>
    <cellStyle name="20% - Accent1 2 3 11" xfId="8840"/>
    <cellStyle name="20% - Accent1 2 3 11 2" xfId="23315"/>
    <cellStyle name="20% - Accent1 2 3 12" xfId="17491"/>
    <cellStyle name="20% - Accent1 2 3 2" xfId="170"/>
    <cellStyle name="20% - Accent1 2 3 2 10" xfId="8841"/>
    <cellStyle name="20% - Accent1 2 3 2 10 2" xfId="23316"/>
    <cellStyle name="20% - Accent1 2 3 2 11" xfId="17493"/>
    <cellStyle name="20% - Accent1 2 3 2 2" xfId="171"/>
    <cellStyle name="20% - Accent1 2 3 2 2 2" xfId="172"/>
    <cellStyle name="20% - Accent1 2 3 2 2 2 2" xfId="10567"/>
    <cellStyle name="20% - Accent1 2 3 2 2 2 2 2" xfId="24509"/>
    <cellStyle name="20% - Accent1 2 3 2 2 2 3" xfId="17495"/>
    <cellStyle name="20% - Accent1 2 3 2 2 3" xfId="173"/>
    <cellStyle name="20% - Accent1 2 3 2 2 3 2" xfId="12431"/>
    <cellStyle name="20% - Accent1 2 3 2 2 3 2 2" xfId="26143"/>
    <cellStyle name="20% - Accent1 2 3 2 2 3 3" xfId="17496"/>
    <cellStyle name="20% - Accent1 2 3 2 2 4" xfId="174"/>
    <cellStyle name="20% - Accent1 2 3 2 2 4 2" xfId="14617"/>
    <cellStyle name="20% - Accent1 2 3 2 2 4 2 2" xfId="28166"/>
    <cellStyle name="20% - Accent1 2 3 2 2 4 3" xfId="17497"/>
    <cellStyle name="20% - Accent1 2 3 2 2 5" xfId="175"/>
    <cellStyle name="20% - Accent1 2 3 2 2 5 2" xfId="16915"/>
    <cellStyle name="20% - Accent1 2 3 2 2 5 2 2" xfId="30322"/>
    <cellStyle name="20% - Accent1 2 3 2 2 5 3" xfId="17498"/>
    <cellStyle name="20% - Accent1 2 3 2 2 6" xfId="8842"/>
    <cellStyle name="20% - Accent1 2 3 2 2 6 2" xfId="23317"/>
    <cellStyle name="20% - Accent1 2 3 2 2 7" xfId="17494"/>
    <cellStyle name="20% - Accent1 2 3 2 3" xfId="176"/>
    <cellStyle name="20% - Accent1 2 3 2 3 2" xfId="177"/>
    <cellStyle name="20% - Accent1 2 3 2 3 2 2" xfId="14575"/>
    <cellStyle name="20% - Accent1 2 3 2 3 2 2 2" xfId="28124"/>
    <cellStyle name="20% - Accent1 2 3 2 3 2 3" xfId="17500"/>
    <cellStyle name="20% - Accent1 2 3 2 3 3" xfId="10566"/>
    <cellStyle name="20% - Accent1 2 3 2 3 3 2" xfId="24508"/>
    <cellStyle name="20% - Accent1 2 3 2 3 4" xfId="17499"/>
    <cellStyle name="20% - Accent1 2 3 2 4" xfId="178"/>
    <cellStyle name="20% - Accent1 2 3 2 4 2" xfId="12303"/>
    <cellStyle name="20% - Accent1 2 3 2 4 2 2" xfId="26015"/>
    <cellStyle name="20% - Accent1 2 3 2 4 3" xfId="17501"/>
    <cellStyle name="20% - Accent1 2 3 2 5" xfId="179"/>
    <cellStyle name="20% - Accent1 2 3 2 5 2" xfId="12542"/>
    <cellStyle name="20% - Accent1 2 3 2 5 2 2" xfId="26254"/>
    <cellStyle name="20% - Accent1 2 3 2 5 3" xfId="17502"/>
    <cellStyle name="20% - Accent1 2 3 2 6" xfId="180"/>
    <cellStyle name="20% - Accent1 2 3 2 6 2" xfId="13867"/>
    <cellStyle name="20% - Accent1 2 3 2 6 2 2" xfId="27416"/>
    <cellStyle name="20% - Accent1 2 3 2 6 3" xfId="17503"/>
    <cellStyle name="20% - Accent1 2 3 2 7" xfId="181"/>
    <cellStyle name="20% - Accent1 2 3 2 7 2" xfId="14448"/>
    <cellStyle name="20% - Accent1 2 3 2 7 2 2" xfId="27997"/>
    <cellStyle name="20% - Accent1 2 3 2 7 3" xfId="17504"/>
    <cellStyle name="20% - Accent1 2 3 2 8" xfId="182"/>
    <cellStyle name="20% - Accent1 2 3 2 8 2" xfId="14615"/>
    <cellStyle name="20% - Accent1 2 3 2 8 2 2" xfId="28164"/>
    <cellStyle name="20% - Accent1 2 3 2 8 3" xfId="17505"/>
    <cellStyle name="20% - Accent1 2 3 2 9" xfId="183"/>
    <cellStyle name="20% - Accent1 2 3 2 9 2" xfId="16334"/>
    <cellStyle name="20% - Accent1 2 3 2 9 2 2" xfId="29741"/>
    <cellStyle name="20% - Accent1 2 3 2 9 3" xfId="17506"/>
    <cellStyle name="20% - Accent1 2 3 3" xfId="184"/>
    <cellStyle name="20% - Accent1 2 3 3 2" xfId="185"/>
    <cellStyle name="20% - Accent1 2 3 3 2 2" xfId="10568"/>
    <cellStyle name="20% - Accent1 2 3 3 2 2 2" xfId="24510"/>
    <cellStyle name="20% - Accent1 2 3 3 2 3" xfId="17508"/>
    <cellStyle name="20% - Accent1 2 3 3 3" xfId="186"/>
    <cellStyle name="20% - Accent1 2 3 3 3 2" xfId="11852"/>
    <cellStyle name="20% - Accent1 2 3 3 3 2 2" xfId="25567"/>
    <cellStyle name="20% - Accent1 2 3 3 3 3" xfId="17509"/>
    <cellStyle name="20% - Accent1 2 3 3 4" xfId="187"/>
    <cellStyle name="20% - Accent1 2 3 3 4 2" xfId="14574"/>
    <cellStyle name="20% - Accent1 2 3 3 4 2 2" xfId="28123"/>
    <cellStyle name="20% - Accent1 2 3 3 4 3" xfId="17510"/>
    <cellStyle name="20% - Accent1 2 3 3 5" xfId="188"/>
    <cellStyle name="20% - Accent1 2 3 3 5 2" xfId="16626"/>
    <cellStyle name="20% - Accent1 2 3 3 5 2 2" xfId="30033"/>
    <cellStyle name="20% - Accent1 2 3 3 5 3" xfId="17511"/>
    <cellStyle name="20% - Accent1 2 3 3 6" xfId="8843"/>
    <cellStyle name="20% - Accent1 2 3 3 6 2" xfId="23318"/>
    <cellStyle name="20% - Accent1 2 3 3 7" xfId="17507"/>
    <cellStyle name="20% - Accent1 2 3 4" xfId="189"/>
    <cellStyle name="20% - Accent1 2 3 4 2" xfId="190"/>
    <cellStyle name="20% - Accent1 2 3 4 2 2" xfId="14573"/>
    <cellStyle name="20% - Accent1 2 3 4 2 2 2" xfId="28122"/>
    <cellStyle name="20% - Accent1 2 3 4 2 3" xfId="17513"/>
    <cellStyle name="20% - Accent1 2 3 4 3" xfId="10565"/>
    <cellStyle name="20% - Accent1 2 3 4 3 2" xfId="24507"/>
    <cellStyle name="20% - Accent1 2 3 4 4" xfId="17512"/>
    <cellStyle name="20% - Accent1 2 3 5" xfId="191"/>
    <cellStyle name="20% - Accent1 2 3 5 2" xfId="12003"/>
    <cellStyle name="20% - Accent1 2 3 5 2 2" xfId="25718"/>
    <cellStyle name="20% - Accent1 2 3 5 3" xfId="17514"/>
    <cellStyle name="20% - Accent1 2 3 6" xfId="192"/>
    <cellStyle name="20% - Accent1 2 3 6 2" xfId="12694"/>
    <cellStyle name="20% - Accent1 2 3 6 2 2" xfId="26406"/>
    <cellStyle name="20% - Accent1 2 3 6 3" xfId="17515"/>
    <cellStyle name="20% - Accent1 2 3 7" xfId="193"/>
    <cellStyle name="20% - Accent1 2 3 7 2" xfId="13578"/>
    <cellStyle name="20% - Accent1 2 3 7 2 2" xfId="27127"/>
    <cellStyle name="20% - Accent1 2 3 7 3" xfId="17516"/>
    <cellStyle name="20% - Accent1 2 3 8" xfId="194"/>
    <cellStyle name="20% - Accent1 2 3 8 2" xfId="14159"/>
    <cellStyle name="20% - Accent1 2 3 8 2 2" xfId="27708"/>
    <cellStyle name="20% - Accent1 2 3 8 3" xfId="17517"/>
    <cellStyle name="20% - Accent1 2 3 9" xfId="195"/>
    <cellStyle name="20% - Accent1 2 3 9 2" xfId="14616"/>
    <cellStyle name="20% - Accent1 2 3 9 2 2" xfId="28165"/>
    <cellStyle name="20% - Accent1 2 3 9 3" xfId="17518"/>
    <cellStyle name="20% - Accent1 2 4" xfId="196"/>
    <cellStyle name="20% - Accent1 2 4 10" xfId="8844"/>
    <cellStyle name="20% - Accent1 2 4 10 2" xfId="23319"/>
    <cellStyle name="20% - Accent1 2 4 11" xfId="17519"/>
    <cellStyle name="20% - Accent1 2 4 2" xfId="197"/>
    <cellStyle name="20% - Accent1 2 4 2 2" xfId="198"/>
    <cellStyle name="20% - Accent1 2 4 2 2 2" xfId="10570"/>
    <cellStyle name="20% - Accent1 2 4 2 2 2 2" xfId="24512"/>
    <cellStyle name="20% - Accent1 2 4 2 2 3" xfId="17521"/>
    <cellStyle name="20% - Accent1 2 4 2 3" xfId="199"/>
    <cellStyle name="20% - Accent1 2 4 2 3 2" xfId="11757"/>
    <cellStyle name="20% - Accent1 2 4 2 3 2 2" xfId="25472"/>
    <cellStyle name="20% - Accent1 2 4 2 3 3" xfId="17522"/>
    <cellStyle name="20% - Accent1 2 4 2 4" xfId="200"/>
    <cellStyle name="20% - Accent1 2 4 2 4 2" xfId="14571"/>
    <cellStyle name="20% - Accent1 2 4 2 4 2 2" xfId="28120"/>
    <cellStyle name="20% - Accent1 2 4 2 4 3" xfId="17523"/>
    <cellStyle name="20% - Accent1 2 4 2 5" xfId="201"/>
    <cellStyle name="20% - Accent1 2 4 2 5 2" xfId="16772"/>
    <cellStyle name="20% - Accent1 2 4 2 5 2 2" xfId="30179"/>
    <cellStyle name="20% - Accent1 2 4 2 5 3" xfId="17524"/>
    <cellStyle name="20% - Accent1 2 4 2 6" xfId="8845"/>
    <cellStyle name="20% - Accent1 2 4 2 6 2" xfId="23320"/>
    <cellStyle name="20% - Accent1 2 4 2 7" xfId="17520"/>
    <cellStyle name="20% - Accent1 2 4 3" xfId="202"/>
    <cellStyle name="20% - Accent1 2 4 3 2" xfId="203"/>
    <cellStyle name="20% - Accent1 2 4 3 2 2" xfId="14570"/>
    <cellStyle name="20% - Accent1 2 4 3 2 2 2" xfId="28119"/>
    <cellStyle name="20% - Accent1 2 4 3 2 3" xfId="17526"/>
    <cellStyle name="20% - Accent1 2 4 3 3" xfId="10569"/>
    <cellStyle name="20% - Accent1 2 4 3 3 2" xfId="24511"/>
    <cellStyle name="20% - Accent1 2 4 3 4" xfId="17525"/>
    <cellStyle name="20% - Accent1 2 4 4" xfId="204"/>
    <cellStyle name="20% - Accent1 2 4 4 2" xfId="12160"/>
    <cellStyle name="20% - Accent1 2 4 4 2 2" xfId="25872"/>
    <cellStyle name="20% - Accent1 2 4 4 3" xfId="17527"/>
    <cellStyle name="20% - Accent1 2 4 5" xfId="205"/>
    <cellStyle name="20% - Accent1 2 4 5 2" xfId="12509"/>
    <cellStyle name="20% - Accent1 2 4 5 2 2" xfId="26221"/>
    <cellStyle name="20% - Accent1 2 4 5 3" xfId="17528"/>
    <cellStyle name="20% - Accent1 2 4 6" xfId="206"/>
    <cellStyle name="20% - Accent1 2 4 6 2" xfId="13724"/>
    <cellStyle name="20% - Accent1 2 4 6 2 2" xfId="27273"/>
    <cellStyle name="20% - Accent1 2 4 6 3" xfId="17529"/>
    <cellStyle name="20% - Accent1 2 4 7" xfId="207"/>
    <cellStyle name="20% - Accent1 2 4 7 2" xfId="14305"/>
    <cellStyle name="20% - Accent1 2 4 7 2 2" xfId="27854"/>
    <cellStyle name="20% - Accent1 2 4 7 3" xfId="17530"/>
    <cellStyle name="20% - Accent1 2 4 8" xfId="208"/>
    <cellStyle name="20% - Accent1 2 4 8 2" xfId="14572"/>
    <cellStyle name="20% - Accent1 2 4 8 2 2" xfId="28121"/>
    <cellStyle name="20% - Accent1 2 4 8 3" xfId="17531"/>
    <cellStyle name="20% - Accent1 2 4 9" xfId="209"/>
    <cellStyle name="20% - Accent1 2 4 9 2" xfId="16191"/>
    <cellStyle name="20% - Accent1 2 4 9 2 2" xfId="29598"/>
    <cellStyle name="20% - Accent1 2 4 9 3" xfId="17532"/>
    <cellStyle name="20% - Accent1 2 5" xfId="210"/>
    <cellStyle name="20% - Accent1 2 5 2" xfId="211"/>
    <cellStyle name="20% - Accent1 2 5 2 2" xfId="212"/>
    <cellStyle name="20% - Accent1 2 5 2 2 2" xfId="10572"/>
    <cellStyle name="20% - Accent1 2 5 2 2 2 2" xfId="24514"/>
    <cellStyle name="20% - Accent1 2 5 2 2 3" xfId="17535"/>
    <cellStyle name="20% - Accent1 2 5 2 3" xfId="213"/>
    <cellStyle name="20% - Accent1 2 5 2 3 2" xfId="12681"/>
    <cellStyle name="20% - Accent1 2 5 2 3 2 2" xfId="26393"/>
    <cellStyle name="20% - Accent1 2 5 2 3 3" xfId="17536"/>
    <cellStyle name="20% - Accent1 2 5 2 4" xfId="214"/>
    <cellStyle name="20% - Accent1 2 5 2 4 2" xfId="14568"/>
    <cellStyle name="20% - Accent1 2 5 2 4 2 2" xfId="28117"/>
    <cellStyle name="20% - Accent1 2 5 2 4 3" xfId="17537"/>
    <cellStyle name="20% - Accent1 2 5 2 5" xfId="8847"/>
    <cellStyle name="20% - Accent1 2 5 2 5 2" xfId="23322"/>
    <cellStyle name="20% - Accent1 2 5 2 6" xfId="17534"/>
    <cellStyle name="20% - Accent1 2 5 3" xfId="215"/>
    <cellStyle name="20% - Accent1 2 5 3 2" xfId="10571"/>
    <cellStyle name="20% - Accent1 2 5 3 2 2" xfId="24513"/>
    <cellStyle name="20% - Accent1 2 5 3 3" xfId="17538"/>
    <cellStyle name="20% - Accent1 2 5 4" xfId="216"/>
    <cellStyle name="20% - Accent1 2 5 4 2" xfId="12591"/>
    <cellStyle name="20% - Accent1 2 5 4 2 2" xfId="26303"/>
    <cellStyle name="20% - Accent1 2 5 4 3" xfId="17539"/>
    <cellStyle name="20% - Accent1 2 5 5" xfId="217"/>
    <cellStyle name="20% - Accent1 2 5 5 2" xfId="14569"/>
    <cellStyle name="20% - Accent1 2 5 5 2 2" xfId="28118"/>
    <cellStyle name="20% - Accent1 2 5 5 3" xfId="17540"/>
    <cellStyle name="20% - Accent1 2 5 6" xfId="218"/>
    <cellStyle name="20% - Accent1 2 5 6 2" xfId="17007"/>
    <cellStyle name="20% - Accent1 2 5 6 2 2" xfId="30414"/>
    <cellStyle name="20% - Accent1 2 5 6 3" xfId="17541"/>
    <cellStyle name="20% - Accent1 2 5 7" xfId="8846"/>
    <cellStyle name="20% - Accent1 2 5 7 2" xfId="23321"/>
    <cellStyle name="20% - Accent1 2 5 8" xfId="17533"/>
    <cellStyle name="20% - Accent1 2 6" xfId="219"/>
    <cellStyle name="20% - Accent1 2 6 2" xfId="220"/>
    <cellStyle name="20% - Accent1 2 6 2 2" xfId="10573"/>
    <cellStyle name="20% - Accent1 2 6 2 2 2" xfId="24515"/>
    <cellStyle name="20% - Accent1 2 6 2 3" xfId="17543"/>
    <cellStyle name="20% - Accent1 2 6 3" xfId="221"/>
    <cellStyle name="20% - Accent1 2 6 3 2" xfId="11758"/>
    <cellStyle name="20% - Accent1 2 6 3 2 2" xfId="25473"/>
    <cellStyle name="20% - Accent1 2 6 3 3" xfId="17544"/>
    <cellStyle name="20% - Accent1 2 6 4" xfId="222"/>
    <cellStyle name="20% - Accent1 2 6 4 2" xfId="14567"/>
    <cellStyle name="20% - Accent1 2 6 4 2 2" xfId="28116"/>
    <cellStyle name="20% - Accent1 2 6 4 3" xfId="17545"/>
    <cellStyle name="20% - Accent1 2 6 5" xfId="223"/>
    <cellStyle name="20% - Accent1 2 6 5 2" xfId="17119"/>
    <cellStyle name="20% - Accent1 2 6 5 2 2" xfId="30478"/>
    <cellStyle name="20% - Accent1 2 6 5 3" xfId="17546"/>
    <cellStyle name="20% - Accent1 2 6 6" xfId="8848"/>
    <cellStyle name="20% - Accent1 2 6 6 2" xfId="23323"/>
    <cellStyle name="20% - Accent1 2 6 7" xfId="17542"/>
    <cellStyle name="20% - Accent1 2 7" xfId="224"/>
    <cellStyle name="20% - Accent1 2 7 2" xfId="225"/>
    <cellStyle name="20% - Accent1 2 7 2 2" xfId="10574"/>
    <cellStyle name="20% - Accent1 2 7 2 2 2" xfId="24516"/>
    <cellStyle name="20% - Accent1 2 7 2 3" xfId="17548"/>
    <cellStyle name="20% - Accent1 2 7 3" xfId="226"/>
    <cellStyle name="20% - Accent1 2 7 3 2" xfId="12419"/>
    <cellStyle name="20% - Accent1 2 7 3 2 2" xfId="26131"/>
    <cellStyle name="20% - Accent1 2 7 3 3" xfId="17549"/>
    <cellStyle name="20% - Accent1 2 7 4" xfId="227"/>
    <cellStyle name="20% - Accent1 2 7 4 2" xfId="14566"/>
    <cellStyle name="20% - Accent1 2 7 4 2 2" xfId="28115"/>
    <cellStyle name="20% - Accent1 2 7 4 3" xfId="17550"/>
    <cellStyle name="20% - Accent1 2 7 5" xfId="228"/>
    <cellStyle name="20% - Accent1 2 7 5 2" xfId="17208"/>
    <cellStyle name="20% - Accent1 2 7 5 2 2" xfId="30567"/>
    <cellStyle name="20% - Accent1 2 7 5 3" xfId="17551"/>
    <cellStyle name="20% - Accent1 2 7 6" xfId="8849"/>
    <cellStyle name="20% - Accent1 2 7 6 2" xfId="23324"/>
    <cellStyle name="20% - Accent1 2 7 7" xfId="17547"/>
    <cellStyle name="20% - Accent1 2 8" xfId="229"/>
    <cellStyle name="20% - Accent1 2 8 2" xfId="230"/>
    <cellStyle name="20% - Accent1 2 8 2 2" xfId="12482"/>
    <cellStyle name="20% - Accent1 2 8 2 2 2" xfId="26194"/>
    <cellStyle name="20% - Accent1 2 8 2 3" xfId="17553"/>
    <cellStyle name="20% - Accent1 2 8 3" xfId="231"/>
    <cellStyle name="20% - Accent1 2 8 3 2" xfId="14565"/>
    <cellStyle name="20% - Accent1 2 8 3 2 2" xfId="28114"/>
    <cellStyle name="20% - Accent1 2 8 3 3" xfId="17554"/>
    <cellStyle name="20% - Accent1 2 8 4" xfId="232"/>
    <cellStyle name="20% - Accent1 2 8 4 2" xfId="16483"/>
    <cellStyle name="20% - Accent1 2 8 4 2 2" xfId="29890"/>
    <cellStyle name="20% - Accent1 2 8 4 3" xfId="17555"/>
    <cellStyle name="20% - Accent1 2 8 5" xfId="10528"/>
    <cellStyle name="20% - Accent1 2 8 5 2" xfId="24470"/>
    <cellStyle name="20% - Accent1 2 8 6" xfId="17552"/>
    <cellStyle name="20% - Accent1 2 9" xfId="233"/>
    <cellStyle name="20% - Accent1 2 9 2" xfId="234"/>
    <cellStyle name="20% - Accent1 2 9 2 2" xfId="12644"/>
    <cellStyle name="20% - Accent1 2 9 2 2 2" xfId="26356"/>
    <cellStyle name="20% - Accent1 2 9 2 3" xfId="17557"/>
    <cellStyle name="20% - Accent1 2 9 3" xfId="235"/>
    <cellStyle name="20% - Accent1 2 9 3 2" xfId="14564"/>
    <cellStyle name="20% - Accent1 2 9 3 2 2" xfId="28113"/>
    <cellStyle name="20% - Accent1 2 9 3 3" xfId="17558"/>
    <cellStyle name="20% - Accent1 2 9 4" xfId="10556"/>
    <cellStyle name="20% - Accent1 2 9 4 2" xfId="24498"/>
    <cellStyle name="20% - Accent1 2 9 5" xfId="17556"/>
    <cellStyle name="20% - Accent1 20" xfId="236"/>
    <cellStyle name="20% - Accent1 20 2" xfId="237"/>
    <cellStyle name="20% - Accent1 20 2 2" xfId="12477"/>
    <cellStyle name="20% - Accent1 20 2 2 2" xfId="26189"/>
    <cellStyle name="20% - Accent1 20 2 3" xfId="17560"/>
    <cellStyle name="20% - Accent1 20 3" xfId="238"/>
    <cellStyle name="20% - Accent1 20 3 2" xfId="14563"/>
    <cellStyle name="20% - Accent1 20 3 2 2" xfId="28112"/>
    <cellStyle name="20% - Accent1 20 3 3" xfId="17561"/>
    <cellStyle name="20% - Accent1 20 4" xfId="10503"/>
    <cellStyle name="20% - Accent1 20 4 2" xfId="24451"/>
    <cellStyle name="20% - Accent1 20 5" xfId="17559"/>
    <cellStyle name="20% - Accent1 21" xfId="239"/>
    <cellStyle name="20% - Accent1 21 2" xfId="240"/>
    <cellStyle name="20% - Accent1 21 2 2" xfId="12766"/>
    <cellStyle name="20% - Accent1 21 2 2 2" xfId="26478"/>
    <cellStyle name="20% - Accent1 21 2 3" xfId="17563"/>
    <cellStyle name="20% - Accent1 21 3" xfId="241"/>
    <cellStyle name="20% - Accent1 21 3 2" xfId="14562"/>
    <cellStyle name="20% - Accent1 21 3 2 2" xfId="28111"/>
    <cellStyle name="20% - Accent1 21 3 3" xfId="17564"/>
    <cellStyle name="20% - Accent1 21 4" xfId="10545"/>
    <cellStyle name="20% - Accent1 21 4 2" xfId="24487"/>
    <cellStyle name="20% - Accent1 21 5" xfId="17562"/>
    <cellStyle name="20% - Accent1 22" xfId="242"/>
    <cellStyle name="20% - Accent1 22 2" xfId="11739"/>
    <cellStyle name="20% - Accent1 22 2 2" xfId="25454"/>
    <cellStyle name="20% - Accent1 22 3" xfId="17565"/>
    <cellStyle name="20% - Accent1 23" xfId="243"/>
    <cellStyle name="20% - Accent1 23 2" xfId="12680"/>
    <cellStyle name="20% - Accent1 23 2 2" xfId="26392"/>
    <cellStyle name="20% - Accent1 23 3" xfId="17566"/>
    <cellStyle name="20% - Accent1 24" xfId="244"/>
    <cellStyle name="20% - Accent1 24 2" xfId="13378"/>
    <cellStyle name="20% - Accent1 24 2 2" xfId="26927"/>
    <cellStyle name="20% - Accent1 24 3" xfId="17567"/>
    <cellStyle name="20% - Accent1 25" xfId="245"/>
    <cellStyle name="20% - Accent1 25 2" xfId="13959"/>
    <cellStyle name="20% - Accent1 25 2 2" xfId="27508"/>
    <cellStyle name="20% - Accent1 25 3" xfId="17568"/>
    <cellStyle name="20% - Accent1 26" xfId="246"/>
    <cellStyle name="20% - Accent1 26 2" xfId="14601"/>
    <cellStyle name="20% - Accent1 26 2 2" xfId="28150"/>
    <cellStyle name="20% - Accent1 26 3" xfId="17569"/>
    <cellStyle name="20% - Accent1 27" xfId="247"/>
    <cellStyle name="20% - Accent1 27 2" xfId="15840"/>
    <cellStyle name="20% - Accent1 27 2 2" xfId="29247"/>
    <cellStyle name="20% - Accent1 27 3" xfId="17570"/>
    <cellStyle name="20% - Accent1 28" xfId="248"/>
    <cellStyle name="20% - Accent1 28 2" xfId="15845"/>
    <cellStyle name="20% - Accent1 28 2 2" xfId="29252"/>
    <cellStyle name="20% - Accent1 28 3" xfId="17571"/>
    <cellStyle name="20% - Accent1 29" xfId="249"/>
    <cellStyle name="20% - Accent1 29 2" xfId="8820"/>
    <cellStyle name="20% - Accent1 29 2 2" xfId="23295"/>
    <cellStyle name="20% - Accent1 29 3" xfId="17572"/>
    <cellStyle name="20% - Accent1 3" xfId="250"/>
    <cellStyle name="20% - Accent1 3 10" xfId="251"/>
    <cellStyle name="20% - Accent1 3 10 2" xfId="14039"/>
    <cellStyle name="20% - Accent1 3 10 2 2" xfId="27588"/>
    <cellStyle name="20% - Accent1 3 10 3" xfId="17574"/>
    <cellStyle name="20% - Accent1 3 11" xfId="252"/>
    <cellStyle name="20% - Accent1 3 11 2" xfId="14561"/>
    <cellStyle name="20% - Accent1 3 11 2 2" xfId="28110"/>
    <cellStyle name="20% - Accent1 3 11 3" xfId="17575"/>
    <cellStyle name="20% - Accent1 3 12" xfId="253"/>
    <cellStyle name="20% - Accent1 3 12 2" xfId="15925"/>
    <cellStyle name="20% - Accent1 3 12 2 2" xfId="29332"/>
    <cellStyle name="20% - Accent1 3 12 3" xfId="17576"/>
    <cellStyle name="20% - Accent1 3 13" xfId="8850"/>
    <cellStyle name="20% - Accent1 3 13 2" xfId="23325"/>
    <cellStyle name="20% - Accent1 3 14" xfId="17573"/>
    <cellStyle name="20% - Accent1 3 2" xfId="254"/>
    <cellStyle name="20% - Accent1 3 2 10" xfId="255"/>
    <cellStyle name="20% - Accent1 3 2 10 2" xfId="16068"/>
    <cellStyle name="20% - Accent1 3 2 10 2 2" xfId="29475"/>
    <cellStyle name="20% - Accent1 3 2 10 3" xfId="17578"/>
    <cellStyle name="20% - Accent1 3 2 11" xfId="8851"/>
    <cellStyle name="20% - Accent1 3 2 11 2" xfId="23326"/>
    <cellStyle name="20% - Accent1 3 2 12" xfId="17577"/>
    <cellStyle name="20% - Accent1 3 2 2" xfId="256"/>
    <cellStyle name="20% - Accent1 3 2 2 10" xfId="8852"/>
    <cellStyle name="20% - Accent1 3 2 2 10 2" xfId="23327"/>
    <cellStyle name="20% - Accent1 3 2 2 11" xfId="17579"/>
    <cellStyle name="20% - Accent1 3 2 2 2" xfId="257"/>
    <cellStyle name="20% - Accent1 3 2 2 2 2" xfId="258"/>
    <cellStyle name="20% - Accent1 3 2 2 2 2 2" xfId="10578"/>
    <cellStyle name="20% - Accent1 3 2 2 2 2 2 2" xfId="24520"/>
    <cellStyle name="20% - Accent1 3 2 2 2 2 3" xfId="17581"/>
    <cellStyle name="20% - Accent1 3 2 2 2 3" xfId="259"/>
    <cellStyle name="20% - Accent1 3 2 2 2 3 2" xfId="12594"/>
    <cellStyle name="20% - Accent1 3 2 2 2 3 2 2" xfId="26306"/>
    <cellStyle name="20% - Accent1 3 2 2 2 3 3" xfId="17582"/>
    <cellStyle name="20% - Accent1 3 2 2 2 4" xfId="260"/>
    <cellStyle name="20% - Accent1 3 2 2 2 4 2" xfId="14558"/>
    <cellStyle name="20% - Accent1 3 2 2 2 4 2 2" xfId="28107"/>
    <cellStyle name="20% - Accent1 3 2 2 2 4 3" xfId="17583"/>
    <cellStyle name="20% - Accent1 3 2 2 2 5" xfId="261"/>
    <cellStyle name="20% - Accent1 3 2 2 2 5 2" xfId="16938"/>
    <cellStyle name="20% - Accent1 3 2 2 2 5 2 2" xfId="30345"/>
    <cellStyle name="20% - Accent1 3 2 2 2 5 3" xfId="17584"/>
    <cellStyle name="20% - Accent1 3 2 2 2 6" xfId="8853"/>
    <cellStyle name="20% - Accent1 3 2 2 2 6 2" xfId="23328"/>
    <cellStyle name="20% - Accent1 3 2 2 2 7" xfId="17580"/>
    <cellStyle name="20% - Accent1 3 2 2 3" xfId="262"/>
    <cellStyle name="20% - Accent1 3 2 2 3 2" xfId="263"/>
    <cellStyle name="20% - Accent1 3 2 2 3 2 2" xfId="14557"/>
    <cellStyle name="20% - Accent1 3 2 2 3 2 2 2" xfId="28106"/>
    <cellStyle name="20% - Accent1 3 2 2 3 2 3" xfId="17586"/>
    <cellStyle name="20% - Accent1 3 2 2 3 3" xfId="10577"/>
    <cellStyle name="20% - Accent1 3 2 2 3 3 2" xfId="24519"/>
    <cellStyle name="20% - Accent1 3 2 2 3 4" xfId="17585"/>
    <cellStyle name="20% - Accent1 3 2 2 4" xfId="264"/>
    <cellStyle name="20% - Accent1 3 2 2 4 2" xfId="12326"/>
    <cellStyle name="20% - Accent1 3 2 2 4 2 2" xfId="26038"/>
    <cellStyle name="20% - Accent1 3 2 2 4 3" xfId="17587"/>
    <cellStyle name="20% - Accent1 3 2 2 5" xfId="265"/>
    <cellStyle name="20% - Accent1 3 2 2 5 2" xfId="12526"/>
    <cellStyle name="20% - Accent1 3 2 2 5 2 2" xfId="26238"/>
    <cellStyle name="20% - Accent1 3 2 2 5 3" xfId="17588"/>
    <cellStyle name="20% - Accent1 3 2 2 6" xfId="266"/>
    <cellStyle name="20% - Accent1 3 2 2 6 2" xfId="13890"/>
    <cellStyle name="20% - Accent1 3 2 2 6 2 2" xfId="27439"/>
    <cellStyle name="20% - Accent1 3 2 2 6 3" xfId="17589"/>
    <cellStyle name="20% - Accent1 3 2 2 7" xfId="267"/>
    <cellStyle name="20% - Accent1 3 2 2 7 2" xfId="14471"/>
    <cellStyle name="20% - Accent1 3 2 2 7 2 2" xfId="28020"/>
    <cellStyle name="20% - Accent1 3 2 2 7 3" xfId="17590"/>
    <cellStyle name="20% - Accent1 3 2 2 8" xfId="268"/>
    <cellStyle name="20% - Accent1 3 2 2 8 2" xfId="14559"/>
    <cellStyle name="20% - Accent1 3 2 2 8 2 2" xfId="28108"/>
    <cellStyle name="20% - Accent1 3 2 2 8 3" xfId="17591"/>
    <cellStyle name="20% - Accent1 3 2 2 9" xfId="269"/>
    <cellStyle name="20% - Accent1 3 2 2 9 2" xfId="16357"/>
    <cellStyle name="20% - Accent1 3 2 2 9 2 2" xfId="29764"/>
    <cellStyle name="20% - Accent1 3 2 2 9 3" xfId="17592"/>
    <cellStyle name="20% - Accent1 3 2 3" xfId="270"/>
    <cellStyle name="20% - Accent1 3 2 3 2" xfId="271"/>
    <cellStyle name="20% - Accent1 3 2 3 2 2" xfId="10579"/>
    <cellStyle name="20% - Accent1 3 2 3 2 2 2" xfId="24521"/>
    <cellStyle name="20% - Accent1 3 2 3 2 3" xfId="17594"/>
    <cellStyle name="20% - Accent1 3 2 3 3" xfId="272"/>
    <cellStyle name="20% - Accent1 3 2 3 3 2" xfId="12597"/>
    <cellStyle name="20% - Accent1 3 2 3 3 2 2" xfId="26309"/>
    <cellStyle name="20% - Accent1 3 2 3 3 3" xfId="17595"/>
    <cellStyle name="20% - Accent1 3 2 3 4" xfId="273"/>
    <cellStyle name="20% - Accent1 3 2 3 4 2" xfId="14556"/>
    <cellStyle name="20% - Accent1 3 2 3 4 2 2" xfId="28105"/>
    <cellStyle name="20% - Accent1 3 2 3 4 3" xfId="17596"/>
    <cellStyle name="20% - Accent1 3 2 3 5" xfId="274"/>
    <cellStyle name="20% - Accent1 3 2 3 5 2" xfId="16649"/>
    <cellStyle name="20% - Accent1 3 2 3 5 2 2" xfId="30056"/>
    <cellStyle name="20% - Accent1 3 2 3 5 3" xfId="17597"/>
    <cellStyle name="20% - Accent1 3 2 3 6" xfId="8854"/>
    <cellStyle name="20% - Accent1 3 2 3 6 2" xfId="23329"/>
    <cellStyle name="20% - Accent1 3 2 3 7" xfId="17593"/>
    <cellStyle name="20% - Accent1 3 2 4" xfId="275"/>
    <cellStyle name="20% - Accent1 3 2 4 2" xfId="276"/>
    <cellStyle name="20% - Accent1 3 2 4 2 2" xfId="14618"/>
    <cellStyle name="20% - Accent1 3 2 4 2 2 2" xfId="28167"/>
    <cellStyle name="20% - Accent1 3 2 4 2 3" xfId="17599"/>
    <cellStyle name="20% - Accent1 3 2 4 3" xfId="10576"/>
    <cellStyle name="20% - Accent1 3 2 4 3 2" xfId="24518"/>
    <cellStyle name="20% - Accent1 3 2 4 4" xfId="17598"/>
    <cellStyle name="20% - Accent1 3 2 5" xfId="277"/>
    <cellStyle name="20% - Accent1 3 2 5 2" xfId="12026"/>
    <cellStyle name="20% - Accent1 3 2 5 2 2" xfId="25741"/>
    <cellStyle name="20% - Accent1 3 2 5 3" xfId="17600"/>
    <cellStyle name="20% - Accent1 3 2 6" xfId="278"/>
    <cellStyle name="20% - Accent1 3 2 6 2" xfId="12442"/>
    <cellStyle name="20% - Accent1 3 2 6 2 2" xfId="26154"/>
    <cellStyle name="20% - Accent1 3 2 6 3" xfId="17601"/>
    <cellStyle name="20% - Accent1 3 2 7" xfId="279"/>
    <cellStyle name="20% - Accent1 3 2 7 2" xfId="13601"/>
    <cellStyle name="20% - Accent1 3 2 7 2 2" xfId="27150"/>
    <cellStyle name="20% - Accent1 3 2 7 3" xfId="17602"/>
    <cellStyle name="20% - Accent1 3 2 8" xfId="280"/>
    <cellStyle name="20% - Accent1 3 2 8 2" xfId="14182"/>
    <cellStyle name="20% - Accent1 3 2 8 2 2" xfId="27731"/>
    <cellStyle name="20% - Accent1 3 2 8 3" xfId="17603"/>
    <cellStyle name="20% - Accent1 3 2 9" xfId="281"/>
    <cellStyle name="20% - Accent1 3 2 9 2" xfId="14560"/>
    <cellStyle name="20% - Accent1 3 2 9 2 2" xfId="28109"/>
    <cellStyle name="20% - Accent1 3 2 9 3" xfId="17604"/>
    <cellStyle name="20% - Accent1 3 3" xfId="282"/>
    <cellStyle name="20% - Accent1 3 3 10" xfId="8855"/>
    <cellStyle name="20% - Accent1 3 3 10 2" xfId="23330"/>
    <cellStyle name="20% - Accent1 3 3 11" xfId="17605"/>
    <cellStyle name="20% - Accent1 3 3 2" xfId="283"/>
    <cellStyle name="20% - Accent1 3 3 2 2" xfId="284"/>
    <cellStyle name="20% - Accent1 3 3 2 2 2" xfId="10581"/>
    <cellStyle name="20% - Accent1 3 3 2 2 2 2" xfId="24523"/>
    <cellStyle name="20% - Accent1 3 3 2 2 3" xfId="17607"/>
    <cellStyle name="20% - Accent1 3 3 2 3" xfId="285"/>
    <cellStyle name="20% - Accent1 3 3 2 3 2" xfId="12470"/>
    <cellStyle name="20% - Accent1 3 3 2 3 2 2" xfId="26182"/>
    <cellStyle name="20% - Accent1 3 3 2 3 3" xfId="17608"/>
    <cellStyle name="20% - Accent1 3 3 2 4" xfId="286"/>
    <cellStyle name="20% - Accent1 3 3 2 4 2" xfId="14602"/>
    <cellStyle name="20% - Accent1 3 3 2 4 2 2" xfId="28151"/>
    <cellStyle name="20% - Accent1 3 3 2 4 3" xfId="17609"/>
    <cellStyle name="20% - Accent1 3 3 2 5" xfId="287"/>
    <cellStyle name="20% - Accent1 3 3 2 5 2" xfId="16795"/>
    <cellStyle name="20% - Accent1 3 3 2 5 2 2" xfId="30202"/>
    <cellStyle name="20% - Accent1 3 3 2 5 3" xfId="17610"/>
    <cellStyle name="20% - Accent1 3 3 2 6" xfId="8856"/>
    <cellStyle name="20% - Accent1 3 3 2 6 2" xfId="23331"/>
    <cellStyle name="20% - Accent1 3 3 2 7" xfId="17606"/>
    <cellStyle name="20% - Accent1 3 3 3" xfId="288"/>
    <cellStyle name="20% - Accent1 3 3 3 2" xfId="289"/>
    <cellStyle name="20% - Accent1 3 3 3 2 2" xfId="14603"/>
    <cellStyle name="20% - Accent1 3 3 3 2 2 2" xfId="28152"/>
    <cellStyle name="20% - Accent1 3 3 3 2 3" xfId="17612"/>
    <cellStyle name="20% - Accent1 3 3 3 3" xfId="10580"/>
    <cellStyle name="20% - Accent1 3 3 3 3 2" xfId="24522"/>
    <cellStyle name="20% - Accent1 3 3 3 4" xfId="17611"/>
    <cellStyle name="20% - Accent1 3 3 4" xfId="290"/>
    <cellStyle name="20% - Accent1 3 3 4 2" xfId="12183"/>
    <cellStyle name="20% - Accent1 3 3 4 2 2" xfId="25895"/>
    <cellStyle name="20% - Accent1 3 3 4 3" xfId="17613"/>
    <cellStyle name="20% - Accent1 3 3 5" xfId="291"/>
    <cellStyle name="20% - Accent1 3 3 5 2" xfId="12687"/>
    <cellStyle name="20% - Accent1 3 3 5 2 2" xfId="26399"/>
    <cellStyle name="20% - Accent1 3 3 5 3" xfId="17614"/>
    <cellStyle name="20% - Accent1 3 3 6" xfId="292"/>
    <cellStyle name="20% - Accent1 3 3 6 2" xfId="13747"/>
    <cellStyle name="20% - Accent1 3 3 6 2 2" xfId="27296"/>
    <cellStyle name="20% - Accent1 3 3 6 3" xfId="17615"/>
    <cellStyle name="20% - Accent1 3 3 7" xfId="293"/>
    <cellStyle name="20% - Accent1 3 3 7 2" xfId="14328"/>
    <cellStyle name="20% - Accent1 3 3 7 2 2" xfId="27877"/>
    <cellStyle name="20% - Accent1 3 3 7 3" xfId="17616"/>
    <cellStyle name="20% - Accent1 3 3 8" xfId="294"/>
    <cellStyle name="20% - Accent1 3 3 8 2" xfId="14555"/>
    <cellStyle name="20% - Accent1 3 3 8 2 2" xfId="28104"/>
    <cellStyle name="20% - Accent1 3 3 8 3" xfId="17617"/>
    <cellStyle name="20% - Accent1 3 3 9" xfId="295"/>
    <cellStyle name="20% - Accent1 3 3 9 2" xfId="16214"/>
    <cellStyle name="20% - Accent1 3 3 9 2 2" xfId="29621"/>
    <cellStyle name="20% - Accent1 3 3 9 3" xfId="17618"/>
    <cellStyle name="20% - Accent1 3 4" xfId="296"/>
    <cellStyle name="20% - Accent1 3 4 2" xfId="297"/>
    <cellStyle name="20% - Accent1 3 4 2 2" xfId="10582"/>
    <cellStyle name="20% - Accent1 3 4 2 2 2" xfId="24524"/>
    <cellStyle name="20% - Accent1 3 4 2 3" xfId="17620"/>
    <cellStyle name="20% - Accent1 3 4 3" xfId="298"/>
    <cellStyle name="20% - Accent1 3 4 3 2" xfId="11783"/>
    <cellStyle name="20% - Accent1 3 4 3 2 2" xfId="25498"/>
    <cellStyle name="20% - Accent1 3 4 3 3" xfId="17621"/>
    <cellStyle name="20% - Accent1 3 4 4" xfId="299"/>
    <cellStyle name="20% - Accent1 3 4 4 2" xfId="14554"/>
    <cellStyle name="20% - Accent1 3 4 4 2 2" xfId="28103"/>
    <cellStyle name="20% - Accent1 3 4 4 3" xfId="17622"/>
    <cellStyle name="20% - Accent1 3 4 5" xfId="300"/>
    <cellStyle name="20% - Accent1 3 4 5 2" xfId="17142"/>
    <cellStyle name="20% - Accent1 3 4 5 2 2" xfId="30501"/>
    <cellStyle name="20% - Accent1 3 4 5 3" xfId="17623"/>
    <cellStyle name="20% - Accent1 3 4 6" xfId="8857"/>
    <cellStyle name="20% - Accent1 3 4 6 2" xfId="23332"/>
    <cellStyle name="20% - Accent1 3 4 7" xfId="17619"/>
    <cellStyle name="20% - Accent1 3 5" xfId="301"/>
    <cellStyle name="20% - Accent1 3 5 2" xfId="302"/>
    <cellStyle name="20% - Accent1 3 5 2 2" xfId="10583"/>
    <cellStyle name="20% - Accent1 3 5 2 2 2" xfId="24525"/>
    <cellStyle name="20% - Accent1 3 5 2 3" xfId="17625"/>
    <cellStyle name="20% - Accent1 3 5 3" xfId="303"/>
    <cellStyle name="20% - Accent1 3 5 3 2" xfId="12710"/>
    <cellStyle name="20% - Accent1 3 5 3 2 2" xfId="26422"/>
    <cellStyle name="20% - Accent1 3 5 3 3" xfId="17626"/>
    <cellStyle name="20% - Accent1 3 5 4" xfId="304"/>
    <cellStyle name="20% - Accent1 3 5 4 2" xfId="14553"/>
    <cellStyle name="20% - Accent1 3 5 4 2 2" xfId="28102"/>
    <cellStyle name="20% - Accent1 3 5 4 3" xfId="17627"/>
    <cellStyle name="20% - Accent1 3 5 5" xfId="305"/>
    <cellStyle name="20% - Accent1 3 5 5 2" xfId="17231"/>
    <cellStyle name="20% - Accent1 3 5 5 2 2" xfId="30590"/>
    <cellStyle name="20% - Accent1 3 5 5 3" xfId="17628"/>
    <cellStyle name="20% - Accent1 3 5 6" xfId="8858"/>
    <cellStyle name="20% - Accent1 3 5 6 2" xfId="23333"/>
    <cellStyle name="20% - Accent1 3 5 7" xfId="17624"/>
    <cellStyle name="20% - Accent1 3 6" xfId="306"/>
    <cellStyle name="20% - Accent1 3 6 2" xfId="307"/>
    <cellStyle name="20% - Accent1 3 6 2 2" xfId="14552"/>
    <cellStyle name="20% - Accent1 3 6 2 2 2" xfId="28101"/>
    <cellStyle name="20% - Accent1 3 6 2 3" xfId="17630"/>
    <cellStyle name="20% - Accent1 3 6 3" xfId="308"/>
    <cellStyle name="20% - Accent1 3 6 3 2" xfId="16506"/>
    <cellStyle name="20% - Accent1 3 6 3 2 2" xfId="29913"/>
    <cellStyle name="20% - Accent1 3 6 3 3" xfId="17631"/>
    <cellStyle name="20% - Accent1 3 6 4" xfId="10575"/>
    <cellStyle name="20% - Accent1 3 6 4 2" xfId="24517"/>
    <cellStyle name="20% - Accent1 3 6 5" xfId="17629"/>
    <cellStyle name="20% - Accent1 3 7" xfId="309"/>
    <cellStyle name="20% - Accent1 3 7 2" xfId="11878"/>
    <cellStyle name="20% - Accent1 3 7 2 2" xfId="25593"/>
    <cellStyle name="20% - Accent1 3 7 3" xfId="17632"/>
    <cellStyle name="20% - Accent1 3 8" xfId="310"/>
    <cellStyle name="20% - Accent1 3 8 2" xfId="12569"/>
    <cellStyle name="20% - Accent1 3 8 2 2" xfId="26281"/>
    <cellStyle name="20% - Accent1 3 8 3" xfId="17633"/>
    <cellStyle name="20% - Accent1 3 9" xfId="311"/>
    <cellStyle name="20% - Accent1 3 9 2" xfId="13458"/>
    <cellStyle name="20% - Accent1 3 9 2 2" xfId="27007"/>
    <cellStyle name="20% - Accent1 3 9 3" xfId="17634"/>
    <cellStyle name="20% - Accent1 30" xfId="23246"/>
    <cellStyle name="20% - Accent1 4" xfId="312"/>
    <cellStyle name="20% - Accent1 4 10" xfId="313"/>
    <cellStyle name="20% - Accent1 4 10 2" xfId="14551"/>
    <cellStyle name="20% - Accent1 4 10 2 2" xfId="28100"/>
    <cellStyle name="20% - Accent1 4 10 3" xfId="17636"/>
    <cellStyle name="20% - Accent1 4 11" xfId="314"/>
    <cellStyle name="20% - Accent1 4 11 2" xfId="15879"/>
    <cellStyle name="20% - Accent1 4 11 2 2" xfId="29286"/>
    <cellStyle name="20% - Accent1 4 11 3" xfId="17637"/>
    <cellStyle name="20% - Accent1 4 12" xfId="8859"/>
    <cellStyle name="20% - Accent1 4 12 2" xfId="23334"/>
    <cellStyle name="20% - Accent1 4 13" xfId="17635"/>
    <cellStyle name="20% - Accent1 4 2" xfId="315"/>
    <cellStyle name="20% - Accent1 4 2 10" xfId="316"/>
    <cellStyle name="20% - Accent1 4 2 10 2" xfId="16022"/>
    <cellStyle name="20% - Accent1 4 2 10 2 2" xfId="29429"/>
    <cellStyle name="20% - Accent1 4 2 10 3" xfId="17639"/>
    <cellStyle name="20% - Accent1 4 2 11" xfId="8860"/>
    <cellStyle name="20% - Accent1 4 2 11 2" xfId="23335"/>
    <cellStyle name="20% - Accent1 4 2 12" xfId="17638"/>
    <cellStyle name="20% - Accent1 4 2 2" xfId="317"/>
    <cellStyle name="20% - Accent1 4 2 2 10" xfId="8861"/>
    <cellStyle name="20% - Accent1 4 2 2 10 2" xfId="23336"/>
    <cellStyle name="20% - Accent1 4 2 2 11" xfId="17640"/>
    <cellStyle name="20% - Accent1 4 2 2 2" xfId="318"/>
    <cellStyle name="20% - Accent1 4 2 2 2 2" xfId="319"/>
    <cellStyle name="20% - Accent1 4 2 2 2 2 2" xfId="10587"/>
    <cellStyle name="20% - Accent1 4 2 2 2 2 2 2" xfId="24529"/>
    <cellStyle name="20% - Accent1 4 2 2 2 2 3" xfId="17642"/>
    <cellStyle name="20% - Accent1 4 2 2 2 3" xfId="320"/>
    <cellStyle name="20% - Accent1 4 2 2 2 3 2" xfId="12403"/>
    <cellStyle name="20% - Accent1 4 2 2 2 3 2 2" xfId="26115"/>
    <cellStyle name="20% - Accent1 4 2 2 2 3 3" xfId="17643"/>
    <cellStyle name="20% - Accent1 4 2 2 2 4" xfId="321"/>
    <cellStyle name="20% - Accent1 4 2 2 2 4 2" xfId="14548"/>
    <cellStyle name="20% - Accent1 4 2 2 2 4 2 2" xfId="28097"/>
    <cellStyle name="20% - Accent1 4 2 2 2 4 3" xfId="17644"/>
    <cellStyle name="20% - Accent1 4 2 2 2 5" xfId="322"/>
    <cellStyle name="20% - Accent1 4 2 2 2 5 2" xfId="16892"/>
    <cellStyle name="20% - Accent1 4 2 2 2 5 2 2" xfId="30299"/>
    <cellStyle name="20% - Accent1 4 2 2 2 5 3" xfId="17645"/>
    <cellStyle name="20% - Accent1 4 2 2 2 6" xfId="8862"/>
    <cellStyle name="20% - Accent1 4 2 2 2 6 2" xfId="23337"/>
    <cellStyle name="20% - Accent1 4 2 2 2 7" xfId="17641"/>
    <cellStyle name="20% - Accent1 4 2 2 3" xfId="323"/>
    <cellStyle name="20% - Accent1 4 2 2 3 2" xfId="324"/>
    <cellStyle name="20% - Accent1 4 2 2 3 2 2" xfId="14547"/>
    <cellStyle name="20% - Accent1 4 2 2 3 2 2 2" xfId="28096"/>
    <cellStyle name="20% - Accent1 4 2 2 3 2 3" xfId="17647"/>
    <cellStyle name="20% - Accent1 4 2 2 3 3" xfId="10586"/>
    <cellStyle name="20% - Accent1 4 2 2 3 3 2" xfId="24528"/>
    <cellStyle name="20% - Accent1 4 2 2 3 4" xfId="17646"/>
    <cellStyle name="20% - Accent1 4 2 2 4" xfId="325"/>
    <cellStyle name="20% - Accent1 4 2 2 4 2" xfId="12280"/>
    <cellStyle name="20% - Accent1 4 2 2 4 2 2" xfId="25992"/>
    <cellStyle name="20% - Accent1 4 2 2 4 3" xfId="17648"/>
    <cellStyle name="20% - Accent1 4 2 2 5" xfId="326"/>
    <cellStyle name="20% - Accent1 4 2 2 5 2" xfId="12721"/>
    <cellStyle name="20% - Accent1 4 2 2 5 2 2" xfId="26433"/>
    <cellStyle name="20% - Accent1 4 2 2 5 3" xfId="17649"/>
    <cellStyle name="20% - Accent1 4 2 2 6" xfId="327"/>
    <cellStyle name="20% - Accent1 4 2 2 6 2" xfId="13844"/>
    <cellStyle name="20% - Accent1 4 2 2 6 2 2" xfId="27393"/>
    <cellStyle name="20% - Accent1 4 2 2 6 3" xfId="17650"/>
    <cellStyle name="20% - Accent1 4 2 2 7" xfId="328"/>
    <cellStyle name="20% - Accent1 4 2 2 7 2" xfId="14425"/>
    <cellStyle name="20% - Accent1 4 2 2 7 2 2" xfId="27974"/>
    <cellStyle name="20% - Accent1 4 2 2 7 3" xfId="17651"/>
    <cellStyle name="20% - Accent1 4 2 2 8" xfId="329"/>
    <cellStyle name="20% - Accent1 4 2 2 8 2" xfId="14549"/>
    <cellStyle name="20% - Accent1 4 2 2 8 2 2" xfId="28098"/>
    <cellStyle name="20% - Accent1 4 2 2 8 3" xfId="17652"/>
    <cellStyle name="20% - Accent1 4 2 2 9" xfId="330"/>
    <cellStyle name="20% - Accent1 4 2 2 9 2" xfId="16311"/>
    <cellStyle name="20% - Accent1 4 2 2 9 2 2" xfId="29718"/>
    <cellStyle name="20% - Accent1 4 2 2 9 3" xfId="17653"/>
    <cellStyle name="20% - Accent1 4 2 3" xfId="331"/>
    <cellStyle name="20% - Accent1 4 2 3 2" xfId="332"/>
    <cellStyle name="20% - Accent1 4 2 3 2 2" xfId="10588"/>
    <cellStyle name="20% - Accent1 4 2 3 2 2 2" xfId="24530"/>
    <cellStyle name="20% - Accent1 4 2 3 2 3" xfId="17655"/>
    <cellStyle name="20% - Accent1 4 2 3 3" xfId="333"/>
    <cellStyle name="20% - Accent1 4 2 3 3 2" xfId="12699"/>
    <cellStyle name="20% - Accent1 4 2 3 3 2 2" xfId="26411"/>
    <cellStyle name="20% - Accent1 4 2 3 3 3" xfId="17656"/>
    <cellStyle name="20% - Accent1 4 2 3 4" xfId="334"/>
    <cellStyle name="20% - Accent1 4 2 3 4 2" xfId="14546"/>
    <cellStyle name="20% - Accent1 4 2 3 4 2 2" xfId="28095"/>
    <cellStyle name="20% - Accent1 4 2 3 4 3" xfId="17657"/>
    <cellStyle name="20% - Accent1 4 2 3 5" xfId="335"/>
    <cellStyle name="20% - Accent1 4 2 3 5 2" xfId="16603"/>
    <cellStyle name="20% - Accent1 4 2 3 5 2 2" xfId="30010"/>
    <cellStyle name="20% - Accent1 4 2 3 5 3" xfId="17658"/>
    <cellStyle name="20% - Accent1 4 2 3 6" xfId="8863"/>
    <cellStyle name="20% - Accent1 4 2 3 6 2" xfId="23338"/>
    <cellStyle name="20% - Accent1 4 2 3 7" xfId="17654"/>
    <cellStyle name="20% - Accent1 4 2 4" xfId="336"/>
    <cellStyle name="20% - Accent1 4 2 4 2" xfId="337"/>
    <cellStyle name="20% - Accent1 4 2 4 2 2" xfId="14545"/>
    <cellStyle name="20% - Accent1 4 2 4 2 2 2" xfId="28094"/>
    <cellStyle name="20% - Accent1 4 2 4 2 3" xfId="17660"/>
    <cellStyle name="20% - Accent1 4 2 4 3" xfId="10585"/>
    <cellStyle name="20% - Accent1 4 2 4 3 2" xfId="24527"/>
    <cellStyle name="20% - Accent1 4 2 4 4" xfId="17659"/>
    <cellStyle name="20% - Accent1 4 2 5" xfId="338"/>
    <cellStyle name="20% - Accent1 4 2 5 2" xfId="11980"/>
    <cellStyle name="20% - Accent1 4 2 5 2 2" xfId="25695"/>
    <cellStyle name="20% - Accent1 4 2 5 3" xfId="17661"/>
    <cellStyle name="20% - Accent1 4 2 6" xfId="339"/>
    <cellStyle name="20% - Accent1 4 2 6 2" xfId="12620"/>
    <cellStyle name="20% - Accent1 4 2 6 2 2" xfId="26332"/>
    <cellStyle name="20% - Accent1 4 2 6 3" xfId="17662"/>
    <cellStyle name="20% - Accent1 4 2 7" xfId="340"/>
    <cellStyle name="20% - Accent1 4 2 7 2" xfId="13555"/>
    <cellStyle name="20% - Accent1 4 2 7 2 2" xfId="27104"/>
    <cellStyle name="20% - Accent1 4 2 7 3" xfId="17663"/>
    <cellStyle name="20% - Accent1 4 2 8" xfId="341"/>
    <cellStyle name="20% - Accent1 4 2 8 2" xfId="14136"/>
    <cellStyle name="20% - Accent1 4 2 8 2 2" xfId="27685"/>
    <cellStyle name="20% - Accent1 4 2 8 3" xfId="17664"/>
    <cellStyle name="20% - Accent1 4 2 9" xfId="342"/>
    <cellStyle name="20% - Accent1 4 2 9 2" xfId="14550"/>
    <cellStyle name="20% - Accent1 4 2 9 2 2" xfId="28099"/>
    <cellStyle name="20% - Accent1 4 2 9 3" xfId="17665"/>
    <cellStyle name="20% - Accent1 4 3" xfId="343"/>
    <cellStyle name="20% - Accent1 4 3 10" xfId="8864"/>
    <cellStyle name="20% - Accent1 4 3 10 2" xfId="23339"/>
    <cellStyle name="20% - Accent1 4 3 11" xfId="17666"/>
    <cellStyle name="20% - Accent1 4 3 2" xfId="344"/>
    <cellStyle name="20% - Accent1 4 3 2 2" xfId="345"/>
    <cellStyle name="20% - Accent1 4 3 2 2 2" xfId="10590"/>
    <cellStyle name="20% - Accent1 4 3 2 2 2 2" xfId="24532"/>
    <cellStyle name="20% - Accent1 4 3 2 2 3" xfId="17668"/>
    <cellStyle name="20% - Accent1 4 3 2 3" xfId="346"/>
    <cellStyle name="20% - Accent1 4 3 2 3 2" xfId="12570"/>
    <cellStyle name="20% - Accent1 4 3 2 3 2 2" xfId="26282"/>
    <cellStyle name="20% - Accent1 4 3 2 3 3" xfId="17669"/>
    <cellStyle name="20% - Accent1 4 3 2 4" xfId="347"/>
    <cellStyle name="20% - Accent1 4 3 2 4 2" xfId="14543"/>
    <cellStyle name="20% - Accent1 4 3 2 4 2 2" xfId="28092"/>
    <cellStyle name="20% - Accent1 4 3 2 4 3" xfId="17670"/>
    <cellStyle name="20% - Accent1 4 3 2 5" xfId="348"/>
    <cellStyle name="20% - Accent1 4 3 2 5 2" xfId="16752"/>
    <cellStyle name="20% - Accent1 4 3 2 5 2 2" xfId="30159"/>
    <cellStyle name="20% - Accent1 4 3 2 5 3" xfId="17671"/>
    <cellStyle name="20% - Accent1 4 3 2 6" xfId="8865"/>
    <cellStyle name="20% - Accent1 4 3 2 6 2" xfId="23340"/>
    <cellStyle name="20% - Accent1 4 3 2 7" xfId="17667"/>
    <cellStyle name="20% - Accent1 4 3 3" xfId="349"/>
    <cellStyle name="20% - Accent1 4 3 3 2" xfId="350"/>
    <cellStyle name="20% - Accent1 4 3 3 2 2" xfId="14542"/>
    <cellStyle name="20% - Accent1 4 3 3 2 2 2" xfId="28091"/>
    <cellStyle name="20% - Accent1 4 3 3 2 3" xfId="17673"/>
    <cellStyle name="20% - Accent1 4 3 3 3" xfId="10589"/>
    <cellStyle name="20% - Accent1 4 3 3 3 2" xfId="24531"/>
    <cellStyle name="20% - Accent1 4 3 3 4" xfId="17672"/>
    <cellStyle name="20% - Accent1 4 3 4" xfId="351"/>
    <cellStyle name="20% - Accent1 4 3 4 2" xfId="12140"/>
    <cellStyle name="20% - Accent1 4 3 4 2 2" xfId="25852"/>
    <cellStyle name="20% - Accent1 4 3 4 3" xfId="17674"/>
    <cellStyle name="20% - Accent1 4 3 5" xfId="352"/>
    <cellStyle name="20% - Accent1 4 3 5 2" xfId="12720"/>
    <cellStyle name="20% - Accent1 4 3 5 2 2" xfId="26432"/>
    <cellStyle name="20% - Accent1 4 3 5 3" xfId="17675"/>
    <cellStyle name="20% - Accent1 4 3 6" xfId="353"/>
    <cellStyle name="20% - Accent1 4 3 6 2" xfId="13704"/>
    <cellStyle name="20% - Accent1 4 3 6 2 2" xfId="27253"/>
    <cellStyle name="20% - Accent1 4 3 6 3" xfId="17676"/>
    <cellStyle name="20% - Accent1 4 3 7" xfId="354"/>
    <cellStyle name="20% - Accent1 4 3 7 2" xfId="14285"/>
    <cellStyle name="20% - Accent1 4 3 7 2 2" xfId="27834"/>
    <cellStyle name="20% - Accent1 4 3 7 3" xfId="17677"/>
    <cellStyle name="20% - Accent1 4 3 8" xfId="355"/>
    <cellStyle name="20% - Accent1 4 3 8 2" xfId="14544"/>
    <cellStyle name="20% - Accent1 4 3 8 2 2" xfId="28093"/>
    <cellStyle name="20% - Accent1 4 3 8 3" xfId="17678"/>
    <cellStyle name="20% - Accent1 4 3 9" xfId="356"/>
    <cellStyle name="20% - Accent1 4 3 9 2" xfId="16171"/>
    <cellStyle name="20% - Accent1 4 3 9 2 2" xfId="29578"/>
    <cellStyle name="20% - Accent1 4 3 9 3" xfId="17679"/>
    <cellStyle name="20% - Accent1 4 4" xfId="357"/>
    <cellStyle name="20% - Accent1 4 4 2" xfId="358"/>
    <cellStyle name="20% - Accent1 4 4 2 2" xfId="10591"/>
    <cellStyle name="20% - Accent1 4 4 2 2 2" xfId="24533"/>
    <cellStyle name="20% - Accent1 4 4 2 3" xfId="17681"/>
    <cellStyle name="20% - Accent1 4 4 3" xfId="359"/>
    <cellStyle name="20% - Accent1 4 4 3 2" xfId="12698"/>
    <cellStyle name="20% - Accent1 4 4 3 2 2" xfId="26410"/>
    <cellStyle name="20% - Accent1 4 4 3 3" xfId="17682"/>
    <cellStyle name="20% - Accent1 4 4 4" xfId="360"/>
    <cellStyle name="20% - Accent1 4 4 4 2" xfId="14541"/>
    <cellStyle name="20% - Accent1 4 4 4 2 2" xfId="28090"/>
    <cellStyle name="20% - Accent1 4 4 4 3" xfId="17683"/>
    <cellStyle name="20% - Accent1 4 4 5" xfId="361"/>
    <cellStyle name="20% - Accent1 4 4 5 2" xfId="16460"/>
    <cellStyle name="20% - Accent1 4 4 5 2 2" xfId="29867"/>
    <cellStyle name="20% - Accent1 4 4 5 3" xfId="17684"/>
    <cellStyle name="20% - Accent1 4 4 6" xfId="8866"/>
    <cellStyle name="20% - Accent1 4 4 6 2" xfId="23341"/>
    <cellStyle name="20% - Accent1 4 4 7" xfId="17680"/>
    <cellStyle name="20% - Accent1 4 5" xfId="362"/>
    <cellStyle name="20% - Accent1 4 5 2" xfId="363"/>
    <cellStyle name="20% - Accent1 4 5 2 2" xfId="14604"/>
    <cellStyle name="20% - Accent1 4 5 2 2 2" xfId="28153"/>
    <cellStyle name="20% - Accent1 4 5 2 3" xfId="17686"/>
    <cellStyle name="20% - Accent1 4 5 3" xfId="10584"/>
    <cellStyle name="20% - Accent1 4 5 3 2" xfId="24526"/>
    <cellStyle name="20% - Accent1 4 5 4" xfId="17685"/>
    <cellStyle name="20% - Accent1 4 6" xfId="364"/>
    <cellStyle name="20% - Accent1 4 6 2" xfId="11811"/>
    <cellStyle name="20% - Accent1 4 6 2 2" xfId="25526"/>
    <cellStyle name="20% - Accent1 4 6 3" xfId="17687"/>
    <cellStyle name="20% - Accent1 4 7" xfId="365"/>
    <cellStyle name="20% - Accent1 4 7 2" xfId="12716"/>
    <cellStyle name="20% - Accent1 4 7 2 2" xfId="26428"/>
    <cellStyle name="20% - Accent1 4 7 3" xfId="17688"/>
    <cellStyle name="20% - Accent1 4 8" xfId="366"/>
    <cellStyle name="20% - Accent1 4 8 2" xfId="13412"/>
    <cellStyle name="20% - Accent1 4 8 2 2" xfId="26961"/>
    <cellStyle name="20% - Accent1 4 8 3" xfId="17689"/>
    <cellStyle name="20% - Accent1 4 9" xfId="367"/>
    <cellStyle name="20% - Accent1 4 9 2" xfId="13993"/>
    <cellStyle name="20% - Accent1 4 9 2 2" xfId="27542"/>
    <cellStyle name="20% - Accent1 4 9 3" xfId="17690"/>
    <cellStyle name="20% - Accent1 5" xfId="368"/>
    <cellStyle name="20% - Accent1 5 10" xfId="369"/>
    <cellStyle name="20% - Accent1 5 10 2" xfId="14605"/>
    <cellStyle name="20% - Accent1 5 10 2 2" xfId="28154"/>
    <cellStyle name="20% - Accent1 5 10 3" xfId="17692"/>
    <cellStyle name="20% - Accent1 5 11" xfId="370"/>
    <cellStyle name="20% - Accent1 5 11 2" xfId="15862"/>
    <cellStyle name="20% - Accent1 5 11 2 2" xfId="29269"/>
    <cellStyle name="20% - Accent1 5 11 3" xfId="17693"/>
    <cellStyle name="20% - Accent1 5 12" xfId="8867"/>
    <cellStyle name="20% - Accent1 5 12 2" xfId="23342"/>
    <cellStyle name="20% - Accent1 5 13" xfId="17691"/>
    <cellStyle name="20% - Accent1 5 2" xfId="371"/>
    <cellStyle name="20% - Accent1 5 2 10" xfId="372"/>
    <cellStyle name="20% - Accent1 5 2 10 2" xfId="16005"/>
    <cellStyle name="20% - Accent1 5 2 10 2 2" xfId="29412"/>
    <cellStyle name="20% - Accent1 5 2 10 3" xfId="17695"/>
    <cellStyle name="20% - Accent1 5 2 11" xfId="8868"/>
    <cellStyle name="20% - Accent1 5 2 11 2" xfId="23343"/>
    <cellStyle name="20% - Accent1 5 2 12" xfId="17694"/>
    <cellStyle name="20% - Accent1 5 2 2" xfId="373"/>
    <cellStyle name="20% - Accent1 5 2 2 10" xfId="8869"/>
    <cellStyle name="20% - Accent1 5 2 2 10 2" xfId="23344"/>
    <cellStyle name="20% - Accent1 5 2 2 11" xfId="17696"/>
    <cellStyle name="20% - Accent1 5 2 2 2" xfId="374"/>
    <cellStyle name="20% - Accent1 5 2 2 2 2" xfId="375"/>
    <cellStyle name="20% - Accent1 5 2 2 2 2 2" xfId="10595"/>
    <cellStyle name="20% - Accent1 5 2 2 2 2 2 2" xfId="24537"/>
    <cellStyle name="20% - Accent1 5 2 2 2 2 3" xfId="17698"/>
    <cellStyle name="20% - Accent1 5 2 2 2 3" xfId="376"/>
    <cellStyle name="20% - Accent1 5 2 2 2 3 2" xfId="12544"/>
    <cellStyle name="20% - Accent1 5 2 2 2 3 2 2" xfId="26256"/>
    <cellStyle name="20% - Accent1 5 2 2 2 3 3" xfId="17699"/>
    <cellStyle name="20% - Accent1 5 2 2 2 4" xfId="377"/>
    <cellStyle name="20% - Accent1 5 2 2 2 4 2" xfId="14608"/>
    <cellStyle name="20% - Accent1 5 2 2 2 4 2 2" xfId="28157"/>
    <cellStyle name="20% - Accent1 5 2 2 2 4 3" xfId="17700"/>
    <cellStyle name="20% - Accent1 5 2 2 2 5" xfId="378"/>
    <cellStyle name="20% - Accent1 5 2 2 2 5 2" xfId="16875"/>
    <cellStyle name="20% - Accent1 5 2 2 2 5 2 2" xfId="30282"/>
    <cellStyle name="20% - Accent1 5 2 2 2 5 3" xfId="17701"/>
    <cellStyle name="20% - Accent1 5 2 2 2 6" xfId="8870"/>
    <cellStyle name="20% - Accent1 5 2 2 2 6 2" xfId="23345"/>
    <cellStyle name="20% - Accent1 5 2 2 2 7" xfId="17697"/>
    <cellStyle name="20% - Accent1 5 2 2 3" xfId="379"/>
    <cellStyle name="20% - Accent1 5 2 2 3 2" xfId="380"/>
    <cellStyle name="20% - Accent1 5 2 2 3 2 2" xfId="14609"/>
    <cellStyle name="20% - Accent1 5 2 2 3 2 2 2" xfId="28158"/>
    <cellStyle name="20% - Accent1 5 2 2 3 2 3" xfId="17703"/>
    <cellStyle name="20% - Accent1 5 2 2 3 3" xfId="10594"/>
    <cellStyle name="20% - Accent1 5 2 2 3 3 2" xfId="24536"/>
    <cellStyle name="20% - Accent1 5 2 2 3 4" xfId="17702"/>
    <cellStyle name="20% - Accent1 5 2 2 4" xfId="381"/>
    <cellStyle name="20% - Accent1 5 2 2 4 2" xfId="12263"/>
    <cellStyle name="20% - Accent1 5 2 2 4 2 2" xfId="25975"/>
    <cellStyle name="20% - Accent1 5 2 2 4 3" xfId="17704"/>
    <cellStyle name="20% - Accent1 5 2 2 5" xfId="382"/>
    <cellStyle name="20% - Accent1 5 2 2 5 2" xfId="12613"/>
    <cellStyle name="20% - Accent1 5 2 2 5 2 2" xfId="26325"/>
    <cellStyle name="20% - Accent1 5 2 2 5 3" xfId="17705"/>
    <cellStyle name="20% - Accent1 5 2 2 6" xfId="383"/>
    <cellStyle name="20% - Accent1 5 2 2 6 2" xfId="13827"/>
    <cellStyle name="20% - Accent1 5 2 2 6 2 2" xfId="27376"/>
    <cellStyle name="20% - Accent1 5 2 2 6 3" xfId="17706"/>
    <cellStyle name="20% - Accent1 5 2 2 7" xfId="384"/>
    <cellStyle name="20% - Accent1 5 2 2 7 2" xfId="14408"/>
    <cellStyle name="20% - Accent1 5 2 2 7 2 2" xfId="27957"/>
    <cellStyle name="20% - Accent1 5 2 2 7 3" xfId="17707"/>
    <cellStyle name="20% - Accent1 5 2 2 8" xfId="385"/>
    <cellStyle name="20% - Accent1 5 2 2 8 2" xfId="14607"/>
    <cellStyle name="20% - Accent1 5 2 2 8 2 2" xfId="28156"/>
    <cellStyle name="20% - Accent1 5 2 2 8 3" xfId="17708"/>
    <cellStyle name="20% - Accent1 5 2 2 9" xfId="386"/>
    <cellStyle name="20% - Accent1 5 2 2 9 2" xfId="16294"/>
    <cellStyle name="20% - Accent1 5 2 2 9 2 2" xfId="29701"/>
    <cellStyle name="20% - Accent1 5 2 2 9 3" xfId="17709"/>
    <cellStyle name="20% - Accent1 5 2 3" xfId="387"/>
    <cellStyle name="20% - Accent1 5 2 3 2" xfId="388"/>
    <cellStyle name="20% - Accent1 5 2 3 2 2" xfId="10596"/>
    <cellStyle name="20% - Accent1 5 2 3 2 2 2" xfId="24538"/>
    <cellStyle name="20% - Accent1 5 2 3 2 3" xfId="17711"/>
    <cellStyle name="20% - Accent1 5 2 3 3" xfId="389"/>
    <cellStyle name="20% - Accent1 5 2 3 3 2" xfId="12656"/>
    <cellStyle name="20% - Accent1 5 2 3 3 2 2" xfId="26368"/>
    <cellStyle name="20% - Accent1 5 2 3 3 3" xfId="17712"/>
    <cellStyle name="20% - Accent1 5 2 3 4" xfId="390"/>
    <cellStyle name="20% - Accent1 5 2 3 4 2" xfId="14610"/>
    <cellStyle name="20% - Accent1 5 2 3 4 2 2" xfId="28159"/>
    <cellStyle name="20% - Accent1 5 2 3 4 3" xfId="17713"/>
    <cellStyle name="20% - Accent1 5 2 3 5" xfId="391"/>
    <cellStyle name="20% - Accent1 5 2 3 5 2" xfId="16586"/>
    <cellStyle name="20% - Accent1 5 2 3 5 2 2" xfId="29993"/>
    <cellStyle name="20% - Accent1 5 2 3 5 3" xfId="17714"/>
    <cellStyle name="20% - Accent1 5 2 3 6" xfId="8871"/>
    <cellStyle name="20% - Accent1 5 2 3 6 2" xfId="23346"/>
    <cellStyle name="20% - Accent1 5 2 3 7" xfId="17710"/>
    <cellStyle name="20% - Accent1 5 2 4" xfId="392"/>
    <cellStyle name="20% - Accent1 5 2 4 2" xfId="393"/>
    <cellStyle name="20% - Accent1 5 2 4 2 2" xfId="14611"/>
    <cellStyle name="20% - Accent1 5 2 4 2 2 2" xfId="28160"/>
    <cellStyle name="20% - Accent1 5 2 4 2 3" xfId="17716"/>
    <cellStyle name="20% - Accent1 5 2 4 3" xfId="10593"/>
    <cellStyle name="20% - Accent1 5 2 4 3 2" xfId="24535"/>
    <cellStyle name="20% - Accent1 5 2 4 4" xfId="17715"/>
    <cellStyle name="20% - Accent1 5 2 5" xfId="394"/>
    <cellStyle name="20% - Accent1 5 2 5 2" xfId="11963"/>
    <cellStyle name="20% - Accent1 5 2 5 2 2" xfId="25678"/>
    <cellStyle name="20% - Accent1 5 2 5 3" xfId="17717"/>
    <cellStyle name="20% - Accent1 5 2 6" xfId="395"/>
    <cellStyle name="20% - Accent1 5 2 6 2" xfId="12114"/>
    <cellStyle name="20% - Accent1 5 2 6 2 2" xfId="25826"/>
    <cellStyle name="20% - Accent1 5 2 6 3" xfId="17718"/>
    <cellStyle name="20% - Accent1 5 2 7" xfId="396"/>
    <cellStyle name="20% - Accent1 5 2 7 2" xfId="13538"/>
    <cellStyle name="20% - Accent1 5 2 7 2 2" xfId="27087"/>
    <cellStyle name="20% - Accent1 5 2 7 3" xfId="17719"/>
    <cellStyle name="20% - Accent1 5 2 8" xfId="397"/>
    <cellStyle name="20% - Accent1 5 2 8 2" xfId="14119"/>
    <cellStyle name="20% - Accent1 5 2 8 2 2" xfId="27668"/>
    <cellStyle name="20% - Accent1 5 2 8 3" xfId="17720"/>
    <cellStyle name="20% - Accent1 5 2 9" xfId="398"/>
    <cellStyle name="20% - Accent1 5 2 9 2" xfId="14606"/>
    <cellStyle name="20% - Accent1 5 2 9 2 2" xfId="28155"/>
    <cellStyle name="20% - Accent1 5 2 9 3" xfId="17721"/>
    <cellStyle name="20% - Accent1 5 3" xfId="399"/>
    <cellStyle name="20% - Accent1 5 3 10" xfId="8872"/>
    <cellStyle name="20% - Accent1 5 3 10 2" xfId="23347"/>
    <cellStyle name="20% - Accent1 5 3 11" xfId="17722"/>
    <cellStyle name="20% - Accent1 5 3 2" xfId="400"/>
    <cellStyle name="20% - Accent1 5 3 2 2" xfId="401"/>
    <cellStyle name="20% - Accent1 5 3 2 2 2" xfId="10598"/>
    <cellStyle name="20% - Accent1 5 3 2 2 2 2" xfId="24540"/>
    <cellStyle name="20% - Accent1 5 3 2 2 3" xfId="17724"/>
    <cellStyle name="20% - Accent1 5 3 2 3" xfId="402"/>
    <cellStyle name="20% - Accent1 5 3 2 3 2" xfId="12464"/>
    <cellStyle name="20% - Accent1 5 3 2 3 2 2" xfId="26176"/>
    <cellStyle name="20% - Accent1 5 3 2 3 3" xfId="17725"/>
    <cellStyle name="20% - Accent1 5 3 2 4" xfId="403"/>
    <cellStyle name="20% - Accent1 5 3 2 4 2" xfId="14613"/>
    <cellStyle name="20% - Accent1 5 3 2 4 2 2" xfId="28162"/>
    <cellStyle name="20% - Accent1 5 3 2 4 3" xfId="17726"/>
    <cellStyle name="20% - Accent1 5 3 2 5" xfId="404"/>
    <cellStyle name="20% - Accent1 5 3 2 5 2" xfId="16725"/>
    <cellStyle name="20% - Accent1 5 3 2 5 2 2" xfId="30132"/>
    <cellStyle name="20% - Accent1 5 3 2 5 3" xfId="17727"/>
    <cellStyle name="20% - Accent1 5 3 2 6" xfId="8873"/>
    <cellStyle name="20% - Accent1 5 3 2 6 2" xfId="23348"/>
    <cellStyle name="20% - Accent1 5 3 2 7" xfId="17723"/>
    <cellStyle name="20% - Accent1 5 3 3" xfId="405"/>
    <cellStyle name="20% - Accent1 5 3 3 2" xfId="406"/>
    <cellStyle name="20% - Accent1 5 3 3 2 2" xfId="14614"/>
    <cellStyle name="20% - Accent1 5 3 3 2 2 2" xfId="28163"/>
    <cellStyle name="20% - Accent1 5 3 3 2 3" xfId="17729"/>
    <cellStyle name="20% - Accent1 5 3 3 3" xfId="10597"/>
    <cellStyle name="20% - Accent1 5 3 3 3 2" xfId="24539"/>
    <cellStyle name="20% - Accent1 5 3 3 4" xfId="17728"/>
    <cellStyle name="20% - Accent1 5 3 4" xfId="407"/>
    <cellStyle name="20% - Accent1 5 3 4 2" xfId="12105"/>
    <cellStyle name="20% - Accent1 5 3 4 2 2" xfId="25817"/>
    <cellStyle name="20% - Accent1 5 3 4 3" xfId="17730"/>
    <cellStyle name="20% - Accent1 5 3 5" xfId="408"/>
    <cellStyle name="20% - Accent1 5 3 5 2" xfId="12434"/>
    <cellStyle name="20% - Accent1 5 3 5 2 2" xfId="26146"/>
    <cellStyle name="20% - Accent1 5 3 5 3" xfId="17731"/>
    <cellStyle name="20% - Accent1 5 3 6" xfId="409"/>
    <cellStyle name="20% - Accent1 5 3 6 2" xfId="13677"/>
    <cellStyle name="20% - Accent1 5 3 6 2 2" xfId="27226"/>
    <cellStyle name="20% - Accent1 5 3 6 3" xfId="17732"/>
    <cellStyle name="20% - Accent1 5 3 7" xfId="410"/>
    <cellStyle name="20% - Accent1 5 3 7 2" xfId="14258"/>
    <cellStyle name="20% - Accent1 5 3 7 2 2" xfId="27807"/>
    <cellStyle name="20% - Accent1 5 3 7 3" xfId="17733"/>
    <cellStyle name="20% - Accent1 5 3 8" xfId="411"/>
    <cellStyle name="20% - Accent1 5 3 8 2" xfId="14612"/>
    <cellStyle name="20% - Accent1 5 3 8 2 2" xfId="28161"/>
    <cellStyle name="20% - Accent1 5 3 8 3" xfId="17734"/>
    <cellStyle name="20% - Accent1 5 3 9" xfId="412"/>
    <cellStyle name="20% - Accent1 5 3 9 2" xfId="16144"/>
    <cellStyle name="20% - Accent1 5 3 9 2 2" xfId="29551"/>
    <cellStyle name="20% - Accent1 5 3 9 3" xfId="17735"/>
    <cellStyle name="20% - Accent1 5 4" xfId="413"/>
    <cellStyle name="20% - Accent1 5 4 2" xfId="414"/>
    <cellStyle name="20% - Accent1 5 4 2 2" xfId="10599"/>
    <cellStyle name="20% - Accent1 5 4 2 2 2" xfId="24541"/>
    <cellStyle name="20% - Accent1 5 4 2 3" xfId="17737"/>
    <cellStyle name="20% - Accent1 5 4 3" xfId="415"/>
    <cellStyle name="20% - Accent1 5 4 3 2" xfId="12428"/>
    <cellStyle name="20% - Accent1 5 4 3 2 2" xfId="26140"/>
    <cellStyle name="20% - Accent1 5 4 3 3" xfId="17738"/>
    <cellStyle name="20% - Accent1 5 4 4" xfId="416"/>
    <cellStyle name="20% - Accent1 5 4 4 2" xfId="14619"/>
    <cellStyle name="20% - Accent1 5 4 4 2 2" xfId="28168"/>
    <cellStyle name="20% - Accent1 5 4 4 3" xfId="17739"/>
    <cellStyle name="20% - Accent1 5 4 5" xfId="417"/>
    <cellStyle name="20% - Accent1 5 4 5 2" xfId="16443"/>
    <cellStyle name="20% - Accent1 5 4 5 2 2" xfId="29850"/>
    <cellStyle name="20% - Accent1 5 4 5 3" xfId="17740"/>
    <cellStyle name="20% - Accent1 5 4 6" xfId="8874"/>
    <cellStyle name="20% - Accent1 5 4 6 2" xfId="23349"/>
    <cellStyle name="20% - Accent1 5 4 7" xfId="17736"/>
    <cellStyle name="20% - Accent1 5 5" xfId="418"/>
    <cellStyle name="20% - Accent1 5 5 2" xfId="419"/>
    <cellStyle name="20% - Accent1 5 5 2 2" xfId="14620"/>
    <cellStyle name="20% - Accent1 5 5 2 2 2" xfId="28169"/>
    <cellStyle name="20% - Accent1 5 5 2 3" xfId="17742"/>
    <cellStyle name="20% - Accent1 5 5 3" xfId="10592"/>
    <cellStyle name="20% - Accent1 5 5 3 2" xfId="24534"/>
    <cellStyle name="20% - Accent1 5 5 4" xfId="17741"/>
    <cellStyle name="20% - Accent1 5 6" xfId="420"/>
    <cellStyle name="20% - Accent1 5 6 2" xfId="11794"/>
    <cellStyle name="20% - Accent1 5 6 2 2" xfId="25509"/>
    <cellStyle name="20% - Accent1 5 6 3" xfId="17743"/>
    <cellStyle name="20% - Accent1 5 7" xfId="421"/>
    <cellStyle name="20% - Accent1 5 7 2" xfId="12556"/>
    <cellStyle name="20% - Accent1 5 7 2 2" xfId="26268"/>
    <cellStyle name="20% - Accent1 5 7 3" xfId="17744"/>
    <cellStyle name="20% - Accent1 5 8" xfId="422"/>
    <cellStyle name="20% - Accent1 5 8 2" xfId="13395"/>
    <cellStyle name="20% - Accent1 5 8 2 2" xfId="26944"/>
    <cellStyle name="20% - Accent1 5 8 3" xfId="17745"/>
    <cellStyle name="20% - Accent1 5 9" xfId="423"/>
    <cellStyle name="20% - Accent1 5 9 2" xfId="13976"/>
    <cellStyle name="20% - Accent1 5 9 2 2" xfId="27525"/>
    <cellStyle name="20% - Accent1 5 9 3" xfId="17746"/>
    <cellStyle name="20% - Accent1 6" xfId="424"/>
    <cellStyle name="20% - Accent1 6 10" xfId="425"/>
    <cellStyle name="20% - Accent1 6 10 2" xfId="14621"/>
    <cellStyle name="20% - Accent1 6 10 2 2" xfId="28170"/>
    <cellStyle name="20% - Accent1 6 10 3" xfId="17748"/>
    <cellStyle name="20% - Accent1 6 11" xfId="426"/>
    <cellStyle name="20% - Accent1 6 11 2" xfId="15968"/>
    <cellStyle name="20% - Accent1 6 11 2 2" xfId="29375"/>
    <cellStyle name="20% - Accent1 6 11 3" xfId="17749"/>
    <cellStyle name="20% - Accent1 6 12" xfId="8875"/>
    <cellStyle name="20% - Accent1 6 12 2" xfId="23350"/>
    <cellStyle name="20% - Accent1 6 13" xfId="17747"/>
    <cellStyle name="20% - Accent1 6 2" xfId="427"/>
    <cellStyle name="20% - Accent1 6 2 10" xfId="428"/>
    <cellStyle name="20% - Accent1 6 2 10 2" xfId="16111"/>
    <cellStyle name="20% - Accent1 6 2 10 2 2" xfId="29518"/>
    <cellStyle name="20% - Accent1 6 2 10 3" xfId="17751"/>
    <cellStyle name="20% - Accent1 6 2 11" xfId="8876"/>
    <cellStyle name="20% - Accent1 6 2 11 2" xfId="23351"/>
    <cellStyle name="20% - Accent1 6 2 12" xfId="17750"/>
    <cellStyle name="20% - Accent1 6 2 2" xfId="429"/>
    <cellStyle name="20% - Accent1 6 2 2 10" xfId="8877"/>
    <cellStyle name="20% - Accent1 6 2 2 10 2" xfId="23352"/>
    <cellStyle name="20% - Accent1 6 2 2 11" xfId="17752"/>
    <cellStyle name="20% - Accent1 6 2 2 2" xfId="430"/>
    <cellStyle name="20% - Accent1 6 2 2 2 2" xfId="431"/>
    <cellStyle name="20% - Accent1 6 2 2 2 2 2" xfId="10603"/>
    <cellStyle name="20% - Accent1 6 2 2 2 2 2 2" xfId="24545"/>
    <cellStyle name="20% - Accent1 6 2 2 2 2 3" xfId="17754"/>
    <cellStyle name="20% - Accent1 6 2 2 2 3" xfId="432"/>
    <cellStyle name="20% - Accent1 6 2 2 2 3 2" xfId="12811"/>
    <cellStyle name="20% - Accent1 6 2 2 2 3 2 2" xfId="26523"/>
    <cellStyle name="20% - Accent1 6 2 2 2 3 3" xfId="17755"/>
    <cellStyle name="20% - Accent1 6 2 2 2 4" xfId="433"/>
    <cellStyle name="20% - Accent1 6 2 2 2 4 2" xfId="14624"/>
    <cellStyle name="20% - Accent1 6 2 2 2 4 2 2" xfId="28173"/>
    <cellStyle name="20% - Accent1 6 2 2 2 4 3" xfId="17756"/>
    <cellStyle name="20% - Accent1 6 2 2 2 5" xfId="434"/>
    <cellStyle name="20% - Accent1 6 2 2 2 5 2" xfId="16981"/>
    <cellStyle name="20% - Accent1 6 2 2 2 5 2 2" xfId="30388"/>
    <cellStyle name="20% - Accent1 6 2 2 2 5 3" xfId="17757"/>
    <cellStyle name="20% - Accent1 6 2 2 2 6" xfId="8878"/>
    <cellStyle name="20% - Accent1 6 2 2 2 6 2" xfId="23353"/>
    <cellStyle name="20% - Accent1 6 2 2 2 7" xfId="17753"/>
    <cellStyle name="20% - Accent1 6 2 2 3" xfId="435"/>
    <cellStyle name="20% - Accent1 6 2 2 3 2" xfId="436"/>
    <cellStyle name="20% - Accent1 6 2 2 3 2 2" xfId="14625"/>
    <cellStyle name="20% - Accent1 6 2 2 3 2 2 2" xfId="28174"/>
    <cellStyle name="20% - Accent1 6 2 2 3 2 3" xfId="17759"/>
    <cellStyle name="20% - Accent1 6 2 2 3 3" xfId="10602"/>
    <cellStyle name="20% - Accent1 6 2 2 3 3 2" xfId="24544"/>
    <cellStyle name="20% - Accent1 6 2 2 3 4" xfId="17758"/>
    <cellStyle name="20% - Accent1 6 2 2 4" xfId="437"/>
    <cellStyle name="20% - Accent1 6 2 2 4 2" xfId="12369"/>
    <cellStyle name="20% - Accent1 6 2 2 4 2 2" xfId="26081"/>
    <cellStyle name="20% - Accent1 6 2 2 4 3" xfId="17760"/>
    <cellStyle name="20% - Accent1 6 2 2 5" xfId="438"/>
    <cellStyle name="20% - Accent1 6 2 2 5 2" xfId="12801"/>
    <cellStyle name="20% - Accent1 6 2 2 5 2 2" xfId="26513"/>
    <cellStyle name="20% - Accent1 6 2 2 5 3" xfId="17761"/>
    <cellStyle name="20% - Accent1 6 2 2 6" xfId="439"/>
    <cellStyle name="20% - Accent1 6 2 2 6 2" xfId="13933"/>
    <cellStyle name="20% - Accent1 6 2 2 6 2 2" xfId="27482"/>
    <cellStyle name="20% - Accent1 6 2 2 6 3" xfId="17762"/>
    <cellStyle name="20% - Accent1 6 2 2 7" xfId="440"/>
    <cellStyle name="20% - Accent1 6 2 2 7 2" xfId="14514"/>
    <cellStyle name="20% - Accent1 6 2 2 7 2 2" xfId="28063"/>
    <cellStyle name="20% - Accent1 6 2 2 7 3" xfId="17763"/>
    <cellStyle name="20% - Accent1 6 2 2 8" xfId="441"/>
    <cellStyle name="20% - Accent1 6 2 2 8 2" xfId="14623"/>
    <cellStyle name="20% - Accent1 6 2 2 8 2 2" xfId="28172"/>
    <cellStyle name="20% - Accent1 6 2 2 8 3" xfId="17764"/>
    <cellStyle name="20% - Accent1 6 2 2 9" xfId="442"/>
    <cellStyle name="20% - Accent1 6 2 2 9 2" xfId="16400"/>
    <cellStyle name="20% - Accent1 6 2 2 9 2 2" xfId="29807"/>
    <cellStyle name="20% - Accent1 6 2 2 9 3" xfId="17765"/>
    <cellStyle name="20% - Accent1 6 2 3" xfId="443"/>
    <cellStyle name="20% - Accent1 6 2 3 2" xfId="444"/>
    <cellStyle name="20% - Accent1 6 2 3 2 2" xfId="10604"/>
    <cellStyle name="20% - Accent1 6 2 3 2 2 2" xfId="24546"/>
    <cellStyle name="20% - Accent1 6 2 3 2 3" xfId="17767"/>
    <cellStyle name="20% - Accent1 6 2 3 3" xfId="445"/>
    <cellStyle name="20% - Accent1 6 2 3 3 2" xfId="12514"/>
    <cellStyle name="20% - Accent1 6 2 3 3 2 2" xfId="26226"/>
    <cellStyle name="20% - Accent1 6 2 3 3 3" xfId="17768"/>
    <cellStyle name="20% - Accent1 6 2 3 4" xfId="446"/>
    <cellStyle name="20% - Accent1 6 2 3 4 2" xfId="14626"/>
    <cellStyle name="20% - Accent1 6 2 3 4 2 2" xfId="28175"/>
    <cellStyle name="20% - Accent1 6 2 3 4 3" xfId="17769"/>
    <cellStyle name="20% - Accent1 6 2 3 5" xfId="447"/>
    <cellStyle name="20% - Accent1 6 2 3 5 2" xfId="16692"/>
    <cellStyle name="20% - Accent1 6 2 3 5 2 2" xfId="30099"/>
    <cellStyle name="20% - Accent1 6 2 3 5 3" xfId="17770"/>
    <cellStyle name="20% - Accent1 6 2 3 6" xfId="8879"/>
    <cellStyle name="20% - Accent1 6 2 3 6 2" xfId="23354"/>
    <cellStyle name="20% - Accent1 6 2 3 7" xfId="17766"/>
    <cellStyle name="20% - Accent1 6 2 4" xfId="448"/>
    <cellStyle name="20% - Accent1 6 2 4 2" xfId="449"/>
    <cellStyle name="20% - Accent1 6 2 4 2 2" xfId="14627"/>
    <cellStyle name="20% - Accent1 6 2 4 2 2 2" xfId="28176"/>
    <cellStyle name="20% - Accent1 6 2 4 2 3" xfId="17772"/>
    <cellStyle name="20% - Accent1 6 2 4 3" xfId="10601"/>
    <cellStyle name="20% - Accent1 6 2 4 3 2" xfId="24543"/>
    <cellStyle name="20% - Accent1 6 2 4 4" xfId="17771"/>
    <cellStyle name="20% - Accent1 6 2 5" xfId="450"/>
    <cellStyle name="20% - Accent1 6 2 5 2" xfId="12069"/>
    <cellStyle name="20% - Accent1 6 2 5 2 2" xfId="25784"/>
    <cellStyle name="20% - Accent1 6 2 5 3" xfId="17773"/>
    <cellStyle name="20% - Accent1 6 2 6" xfId="451"/>
    <cellStyle name="20% - Accent1 6 2 6 2" xfId="12565"/>
    <cellStyle name="20% - Accent1 6 2 6 2 2" xfId="26277"/>
    <cellStyle name="20% - Accent1 6 2 6 3" xfId="17774"/>
    <cellStyle name="20% - Accent1 6 2 7" xfId="452"/>
    <cellStyle name="20% - Accent1 6 2 7 2" xfId="13644"/>
    <cellStyle name="20% - Accent1 6 2 7 2 2" xfId="27193"/>
    <cellStyle name="20% - Accent1 6 2 7 3" xfId="17775"/>
    <cellStyle name="20% - Accent1 6 2 8" xfId="453"/>
    <cellStyle name="20% - Accent1 6 2 8 2" xfId="14225"/>
    <cellStyle name="20% - Accent1 6 2 8 2 2" xfId="27774"/>
    <cellStyle name="20% - Accent1 6 2 8 3" xfId="17776"/>
    <cellStyle name="20% - Accent1 6 2 9" xfId="454"/>
    <cellStyle name="20% - Accent1 6 2 9 2" xfId="14622"/>
    <cellStyle name="20% - Accent1 6 2 9 2 2" xfId="28171"/>
    <cellStyle name="20% - Accent1 6 2 9 3" xfId="17777"/>
    <cellStyle name="20% - Accent1 6 3" xfId="455"/>
    <cellStyle name="20% - Accent1 6 3 10" xfId="8880"/>
    <cellStyle name="20% - Accent1 6 3 10 2" xfId="23355"/>
    <cellStyle name="20% - Accent1 6 3 11" xfId="17778"/>
    <cellStyle name="20% - Accent1 6 3 2" xfId="456"/>
    <cellStyle name="20% - Accent1 6 3 2 2" xfId="457"/>
    <cellStyle name="20% - Accent1 6 3 2 2 2" xfId="10606"/>
    <cellStyle name="20% - Accent1 6 3 2 2 2 2" xfId="24548"/>
    <cellStyle name="20% - Accent1 6 3 2 2 3" xfId="17780"/>
    <cellStyle name="20% - Accent1 6 3 2 3" xfId="458"/>
    <cellStyle name="20% - Accent1 6 3 2 3 2" xfId="12537"/>
    <cellStyle name="20% - Accent1 6 3 2 3 2 2" xfId="26249"/>
    <cellStyle name="20% - Accent1 6 3 2 3 3" xfId="17781"/>
    <cellStyle name="20% - Accent1 6 3 2 4" xfId="459"/>
    <cellStyle name="20% - Accent1 6 3 2 4 2" xfId="14629"/>
    <cellStyle name="20% - Accent1 6 3 2 4 2 2" xfId="28178"/>
    <cellStyle name="20% - Accent1 6 3 2 4 3" xfId="17782"/>
    <cellStyle name="20% - Accent1 6 3 2 5" xfId="460"/>
    <cellStyle name="20% - Accent1 6 3 2 5 2" xfId="16838"/>
    <cellStyle name="20% - Accent1 6 3 2 5 2 2" xfId="30245"/>
    <cellStyle name="20% - Accent1 6 3 2 5 3" xfId="17783"/>
    <cellStyle name="20% - Accent1 6 3 2 6" xfId="8881"/>
    <cellStyle name="20% - Accent1 6 3 2 6 2" xfId="23356"/>
    <cellStyle name="20% - Accent1 6 3 2 7" xfId="17779"/>
    <cellStyle name="20% - Accent1 6 3 3" xfId="461"/>
    <cellStyle name="20% - Accent1 6 3 3 2" xfId="462"/>
    <cellStyle name="20% - Accent1 6 3 3 2 2" xfId="14630"/>
    <cellStyle name="20% - Accent1 6 3 3 2 2 2" xfId="28179"/>
    <cellStyle name="20% - Accent1 6 3 3 2 3" xfId="17785"/>
    <cellStyle name="20% - Accent1 6 3 3 3" xfId="10605"/>
    <cellStyle name="20% - Accent1 6 3 3 3 2" xfId="24547"/>
    <cellStyle name="20% - Accent1 6 3 3 4" xfId="17784"/>
    <cellStyle name="20% - Accent1 6 3 4" xfId="463"/>
    <cellStyle name="20% - Accent1 6 3 4 2" xfId="12226"/>
    <cellStyle name="20% - Accent1 6 3 4 2 2" xfId="25938"/>
    <cellStyle name="20% - Accent1 6 3 4 3" xfId="17786"/>
    <cellStyle name="20% - Accent1 6 3 5" xfId="464"/>
    <cellStyle name="20% - Accent1 6 3 5 2" xfId="12510"/>
    <cellStyle name="20% - Accent1 6 3 5 2 2" xfId="26222"/>
    <cellStyle name="20% - Accent1 6 3 5 3" xfId="17787"/>
    <cellStyle name="20% - Accent1 6 3 6" xfId="465"/>
    <cellStyle name="20% - Accent1 6 3 6 2" xfId="13790"/>
    <cellStyle name="20% - Accent1 6 3 6 2 2" xfId="27339"/>
    <cellStyle name="20% - Accent1 6 3 6 3" xfId="17788"/>
    <cellStyle name="20% - Accent1 6 3 7" xfId="466"/>
    <cellStyle name="20% - Accent1 6 3 7 2" xfId="14371"/>
    <cellStyle name="20% - Accent1 6 3 7 2 2" xfId="27920"/>
    <cellStyle name="20% - Accent1 6 3 7 3" xfId="17789"/>
    <cellStyle name="20% - Accent1 6 3 8" xfId="467"/>
    <cellStyle name="20% - Accent1 6 3 8 2" xfId="14628"/>
    <cellStyle name="20% - Accent1 6 3 8 2 2" xfId="28177"/>
    <cellStyle name="20% - Accent1 6 3 8 3" xfId="17790"/>
    <cellStyle name="20% - Accent1 6 3 9" xfId="468"/>
    <cellStyle name="20% - Accent1 6 3 9 2" xfId="16257"/>
    <cellStyle name="20% - Accent1 6 3 9 2 2" xfId="29664"/>
    <cellStyle name="20% - Accent1 6 3 9 3" xfId="17791"/>
    <cellStyle name="20% - Accent1 6 4" xfId="469"/>
    <cellStyle name="20% - Accent1 6 4 2" xfId="470"/>
    <cellStyle name="20% - Accent1 6 4 2 2" xfId="10607"/>
    <cellStyle name="20% - Accent1 6 4 2 2 2" xfId="24549"/>
    <cellStyle name="20% - Accent1 6 4 2 3" xfId="17793"/>
    <cellStyle name="20% - Accent1 6 4 3" xfId="471"/>
    <cellStyle name="20% - Accent1 6 4 3 2" xfId="12481"/>
    <cellStyle name="20% - Accent1 6 4 3 2 2" xfId="26193"/>
    <cellStyle name="20% - Accent1 6 4 3 3" xfId="17794"/>
    <cellStyle name="20% - Accent1 6 4 4" xfId="472"/>
    <cellStyle name="20% - Accent1 6 4 4 2" xfId="14631"/>
    <cellStyle name="20% - Accent1 6 4 4 2 2" xfId="28180"/>
    <cellStyle name="20% - Accent1 6 4 4 3" xfId="17795"/>
    <cellStyle name="20% - Accent1 6 4 5" xfId="473"/>
    <cellStyle name="20% - Accent1 6 4 5 2" xfId="16549"/>
    <cellStyle name="20% - Accent1 6 4 5 2 2" xfId="29956"/>
    <cellStyle name="20% - Accent1 6 4 5 3" xfId="17796"/>
    <cellStyle name="20% - Accent1 6 4 6" xfId="8882"/>
    <cellStyle name="20% - Accent1 6 4 6 2" xfId="23357"/>
    <cellStyle name="20% - Accent1 6 4 7" xfId="17792"/>
    <cellStyle name="20% - Accent1 6 5" xfId="474"/>
    <cellStyle name="20% - Accent1 6 5 2" xfId="475"/>
    <cellStyle name="20% - Accent1 6 5 2 2" xfId="14632"/>
    <cellStyle name="20% - Accent1 6 5 2 2 2" xfId="28181"/>
    <cellStyle name="20% - Accent1 6 5 2 3" xfId="17798"/>
    <cellStyle name="20% - Accent1 6 5 3" xfId="10600"/>
    <cellStyle name="20% - Accent1 6 5 3 2" xfId="24542"/>
    <cellStyle name="20% - Accent1 6 5 4" xfId="17797"/>
    <cellStyle name="20% - Accent1 6 6" xfId="476"/>
    <cellStyle name="20% - Accent1 6 6 2" xfId="11924"/>
    <cellStyle name="20% - Accent1 6 6 2 2" xfId="25639"/>
    <cellStyle name="20% - Accent1 6 6 3" xfId="17799"/>
    <cellStyle name="20% - Accent1 6 7" xfId="477"/>
    <cellStyle name="20% - Accent1 6 7 2" xfId="12564"/>
    <cellStyle name="20% - Accent1 6 7 2 2" xfId="26276"/>
    <cellStyle name="20% - Accent1 6 7 3" xfId="17800"/>
    <cellStyle name="20% - Accent1 6 8" xfId="478"/>
    <cellStyle name="20% - Accent1 6 8 2" xfId="13501"/>
    <cellStyle name="20% - Accent1 6 8 2 2" xfId="27050"/>
    <cellStyle name="20% - Accent1 6 8 3" xfId="17801"/>
    <cellStyle name="20% - Accent1 6 9" xfId="479"/>
    <cellStyle name="20% - Accent1 6 9 2" xfId="14082"/>
    <cellStyle name="20% - Accent1 6 9 2 2" xfId="27631"/>
    <cellStyle name="20% - Accent1 6 9 3" xfId="17802"/>
    <cellStyle name="20% - Accent1 7" xfId="480"/>
    <cellStyle name="20% - Accent1 7 10" xfId="481"/>
    <cellStyle name="20% - Accent1 7 10 2" xfId="15988"/>
    <cellStyle name="20% - Accent1 7 10 2 2" xfId="29395"/>
    <cellStyle name="20% - Accent1 7 10 3" xfId="17804"/>
    <cellStyle name="20% - Accent1 7 11" xfId="8883"/>
    <cellStyle name="20% - Accent1 7 11 2" xfId="23358"/>
    <cellStyle name="20% - Accent1 7 12" xfId="17803"/>
    <cellStyle name="20% - Accent1 7 2" xfId="482"/>
    <cellStyle name="20% - Accent1 7 2 10" xfId="8884"/>
    <cellStyle name="20% - Accent1 7 2 10 2" xfId="23359"/>
    <cellStyle name="20% - Accent1 7 2 11" xfId="17805"/>
    <cellStyle name="20% - Accent1 7 2 2" xfId="483"/>
    <cellStyle name="20% - Accent1 7 2 2 2" xfId="484"/>
    <cellStyle name="20% - Accent1 7 2 2 2 2" xfId="10610"/>
    <cellStyle name="20% - Accent1 7 2 2 2 2 2" xfId="24552"/>
    <cellStyle name="20% - Accent1 7 2 2 2 3" xfId="17807"/>
    <cellStyle name="20% - Accent1 7 2 2 3" xfId="485"/>
    <cellStyle name="20% - Accent1 7 2 2 3 2" xfId="11782"/>
    <cellStyle name="20% - Accent1 7 2 2 3 2 2" xfId="25497"/>
    <cellStyle name="20% - Accent1 7 2 2 3 3" xfId="17808"/>
    <cellStyle name="20% - Accent1 7 2 2 4" xfId="486"/>
    <cellStyle name="20% - Accent1 7 2 2 4 2" xfId="14635"/>
    <cellStyle name="20% - Accent1 7 2 2 4 2 2" xfId="28184"/>
    <cellStyle name="20% - Accent1 7 2 2 4 3" xfId="17809"/>
    <cellStyle name="20% - Accent1 7 2 2 5" xfId="487"/>
    <cellStyle name="20% - Accent1 7 2 2 5 2" xfId="16858"/>
    <cellStyle name="20% - Accent1 7 2 2 5 2 2" xfId="30265"/>
    <cellStyle name="20% - Accent1 7 2 2 5 3" xfId="17810"/>
    <cellStyle name="20% - Accent1 7 2 2 6" xfId="8885"/>
    <cellStyle name="20% - Accent1 7 2 2 6 2" xfId="23360"/>
    <cellStyle name="20% - Accent1 7 2 2 7" xfId="17806"/>
    <cellStyle name="20% - Accent1 7 2 3" xfId="488"/>
    <cellStyle name="20% - Accent1 7 2 3 2" xfId="489"/>
    <cellStyle name="20% - Accent1 7 2 3 2 2" xfId="14636"/>
    <cellStyle name="20% - Accent1 7 2 3 2 2 2" xfId="28185"/>
    <cellStyle name="20% - Accent1 7 2 3 2 3" xfId="17812"/>
    <cellStyle name="20% - Accent1 7 2 3 3" xfId="10609"/>
    <cellStyle name="20% - Accent1 7 2 3 3 2" xfId="24551"/>
    <cellStyle name="20% - Accent1 7 2 3 4" xfId="17811"/>
    <cellStyle name="20% - Accent1 7 2 4" xfId="490"/>
    <cellStyle name="20% - Accent1 7 2 4 2" xfId="12246"/>
    <cellStyle name="20% - Accent1 7 2 4 2 2" xfId="25958"/>
    <cellStyle name="20% - Accent1 7 2 4 3" xfId="17813"/>
    <cellStyle name="20% - Accent1 7 2 5" xfId="491"/>
    <cellStyle name="20% - Accent1 7 2 5 2" xfId="12682"/>
    <cellStyle name="20% - Accent1 7 2 5 2 2" xfId="26394"/>
    <cellStyle name="20% - Accent1 7 2 5 3" xfId="17814"/>
    <cellStyle name="20% - Accent1 7 2 6" xfId="492"/>
    <cellStyle name="20% - Accent1 7 2 6 2" xfId="13810"/>
    <cellStyle name="20% - Accent1 7 2 6 2 2" xfId="27359"/>
    <cellStyle name="20% - Accent1 7 2 6 3" xfId="17815"/>
    <cellStyle name="20% - Accent1 7 2 7" xfId="493"/>
    <cellStyle name="20% - Accent1 7 2 7 2" xfId="14391"/>
    <cellStyle name="20% - Accent1 7 2 7 2 2" xfId="27940"/>
    <cellStyle name="20% - Accent1 7 2 7 3" xfId="17816"/>
    <cellStyle name="20% - Accent1 7 2 8" xfId="494"/>
    <cellStyle name="20% - Accent1 7 2 8 2" xfId="14634"/>
    <cellStyle name="20% - Accent1 7 2 8 2 2" xfId="28183"/>
    <cellStyle name="20% - Accent1 7 2 8 3" xfId="17817"/>
    <cellStyle name="20% - Accent1 7 2 9" xfId="495"/>
    <cellStyle name="20% - Accent1 7 2 9 2" xfId="16277"/>
    <cellStyle name="20% - Accent1 7 2 9 2 2" xfId="29684"/>
    <cellStyle name="20% - Accent1 7 2 9 3" xfId="17818"/>
    <cellStyle name="20% - Accent1 7 3" xfId="496"/>
    <cellStyle name="20% - Accent1 7 3 2" xfId="497"/>
    <cellStyle name="20% - Accent1 7 3 2 2" xfId="10611"/>
    <cellStyle name="20% - Accent1 7 3 2 2 2" xfId="24553"/>
    <cellStyle name="20% - Accent1 7 3 2 3" xfId="17820"/>
    <cellStyle name="20% - Accent1 7 3 3" xfId="498"/>
    <cellStyle name="20% - Accent1 7 3 3 2" xfId="12573"/>
    <cellStyle name="20% - Accent1 7 3 3 2 2" xfId="26285"/>
    <cellStyle name="20% - Accent1 7 3 3 3" xfId="17821"/>
    <cellStyle name="20% - Accent1 7 3 4" xfId="499"/>
    <cellStyle name="20% - Accent1 7 3 4 2" xfId="14637"/>
    <cellStyle name="20% - Accent1 7 3 4 2 2" xfId="28186"/>
    <cellStyle name="20% - Accent1 7 3 4 3" xfId="17822"/>
    <cellStyle name="20% - Accent1 7 3 5" xfId="500"/>
    <cellStyle name="20% - Accent1 7 3 5 2" xfId="16569"/>
    <cellStyle name="20% - Accent1 7 3 5 2 2" xfId="29976"/>
    <cellStyle name="20% - Accent1 7 3 5 3" xfId="17823"/>
    <cellStyle name="20% - Accent1 7 3 6" xfId="8886"/>
    <cellStyle name="20% - Accent1 7 3 6 2" xfId="23361"/>
    <cellStyle name="20% - Accent1 7 3 7" xfId="17819"/>
    <cellStyle name="20% - Accent1 7 4" xfId="501"/>
    <cellStyle name="20% - Accent1 7 4 2" xfId="502"/>
    <cellStyle name="20% - Accent1 7 4 2 2" xfId="14638"/>
    <cellStyle name="20% - Accent1 7 4 2 2 2" xfId="28187"/>
    <cellStyle name="20% - Accent1 7 4 2 3" xfId="17825"/>
    <cellStyle name="20% - Accent1 7 4 3" xfId="10608"/>
    <cellStyle name="20% - Accent1 7 4 3 2" xfId="24550"/>
    <cellStyle name="20% - Accent1 7 4 4" xfId="17824"/>
    <cellStyle name="20% - Accent1 7 5" xfId="503"/>
    <cellStyle name="20% - Accent1 7 5 2" xfId="11944"/>
    <cellStyle name="20% - Accent1 7 5 2 2" xfId="25659"/>
    <cellStyle name="20% - Accent1 7 5 3" xfId="17826"/>
    <cellStyle name="20% - Accent1 7 6" xfId="504"/>
    <cellStyle name="20% - Accent1 7 6 2" xfId="12592"/>
    <cellStyle name="20% - Accent1 7 6 2 2" xfId="26304"/>
    <cellStyle name="20% - Accent1 7 6 3" xfId="17827"/>
    <cellStyle name="20% - Accent1 7 7" xfId="505"/>
    <cellStyle name="20% - Accent1 7 7 2" xfId="13521"/>
    <cellStyle name="20% - Accent1 7 7 2 2" xfId="27070"/>
    <cellStyle name="20% - Accent1 7 7 3" xfId="17828"/>
    <cellStyle name="20% - Accent1 7 8" xfId="506"/>
    <cellStyle name="20% - Accent1 7 8 2" xfId="14102"/>
    <cellStyle name="20% - Accent1 7 8 2 2" xfId="27651"/>
    <cellStyle name="20% - Accent1 7 8 3" xfId="17829"/>
    <cellStyle name="20% - Accent1 7 9" xfId="507"/>
    <cellStyle name="20% - Accent1 7 9 2" xfId="14633"/>
    <cellStyle name="20% - Accent1 7 9 2 2" xfId="28182"/>
    <cellStyle name="20% - Accent1 7 9 3" xfId="17830"/>
    <cellStyle name="20% - Accent1 8" xfId="508"/>
    <cellStyle name="20% - Accent1 8 10" xfId="8887"/>
    <cellStyle name="20% - Accent1 8 10 2" xfId="23362"/>
    <cellStyle name="20% - Accent1 8 11" xfId="17831"/>
    <cellStyle name="20% - Accent1 8 2" xfId="509"/>
    <cellStyle name="20% - Accent1 8 2 2" xfId="510"/>
    <cellStyle name="20% - Accent1 8 2 2 2" xfId="10613"/>
    <cellStyle name="20% - Accent1 8 2 2 2 2" xfId="24555"/>
    <cellStyle name="20% - Accent1 8 2 2 3" xfId="17833"/>
    <cellStyle name="20% - Accent1 8 2 3" xfId="511"/>
    <cellStyle name="20% - Accent1 8 2 3 2" xfId="12714"/>
    <cellStyle name="20% - Accent1 8 2 3 2 2" xfId="26426"/>
    <cellStyle name="20% - Accent1 8 2 3 3" xfId="17834"/>
    <cellStyle name="20% - Accent1 8 2 4" xfId="512"/>
    <cellStyle name="20% - Accent1 8 2 4 2" xfId="14640"/>
    <cellStyle name="20% - Accent1 8 2 4 2 2" xfId="28189"/>
    <cellStyle name="20% - Accent1 8 2 4 3" xfId="17835"/>
    <cellStyle name="20% - Accent1 8 2 5" xfId="513"/>
    <cellStyle name="20% - Accent1 8 2 5 2" xfId="16712"/>
    <cellStyle name="20% - Accent1 8 2 5 2 2" xfId="30119"/>
    <cellStyle name="20% - Accent1 8 2 5 3" xfId="17836"/>
    <cellStyle name="20% - Accent1 8 2 6" xfId="8888"/>
    <cellStyle name="20% - Accent1 8 2 6 2" xfId="23363"/>
    <cellStyle name="20% - Accent1 8 2 7" xfId="17832"/>
    <cellStyle name="20% - Accent1 8 3" xfId="514"/>
    <cellStyle name="20% - Accent1 8 3 2" xfId="515"/>
    <cellStyle name="20% - Accent1 8 3 2 2" xfId="14641"/>
    <cellStyle name="20% - Accent1 8 3 2 2 2" xfId="28190"/>
    <cellStyle name="20% - Accent1 8 3 2 3" xfId="17838"/>
    <cellStyle name="20% - Accent1 8 3 3" xfId="10612"/>
    <cellStyle name="20% - Accent1 8 3 3 2" xfId="24554"/>
    <cellStyle name="20% - Accent1 8 3 4" xfId="17837"/>
    <cellStyle name="20% - Accent1 8 4" xfId="516"/>
    <cellStyle name="20% - Accent1 8 4 2" xfId="12090"/>
    <cellStyle name="20% - Accent1 8 4 2 2" xfId="25804"/>
    <cellStyle name="20% - Accent1 8 4 3" xfId="17839"/>
    <cellStyle name="20% - Accent1 8 5" xfId="517"/>
    <cellStyle name="20% - Accent1 8 5 2" xfId="12580"/>
    <cellStyle name="20% - Accent1 8 5 2 2" xfId="26292"/>
    <cellStyle name="20% - Accent1 8 5 3" xfId="17840"/>
    <cellStyle name="20% - Accent1 8 6" xfId="518"/>
    <cellStyle name="20% - Accent1 8 6 2" xfId="13664"/>
    <cellStyle name="20% - Accent1 8 6 2 2" xfId="27213"/>
    <cellStyle name="20% - Accent1 8 6 3" xfId="17841"/>
    <cellStyle name="20% - Accent1 8 7" xfId="519"/>
    <cellStyle name="20% - Accent1 8 7 2" xfId="14245"/>
    <cellStyle name="20% - Accent1 8 7 2 2" xfId="27794"/>
    <cellStyle name="20% - Accent1 8 7 3" xfId="17842"/>
    <cellStyle name="20% - Accent1 8 8" xfId="520"/>
    <cellStyle name="20% - Accent1 8 8 2" xfId="14639"/>
    <cellStyle name="20% - Accent1 8 8 2 2" xfId="28188"/>
    <cellStyle name="20% - Accent1 8 8 3" xfId="17843"/>
    <cellStyle name="20% - Accent1 8 9" xfId="521"/>
    <cellStyle name="20% - Accent1 8 9 2" xfId="16131"/>
    <cellStyle name="20% - Accent1 8 9 2 2" xfId="29538"/>
    <cellStyle name="20% - Accent1 8 9 3" xfId="17844"/>
    <cellStyle name="20% - Accent1 9" xfId="522"/>
    <cellStyle name="20% - Accent1 9 2" xfId="523"/>
    <cellStyle name="20% - Accent1 9 2 2" xfId="10614"/>
    <cellStyle name="20% - Accent1 9 2 2 2" xfId="24556"/>
    <cellStyle name="20% - Accent1 9 2 3" xfId="17846"/>
    <cellStyle name="20% - Accent1 9 3" xfId="524"/>
    <cellStyle name="20% - Accent1 9 3 2" xfId="12583"/>
    <cellStyle name="20% - Accent1 9 3 2 2" xfId="26295"/>
    <cellStyle name="20% - Accent1 9 3 3" xfId="17847"/>
    <cellStyle name="20% - Accent1 9 4" xfId="525"/>
    <cellStyle name="20% - Accent1 9 4 2" xfId="14642"/>
    <cellStyle name="20% - Accent1 9 4 2 2" xfId="28191"/>
    <cellStyle name="20% - Accent1 9 4 3" xfId="17848"/>
    <cellStyle name="20% - Accent1 9 5" xfId="526"/>
    <cellStyle name="20% - Accent1 9 5 2" xfId="17096"/>
    <cellStyle name="20% - Accent1 9 5 2 2" xfId="30455"/>
    <cellStyle name="20% - Accent1 9 5 3" xfId="17849"/>
    <cellStyle name="20% - Accent1 9 6" xfId="8889"/>
    <cellStyle name="20% - Accent1 9 6 2" xfId="23364"/>
    <cellStyle name="20% - Accent1 9 7" xfId="17845"/>
    <cellStyle name="20% - Accent2" xfId="32" builtinId="34" customBuiltin="1"/>
    <cellStyle name="20% - Accent2 10" xfId="527"/>
    <cellStyle name="20% - Accent2 10 2" xfId="528"/>
    <cellStyle name="20% - Accent2 10 2 2" xfId="529"/>
    <cellStyle name="20% - Accent2 10 2 2 2" xfId="12582"/>
    <cellStyle name="20% - Accent2 10 2 2 2 2" xfId="26294"/>
    <cellStyle name="20% - Accent2 10 2 2 3" xfId="17852"/>
    <cellStyle name="20% - Accent2 10 2 3" xfId="530"/>
    <cellStyle name="20% - Accent2 10 2 3 2" xfId="14645"/>
    <cellStyle name="20% - Accent2 10 2 3 2 2" xfId="28194"/>
    <cellStyle name="20% - Accent2 10 2 3 3" xfId="17853"/>
    <cellStyle name="20% - Accent2 10 2 4" xfId="10616"/>
    <cellStyle name="20% - Accent2 10 2 4 2" xfId="24558"/>
    <cellStyle name="20% - Accent2 10 2 5" xfId="17851"/>
    <cellStyle name="20% - Accent2 10 3" xfId="531"/>
    <cellStyle name="20% - Accent2 10 3 2" xfId="12404"/>
    <cellStyle name="20% - Accent2 10 3 2 2" xfId="26116"/>
    <cellStyle name="20% - Accent2 10 3 3" xfId="17854"/>
    <cellStyle name="20% - Accent2 10 4" xfId="532"/>
    <cellStyle name="20% - Accent2 10 4 2" xfId="14644"/>
    <cellStyle name="20% - Accent2 10 4 2 2" xfId="28193"/>
    <cellStyle name="20% - Accent2 10 4 3" xfId="17855"/>
    <cellStyle name="20% - Accent2 10 5" xfId="533"/>
    <cellStyle name="20% - Accent2 10 5 2" xfId="17186"/>
    <cellStyle name="20% - Accent2 10 5 2 2" xfId="30545"/>
    <cellStyle name="20% - Accent2 10 5 3" xfId="17856"/>
    <cellStyle name="20% - Accent2 10 6" xfId="8891"/>
    <cellStyle name="20% - Accent2 10 6 2" xfId="23366"/>
    <cellStyle name="20% - Accent2 10 7" xfId="17850"/>
    <cellStyle name="20% - Accent2 11" xfId="534"/>
    <cellStyle name="20% - Accent2 11 2" xfId="535"/>
    <cellStyle name="20% - Accent2 11 2 2" xfId="10617"/>
    <cellStyle name="20% - Accent2 11 2 2 2" xfId="24559"/>
    <cellStyle name="20% - Accent2 11 2 3" xfId="17858"/>
    <cellStyle name="20% - Accent2 11 3" xfId="536"/>
    <cellStyle name="20% - Accent2 11 3 2" xfId="12538"/>
    <cellStyle name="20% - Accent2 11 3 2 2" xfId="26250"/>
    <cellStyle name="20% - Accent2 11 3 3" xfId="17859"/>
    <cellStyle name="20% - Accent2 11 4" xfId="537"/>
    <cellStyle name="20% - Accent2 11 4 2" xfId="14646"/>
    <cellStyle name="20% - Accent2 11 4 2 2" xfId="28195"/>
    <cellStyle name="20% - Accent2 11 4 3" xfId="17860"/>
    <cellStyle name="20% - Accent2 11 5" xfId="538"/>
    <cellStyle name="20% - Accent2 11 5 2" xfId="17275"/>
    <cellStyle name="20% - Accent2 11 5 2 2" xfId="30634"/>
    <cellStyle name="20% - Accent2 11 5 3" xfId="17861"/>
    <cellStyle name="20% - Accent2 11 6" xfId="8892"/>
    <cellStyle name="20% - Accent2 11 6 2" xfId="23367"/>
    <cellStyle name="20% - Accent2 11 7" xfId="17857"/>
    <cellStyle name="20% - Accent2 12" xfId="539"/>
    <cellStyle name="20% - Accent2 12 2" xfId="540"/>
    <cellStyle name="20% - Accent2 12 2 2" xfId="541"/>
    <cellStyle name="20% - Accent2 12 2 2 2" xfId="10619"/>
    <cellStyle name="20% - Accent2 12 2 2 2 2" xfId="24561"/>
    <cellStyle name="20% - Accent2 12 2 2 3" xfId="17864"/>
    <cellStyle name="20% - Accent2 12 2 3" xfId="542"/>
    <cellStyle name="20% - Accent2 12 2 3 2" xfId="12456"/>
    <cellStyle name="20% - Accent2 12 2 3 2 2" xfId="26168"/>
    <cellStyle name="20% - Accent2 12 2 3 3" xfId="17865"/>
    <cellStyle name="20% - Accent2 12 2 4" xfId="543"/>
    <cellStyle name="20% - Accent2 12 2 4 2" xfId="14648"/>
    <cellStyle name="20% - Accent2 12 2 4 2 2" xfId="28197"/>
    <cellStyle name="20% - Accent2 12 2 4 3" xfId="17866"/>
    <cellStyle name="20% - Accent2 12 2 5" xfId="8894"/>
    <cellStyle name="20% - Accent2 12 2 5 2" xfId="23369"/>
    <cellStyle name="20% - Accent2 12 2 6" xfId="17863"/>
    <cellStyle name="20% - Accent2 12 3" xfId="544"/>
    <cellStyle name="20% - Accent2 12 3 2" xfId="10618"/>
    <cellStyle name="20% - Accent2 12 3 2 2" xfId="24560"/>
    <cellStyle name="20% - Accent2 12 3 3" xfId="17867"/>
    <cellStyle name="20% - Accent2 12 4" xfId="545"/>
    <cellStyle name="20% - Accent2 12 4 2" xfId="12558"/>
    <cellStyle name="20% - Accent2 12 4 2 2" xfId="26270"/>
    <cellStyle name="20% - Accent2 12 4 3" xfId="17868"/>
    <cellStyle name="20% - Accent2 12 5" xfId="546"/>
    <cellStyle name="20% - Accent2 12 5 2" xfId="14647"/>
    <cellStyle name="20% - Accent2 12 5 2 2" xfId="28196"/>
    <cellStyle name="20% - Accent2 12 5 3" xfId="17869"/>
    <cellStyle name="20% - Accent2 12 6" xfId="547"/>
    <cellStyle name="20% - Accent2 12 6 2" xfId="16427"/>
    <cellStyle name="20% - Accent2 12 6 2 2" xfId="29834"/>
    <cellStyle name="20% - Accent2 12 6 3" xfId="17870"/>
    <cellStyle name="20% - Accent2 12 7" xfId="8893"/>
    <cellStyle name="20% - Accent2 12 7 2" xfId="23368"/>
    <cellStyle name="20% - Accent2 12 8" xfId="17862"/>
    <cellStyle name="20% - Accent2 13" xfId="548"/>
    <cellStyle name="20% - Accent2 13 2" xfId="549"/>
    <cellStyle name="20% - Accent2 13 2 2" xfId="10620"/>
    <cellStyle name="20% - Accent2 13 2 2 2" xfId="24562"/>
    <cellStyle name="20% - Accent2 13 2 3" xfId="17872"/>
    <cellStyle name="20% - Accent2 13 3" xfId="550"/>
    <cellStyle name="20% - Accent2 13 3 2" xfId="12560"/>
    <cellStyle name="20% - Accent2 13 3 2 2" xfId="26272"/>
    <cellStyle name="20% - Accent2 13 3 3" xfId="17873"/>
    <cellStyle name="20% - Accent2 13 4" xfId="551"/>
    <cellStyle name="20% - Accent2 13 4 2" xfId="14649"/>
    <cellStyle name="20% - Accent2 13 4 2 2" xfId="28198"/>
    <cellStyle name="20% - Accent2 13 4 3" xfId="17874"/>
    <cellStyle name="20% - Accent2 13 5" xfId="8895"/>
    <cellStyle name="20% - Accent2 13 5 2" xfId="23370"/>
    <cellStyle name="20% - Accent2 13 6" xfId="17871"/>
    <cellStyle name="20% - Accent2 14" xfId="552"/>
    <cellStyle name="20% - Accent2 14 2" xfId="553"/>
    <cellStyle name="20% - Accent2 14 2 2" xfId="10621"/>
    <cellStyle name="20% - Accent2 14 2 2 2" xfId="24563"/>
    <cellStyle name="20% - Accent2 14 2 3" xfId="17876"/>
    <cellStyle name="20% - Accent2 14 3" xfId="554"/>
    <cellStyle name="20% - Accent2 14 3 2" xfId="12776"/>
    <cellStyle name="20% - Accent2 14 3 2 2" xfId="26488"/>
    <cellStyle name="20% - Accent2 14 3 3" xfId="17877"/>
    <cellStyle name="20% - Accent2 14 4" xfId="555"/>
    <cellStyle name="20% - Accent2 14 4 2" xfId="14650"/>
    <cellStyle name="20% - Accent2 14 4 2 2" xfId="28199"/>
    <cellStyle name="20% - Accent2 14 4 3" xfId="17878"/>
    <cellStyle name="20% - Accent2 14 5" xfId="8896"/>
    <cellStyle name="20% - Accent2 14 5 2" xfId="23371"/>
    <cellStyle name="20% - Accent2 14 6" xfId="17875"/>
    <cellStyle name="20% - Accent2 15" xfId="556"/>
    <cellStyle name="20% - Accent2 15 2" xfId="557"/>
    <cellStyle name="20% - Accent2 15 2 2" xfId="10622"/>
    <cellStyle name="20% - Accent2 15 2 2 2" xfId="24564"/>
    <cellStyle name="20% - Accent2 15 2 3" xfId="17880"/>
    <cellStyle name="20% - Accent2 15 3" xfId="558"/>
    <cellStyle name="20% - Accent2 15 3 2" xfId="12665"/>
    <cellStyle name="20% - Accent2 15 3 2 2" xfId="26377"/>
    <cellStyle name="20% - Accent2 15 3 3" xfId="17881"/>
    <cellStyle name="20% - Accent2 15 4" xfId="559"/>
    <cellStyle name="20% - Accent2 15 4 2" xfId="14651"/>
    <cellStyle name="20% - Accent2 15 4 2 2" xfId="28200"/>
    <cellStyle name="20% - Accent2 15 4 3" xfId="17882"/>
    <cellStyle name="20% - Accent2 15 5" xfId="8897"/>
    <cellStyle name="20% - Accent2 15 5 2" xfId="23372"/>
    <cellStyle name="20% - Accent2 15 6" xfId="17879"/>
    <cellStyle name="20% - Accent2 16" xfId="560"/>
    <cellStyle name="20% - Accent2 16 2" xfId="561"/>
    <cellStyle name="20% - Accent2 16 2 2" xfId="10623"/>
    <cellStyle name="20% - Accent2 16 2 2 2" xfId="24565"/>
    <cellStyle name="20% - Accent2 16 2 3" xfId="17884"/>
    <cellStyle name="20% - Accent2 16 3" xfId="562"/>
    <cellStyle name="20% - Accent2 16 3 2" xfId="12417"/>
    <cellStyle name="20% - Accent2 16 3 2 2" xfId="26129"/>
    <cellStyle name="20% - Accent2 16 3 3" xfId="17885"/>
    <cellStyle name="20% - Accent2 16 4" xfId="563"/>
    <cellStyle name="20% - Accent2 16 4 2" xfId="14652"/>
    <cellStyle name="20% - Accent2 16 4 2 2" xfId="28201"/>
    <cellStyle name="20% - Accent2 16 4 3" xfId="17886"/>
    <cellStyle name="20% - Accent2 16 5" xfId="8898"/>
    <cellStyle name="20% - Accent2 16 5 2" xfId="23373"/>
    <cellStyle name="20% - Accent2 16 6" xfId="17883"/>
    <cellStyle name="20% - Accent2 17" xfId="564"/>
    <cellStyle name="20% - Accent2 17 2" xfId="565"/>
    <cellStyle name="20% - Accent2 17 2 2" xfId="10624"/>
    <cellStyle name="20% - Accent2 17 2 2 2" xfId="24566"/>
    <cellStyle name="20% - Accent2 17 2 3" xfId="17888"/>
    <cellStyle name="20% - Accent2 17 3" xfId="566"/>
    <cellStyle name="20% - Accent2 17 3 2" xfId="12525"/>
    <cellStyle name="20% - Accent2 17 3 2 2" xfId="26237"/>
    <cellStyle name="20% - Accent2 17 3 3" xfId="17889"/>
    <cellStyle name="20% - Accent2 17 4" xfId="567"/>
    <cellStyle name="20% - Accent2 17 4 2" xfId="14653"/>
    <cellStyle name="20% - Accent2 17 4 2 2" xfId="28202"/>
    <cellStyle name="20% - Accent2 17 4 3" xfId="17890"/>
    <cellStyle name="20% - Accent2 17 5" xfId="8899"/>
    <cellStyle name="20% - Accent2 17 5 2" xfId="23374"/>
    <cellStyle name="20% - Accent2 17 6" xfId="17887"/>
    <cellStyle name="20% - Accent2 18" xfId="568"/>
    <cellStyle name="20% - Accent2 18 2" xfId="569"/>
    <cellStyle name="20% - Accent2 18 2 2" xfId="10625"/>
    <cellStyle name="20% - Accent2 18 2 2 2" xfId="24567"/>
    <cellStyle name="20% - Accent2 18 2 3" xfId="17892"/>
    <cellStyle name="20% - Accent2 18 3" xfId="570"/>
    <cellStyle name="20% - Accent2 18 3 2" xfId="12740"/>
    <cellStyle name="20% - Accent2 18 3 2 2" xfId="26452"/>
    <cellStyle name="20% - Accent2 18 3 3" xfId="17893"/>
    <cellStyle name="20% - Accent2 18 4" xfId="571"/>
    <cellStyle name="20% - Accent2 18 4 2" xfId="14654"/>
    <cellStyle name="20% - Accent2 18 4 2 2" xfId="28203"/>
    <cellStyle name="20% - Accent2 18 4 3" xfId="17894"/>
    <cellStyle name="20% - Accent2 18 5" xfId="8900"/>
    <cellStyle name="20% - Accent2 18 5 2" xfId="23375"/>
    <cellStyle name="20% - Accent2 18 6" xfId="17891"/>
    <cellStyle name="20% - Accent2 19" xfId="572"/>
    <cellStyle name="20% - Accent2 19 2" xfId="573"/>
    <cellStyle name="20% - Accent2 19 2 2" xfId="11711"/>
    <cellStyle name="20% - Accent2 19 2 2 2" xfId="25431"/>
    <cellStyle name="20% - Accent2 19 2 3" xfId="17896"/>
    <cellStyle name="20% - Accent2 19 3" xfId="574"/>
    <cellStyle name="20% - Accent2 19 3 2" xfId="12630"/>
    <cellStyle name="20% - Accent2 19 3 2 2" xfId="26342"/>
    <cellStyle name="20% - Accent2 19 3 3" xfId="17897"/>
    <cellStyle name="20% - Accent2 19 4" xfId="575"/>
    <cellStyle name="20% - Accent2 19 4 2" xfId="14655"/>
    <cellStyle name="20% - Accent2 19 4 2 2" xfId="28204"/>
    <cellStyle name="20% - Accent2 19 4 3" xfId="17898"/>
    <cellStyle name="20% - Accent2 19 5" xfId="10463"/>
    <cellStyle name="20% - Accent2 19 5 2" xfId="24422"/>
    <cellStyle name="20% - Accent2 19 6" xfId="17895"/>
    <cellStyle name="20% - Accent2 2" xfId="576"/>
    <cellStyle name="20% - Accent2 2 10" xfId="577"/>
    <cellStyle name="20% - Accent2 2 10 2" xfId="578"/>
    <cellStyle name="20% - Accent2 2 10 2 2" xfId="14657"/>
    <cellStyle name="20% - Accent2 2 10 2 2 2" xfId="28206"/>
    <cellStyle name="20% - Accent2 2 10 2 3" xfId="17901"/>
    <cellStyle name="20% - Accent2 2 10 3" xfId="11838"/>
    <cellStyle name="20% - Accent2 2 10 3 2" xfId="25553"/>
    <cellStyle name="20% - Accent2 2 10 4" xfId="17900"/>
    <cellStyle name="20% - Accent2 2 11" xfId="579"/>
    <cellStyle name="20% - Accent2 2 11 2" xfId="11764"/>
    <cellStyle name="20% - Accent2 2 11 2 2" xfId="25479"/>
    <cellStyle name="20% - Accent2 2 11 3" xfId="17902"/>
    <cellStyle name="20% - Accent2 2 12" xfId="580"/>
    <cellStyle name="20% - Accent2 2 12 2" xfId="13437"/>
    <cellStyle name="20% - Accent2 2 12 2 2" xfId="26986"/>
    <cellStyle name="20% - Accent2 2 12 3" xfId="17903"/>
    <cellStyle name="20% - Accent2 2 13" xfId="581"/>
    <cellStyle name="20% - Accent2 2 13 2" xfId="14018"/>
    <cellStyle name="20% - Accent2 2 13 2 2" xfId="27567"/>
    <cellStyle name="20% - Accent2 2 13 3" xfId="17904"/>
    <cellStyle name="20% - Accent2 2 14" xfId="582"/>
    <cellStyle name="20% - Accent2 2 14 2" xfId="14656"/>
    <cellStyle name="20% - Accent2 2 14 2 2" xfId="28205"/>
    <cellStyle name="20% - Accent2 2 14 3" xfId="17905"/>
    <cellStyle name="20% - Accent2 2 15" xfId="583"/>
    <cellStyle name="20% - Accent2 2 15 2" xfId="15904"/>
    <cellStyle name="20% - Accent2 2 15 2 2" xfId="29311"/>
    <cellStyle name="20% - Accent2 2 15 3" xfId="17906"/>
    <cellStyle name="20% - Accent2 2 16" xfId="8901"/>
    <cellStyle name="20% - Accent2 2 16 2" xfId="23376"/>
    <cellStyle name="20% - Accent2 2 17" xfId="17899"/>
    <cellStyle name="20% - Accent2 2 18" xfId="33066"/>
    <cellStyle name="20% - Accent2 2 2" xfId="584"/>
    <cellStyle name="20% - Accent2 2 2 10" xfId="585"/>
    <cellStyle name="20% - Accent2 2 2 10 2" xfId="14658"/>
    <cellStyle name="20% - Accent2 2 2 10 2 2" xfId="28207"/>
    <cellStyle name="20% - Accent2 2 2 10 3" xfId="17908"/>
    <cellStyle name="20% - Accent2 2 2 11" xfId="586"/>
    <cellStyle name="20% - Accent2 2 2 11 2" xfId="15950"/>
    <cellStyle name="20% - Accent2 2 2 11 2 2" xfId="29357"/>
    <cellStyle name="20% - Accent2 2 2 11 3" xfId="17909"/>
    <cellStyle name="20% - Accent2 2 2 12" xfId="8902"/>
    <cellStyle name="20% - Accent2 2 2 12 2" xfId="23377"/>
    <cellStyle name="20% - Accent2 2 2 13" xfId="17907"/>
    <cellStyle name="20% - Accent2 2 2 2" xfId="587"/>
    <cellStyle name="20% - Accent2 2 2 2 10" xfId="588"/>
    <cellStyle name="20% - Accent2 2 2 2 10 2" xfId="16093"/>
    <cellStyle name="20% - Accent2 2 2 2 10 2 2" xfId="29500"/>
    <cellStyle name="20% - Accent2 2 2 2 10 3" xfId="17911"/>
    <cellStyle name="20% - Accent2 2 2 2 11" xfId="8903"/>
    <cellStyle name="20% - Accent2 2 2 2 11 2" xfId="23378"/>
    <cellStyle name="20% - Accent2 2 2 2 12" xfId="17910"/>
    <cellStyle name="20% - Accent2 2 2 2 2" xfId="589"/>
    <cellStyle name="20% - Accent2 2 2 2 2 10" xfId="8904"/>
    <cellStyle name="20% - Accent2 2 2 2 2 10 2" xfId="23379"/>
    <cellStyle name="20% - Accent2 2 2 2 2 11" xfId="17912"/>
    <cellStyle name="20% - Accent2 2 2 2 2 2" xfId="590"/>
    <cellStyle name="20% - Accent2 2 2 2 2 2 2" xfId="591"/>
    <cellStyle name="20% - Accent2 2 2 2 2 2 2 2" xfId="10630"/>
    <cellStyle name="20% - Accent2 2 2 2 2 2 2 2 2" xfId="24572"/>
    <cellStyle name="20% - Accent2 2 2 2 2 2 2 3" xfId="17914"/>
    <cellStyle name="20% - Accent2 2 2 2 2 2 3" xfId="592"/>
    <cellStyle name="20% - Accent2 2 2 2 2 2 3 2" xfId="12662"/>
    <cellStyle name="20% - Accent2 2 2 2 2 2 3 2 2" xfId="26374"/>
    <cellStyle name="20% - Accent2 2 2 2 2 2 3 3" xfId="17915"/>
    <cellStyle name="20% - Accent2 2 2 2 2 2 4" xfId="593"/>
    <cellStyle name="20% - Accent2 2 2 2 2 2 4 2" xfId="14661"/>
    <cellStyle name="20% - Accent2 2 2 2 2 2 4 2 2" xfId="28210"/>
    <cellStyle name="20% - Accent2 2 2 2 2 2 4 3" xfId="17916"/>
    <cellStyle name="20% - Accent2 2 2 2 2 2 5" xfId="594"/>
    <cellStyle name="20% - Accent2 2 2 2 2 2 5 2" xfId="16963"/>
    <cellStyle name="20% - Accent2 2 2 2 2 2 5 2 2" xfId="30370"/>
    <cellStyle name="20% - Accent2 2 2 2 2 2 5 3" xfId="17917"/>
    <cellStyle name="20% - Accent2 2 2 2 2 2 6" xfId="8905"/>
    <cellStyle name="20% - Accent2 2 2 2 2 2 6 2" xfId="23380"/>
    <cellStyle name="20% - Accent2 2 2 2 2 2 7" xfId="17913"/>
    <cellStyle name="20% - Accent2 2 2 2 2 3" xfId="595"/>
    <cellStyle name="20% - Accent2 2 2 2 2 3 2" xfId="596"/>
    <cellStyle name="20% - Accent2 2 2 2 2 3 2 2" xfId="14662"/>
    <cellStyle name="20% - Accent2 2 2 2 2 3 2 2 2" xfId="28211"/>
    <cellStyle name="20% - Accent2 2 2 2 2 3 2 3" xfId="17919"/>
    <cellStyle name="20% - Accent2 2 2 2 2 3 3" xfId="10629"/>
    <cellStyle name="20% - Accent2 2 2 2 2 3 3 2" xfId="24571"/>
    <cellStyle name="20% - Accent2 2 2 2 2 3 4" xfId="17918"/>
    <cellStyle name="20% - Accent2 2 2 2 2 4" xfId="597"/>
    <cellStyle name="20% - Accent2 2 2 2 2 4 2" xfId="12351"/>
    <cellStyle name="20% - Accent2 2 2 2 2 4 2 2" xfId="26063"/>
    <cellStyle name="20% - Accent2 2 2 2 2 4 3" xfId="17920"/>
    <cellStyle name="20% - Accent2 2 2 2 2 5" xfId="598"/>
    <cellStyle name="20% - Accent2 2 2 2 2 5 2" xfId="12790"/>
    <cellStyle name="20% - Accent2 2 2 2 2 5 2 2" xfId="26502"/>
    <cellStyle name="20% - Accent2 2 2 2 2 5 3" xfId="17921"/>
    <cellStyle name="20% - Accent2 2 2 2 2 6" xfId="599"/>
    <cellStyle name="20% - Accent2 2 2 2 2 6 2" xfId="13915"/>
    <cellStyle name="20% - Accent2 2 2 2 2 6 2 2" xfId="27464"/>
    <cellStyle name="20% - Accent2 2 2 2 2 6 3" xfId="17922"/>
    <cellStyle name="20% - Accent2 2 2 2 2 7" xfId="600"/>
    <cellStyle name="20% - Accent2 2 2 2 2 7 2" xfId="14496"/>
    <cellStyle name="20% - Accent2 2 2 2 2 7 2 2" xfId="28045"/>
    <cellStyle name="20% - Accent2 2 2 2 2 7 3" xfId="17923"/>
    <cellStyle name="20% - Accent2 2 2 2 2 8" xfId="601"/>
    <cellStyle name="20% - Accent2 2 2 2 2 8 2" xfId="14660"/>
    <cellStyle name="20% - Accent2 2 2 2 2 8 2 2" xfId="28209"/>
    <cellStyle name="20% - Accent2 2 2 2 2 8 3" xfId="17924"/>
    <cellStyle name="20% - Accent2 2 2 2 2 9" xfId="602"/>
    <cellStyle name="20% - Accent2 2 2 2 2 9 2" xfId="16382"/>
    <cellStyle name="20% - Accent2 2 2 2 2 9 2 2" xfId="29789"/>
    <cellStyle name="20% - Accent2 2 2 2 2 9 3" xfId="17925"/>
    <cellStyle name="20% - Accent2 2 2 2 3" xfId="603"/>
    <cellStyle name="20% - Accent2 2 2 2 3 2" xfId="604"/>
    <cellStyle name="20% - Accent2 2 2 2 3 2 2" xfId="10631"/>
    <cellStyle name="20% - Accent2 2 2 2 3 2 2 2" xfId="24573"/>
    <cellStyle name="20% - Accent2 2 2 2 3 2 3" xfId="17927"/>
    <cellStyle name="20% - Accent2 2 2 2 3 3" xfId="605"/>
    <cellStyle name="20% - Accent2 2 2 2 3 3 2" xfId="12557"/>
    <cellStyle name="20% - Accent2 2 2 2 3 3 2 2" xfId="26269"/>
    <cellStyle name="20% - Accent2 2 2 2 3 3 3" xfId="17928"/>
    <cellStyle name="20% - Accent2 2 2 2 3 4" xfId="606"/>
    <cellStyle name="20% - Accent2 2 2 2 3 4 2" xfId="14663"/>
    <cellStyle name="20% - Accent2 2 2 2 3 4 2 2" xfId="28212"/>
    <cellStyle name="20% - Accent2 2 2 2 3 4 3" xfId="17929"/>
    <cellStyle name="20% - Accent2 2 2 2 3 5" xfId="607"/>
    <cellStyle name="20% - Accent2 2 2 2 3 5 2" xfId="16674"/>
    <cellStyle name="20% - Accent2 2 2 2 3 5 2 2" xfId="30081"/>
    <cellStyle name="20% - Accent2 2 2 2 3 5 3" xfId="17930"/>
    <cellStyle name="20% - Accent2 2 2 2 3 6" xfId="8906"/>
    <cellStyle name="20% - Accent2 2 2 2 3 6 2" xfId="23381"/>
    <cellStyle name="20% - Accent2 2 2 2 3 7" xfId="17926"/>
    <cellStyle name="20% - Accent2 2 2 2 4" xfId="608"/>
    <cellStyle name="20% - Accent2 2 2 2 4 2" xfId="609"/>
    <cellStyle name="20% - Accent2 2 2 2 4 2 2" xfId="14664"/>
    <cellStyle name="20% - Accent2 2 2 2 4 2 2 2" xfId="28213"/>
    <cellStyle name="20% - Accent2 2 2 2 4 2 3" xfId="17932"/>
    <cellStyle name="20% - Accent2 2 2 2 4 3" xfId="10628"/>
    <cellStyle name="20% - Accent2 2 2 2 4 3 2" xfId="24570"/>
    <cellStyle name="20% - Accent2 2 2 2 4 4" xfId="17931"/>
    <cellStyle name="20% - Accent2 2 2 2 5" xfId="610"/>
    <cellStyle name="20% - Accent2 2 2 2 5 2" xfId="12051"/>
    <cellStyle name="20% - Accent2 2 2 2 5 2 2" xfId="25766"/>
    <cellStyle name="20% - Accent2 2 2 2 5 3" xfId="17933"/>
    <cellStyle name="20% - Accent2 2 2 2 6" xfId="611"/>
    <cellStyle name="20% - Accent2 2 2 2 6 2" xfId="12760"/>
    <cellStyle name="20% - Accent2 2 2 2 6 2 2" xfId="26472"/>
    <cellStyle name="20% - Accent2 2 2 2 6 3" xfId="17934"/>
    <cellStyle name="20% - Accent2 2 2 2 7" xfId="612"/>
    <cellStyle name="20% - Accent2 2 2 2 7 2" xfId="13626"/>
    <cellStyle name="20% - Accent2 2 2 2 7 2 2" xfId="27175"/>
    <cellStyle name="20% - Accent2 2 2 2 7 3" xfId="17935"/>
    <cellStyle name="20% - Accent2 2 2 2 8" xfId="613"/>
    <cellStyle name="20% - Accent2 2 2 2 8 2" xfId="14207"/>
    <cellStyle name="20% - Accent2 2 2 2 8 2 2" xfId="27756"/>
    <cellStyle name="20% - Accent2 2 2 2 8 3" xfId="17936"/>
    <cellStyle name="20% - Accent2 2 2 2 9" xfId="614"/>
    <cellStyle name="20% - Accent2 2 2 2 9 2" xfId="14659"/>
    <cellStyle name="20% - Accent2 2 2 2 9 2 2" xfId="28208"/>
    <cellStyle name="20% - Accent2 2 2 2 9 3" xfId="17937"/>
    <cellStyle name="20% - Accent2 2 2 3" xfId="615"/>
    <cellStyle name="20% - Accent2 2 2 3 10" xfId="8907"/>
    <cellStyle name="20% - Accent2 2 2 3 10 2" xfId="23382"/>
    <cellStyle name="20% - Accent2 2 2 3 11" xfId="17938"/>
    <cellStyle name="20% - Accent2 2 2 3 2" xfId="616"/>
    <cellStyle name="20% - Accent2 2 2 3 2 2" xfId="617"/>
    <cellStyle name="20% - Accent2 2 2 3 2 2 2" xfId="10633"/>
    <cellStyle name="20% - Accent2 2 2 3 2 2 2 2" xfId="24575"/>
    <cellStyle name="20% - Accent2 2 2 3 2 2 3" xfId="17940"/>
    <cellStyle name="20% - Accent2 2 2 3 2 3" xfId="618"/>
    <cellStyle name="20% - Accent2 2 2 3 2 3 2" xfId="12749"/>
    <cellStyle name="20% - Accent2 2 2 3 2 3 2 2" xfId="26461"/>
    <cellStyle name="20% - Accent2 2 2 3 2 3 3" xfId="17941"/>
    <cellStyle name="20% - Accent2 2 2 3 2 4" xfId="619"/>
    <cellStyle name="20% - Accent2 2 2 3 2 4 2" xfId="14666"/>
    <cellStyle name="20% - Accent2 2 2 3 2 4 2 2" xfId="28215"/>
    <cellStyle name="20% - Accent2 2 2 3 2 4 3" xfId="17942"/>
    <cellStyle name="20% - Accent2 2 2 3 2 5" xfId="620"/>
    <cellStyle name="20% - Accent2 2 2 3 2 5 2" xfId="16820"/>
    <cellStyle name="20% - Accent2 2 2 3 2 5 2 2" xfId="30227"/>
    <cellStyle name="20% - Accent2 2 2 3 2 5 3" xfId="17943"/>
    <cellStyle name="20% - Accent2 2 2 3 2 6" xfId="8908"/>
    <cellStyle name="20% - Accent2 2 2 3 2 6 2" xfId="23383"/>
    <cellStyle name="20% - Accent2 2 2 3 2 7" xfId="17939"/>
    <cellStyle name="20% - Accent2 2 2 3 3" xfId="621"/>
    <cellStyle name="20% - Accent2 2 2 3 3 2" xfId="622"/>
    <cellStyle name="20% - Accent2 2 2 3 3 2 2" xfId="14667"/>
    <cellStyle name="20% - Accent2 2 2 3 3 2 2 2" xfId="28216"/>
    <cellStyle name="20% - Accent2 2 2 3 3 2 3" xfId="17945"/>
    <cellStyle name="20% - Accent2 2 2 3 3 3" xfId="10632"/>
    <cellStyle name="20% - Accent2 2 2 3 3 3 2" xfId="24574"/>
    <cellStyle name="20% - Accent2 2 2 3 3 4" xfId="17944"/>
    <cellStyle name="20% - Accent2 2 2 3 4" xfId="623"/>
    <cellStyle name="20% - Accent2 2 2 3 4 2" xfId="12208"/>
    <cellStyle name="20% - Accent2 2 2 3 4 2 2" xfId="25920"/>
    <cellStyle name="20% - Accent2 2 2 3 4 3" xfId="17946"/>
    <cellStyle name="20% - Accent2 2 2 3 5" xfId="624"/>
    <cellStyle name="20% - Accent2 2 2 3 5 2" xfId="12663"/>
    <cellStyle name="20% - Accent2 2 2 3 5 2 2" xfId="26375"/>
    <cellStyle name="20% - Accent2 2 2 3 5 3" xfId="17947"/>
    <cellStyle name="20% - Accent2 2 2 3 6" xfId="625"/>
    <cellStyle name="20% - Accent2 2 2 3 6 2" xfId="13772"/>
    <cellStyle name="20% - Accent2 2 2 3 6 2 2" xfId="27321"/>
    <cellStyle name="20% - Accent2 2 2 3 6 3" xfId="17948"/>
    <cellStyle name="20% - Accent2 2 2 3 7" xfId="626"/>
    <cellStyle name="20% - Accent2 2 2 3 7 2" xfId="14353"/>
    <cellStyle name="20% - Accent2 2 2 3 7 2 2" xfId="27902"/>
    <cellStyle name="20% - Accent2 2 2 3 7 3" xfId="17949"/>
    <cellStyle name="20% - Accent2 2 2 3 8" xfId="627"/>
    <cellStyle name="20% - Accent2 2 2 3 8 2" xfId="14665"/>
    <cellStyle name="20% - Accent2 2 2 3 8 2 2" xfId="28214"/>
    <cellStyle name="20% - Accent2 2 2 3 8 3" xfId="17950"/>
    <cellStyle name="20% - Accent2 2 2 3 9" xfId="628"/>
    <cellStyle name="20% - Accent2 2 2 3 9 2" xfId="16239"/>
    <cellStyle name="20% - Accent2 2 2 3 9 2 2" xfId="29646"/>
    <cellStyle name="20% - Accent2 2 2 3 9 3" xfId="17951"/>
    <cellStyle name="20% - Accent2 2 2 4" xfId="629"/>
    <cellStyle name="20% - Accent2 2 2 4 2" xfId="630"/>
    <cellStyle name="20% - Accent2 2 2 4 2 2" xfId="10634"/>
    <cellStyle name="20% - Accent2 2 2 4 2 2 2" xfId="24576"/>
    <cellStyle name="20% - Accent2 2 2 4 2 3" xfId="17953"/>
    <cellStyle name="20% - Accent2 2 2 4 3" xfId="631"/>
    <cellStyle name="20% - Accent2 2 2 4 3 2" xfId="12550"/>
    <cellStyle name="20% - Accent2 2 2 4 3 2 2" xfId="26262"/>
    <cellStyle name="20% - Accent2 2 2 4 3 3" xfId="17954"/>
    <cellStyle name="20% - Accent2 2 2 4 4" xfId="632"/>
    <cellStyle name="20% - Accent2 2 2 4 4 2" xfId="14668"/>
    <cellStyle name="20% - Accent2 2 2 4 4 2 2" xfId="28217"/>
    <cellStyle name="20% - Accent2 2 2 4 4 3" xfId="17955"/>
    <cellStyle name="20% - Accent2 2 2 4 5" xfId="633"/>
    <cellStyle name="20% - Accent2 2 2 4 5 2" xfId="17167"/>
    <cellStyle name="20% - Accent2 2 2 4 5 2 2" xfId="30526"/>
    <cellStyle name="20% - Accent2 2 2 4 5 3" xfId="17956"/>
    <cellStyle name="20% - Accent2 2 2 4 6" xfId="8909"/>
    <cellStyle name="20% - Accent2 2 2 4 6 2" xfId="23384"/>
    <cellStyle name="20% - Accent2 2 2 4 7" xfId="17952"/>
    <cellStyle name="20% - Accent2 2 2 5" xfId="634"/>
    <cellStyle name="20% - Accent2 2 2 5 2" xfId="635"/>
    <cellStyle name="20% - Accent2 2 2 5 2 2" xfId="14669"/>
    <cellStyle name="20% - Accent2 2 2 5 2 2 2" xfId="28218"/>
    <cellStyle name="20% - Accent2 2 2 5 2 3" xfId="17958"/>
    <cellStyle name="20% - Accent2 2 2 5 3" xfId="636"/>
    <cellStyle name="20% - Accent2 2 2 5 3 2" xfId="17256"/>
    <cellStyle name="20% - Accent2 2 2 5 3 2 2" xfId="30615"/>
    <cellStyle name="20% - Accent2 2 2 5 3 3" xfId="17959"/>
    <cellStyle name="20% - Accent2 2 2 5 4" xfId="10627"/>
    <cellStyle name="20% - Accent2 2 2 5 4 2" xfId="24569"/>
    <cellStyle name="20% - Accent2 2 2 5 5" xfId="17957"/>
    <cellStyle name="20% - Accent2 2 2 6" xfId="637"/>
    <cellStyle name="20% - Accent2 2 2 6 2" xfId="638"/>
    <cellStyle name="20% - Accent2 2 2 6 2 2" xfId="16531"/>
    <cellStyle name="20% - Accent2 2 2 6 2 2 2" xfId="29938"/>
    <cellStyle name="20% - Accent2 2 2 6 2 3" xfId="17961"/>
    <cellStyle name="20% - Accent2 2 2 6 3" xfId="11906"/>
    <cellStyle name="20% - Accent2 2 2 6 3 2" xfId="25621"/>
    <cellStyle name="20% - Accent2 2 2 6 4" xfId="17960"/>
    <cellStyle name="20% - Accent2 2 2 7" xfId="639"/>
    <cellStyle name="20% - Accent2 2 2 7 2" xfId="11873"/>
    <cellStyle name="20% - Accent2 2 2 7 2 2" xfId="25588"/>
    <cellStyle name="20% - Accent2 2 2 7 3" xfId="17962"/>
    <cellStyle name="20% - Accent2 2 2 8" xfId="640"/>
    <cellStyle name="20% - Accent2 2 2 8 2" xfId="13483"/>
    <cellStyle name="20% - Accent2 2 2 8 2 2" xfId="27032"/>
    <cellStyle name="20% - Accent2 2 2 8 3" xfId="17963"/>
    <cellStyle name="20% - Accent2 2 2 9" xfId="641"/>
    <cellStyle name="20% - Accent2 2 2 9 2" xfId="14064"/>
    <cellStyle name="20% - Accent2 2 2 9 2 2" xfId="27613"/>
    <cellStyle name="20% - Accent2 2 2 9 3" xfId="17964"/>
    <cellStyle name="20% - Accent2 2 3" xfId="642"/>
    <cellStyle name="20% - Accent2 2 3 10" xfId="643"/>
    <cellStyle name="20% - Accent2 2 3 10 2" xfId="16047"/>
    <cellStyle name="20% - Accent2 2 3 10 2 2" xfId="29454"/>
    <cellStyle name="20% - Accent2 2 3 10 3" xfId="17966"/>
    <cellStyle name="20% - Accent2 2 3 11" xfId="8910"/>
    <cellStyle name="20% - Accent2 2 3 11 2" xfId="23385"/>
    <cellStyle name="20% - Accent2 2 3 12" xfId="17965"/>
    <cellStyle name="20% - Accent2 2 3 2" xfId="644"/>
    <cellStyle name="20% - Accent2 2 3 2 10" xfId="8911"/>
    <cellStyle name="20% - Accent2 2 3 2 10 2" xfId="23386"/>
    <cellStyle name="20% - Accent2 2 3 2 11" xfId="17967"/>
    <cellStyle name="20% - Accent2 2 3 2 2" xfId="645"/>
    <cellStyle name="20% - Accent2 2 3 2 2 2" xfId="646"/>
    <cellStyle name="20% - Accent2 2 3 2 2 2 2" xfId="10637"/>
    <cellStyle name="20% - Accent2 2 3 2 2 2 2 2" xfId="24579"/>
    <cellStyle name="20% - Accent2 2 3 2 2 2 3" xfId="17969"/>
    <cellStyle name="20% - Accent2 2 3 2 2 3" xfId="647"/>
    <cellStyle name="20% - Accent2 2 3 2 2 3 2" xfId="12647"/>
    <cellStyle name="20% - Accent2 2 3 2 2 3 2 2" xfId="26359"/>
    <cellStyle name="20% - Accent2 2 3 2 2 3 3" xfId="17970"/>
    <cellStyle name="20% - Accent2 2 3 2 2 4" xfId="648"/>
    <cellStyle name="20% - Accent2 2 3 2 2 4 2" xfId="14672"/>
    <cellStyle name="20% - Accent2 2 3 2 2 4 2 2" xfId="28221"/>
    <cellStyle name="20% - Accent2 2 3 2 2 4 3" xfId="17971"/>
    <cellStyle name="20% - Accent2 2 3 2 2 5" xfId="649"/>
    <cellStyle name="20% - Accent2 2 3 2 2 5 2" xfId="16917"/>
    <cellStyle name="20% - Accent2 2 3 2 2 5 2 2" xfId="30324"/>
    <cellStyle name="20% - Accent2 2 3 2 2 5 3" xfId="17972"/>
    <cellStyle name="20% - Accent2 2 3 2 2 6" xfId="8912"/>
    <cellStyle name="20% - Accent2 2 3 2 2 6 2" xfId="23387"/>
    <cellStyle name="20% - Accent2 2 3 2 2 7" xfId="17968"/>
    <cellStyle name="20% - Accent2 2 3 2 3" xfId="650"/>
    <cellStyle name="20% - Accent2 2 3 2 3 2" xfId="651"/>
    <cellStyle name="20% - Accent2 2 3 2 3 2 2" xfId="14673"/>
    <cellStyle name="20% - Accent2 2 3 2 3 2 2 2" xfId="28222"/>
    <cellStyle name="20% - Accent2 2 3 2 3 2 3" xfId="17974"/>
    <cellStyle name="20% - Accent2 2 3 2 3 3" xfId="10636"/>
    <cellStyle name="20% - Accent2 2 3 2 3 3 2" xfId="24578"/>
    <cellStyle name="20% - Accent2 2 3 2 3 4" xfId="17973"/>
    <cellStyle name="20% - Accent2 2 3 2 4" xfId="652"/>
    <cellStyle name="20% - Accent2 2 3 2 4 2" xfId="12305"/>
    <cellStyle name="20% - Accent2 2 3 2 4 2 2" xfId="26017"/>
    <cellStyle name="20% - Accent2 2 3 2 4 3" xfId="17975"/>
    <cellStyle name="20% - Accent2 2 3 2 5" xfId="653"/>
    <cellStyle name="20% - Accent2 2 3 2 5 2" xfId="12423"/>
    <cellStyle name="20% - Accent2 2 3 2 5 2 2" xfId="26135"/>
    <cellStyle name="20% - Accent2 2 3 2 5 3" xfId="17976"/>
    <cellStyle name="20% - Accent2 2 3 2 6" xfId="654"/>
    <cellStyle name="20% - Accent2 2 3 2 6 2" xfId="13869"/>
    <cellStyle name="20% - Accent2 2 3 2 6 2 2" xfId="27418"/>
    <cellStyle name="20% - Accent2 2 3 2 6 3" xfId="17977"/>
    <cellStyle name="20% - Accent2 2 3 2 7" xfId="655"/>
    <cellStyle name="20% - Accent2 2 3 2 7 2" xfId="14450"/>
    <cellStyle name="20% - Accent2 2 3 2 7 2 2" xfId="27999"/>
    <cellStyle name="20% - Accent2 2 3 2 7 3" xfId="17978"/>
    <cellStyle name="20% - Accent2 2 3 2 8" xfId="656"/>
    <cellStyle name="20% - Accent2 2 3 2 8 2" xfId="14671"/>
    <cellStyle name="20% - Accent2 2 3 2 8 2 2" xfId="28220"/>
    <cellStyle name="20% - Accent2 2 3 2 8 3" xfId="17979"/>
    <cellStyle name="20% - Accent2 2 3 2 9" xfId="657"/>
    <cellStyle name="20% - Accent2 2 3 2 9 2" xfId="16336"/>
    <cellStyle name="20% - Accent2 2 3 2 9 2 2" xfId="29743"/>
    <cellStyle name="20% - Accent2 2 3 2 9 3" xfId="17980"/>
    <cellStyle name="20% - Accent2 2 3 3" xfId="658"/>
    <cellStyle name="20% - Accent2 2 3 3 2" xfId="659"/>
    <cellStyle name="20% - Accent2 2 3 3 2 2" xfId="10638"/>
    <cellStyle name="20% - Accent2 2 3 3 2 2 2" xfId="24580"/>
    <cellStyle name="20% - Accent2 2 3 3 2 3" xfId="17982"/>
    <cellStyle name="20% - Accent2 2 3 3 3" xfId="660"/>
    <cellStyle name="20% - Accent2 2 3 3 3 2" xfId="12678"/>
    <cellStyle name="20% - Accent2 2 3 3 3 2 2" xfId="26390"/>
    <cellStyle name="20% - Accent2 2 3 3 3 3" xfId="17983"/>
    <cellStyle name="20% - Accent2 2 3 3 4" xfId="661"/>
    <cellStyle name="20% - Accent2 2 3 3 4 2" xfId="14674"/>
    <cellStyle name="20% - Accent2 2 3 3 4 2 2" xfId="28223"/>
    <cellStyle name="20% - Accent2 2 3 3 4 3" xfId="17984"/>
    <cellStyle name="20% - Accent2 2 3 3 5" xfId="662"/>
    <cellStyle name="20% - Accent2 2 3 3 5 2" xfId="16628"/>
    <cellStyle name="20% - Accent2 2 3 3 5 2 2" xfId="30035"/>
    <cellStyle name="20% - Accent2 2 3 3 5 3" xfId="17985"/>
    <cellStyle name="20% - Accent2 2 3 3 6" xfId="8913"/>
    <cellStyle name="20% - Accent2 2 3 3 6 2" xfId="23388"/>
    <cellStyle name="20% - Accent2 2 3 3 7" xfId="17981"/>
    <cellStyle name="20% - Accent2 2 3 4" xfId="663"/>
    <cellStyle name="20% - Accent2 2 3 4 2" xfId="664"/>
    <cellStyle name="20% - Accent2 2 3 4 2 2" xfId="14675"/>
    <cellStyle name="20% - Accent2 2 3 4 2 2 2" xfId="28224"/>
    <cellStyle name="20% - Accent2 2 3 4 2 3" xfId="17987"/>
    <cellStyle name="20% - Accent2 2 3 4 3" xfId="10635"/>
    <cellStyle name="20% - Accent2 2 3 4 3 2" xfId="24577"/>
    <cellStyle name="20% - Accent2 2 3 4 4" xfId="17986"/>
    <cellStyle name="20% - Accent2 2 3 5" xfId="665"/>
    <cellStyle name="20% - Accent2 2 3 5 2" xfId="12005"/>
    <cellStyle name="20% - Accent2 2 3 5 2 2" xfId="25720"/>
    <cellStyle name="20% - Accent2 2 3 5 3" xfId="17988"/>
    <cellStyle name="20% - Accent2 2 3 6" xfId="666"/>
    <cellStyle name="20% - Accent2 2 3 6 2" xfId="12605"/>
    <cellStyle name="20% - Accent2 2 3 6 2 2" xfId="26317"/>
    <cellStyle name="20% - Accent2 2 3 6 3" xfId="17989"/>
    <cellStyle name="20% - Accent2 2 3 7" xfId="667"/>
    <cellStyle name="20% - Accent2 2 3 7 2" xfId="13580"/>
    <cellStyle name="20% - Accent2 2 3 7 2 2" xfId="27129"/>
    <cellStyle name="20% - Accent2 2 3 7 3" xfId="17990"/>
    <cellStyle name="20% - Accent2 2 3 8" xfId="668"/>
    <cellStyle name="20% - Accent2 2 3 8 2" xfId="14161"/>
    <cellStyle name="20% - Accent2 2 3 8 2 2" xfId="27710"/>
    <cellStyle name="20% - Accent2 2 3 8 3" xfId="17991"/>
    <cellStyle name="20% - Accent2 2 3 9" xfId="669"/>
    <cellStyle name="20% - Accent2 2 3 9 2" xfId="14670"/>
    <cellStyle name="20% - Accent2 2 3 9 2 2" xfId="28219"/>
    <cellStyle name="20% - Accent2 2 3 9 3" xfId="17992"/>
    <cellStyle name="20% - Accent2 2 4" xfId="670"/>
    <cellStyle name="20% - Accent2 2 4 10" xfId="8914"/>
    <cellStyle name="20% - Accent2 2 4 10 2" xfId="23389"/>
    <cellStyle name="20% - Accent2 2 4 11" xfId="17993"/>
    <cellStyle name="20% - Accent2 2 4 2" xfId="671"/>
    <cellStyle name="20% - Accent2 2 4 2 2" xfId="672"/>
    <cellStyle name="20% - Accent2 2 4 2 2 2" xfId="10640"/>
    <cellStyle name="20% - Accent2 2 4 2 2 2 2" xfId="24582"/>
    <cellStyle name="20% - Accent2 2 4 2 2 3" xfId="17995"/>
    <cellStyle name="20% - Accent2 2 4 2 3" xfId="673"/>
    <cellStyle name="20% - Accent2 2 4 2 3 2" xfId="12774"/>
    <cellStyle name="20% - Accent2 2 4 2 3 2 2" xfId="26486"/>
    <cellStyle name="20% - Accent2 2 4 2 3 3" xfId="17996"/>
    <cellStyle name="20% - Accent2 2 4 2 4" xfId="674"/>
    <cellStyle name="20% - Accent2 2 4 2 4 2" xfId="14677"/>
    <cellStyle name="20% - Accent2 2 4 2 4 2 2" xfId="28226"/>
    <cellStyle name="20% - Accent2 2 4 2 4 3" xfId="17997"/>
    <cellStyle name="20% - Accent2 2 4 2 5" xfId="675"/>
    <cellStyle name="20% - Accent2 2 4 2 5 2" xfId="16774"/>
    <cellStyle name="20% - Accent2 2 4 2 5 2 2" xfId="30181"/>
    <cellStyle name="20% - Accent2 2 4 2 5 3" xfId="17998"/>
    <cellStyle name="20% - Accent2 2 4 2 6" xfId="8915"/>
    <cellStyle name="20% - Accent2 2 4 2 6 2" xfId="23390"/>
    <cellStyle name="20% - Accent2 2 4 2 7" xfId="17994"/>
    <cellStyle name="20% - Accent2 2 4 3" xfId="676"/>
    <cellStyle name="20% - Accent2 2 4 3 2" xfId="677"/>
    <cellStyle name="20% - Accent2 2 4 3 2 2" xfId="14678"/>
    <cellStyle name="20% - Accent2 2 4 3 2 2 2" xfId="28227"/>
    <cellStyle name="20% - Accent2 2 4 3 2 3" xfId="18000"/>
    <cellStyle name="20% - Accent2 2 4 3 3" xfId="10639"/>
    <cellStyle name="20% - Accent2 2 4 3 3 2" xfId="24581"/>
    <cellStyle name="20% - Accent2 2 4 3 4" xfId="17999"/>
    <cellStyle name="20% - Accent2 2 4 4" xfId="678"/>
    <cellStyle name="20% - Accent2 2 4 4 2" xfId="12162"/>
    <cellStyle name="20% - Accent2 2 4 4 2 2" xfId="25874"/>
    <cellStyle name="20% - Accent2 2 4 4 3" xfId="18001"/>
    <cellStyle name="20% - Accent2 2 4 5" xfId="679"/>
    <cellStyle name="20% - Accent2 2 4 5 2" xfId="12679"/>
    <cellStyle name="20% - Accent2 2 4 5 2 2" xfId="26391"/>
    <cellStyle name="20% - Accent2 2 4 5 3" xfId="18002"/>
    <cellStyle name="20% - Accent2 2 4 6" xfId="680"/>
    <cellStyle name="20% - Accent2 2 4 6 2" xfId="13726"/>
    <cellStyle name="20% - Accent2 2 4 6 2 2" xfId="27275"/>
    <cellStyle name="20% - Accent2 2 4 6 3" xfId="18003"/>
    <cellStyle name="20% - Accent2 2 4 7" xfId="681"/>
    <cellStyle name="20% - Accent2 2 4 7 2" xfId="14307"/>
    <cellStyle name="20% - Accent2 2 4 7 2 2" xfId="27856"/>
    <cellStyle name="20% - Accent2 2 4 7 3" xfId="18004"/>
    <cellStyle name="20% - Accent2 2 4 8" xfId="682"/>
    <cellStyle name="20% - Accent2 2 4 8 2" xfId="14676"/>
    <cellStyle name="20% - Accent2 2 4 8 2 2" xfId="28225"/>
    <cellStyle name="20% - Accent2 2 4 8 3" xfId="18005"/>
    <cellStyle name="20% - Accent2 2 4 9" xfId="683"/>
    <cellStyle name="20% - Accent2 2 4 9 2" xfId="16193"/>
    <cellStyle name="20% - Accent2 2 4 9 2 2" xfId="29600"/>
    <cellStyle name="20% - Accent2 2 4 9 3" xfId="18006"/>
    <cellStyle name="20% - Accent2 2 5" xfId="684"/>
    <cellStyle name="20% - Accent2 2 5 2" xfId="685"/>
    <cellStyle name="20% - Accent2 2 5 2 2" xfId="686"/>
    <cellStyle name="20% - Accent2 2 5 2 2 2" xfId="10642"/>
    <cellStyle name="20% - Accent2 2 5 2 2 2 2" xfId="24584"/>
    <cellStyle name="20% - Accent2 2 5 2 2 3" xfId="18009"/>
    <cellStyle name="20% - Accent2 2 5 2 3" xfId="687"/>
    <cellStyle name="20% - Accent2 2 5 2 3 2" xfId="12533"/>
    <cellStyle name="20% - Accent2 2 5 2 3 2 2" xfId="26245"/>
    <cellStyle name="20% - Accent2 2 5 2 3 3" xfId="18010"/>
    <cellStyle name="20% - Accent2 2 5 2 4" xfId="688"/>
    <cellStyle name="20% - Accent2 2 5 2 4 2" xfId="14680"/>
    <cellStyle name="20% - Accent2 2 5 2 4 2 2" xfId="28229"/>
    <cellStyle name="20% - Accent2 2 5 2 4 3" xfId="18011"/>
    <cellStyle name="20% - Accent2 2 5 2 5" xfId="8917"/>
    <cellStyle name="20% - Accent2 2 5 2 5 2" xfId="23392"/>
    <cellStyle name="20% - Accent2 2 5 2 6" xfId="18008"/>
    <cellStyle name="20% - Accent2 2 5 3" xfId="689"/>
    <cellStyle name="20% - Accent2 2 5 3 2" xfId="10641"/>
    <cellStyle name="20% - Accent2 2 5 3 2 2" xfId="24583"/>
    <cellStyle name="20% - Accent2 2 5 3 3" xfId="18012"/>
    <cellStyle name="20% - Accent2 2 5 4" xfId="690"/>
    <cellStyle name="20% - Accent2 2 5 4 2" xfId="12523"/>
    <cellStyle name="20% - Accent2 2 5 4 2 2" xfId="26235"/>
    <cellStyle name="20% - Accent2 2 5 4 3" xfId="18013"/>
    <cellStyle name="20% - Accent2 2 5 5" xfId="691"/>
    <cellStyle name="20% - Accent2 2 5 5 2" xfId="14679"/>
    <cellStyle name="20% - Accent2 2 5 5 2 2" xfId="28228"/>
    <cellStyle name="20% - Accent2 2 5 5 3" xfId="18014"/>
    <cellStyle name="20% - Accent2 2 5 6" xfId="692"/>
    <cellStyle name="20% - Accent2 2 5 6 2" xfId="17008"/>
    <cellStyle name="20% - Accent2 2 5 6 2 2" xfId="30415"/>
    <cellStyle name="20% - Accent2 2 5 6 3" xfId="18015"/>
    <cellStyle name="20% - Accent2 2 5 7" xfId="8916"/>
    <cellStyle name="20% - Accent2 2 5 7 2" xfId="23391"/>
    <cellStyle name="20% - Accent2 2 5 8" xfId="18007"/>
    <cellStyle name="20% - Accent2 2 6" xfId="693"/>
    <cellStyle name="20% - Accent2 2 6 2" xfId="694"/>
    <cellStyle name="20% - Accent2 2 6 2 2" xfId="10643"/>
    <cellStyle name="20% - Accent2 2 6 2 2 2" xfId="24585"/>
    <cellStyle name="20% - Accent2 2 6 2 3" xfId="18017"/>
    <cellStyle name="20% - Accent2 2 6 3" xfId="695"/>
    <cellStyle name="20% - Accent2 2 6 3 2" xfId="12690"/>
    <cellStyle name="20% - Accent2 2 6 3 2 2" xfId="26402"/>
    <cellStyle name="20% - Accent2 2 6 3 3" xfId="18018"/>
    <cellStyle name="20% - Accent2 2 6 4" xfId="696"/>
    <cellStyle name="20% - Accent2 2 6 4 2" xfId="14681"/>
    <cellStyle name="20% - Accent2 2 6 4 2 2" xfId="28230"/>
    <cellStyle name="20% - Accent2 2 6 4 3" xfId="18019"/>
    <cellStyle name="20% - Accent2 2 6 5" xfId="697"/>
    <cellStyle name="20% - Accent2 2 6 5 2" xfId="17121"/>
    <cellStyle name="20% - Accent2 2 6 5 2 2" xfId="30480"/>
    <cellStyle name="20% - Accent2 2 6 5 3" xfId="18020"/>
    <cellStyle name="20% - Accent2 2 6 6" xfId="8918"/>
    <cellStyle name="20% - Accent2 2 6 6 2" xfId="23393"/>
    <cellStyle name="20% - Accent2 2 6 7" xfId="18016"/>
    <cellStyle name="20% - Accent2 2 7" xfId="698"/>
    <cellStyle name="20% - Accent2 2 7 2" xfId="699"/>
    <cellStyle name="20% - Accent2 2 7 2 2" xfId="10644"/>
    <cellStyle name="20% - Accent2 2 7 2 2 2" xfId="24586"/>
    <cellStyle name="20% - Accent2 2 7 2 3" xfId="18022"/>
    <cellStyle name="20% - Accent2 2 7 3" xfId="700"/>
    <cellStyle name="20% - Accent2 2 7 3 2" xfId="12466"/>
    <cellStyle name="20% - Accent2 2 7 3 2 2" xfId="26178"/>
    <cellStyle name="20% - Accent2 2 7 3 3" xfId="18023"/>
    <cellStyle name="20% - Accent2 2 7 4" xfId="701"/>
    <cellStyle name="20% - Accent2 2 7 4 2" xfId="14682"/>
    <cellStyle name="20% - Accent2 2 7 4 2 2" xfId="28231"/>
    <cellStyle name="20% - Accent2 2 7 4 3" xfId="18024"/>
    <cellStyle name="20% - Accent2 2 7 5" xfId="702"/>
    <cellStyle name="20% - Accent2 2 7 5 2" xfId="17210"/>
    <cellStyle name="20% - Accent2 2 7 5 2 2" xfId="30569"/>
    <cellStyle name="20% - Accent2 2 7 5 3" xfId="18025"/>
    <cellStyle name="20% - Accent2 2 7 6" xfId="8919"/>
    <cellStyle name="20% - Accent2 2 7 6 2" xfId="23394"/>
    <cellStyle name="20% - Accent2 2 7 7" xfId="18021"/>
    <cellStyle name="20% - Accent2 2 8" xfId="703"/>
    <cellStyle name="20% - Accent2 2 8 2" xfId="704"/>
    <cellStyle name="20% - Accent2 2 8 2 2" xfId="12572"/>
    <cellStyle name="20% - Accent2 2 8 2 2 2" xfId="26284"/>
    <cellStyle name="20% - Accent2 2 8 2 3" xfId="18027"/>
    <cellStyle name="20% - Accent2 2 8 3" xfId="705"/>
    <cellStyle name="20% - Accent2 2 8 3 2" xfId="14683"/>
    <cellStyle name="20% - Accent2 2 8 3 2 2" xfId="28232"/>
    <cellStyle name="20% - Accent2 2 8 3 3" xfId="18028"/>
    <cellStyle name="20% - Accent2 2 8 4" xfId="706"/>
    <cellStyle name="20% - Accent2 2 8 4 2" xfId="16485"/>
    <cellStyle name="20% - Accent2 2 8 4 2 2" xfId="29892"/>
    <cellStyle name="20% - Accent2 2 8 4 3" xfId="18029"/>
    <cellStyle name="20% - Accent2 2 8 5" xfId="10529"/>
    <cellStyle name="20% - Accent2 2 8 5 2" xfId="24471"/>
    <cellStyle name="20% - Accent2 2 8 6" xfId="18026"/>
    <cellStyle name="20% - Accent2 2 9" xfId="707"/>
    <cellStyle name="20% - Accent2 2 9 2" xfId="708"/>
    <cellStyle name="20% - Accent2 2 9 2 2" xfId="12789"/>
    <cellStyle name="20% - Accent2 2 9 2 2 2" xfId="26501"/>
    <cellStyle name="20% - Accent2 2 9 2 3" xfId="18031"/>
    <cellStyle name="20% - Accent2 2 9 3" xfId="709"/>
    <cellStyle name="20% - Accent2 2 9 3 2" xfId="14684"/>
    <cellStyle name="20% - Accent2 2 9 3 2 2" xfId="28233"/>
    <cellStyle name="20% - Accent2 2 9 3 3" xfId="18032"/>
    <cellStyle name="20% - Accent2 2 9 4" xfId="10626"/>
    <cellStyle name="20% - Accent2 2 9 4 2" xfId="24568"/>
    <cellStyle name="20% - Accent2 2 9 5" xfId="18030"/>
    <cellStyle name="20% - Accent2 20" xfId="710"/>
    <cellStyle name="20% - Accent2 20 2" xfId="711"/>
    <cellStyle name="20% - Accent2 20 2 2" xfId="12677"/>
    <cellStyle name="20% - Accent2 20 2 2 2" xfId="26389"/>
    <cellStyle name="20% - Accent2 20 2 3" xfId="18034"/>
    <cellStyle name="20% - Accent2 20 3" xfId="712"/>
    <cellStyle name="20% - Accent2 20 3 2" xfId="14685"/>
    <cellStyle name="20% - Accent2 20 3 2 2" xfId="28234"/>
    <cellStyle name="20% - Accent2 20 3 3" xfId="18035"/>
    <cellStyle name="20% - Accent2 20 4" xfId="10504"/>
    <cellStyle name="20% - Accent2 20 4 2" xfId="24452"/>
    <cellStyle name="20% - Accent2 20 5" xfId="18033"/>
    <cellStyle name="20% - Accent2 21" xfId="713"/>
    <cellStyle name="20% - Accent2 21 2" xfId="714"/>
    <cellStyle name="20% - Accent2 21 2 2" xfId="12539"/>
    <cellStyle name="20% - Accent2 21 2 2 2" xfId="26251"/>
    <cellStyle name="20% - Accent2 21 2 3" xfId="18037"/>
    <cellStyle name="20% - Accent2 21 3" xfId="715"/>
    <cellStyle name="20% - Accent2 21 3 2" xfId="14686"/>
    <cellStyle name="20% - Accent2 21 3 2 2" xfId="28235"/>
    <cellStyle name="20% - Accent2 21 3 3" xfId="18038"/>
    <cellStyle name="20% - Accent2 21 4" xfId="10615"/>
    <cellStyle name="20% - Accent2 21 4 2" xfId="24557"/>
    <cellStyle name="20% - Accent2 21 5" xfId="18036"/>
    <cellStyle name="20% - Accent2 22" xfId="716"/>
    <cellStyle name="20% - Accent2 22 2" xfId="11740"/>
    <cellStyle name="20% - Accent2 22 2 2" xfId="25455"/>
    <cellStyle name="20% - Accent2 22 3" xfId="18039"/>
    <cellStyle name="20% - Accent2 23" xfId="717"/>
    <cellStyle name="20% - Accent2 23 2" xfId="12778"/>
    <cellStyle name="20% - Accent2 23 2 2" xfId="26490"/>
    <cellStyle name="20% - Accent2 23 3" xfId="18040"/>
    <cellStyle name="20% - Accent2 24" xfId="718"/>
    <cellStyle name="20% - Accent2 24 2" xfId="13379"/>
    <cellStyle name="20% - Accent2 24 2 2" xfId="26928"/>
    <cellStyle name="20% - Accent2 24 3" xfId="18041"/>
    <cellStyle name="20% - Accent2 25" xfId="719"/>
    <cellStyle name="20% - Accent2 25 2" xfId="13960"/>
    <cellStyle name="20% - Accent2 25 2 2" xfId="27509"/>
    <cellStyle name="20% - Accent2 25 3" xfId="18042"/>
    <cellStyle name="20% - Accent2 26" xfId="720"/>
    <cellStyle name="20% - Accent2 26 2" xfId="14643"/>
    <cellStyle name="20% - Accent2 26 2 2" xfId="28192"/>
    <cellStyle name="20% - Accent2 26 3" xfId="18043"/>
    <cellStyle name="20% - Accent2 27" xfId="721"/>
    <cellStyle name="20% - Accent2 27 2" xfId="15839"/>
    <cellStyle name="20% - Accent2 27 2 2" xfId="29246"/>
    <cellStyle name="20% - Accent2 27 3" xfId="18044"/>
    <cellStyle name="20% - Accent2 28" xfId="722"/>
    <cellStyle name="20% - Accent2 28 2" xfId="15846"/>
    <cellStyle name="20% - Accent2 28 2 2" xfId="29253"/>
    <cellStyle name="20% - Accent2 28 3" xfId="18045"/>
    <cellStyle name="20% - Accent2 29" xfId="723"/>
    <cellStyle name="20% - Accent2 29 2" xfId="8890"/>
    <cellStyle name="20% - Accent2 29 2 2" xfId="23365"/>
    <cellStyle name="20% - Accent2 29 3" xfId="18046"/>
    <cellStyle name="20% - Accent2 3" xfId="724"/>
    <cellStyle name="20% - Accent2 3 10" xfId="725"/>
    <cellStyle name="20% - Accent2 3 10 2" xfId="14041"/>
    <cellStyle name="20% - Accent2 3 10 2 2" xfId="27590"/>
    <cellStyle name="20% - Accent2 3 10 3" xfId="18048"/>
    <cellStyle name="20% - Accent2 3 11" xfId="726"/>
    <cellStyle name="20% - Accent2 3 11 2" xfId="14687"/>
    <cellStyle name="20% - Accent2 3 11 2 2" xfId="28236"/>
    <cellStyle name="20% - Accent2 3 11 3" xfId="18049"/>
    <cellStyle name="20% - Accent2 3 12" xfId="727"/>
    <cellStyle name="20% - Accent2 3 12 2" xfId="15927"/>
    <cellStyle name="20% - Accent2 3 12 2 2" xfId="29334"/>
    <cellStyle name="20% - Accent2 3 12 3" xfId="18050"/>
    <cellStyle name="20% - Accent2 3 13" xfId="8920"/>
    <cellStyle name="20% - Accent2 3 13 2" xfId="23395"/>
    <cellStyle name="20% - Accent2 3 14" xfId="18047"/>
    <cellStyle name="20% - Accent2 3 2" xfId="728"/>
    <cellStyle name="20% - Accent2 3 2 10" xfId="729"/>
    <cellStyle name="20% - Accent2 3 2 10 2" xfId="16070"/>
    <cellStyle name="20% - Accent2 3 2 10 2 2" xfId="29477"/>
    <cellStyle name="20% - Accent2 3 2 10 3" xfId="18052"/>
    <cellStyle name="20% - Accent2 3 2 11" xfId="8921"/>
    <cellStyle name="20% - Accent2 3 2 11 2" xfId="23396"/>
    <cellStyle name="20% - Accent2 3 2 12" xfId="18051"/>
    <cellStyle name="20% - Accent2 3 2 2" xfId="730"/>
    <cellStyle name="20% - Accent2 3 2 2 10" xfId="8922"/>
    <cellStyle name="20% - Accent2 3 2 2 10 2" xfId="23397"/>
    <cellStyle name="20% - Accent2 3 2 2 11" xfId="18053"/>
    <cellStyle name="20% - Accent2 3 2 2 2" xfId="731"/>
    <cellStyle name="20% - Accent2 3 2 2 2 2" xfId="732"/>
    <cellStyle name="20% - Accent2 3 2 2 2 2 2" xfId="10648"/>
    <cellStyle name="20% - Accent2 3 2 2 2 2 2 2" xfId="24590"/>
    <cellStyle name="20% - Accent2 3 2 2 2 2 3" xfId="18055"/>
    <cellStyle name="20% - Accent2 3 2 2 2 3" xfId="733"/>
    <cellStyle name="20% - Accent2 3 2 2 2 3 2" xfId="12730"/>
    <cellStyle name="20% - Accent2 3 2 2 2 3 2 2" xfId="26442"/>
    <cellStyle name="20% - Accent2 3 2 2 2 3 3" xfId="18056"/>
    <cellStyle name="20% - Accent2 3 2 2 2 4" xfId="734"/>
    <cellStyle name="20% - Accent2 3 2 2 2 4 2" xfId="14690"/>
    <cellStyle name="20% - Accent2 3 2 2 2 4 2 2" xfId="28239"/>
    <cellStyle name="20% - Accent2 3 2 2 2 4 3" xfId="18057"/>
    <cellStyle name="20% - Accent2 3 2 2 2 5" xfId="735"/>
    <cellStyle name="20% - Accent2 3 2 2 2 5 2" xfId="16940"/>
    <cellStyle name="20% - Accent2 3 2 2 2 5 2 2" xfId="30347"/>
    <cellStyle name="20% - Accent2 3 2 2 2 5 3" xfId="18058"/>
    <cellStyle name="20% - Accent2 3 2 2 2 6" xfId="8923"/>
    <cellStyle name="20% - Accent2 3 2 2 2 6 2" xfId="23398"/>
    <cellStyle name="20% - Accent2 3 2 2 2 7" xfId="18054"/>
    <cellStyle name="20% - Accent2 3 2 2 3" xfId="736"/>
    <cellStyle name="20% - Accent2 3 2 2 3 2" xfId="737"/>
    <cellStyle name="20% - Accent2 3 2 2 3 2 2" xfId="14691"/>
    <cellStyle name="20% - Accent2 3 2 2 3 2 2 2" xfId="28240"/>
    <cellStyle name="20% - Accent2 3 2 2 3 2 3" xfId="18060"/>
    <cellStyle name="20% - Accent2 3 2 2 3 3" xfId="10647"/>
    <cellStyle name="20% - Accent2 3 2 2 3 3 2" xfId="24589"/>
    <cellStyle name="20% - Accent2 3 2 2 3 4" xfId="18059"/>
    <cellStyle name="20% - Accent2 3 2 2 4" xfId="738"/>
    <cellStyle name="20% - Accent2 3 2 2 4 2" xfId="12328"/>
    <cellStyle name="20% - Accent2 3 2 2 4 2 2" xfId="26040"/>
    <cellStyle name="20% - Accent2 3 2 2 4 3" xfId="18061"/>
    <cellStyle name="20% - Accent2 3 2 2 5" xfId="739"/>
    <cellStyle name="20% - Accent2 3 2 2 5 2" xfId="12756"/>
    <cellStyle name="20% - Accent2 3 2 2 5 2 2" xfId="26468"/>
    <cellStyle name="20% - Accent2 3 2 2 5 3" xfId="18062"/>
    <cellStyle name="20% - Accent2 3 2 2 6" xfId="740"/>
    <cellStyle name="20% - Accent2 3 2 2 6 2" xfId="13892"/>
    <cellStyle name="20% - Accent2 3 2 2 6 2 2" xfId="27441"/>
    <cellStyle name="20% - Accent2 3 2 2 6 3" xfId="18063"/>
    <cellStyle name="20% - Accent2 3 2 2 7" xfId="741"/>
    <cellStyle name="20% - Accent2 3 2 2 7 2" xfId="14473"/>
    <cellStyle name="20% - Accent2 3 2 2 7 2 2" xfId="28022"/>
    <cellStyle name="20% - Accent2 3 2 2 7 3" xfId="18064"/>
    <cellStyle name="20% - Accent2 3 2 2 8" xfId="742"/>
    <cellStyle name="20% - Accent2 3 2 2 8 2" xfId="14689"/>
    <cellStyle name="20% - Accent2 3 2 2 8 2 2" xfId="28238"/>
    <cellStyle name="20% - Accent2 3 2 2 8 3" xfId="18065"/>
    <cellStyle name="20% - Accent2 3 2 2 9" xfId="743"/>
    <cellStyle name="20% - Accent2 3 2 2 9 2" xfId="16359"/>
    <cellStyle name="20% - Accent2 3 2 2 9 2 2" xfId="29766"/>
    <cellStyle name="20% - Accent2 3 2 2 9 3" xfId="18066"/>
    <cellStyle name="20% - Accent2 3 2 3" xfId="744"/>
    <cellStyle name="20% - Accent2 3 2 3 2" xfId="745"/>
    <cellStyle name="20% - Accent2 3 2 3 2 2" xfId="10649"/>
    <cellStyle name="20% - Accent2 3 2 3 2 2 2" xfId="24591"/>
    <cellStyle name="20% - Accent2 3 2 3 2 3" xfId="18068"/>
    <cellStyle name="20% - Accent2 3 2 3 3" xfId="746"/>
    <cellStyle name="20% - Accent2 3 2 3 3 2" xfId="12652"/>
    <cellStyle name="20% - Accent2 3 2 3 3 2 2" xfId="26364"/>
    <cellStyle name="20% - Accent2 3 2 3 3 3" xfId="18069"/>
    <cellStyle name="20% - Accent2 3 2 3 4" xfId="747"/>
    <cellStyle name="20% - Accent2 3 2 3 4 2" xfId="14692"/>
    <cellStyle name="20% - Accent2 3 2 3 4 2 2" xfId="28241"/>
    <cellStyle name="20% - Accent2 3 2 3 4 3" xfId="18070"/>
    <cellStyle name="20% - Accent2 3 2 3 5" xfId="748"/>
    <cellStyle name="20% - Accent2 3 2 3 5 2" xfId="16651"/>
    <cellStyle name="20% - Accent2 3 2 3 5 2 2" xfId="30058"/>
    <cellStyle name="20% - Accent2 3 2 3 5 3" xfId="18071"/>
    <cellStyle name="20% - Accent2 3 2 3 6" xfId="8924"/>
    <cellStyle name="20% - Accent2 3 2 3 6 2" xfId="23399"/>
    <cellStyle name="20% - Accent2 3 2 3 7" xfId="18067"/>
    <cellStyle name="20% - Accent2 3 2 4" xfId="749"/>
    <cellStyle name="20% - Accent2 3 2 4 2" xfId="750"/>
    <cellStyle name="20% - Accent2 3 2 4 2 2" xfId="14693"/>
    <cellStyle name="20% - Accent2 3 2 4 2 2 2" xfId="28242"/>
    <cellStyle name="20% - Accent2 3 2 4 2 3" xfId="18073"/>
    <cellStyle name="20% - Accent2 3 2 4 3" xfId="10646"/>
    <cellStyle name="20% - Accent2 3 2 4 3 2" xfId="24588"/>
    <cellStyle name="20% - Accent2 3 2 4 4" xfId="18072"/>
    <cellStyle name="20% - Accent2 3 2 5" xfId="751"/>
    <cellStyle name="20% - Accent2 3 2 5 2" xfId="12028"/>
    <cellStyle name="20% - Accent2 3 2 5 2 2" xfId="25743"/>
    <cellStyle name="20% - Accent2 3 2 5 3" xfId="18074"/>
    <cellStyle name="20% - Accent2 3 2 6" xfId="752"/>
    <cellStyle name="20% - Accent2 3 2 6 2" xfId="12642"/>
    <cellStyle name="20% - Accent2 3 2 6 2 2" xfId="26354"/>
    <cellStyle name="20% - Accent2 3 2 6 3" xfId="18075"/>
    <cellStyle name="20% - Accent2 3 2 7" xfId="753"/>
    <cellStyle name="20% - Accent2 3 2 7 2" xfId="13603"/>
    <cellStyle name="20% - Accent2 3 2 7 2 2" xfId="27152"/>
    <cellStyle name="20% - Accent2 3 2 7 3" xfId="18076"/>
    <cellStyle name="20% - Accent2 3 2 8" xfId="754"/>
    <cellStyle name="20% - Accent2 3 2 8 2" xfId="14184"/>
    <cellStyle name="20% - Accent2 3 2 8 2 2" xfId="27733"/>
    <cellStyle name="20% - Accent2 3 2 8 3" xfId="18077"/>
    <cellStyle name="20% - Accent2 3 2 9" xfId="755"/>
    <cellStyle name="20% - Accent2 3 2 9 2" xfId="14688"/>
    <cellStyle name="20% - Accent2 3 2 9 2 2" xfId="28237"/>
    <cellStyle name="20% - Accent2 3 2 9 3" xfId="18078"/>
    <cellStyle name="20% - Accent2 3 3" xfId="756"/>
    <cellStyle name="20% - Accent2 3 3 10" xfId="8925"/>
    <cellStyle name="20% - Accent2 3 3 10 2" xfId="23400"/>
    <cellStyle name="20% - Accent2 3 3 11" xfId="18079"/>
    <cellStyle name="20% - Accent2 3 3 2" xfId="757"/>
    <cellStyle name="20% - Accent2 3 3 2 2" xfId="758"/>
    <cellStyle name="20% - Accent2 3 3 2 2 2" xfId="10651"/>
    <cellStyle name="20% - Accent2 3 3 2 2 2 2" xfId="24593"/>
    <cellStyle name="20% - Accent2 3 3 2 2 3" xfId="18081"/>
    <cellStyle name="20% - Accent2 3 3 2 3" xfId="759"/>
    <cellStyle name="20% - Accent2 3 3 2 3 2" xfId="12791"/>
    <cellStyle name="20% - Accent2 3 3 2 3 2 2" xfId="26503"/>
    <cellStyle name="20% - Accent2 3 3 2 3 3" xfId="18082"/>
    <cellStyle name="20% - Accent2 3 3 2 4" xfId="760"/>
    <cellStyle name="20% - Accent2 3 3 2 4 2" xfId="14695"/>
    <cellStyle name="20% - Accent2 3 3 2 4 2 2" xfId="28244"/>
    <cellStyle name="20% - Accent2 3 3 2 4 3" xfId="18083"/>
    <cellStyle name="20% - Accent2 3 3 2 5" xfId="761"/>
    <cellStyle name="20% - Accent2 3 3 2 5 2" xfId="16797"/>
    <cellStyle name="20% - Accent2 3 3 2 5 2 2" xfId="30204"/>
    <cellStyle name="20% - Accent2 3 3 2 5 3" xfId="18084"/>
    <cellStyle name="20% - Accent2 3 3 2 6" xfId="8926"/>
    <cellStyle name="20% - Accent2 3 3 2 6 2" xfId="23401"/>
    <cellStyle name="20% - Accent2 3 3 2 7" xfId="18080"/>
    <cellStyle name="20% - Accent2 3 3 3" xfId="762"/>
    <cellStyle name="20% - Accent2 3 3 3 2" xfId="763"/>
    <cellStyle name="20% - Accent2 3 3 3 2 2" xfId="14696"/>
    <cellStyle name="20% - Accent2 3 3 3 2 2 2" xfId="28245"/>
    <cellStyle name="20% - Accent2 3 3 3 2 3" xfId="18086"/>
    <cellStyle name="20% - Accent2 3 3 3 3" xfId="10650"/>
    <cellStyle name="20% - Accent2 3 3 3 3 2" xfId="24592"/>
    <cellStyle name="20% - Accent2 3 3 3 4" xfId="18085"/>
    <cellStyle name="20% - Accent2 3 3 4" xfId="764"/>
    <cellStyle name="20% - Accent2 3 3 4 2" xfId="12185"/>
    <cellStyle name="20% - Accent2 3 3 4 2 2" xfId="25897"/>
    <cellStyle name="20% - Accent2 3 3 4 3" xfId="18087"/>
    <cellStyle name="20% - Accent2 3 3 5" xfId="765"/>
    <cellStyle name="20% - Accent2 3 3 5 2" xfId="12734"/>
    <cellStyle name="20% - Accent2 3 3 5 2 2" xfId="26446"/>
    <cellStyle name="20% - Accent2 3 3 5 3" xfId="18088"/>
    <cellStyle name="20% - Accent2 3 3 6" xfId="766"/>
    <cellStyle name="20% - Accent2 3 3 6 2" xfId="13749"/>
    <cellStyle name="20% - Accent2 3 3 6 2 2" xfId="27298"/>
    <cellStyle name="20% - Accent2 3 3 6 3" xfId="18089"/>
    <cellStyle name="20% - Accent2 3 3 7" xfId="767"/>
    <cellStyle name="20% - Accent2 3 3 7 2" xfId="14330"/>
    <cellStyle name="20% - Accent2 3 3 7 2 2" xfId="27879"/>
    <cellStyle name="20% - Accent2 3 3 7 3" xfId="18090"/>
    <cellStyle name="20% - Accent2 3 3 8" xfId="768"/>
    <cellStyle name="20% - Accent2 3 3 8 2" xfId="14694"/>
    <cellStyle name="20% - Accent2 3 3 8 2 2" xfId="28243"/>
    <cellStyle name="20% - Accent2 3 3 8 3" xfId="18091"/>
    <cellStyle name="20% - Accent2 3 3 9" xfId="769"/>
    <cellStyle name="20% - Accent2 3 3 9 2" xfId="16216"/>
    <cellStyle name="20% - Accent2 3 3 9 2 2" xfId="29623"/>
    <cellStyle name="20% - Accent2 3 3 9 3" xfId="18092"/>
    <cellStyle name="20% - Accent2 3 4" xfId="770"/>
    <cellStyle name="20% - Accent2 3 4 2" xfId="771"/>
    <cellStyle name="20% - Accent2 3 4 2 2" xfId="10652"/>
    <cellStyle name="20% - Accent2 3 4 2 2 2" xfId="24594"/>
    <cellStyle name="20% - Accent2 3 4 2 3" xfId="18094"/>
    <cellStyle name="20% - Accent2 3 4 3" xfId="772"/>
    <cellStyle name="20% - Accent2 3 4 3 2" xfId="12758"/>
    <cellStyle name="20% - Accent2 3 4 3 2 2" xfId="26470"/>
    <cellStyle name="20% - Accent2 3 4 3 3" xfId="18095"/>
    <cellStyle name="20% - Accent2 3 4 4" xfId="773"/>
    <cellStyle name="20% - Accent2 3 4 4 2" xfId="14697"/>
    <cellStyle name="20% - Accent2 3 4 4 2 2" xfId="28246"/>
    <cellStyle name="20% - Accent2 3 4 4 3" xfId="18096"/>
    <cellStyle name="20% - Accent2 3 4 5" xfId="774"/>
    <cellStyle name="20% - Accent2 3 4 5 2" xfId="17144"/>
    <cellStyle name="20% - Accent2 3 4 5 2 2" xfId="30503"/>
    <cellStyle name="20% - Accent2 3 4 5 3" xfId="18097"/>
    <cellStyle name="20% - Accent2 3 4 6" xfId="8927"/>
    <cellStyle name="20% - Accent2 3 4 6 2" xfId="23402"/>
    <cellStyle name="20% - Accent2 3 4 7" xfId="18093"/>
    <cellStyle name="20% - Accent2 3 5" xfId="775"/>
    <cellStyle name="20% - Accent2 3 5 2" xfId="776"/>
    <cellStyle name="20% - Accent2 3 5 2 2" xfId="10653"/>
    <cellStyle name="20% - Accent2 3 5 2 2 2" xfId="24595"/>
    <cellStyle name="20% - Accent2 3 5 2 3" xfId="18099"/>
    <cellStyle name="20% - Accent2 3 5 3" xfId="777"/>
    <cellStyle name="20% - Accent2 3 5 3 2" xfId="12424"/>
    <cellStyle name="20% - Accent2 3 5 3 2 2" xfId="26136"/>
    <cellStyle name="20% - Accent2 3 5 3 3" xfId="18100"/>
    <cellStyle name="20% - Accent2 3 5 4" xfId="778"/>
    <cellStyle name="20% - Accent2 3 5 4 2" xfId="14698"/>
    <cellStyle name="20% - Accent2 3 5 4 2 2" xfId="28247"/>
    <cellStyle name="20% - Accent2 3 5 4 3" xfId="18101"/>
    <cellStyle name="20% - Accent2 3 5 5" xfId="779"/>
    <cellStyle name="20% - Accent2 3 5 5 2" xfId="17233"/>
    <cellStyle name="20% - Accent2 3 5 5 2 2" xfId="30592"/>
    <cellStyle name="20% - Accent2 3 5 5 3" xfId="18102"/>
    <cellStyle name="20% - Accent2 3 5 6" xfId="8928"/>
    <cellStyle name="20% - Accent2 3 5 6 2" xfId="23403"/>
    <cellStyle name="20% - Accent2 3 5 7" xfId="18098"/>
    <cellStyle name="20% - Accent2 3 6" xfId="780"/>
    <cellStyle name="20% - Accent2 3 6 2" xfId="781"/>
    <cellStyle name="20% - Accent2 3 6 2 2" xfId="14699"/>
    <cellStyle name="20% - Accent2 3 6 2 2 2" xfId="28248"/>
    <cellStyle name="20% - Accent2 3 6 2 3" xfId="18104"/>
    <cellStyle name="20% - Accent2 3 6 3" xfId="782"/>
    <cellStyle name="20% - Accent2 3 6 3 2" xfId="16508"/>
    <cellStyle name="20% - Accent2 3 6 3 2 2" xfId="29915"/>
    <cellStyle name="20% - Accent2 3 6 3 3" xfId="18105"/>
    <cellStyle name="20% - Accent2 3 6 4" xfId="10645"/>
    <cellStyle name="20% - Accent2 3 6 4 2" xfId="24587"/>
    <cellStyle name="20% - Accent2 3 6 5" xfId="18103"/>
    <cellStyle name="20% - Accent2 3 7" xfId="783"/>
    <cellStyle name="20% - Accent2 3 7 2" xfId="11880"/>
    <cellStyle name="20% - Accent2 3 7 2 2" xfId="25595"/>
    <cellStyle name="20% - Accent2 3 7 3" xfId="18106"/>
    <cellStyle name="20% - Accent2 3 8" xfId="784"/>
    <cellStyle name="20% - Accent2 3 8 2" xfId="12755"/>
    <cellStyle name="20% - Accent2 3 8 2 2" xfId="26467"/>
    <cellStyle name="20% - Accent2 3 8 3" xfId="18107"/>
    <cellStyle name="20% - Accent2 3 9" xfId="785"/>
    <cellStyle name="20% - Accent2 3 9 2" xfId="13460"/>
    <cellStyle name="20% - Accent2 3 9 2 2" xfId="27009"/>
    <cellStyle name="20% - Accent2 3 9 3" xfId="18108"/>
    <cellStyle name="20% - Accent2 30" xfId="23250"/>
    <cellStyle name="20% - Accent2 4" xfId="786"/>
    <cellStyle name="20% - Accent2 4 10" xfId="787"/>
    <cellStyle name="20% - Accent2 4 10 2" xfId="14700"/>
    <cellStyle name="20% - Accent2 4 10 2 2" xfId="28249"/>
    <cellStyle name="20% - Accent2 4 10 3" xfId="18110"/>
    <cellStyle name="20% - Accent2 4 11" xfId="788"/>
    <cellStyle name="20% - Accent2 4 11 2" xfId="15880"/>
    <cellStyle name="20% - Accent2 4 11 2 2" xfId="29287"/>
    <cellStyle name="20% - Accent2 4 11 3" xfId="18111"/>
    <cellStyle name="20% - Accent2 4 12" xfId="8929"/>
    <cellStyle name="20% - Accent2 4 12 2" xfId="23404"/>
    <cellStyle name="20% - Accent2 4 13" xfId="18109"/>
    <cellStyle name="20% - Accent2 4 2" xfId="789"/>
    <cellStyle name="20% - Accent2 4 2 10" xfId="790"/>
    <cellStyle name="20% - Accent2 4 2 10 2" xfId="16023"/>
    <cellStyle name="20% - Accent2 4 2 10 2 2" xfId="29430"/>
    <cellStyle name="20% - Accent2 4 2 10 3" xfId="18113"/>
    <cellStyle name="20% - Accent2 4 2 11" xfId="8930"/>
    <cellStyle name="20% - Accent2 4 2 11 2" xfId="23405"/>
    <cellStyle name="20% - Accent2 4 2 12" xfId="18112"/>
    <cellStyle name="20% - Accent2 4 2 2" xfId="791"/>
    <cellStyle name="20% - Accent2 4 2 2 10" xfId="8931"/>
    <cellStyle name="20% - Accent2 4 2 2 10 2" xfId="23406"/>
    <cellStyle name="20% - Accent2 4 2 2 11" xfId="18114"/>
    <cellStyle name="20% - Accent2 4 2 2 2" xfId="792"/>
    <cellStyle name="20% - Accent2 4 2 2 2 2" xfId="793"/>
    <cellStyle name="20% - Accent2 4 2 2 2 2 2" xfId="10657"/>
    <cellStyle name="20% - Accent2 4 2 2 2 2 2 2" xfId="24599"/>
    <cellStyle name="20% - Accent2 4 2 2 2 2 3" xfId="18116"/>
    <cellStyle name="20% - Accent2 4 2 2 2 3" xfId="794"/>
    <cellStyle name="20% - Accent2 4 2 2 2 3 2" xfId="12615"/>
    <cellStyle name="20% - Accent2 4 2 2 2 3 2 2" xfId="26327"/>
    <cellStyle name="20% - Accent2 4 2 2 2 3 3" xfId="18117"/>
    <cellStyle name="20% - Accent2 4 2 2 2 4" xfId="795"/>
    <cellStyle name="20% - Accent2 4 2 2 2 4 2" xfId="14703"/>
    <cellStyle name="20% - Accent2 4 2 2 2 4 2 2" xfId="28252"/>
    <cellStyle name="20% - Accent2 4 2 2 2 4 3" xfId="18118"/>
    <cellStyle name="20% - Accent2 4 2 2 2 5" xfId="796"/>
    <cellStyle name="20% - Accent2 4 2 2 2 5 2" xfId="16893"/>
    <cellStyle name="20% - Accent2 4 2 2 2 5 2 2" xfId="30300"/>
    <cellStyle name="20% - Accent2 4 2 2 2 5 3" xfId="18119"/>
    <cellStyle name="20% - Accent2 4 2 2 2 6" xfId="8932"/>
    <cellStyle name="20% - Accent2 4 2 2 2 6 2" xfId="23407"/>
    <cellStyle name="20% - Accent2 4 2 2 2 7" xfId="18115"/>
    <cellStyle name="20% - Accent2 4 2 2 3" xfId="797"/>
    <cellStyle name="20% - Accent2 4 2 2 3 2" xfId="798"/>
    <cellStyle name="20% - Accent2 4 2 2 3 2 2" xfId="14704"/>
    <cellStyle name="20% - Accent2 4 2 2 3 2 2 2" xfId="28253"/>
    <cellStyle name="20% - Accent2 4 2 2 3 2 3" xfId="18121"/>
    <cellStyle name="20% - Accent2 4 2 2 3 3" xfId="10656"/>
    <cellStyle name="20% - Accent2 4 2 2 3 3 2" xfId="24598"/>
    <cellStyle name="20% - Accent2 4 2 2 3 4" xfId="18120"/>
    <cellStyle name="20% - Accent2 4 2 2 4" xfId="799"/>
    <cellStyle name="20% - Accent2 4 2 2 4 2" xfId="12281"/>
    <cellStyle name="20% - Accent2 4 2 2 4 2 2" xfId="25993"/>
    <cellStyle name="20% - Accent2 4 2 2 4 3" xfId="18122"/>
    <cellStyle name="20% - Accent2 4 2 2 5" xfId="800"/>
    <cellStyle name="20% - Accent2 4 2 2 5 2" xfId="11779"/>
    <cellStyle name="20% - Accent2 4 2 2 5 2 2" xfId="25494"/>
    <cellStyle name="20% - Accent2 4 2 2 5 3" xfId="18123"/>
    <cellStyle name="20% - Accent2 4 2 2 6" xfId="801"/>
    <cellStyle name="20% - Accent2 4 2 2 6 2" xfId="13845"/>
    <cellStyle name="20% - Accent2 4 2 2 6 2 2" xfId="27394"/>
    <cellStyle name="20% - Accent2 4 2 2 6 3" xfId="18124"/>
    <cellStyle name="20% - Accent2 4 2 2 7" xfId="802"/>
    <cellStyle name="20% - Accent2 4 2 2 7 2" xfId="14426"/>
    <cellStyle name="20% - Accent2 4 2 2 7 2 2" xfId="27975"/>
    <cellStyle name="20% - Accent2 4 2 2 7 3" xfId="18125"/>
    <cellStyle name="20% - Accent2 4 2 2 8" xfId="803"/>
    <cellStyle name="20% - Accent2 4 2 2 8 2" xfId="14702"/>
    <cellStyle name="20% - Accent2 4 2 2 8 2 2" xfId="28251"/>
    <cellStyle name="20% - Accent2 4 2 2 8 3" xfId="18126"/>
    <cellStyle name="20% - Accent2 4 2 2 9" xfId="804"/>
    <cellStyle name="20% - Accent2 4 2 2 9 2" xfId="16312"/>
    <cellStyle name="20% - Accent2 4 2 2 9 2 2" xfId="29719"/>
    <cellStyle name="20% - Accent2 4 2 2 9 3" xfId="18127"/>
    <cellStyle name="20% - Accent2 4 2 3" xfId="805"/>
    <cellStyle name="20% - Accent2 4 2 3 2" xfId="806"/>
    <cellStyle name="20% - Accent2 4 2 3 2 2" xfId="10658"/>
    <cellStyle name="20% - Accent2 4 2 3 2 2 2" xfId="24600"/>
    <cellStyle name="20% - Accent2 4 2 3 2 3" xfId="18129"/>
    <cellStyle name="20% - Accent2 4 2 3 3" xfId="807"/>
    <cellStyle name="20% - Accent2 4 2 3 3 2" xfId="11762"/>
    <cellStyle name="20% - Accent2 4 2 3 3 2 2" xfId="25477"/>
    <cellStyle name="20% - Accent2 4 2 3 3 3" xfId="18130"/>
    <cellStyle name="20% - Accent2 4 2 3 4" xfId="808"/>
    <cellStyle name="20% - Accent2 4 2 3 4 2" xfId="14705"/>
    <cellStyle name="20% - Accent2 4 2 3 4 2 2" xfId="28254"/>
    <cellStyle name="20% - Accent2 4 2 3 4 3" xfId="18131"/>
    <cellStyle name="20% - Accent2 4 2 3 5" xfId="809"/>
    <cellStyle name="20% - Accent2 4 2 3 5 2" xfId="16604"/>
    <cellStyle name="20% - Accent2 4 2 3 5 2 2" xfId="30011"/>
    <cellStyle name="20% - Accent2 4 2 3 5 3" xfId="18132"/>
    <cellStyle name="20% - Accent2 4 2 3 6" xfId="8933"/>
    <cellStyle name="20% - Accent2 4 2 3 6 2" xfId="23408"/>
    <cellStyle name="20% - Accent2 4 2 3 7" xfId="18128"/>
    <cellStyle name="20% - Accent2 4 2 4" xfId="810"/>
    <cellStyle name="20% - Accent2 4 2 4 2" xfId="811"/>
    <cellStyle name="20% - Accent2 4 2 4 2 2" xfId="14706"/>
    <cellStyle name="20% - Accent2 4 2 4 2 2 2" xfId="28255"/>
    <cellStyle name="20% - Accent2 4 2 4 2 3" xfId="18134"/>
    <cellStyle name="20% - Accent2 4 2 4 3" xfId="10655"/>
    <cellStyle name="20% - Accent2 4 2 4 3 2" xfId="24597"/>
    <cellStyle name="20% - Accent2 4 2 4 4" xfId="18133"/>
    <cellStyle name="20% - Accent2 4 2 5" xfId="812"/>
    <cellStyle name="20% - Accent2 4 2 5 2" xfId="11981"/>
    <cellStyle name="20% - Accent2 4 2 5 2 2" xfId="25696"/>
    <cellStyle name="20% - Accent2 4 2 5 3" xfId="18135"/>
    <cellStyle name="20% - Accent2 4 2 6" xfId="813"/>
    <cellStyle name="20% - Accent2 4 2 6 2" xfId="12746"/>
    <cellStyle name="20% - Accent2 4 2 6 2 2" xfId="26458"/>
    <cellStyle name="20% - Accent2 4 2 6 3" xfId="18136"/>
    <cellStyle name="20% - Accent2 4 2 7" xfId="814"/>
    <cellStyle name="20% - Accent2 4 2 7 2" xfId="13556"/>
    <cellStyle name="20% - Accent2 4 2 7 2 2" xfId="27105"/>
    <cellStyle name="20% - Accent2 4 2 7 3" xfId="18137"/>
    <cellStyle name="20% - Accent2 4 2 8" xfId="815"/>
    <cellStyle name="20% - Accent2 4 2 8 2" xfId="14137"/>
    <cellStyle name="20% - Accent2 4 2 8 2 2" xfId="27686"/>
    <cellStyle name="20% - Accent2 4 2 8 3" xfId="18138"/>
    <cellStyle name="20% - Accent2 4 2 9" xfId="816"/>
    <cellStyle name="20% - Accent2 4 2 9 2" xfId="14701"/>
    <cellStyle name="20% - Accent2 4 2 9 2 2" xfId="28250"/>
    <cellStyle name="20% - Accent2 4 2 9 3" xfId="18139"/>
    <cellStyle name="20% - Accent2 4 3" xfId="817"/>
    <cellStyle name="20% - Accent2 4 3 10" xfId="8934"/>
    <cellStyle name="20% - Accent2 4 3 10 2" xfId="23409"/>
    <cellStyle name="20% - Accent2 4 3 11" xfId="18140"/>
    <cellStyle name="20% - Accent2 4 3 2" xfId="818"/>
    <cellStyle name="20% - Accent2 4 3 2 2" xfId="819"/>
    <cellStyle name="20% - Accent2 4 3 2 2 2" xfId="10660"/>
    <cellStyle name="20% - Accent2 4 3 2 2 2 2" xfId="24602"/>
    <cellStyle name="20% - Accent2 4 3 2 2 3" xfId="18142"/>
    <cellStyle name="20% - Accent2 4 3 2 3" xfId="820"/>
    <cellStyle name="20% - Accent2 4 3 2 3 2" xfId="12584"/>
    <cellStyle name="20% - Accent2 4 3 2 3 2 2" xfId="26296"/>
    <cellStyle name="20% - Accent2 4 3 2 3 3" xfId="18143"/>
    <cellStyle name="20% - Accent2 4 3 2 4" xfId="821"/>
    <cellStyle name="20% - Accent2 4 3 2 4 2" xfId="14708"/>
    <cellStyle name="20% - Accent2 4 3 2 4 2 2" xfId="28257"/>
    <cellStyle name="20% - Accent2 4 3 2 4 3" xfId="18144"/>
    <cellStyle name="20% - Accent2 4 3 2 5" xfId="822"/>
    <cellStyle name="20% - Accent2 4 3 2 5 2" xfId="16753"/>
    <cellStyle name="20% - Accent2 4 3 2 5 2 2" xfId="30160"/>
    <cellStyle name="20% - Accent2 4 3 2 5 3" xfId="18145"/>
    <cellStyle name="20% - Accent2 4 3 2 6" xfId="8935"/>
    <cellStyle name="20% - Accent2 4 3 2 6 2" xfId="23410"/>
    <cellStyle name="20% - Accent2 4 3 2 7" xfId="18141"/>
    <cellStyle name="20% - Accent2 4 3 3" xfId="823"/>
    <cellStyle name="20% - Accent2 4 3 3 2" xfId="824"/>
    <cellStyle name="20% - Accent2 4 3 3 2 2" xfId="14709"/>
    <cellStyle name="20% - Accent2 4 3 3 2 2 2" xfId="28258"/>
    <cellStyle name="20% - Accent2 4 3 3 2 3" xfId="18147"/>
    <cellStyle name="20% - Accent2 4 3 3 3" xfId="10659"/>
    <cellStyle name="20% - Accent2 4 3 3 3 2" xfId="24601"/>
    <cellStyle name="20% - Accent2 4 3 3 4" xfId="18146"/>
    <cellStyle name="20% - Accent2 4 3 4" xfId="825"/>
    <cellStyle name="20% - Accent2 4 3 4 2" xfId="12141"/>
    <cellStyle name="20% - Accent2 4 3 4 2 2" xfId="25853"/>
    <cellStyle name="20% - Accent2 4 3 4 3" xfId="18148"/>
    <cellStyle name="20% - Accent2 4 3 5" xfId="826"/>
    <cellStyle name="20% - Accent2 4 3 5 2" xfId="11784"/>
    <cellStyle name="20% - Accent2 4 3 5 2 2" xfId="25499"/>
    <cellStyle name="20% - Accent2 4 3 5 3" xfId="18149"/>
    <cellStyle name="20% - Accent2 4 3 6" xfId="827"/>
    <cellStyle name="20% - Accent2 4 3 6 2" xfId="13705"/>
    <cellStyle name="20% - Accent2 4 3 6 2 2" xfId="27254"/>
    <cellStyle name="20% - Accent2 4 3 6 3" xfId="18150"/>
    <cellStyle name="20% - Accent2 4 3 7" xfId="828"/>
    <cellStyle name="20% - Accent2 4 3 7 2" xfId="14286"/>
    <cellStyle name="20% - Accent2 4 3 7 2 2" xfId="27835"/>
    <cellStyle name="20% - Accent2 4 3 7 3" xfId="18151"/>
    <cellStyle name="20% - Accent2 4 3 8" xfId="829"/>
    <cellStyle name="20% - Accent2 4 3 8 2" xfId="14707"/>
    <cellStyle name="20% - Accent2 4 3 8 2 2" xfId="28256"/>
    <cellStyle name="20% - Accent2 4 3 8 3" xfId="18152"/>
    <cellStyle name="20% - Accent2 4 3 9" xfId="830"/>
    <cellStyle name="20% - Accent2 4 3 9 2" xfId="16172"/>
    <cellStyle name="20% - Accent2 4 3 9 2 2" xfId="29579"/>
    <cellStyle name="20% - Accent2 4 3 9 3" xfId="18153"/>
    <cellStyle name="20% - Accent2 4 4" xfId="831"/>
    <cellStyle name="20% - Accent2 4 4 2" xfId="832"/>
    <cellStyle name="20% - Accent2 4 4 2 2" xfId="10661"/>
    <cellStyle name="20% - Accent2 4 4 2 2 2" xfId="24603"/>
    <cellStyle name="20% - Accent2 4 4 2 3" xfId="18155"/>
    <cellStyle name="20% - Accent2 4 4 3" xfId="833"/>
    <cellStyle name="20% - Accent2 4 4 3 2" xfId="12541"/>
    <cellStyle name="20% - Accent2 4 4 3 2 2" xfId="26253"/>
    <cellStyle name="20% - Accent2 4 4 3 3" xfId="18156"/>
    <cellStyle name="20% - Accent2 4 4 4" xfId="834"/>
    <cellStyle name="20% - Accent2 4 4 4 2" xfId="14710"/>
    <cellStyle name="20% - Accent2 4 4 4 2 2" xfId="28259"/>
    <cellStyle name="20% - Accent2 4 4 4 3" xfId="18157"/>
    <cellStyle name="20% - Accent2 4 4 5" xfId="835"/>
    <cellStyle name="20% - Accent2 4 4 5 2" xfId="16461"/>
    <cellStyle name="20% - Accent2 4 4 5 2 2" xfId="29868"/>
    <cellStyle name="20% - Accent2 4 4 5 3" xfId="18158"/>
    <cellStyle name="20% - Accent2 4 4 6" xfId="8936"/>
    <cellStyle name="20% - Accent2 4 4 6 2" xfId="23411"/>
    <cellStyle name="20% - Accent2 4 4 7" xfId="18154"/>
    <cellStyle name="20% - Accent2 4 5" xfId="836"/>
    <cellStyle name="20% - Accent2 4 5 2" xfId="837"/>
    <cellStyle name="20% - Accent2 4 5 2 2" xfId="14711"/>
    <cellStyle name="20% - Accent2 4 5 2 2 2" xfId="28260"/>
    <cellStyle name="20% - Accent2 4 5 2 3" xfId="18160"/>
    <cellStyle name="20% - Accent2 4 5 3" xfId="10654"/>
    <cellStyle name="20% - Accent2 4 5 3 2" xfId="24596"/>
    <cellStyle name="20% - Accent2 4 5 4" xfId="18159"/>
    <cellStyle name="20% - Accent2 4 6" xfId="838"/>
    <cellStyle name="20% - Accent2 4 6 2" xfId="11812"/>
    <cellStyle name="20% - Accent2 4 6 2 2" xfId="25527"/>
    <cellStyle name="20% - Accent2 4 6 3" xfId="18161"/>
    <cellStyle name="20% - Accent2 4 7" xfId="839"/>
    <cellStyle name="20% - Accent2 4 7 2" xfId="12549"/>
    <cellStyle name="20% - Accent2 4 7 2 2" xfId="26261"/>
    <cellStyle name="20% - Accent2 4 7 3" xfId="18162"/>
    <cellStyle name="20% - Accent2 4 8" xfId="840"/>
    <cellStyle name="20% - Accent2 4 8 2" xfId="13413"/>
    <cellStyle name="20% - Accent2 4 8 2 2" xfId="26962"/>
    <cellStyle name="20% - Accent2 4 8 3" xfId="18163"/>
    <cellStyle name="20% - Accent2 4 9" xfId="841"/>
    <cellStyle name="20% - Accent2 4 9 2" xfId="13994"/>
    <cellStyle name="20% - Accent2 4 9 2 2" xfId="27543"/>
    <cellStyle name="20% - Accent2 4 9 3" xfId="18164"/>
    <cellStyle name="20% - Accent2 5" xfId="842"/>
    <cellStyle name="20% - Accent2 5 10" xfId="843"/>
    <cellStyle name="20% - Accent2 5 10 2" xfId="14712"/>
    <cellStyle name="20% - Accent2 5 10 2 2" xfId="28261"/>
    <cellStyle name="20% - Accent2 5 10 3" xfId="18166"/>
    <cellStyle name="20% - Accent2 5 11" xfId="844"/>
    <cellStyle name="20% - Accent2 5 11 2" xfId="15863"/>
    <cellStyle name="20% - Accent2 5 11 2 2" xfId="29270"/>
    <cellStyle name="20% - Accent2 5 11 3" xfId="18167"/>
    <cellStyle name="20% - Accent2 5 12" xfId="8937"/>
    <cellStyle name="20% - Accent2 5 12 2" xfId="23412"/>
    <cellStyle name="20% - Accent2 5 13" xfId="18165"/>
    <cellStyle name="20% - Accent2 5 2" xfId="845"/>
    <cellStyle name="20% - Accent2 5 2 10" xfId="846"/>
    <cellStyle name="20% - Accent2 5 2 10 2" xfId="16006"/>
    <cellStyle name="20% - Accent2 5 2 10 2 2" xfId="29413"/>
    <cellStyle name="20% - Accent2 5 2 10 3" xfId="18169"/>
    <cellStyle name="20% - Accent2 5 2 11" xfId="8938"/>
    <cellStyle name="20% - Accent2 5 2 11 2" xfId="23413"/>
    <cellStyle name="20% - Accent2 5 2 12" xfId="18168"/>
    <cellStyle name="20% - Accent2 5 2 2" xfId="847"/>
    <cellStyle name="20% - Accent2 5 2 2 10" xfId="8939"/>
    <cellStyle name="20% - Accent2 5 2 2 10 2" xfId="23414"/>
    <cellStyle name="20% - Accent2 5 2 2 11" xfId="18170"/>
    <cellStyle name="20% - Accent2 5 2 2 2" xfId="848"/>
    <cellStyle name="20% - Accent2 5 2 2 2 2" xfId="849"/>
    <cellStyle name="20% - Accent2 5 2 2 2 2 2" xfId="10665"/>
    <cellStyle name="20% - Accent2 5 2 2 2 2 2 2" xfId="24607"/>
    <cellStyle name="20% - Accent2 5 2 2 2 2 3" xfId="18172"/>
    <cellStyle name="20% - Accent2 5 2 2 2 3" xfId="850"/>
    <cellStyle name="20% - Accent2 5 2 2 2 3 2" xfId="12473"/>
    <cellStyle name="20% - Accent2 5 2 2 2 3 2 2" xfId="26185"/>
    <cellStyle name="20% - Accent2 5 2 2 2 3 3" xfId="18173"/>
    <cellStyle name="20% - Accent2 5 2 2 2 4" xfId="851"/>
    <cellStyle name="20% - Accent2 5 2 2 2 4 2" xfId="14715"/>
    <cellStyle name="20% - Accent2 5 2 2 2 4 2 2" xfId="28264"/>
    <cellStyle name="20% - Accent2 5 2 2 2 4 3" xfId="18174"/>
    <cellStyle name="20% - Accent2 5 2 2 2 5" xfId="852"/>
    <cellStyle name="20% - Accent2 5 2 2 2 5 2" xfId="16876"/>
    <cellStyle name="20% - Accent2 5 2 2 2 5 2 2" xfId="30283"/>
    <cellStyle name="20% - Accent2 5 2 2 2 5 3" xfId="18175"/>
    <cellStyle name="20% - Accent2 5 2 2 2 6" xfId="8940"/>
    <cellStyle name="20% - Accent2 5 2 2 2 6 2" xfId="23415"/>
    <cellStyle name="20% - Accent2 5 2 2 2 7" xfId="18171"/>
    <cellStyle name="20% - Accent2 5 2 2 3" xfId="853"/>
    <cellStyle name="20% - Accent2 5 2 2 3 2" xfId="854"/>
    <cellStyle name="20% - Accent2 5 2 2 3 2 2" xfId="14716"/>
    <cellStyle name="20% - Accent2 5 2 2 3 2 2 2" xfId="28265"/>
    <cellStyle name="20% - Accent2 5 2 2 3 2 3" xfId="18177"/>
    <cellStyle name="20% - Accent2 5 2 2 3 3" xfId="10664"/>
    <cellStyle name="20% - Accent2 5 2 2 3 3 2" xfId="24606"/>
    <cellStyle name="20% - Accent2 5 2 2 3 4" xfId="18176"/>
    <cellStyle name="20% - Accent2 5 2 2 4" xfId="855"/>
    <cellStyle name="20% - Accent2 5 2 2 4 2" xfId="12264"/>
    <cellStyle name="20% - Accent2 5 2 2 4 2 2" xfId="25976"/>
    <cellStyle name="20% - Accent2 5 2 2 4 3" xfId="18178"/>
    <cellStyle name="20% - Accent2 5 2 2 5" xfId="856"/>
    <cellStyle name="20% - Accent2 5 2 2 5 2" xfId="12566"/>
    <cellStyle name="20% - Accent2 5 2 2 5 2 2" xfId="26278"/>
    <cellStyle name="20% - Accent2 5 2 2 5 3" xfId="18179"/>
    <cellStyle name="20% - Accent2 5 2 2 6" xfId="857"/>
    <cellStyle name="20% - Accent2 5 2 2 6 2" xfId="13828"/>
    <cellStyle name="20% - Accent2 5 2 2 6 2 2" xfId="27377"/>
    <cellStyle name="20% - Accent2 5 2 2 6 3" xfId="18180"/>
    <cellStyle name="20% - Accent2 5 2 2 7" xfId="858"/>
    <cellStyle name="20% - Accent2 5 2 2 7 2" xfId="14409"/>
    <cellStyle name="20% - Accent2 5 2 2 7 2 2" xfId="27958"/>
    <cellStyle name="20% - Accent2 5 2 2 7 3" xfId="18181"/>
    <cellStyle name="20% - Accent2 5 2 2 8" xfId="859"/>
    <cellStyle name="20% - Accent2 5 2 2 8 2" xfId="14714"/>
    <cellStyle name="20% - Accent2 5 2 2 8 2 2" xfId="28263"/>
    <cellStyle name="20% - Accent2 5 2 2 8 3" xfId="18182"/>
    <cellStyle name="20% - Accent2 5 2 2 9" xfId="860"/>
    <cellStyle name="20% - Accent2 5 2 2 9 2" xfId="16295"/>
    <cellStyle name="20% - Accent2 5 2 2 9 2 2" xfId="29702"/>
    <cellStyle name="20% - Accent2 5 2 2 9 3" xfId="18183"/>
    <cellStyle name="20% - Accent2 5 2 3" xfId="861"/>
    <cellStyle name="20% - Accent2 5 2 3 2" xfId="862"/>
    <cellStyle name="20% - Accent2 5 2 3 2 2" xfId="10666"/>
    <cellStyle name="20% - Accent2 5 2 3 2 2 2" xfId="24608"/>
    <cellStyle name="20% - Accent2 5 2 3 2 3" xfId="18185"/>
    <cellStyle name="20% - Accent2 5 2 3 3" xfId="863"/>
    <cellStyle name="20% - Accent2 5 2 3 3 2" xfId="12446"/>
    <cellStyle name="20% - Accent2 5 2 3 3 2 2" xfId="26158"/>
    <cellStyle name="20% - Accent2 5 2 3 3 3" xfId="18186"/>
    <cellStyle name="20% - Accent2 5 2 3 4" xfId="864"/>
    <cellStyle name="20% - Accent2 5 2 3 4 2" xfId="14717"/>
    <cellStyle name="20% - Accent2 5 2 3 4 2 2" xfId="28266"/>
    <cellStyle name="20% - Accent2 5 2 3 4 3" xfId="18187"/>
    <cellStyle name="20% - Accent2 5 2 3 5" xfId="865"/>
    <cellStyle name="20% - Accent2 5 2 3 5 2" xfId="16587"/>
    <cellStyle name="20% - Accent2 5 2 3 5 2 2" xfId="29994"/>
    <cellStyle name="20% - Accent2 5 2 3 5 3" xfId="18188"/>
    <cellStyle name="20% - Accent2 5 2 3 6" xfId="8941"/>
    <cellStyle name="20% - Accent2 5 2 3 6 2" xfId="23416"/>
    <cellStyle name="20% - Accent2 5 2 3 7" xfId="18184"/>
    <cellStyle name="20% - Accent2 5 2 4" xfId="866"/>
    <cellStyle name="20% - Accent2 5 2 4 2" xfId="867"/>
    <cellStyle name="20% - Accent2 5 2 4 2 2" xfId="14718"/>
    <cellStyle name="20% - Accent2 5 2 4 2 2 2" xfId="28267"/>
    <cellStyle name="20% - Accent2 5 2 4 2 3" xfId="18190"/>
    <cellStyle name="20% - Accent2 5 2 4 3" xfId="10663"/>
    <cellStyle name="20% - Accent2 5 2 4 3 2" xfId="24605"/>
    <cellStyle name="20% - Accent2 5 2 4 4" xfId="18189"/>
    <cellStyle name="20% - Accent2 5 2 5" xfId="868"/>
    <cellStyle name="20% - Accent2 5 2 5 2" xfId="11964"/>
    <cellStyle name="20% - Accent2 5 2 5 2 2" xfId="25679"/>
    <cellStyle name="20% - Accent2 5 2 5 3" xfId="18191"/>
    <cellStyle name="20% - Accent2 5 2 6" xfId="869"/>
    <cellStyle name="20% - Accent2 5 2 6 2" xfId="12503"/>
    <cellStyle name="20% - Accent2 5 2 6 2 2" xfId="26215"/>
    <cellStyle name="20% - Accent2 5 2 6 3" xfId="18192"/>
    <cellStyle name="20% - Accent2 5 2 7" xfId="870"/>
    <cellStyle name="20% - Accent2 5 2 7 2" xfId="13539"/>
    <cellStyle name="20% - Accent2 5 2 7 2 2" xfId="27088"/>
    <cellStyle name="20% - Accent2 5 2 7 3" xfId="18193"/>
    <cellStyle name="20% - Accent2 5 2 8" xfId="871"/>
    <cellStyle name="20% - Accent2 5 2 8 2" xfId="14120"/>
    <cellStyle name="20% - Accent2 5 2 8 2 2" xfId="27669"/>
    <cellStyle name="20% - Accent2 5 2 8 3" xfId="18194"/>
    <cellStyle name="20% - Accent2 5 2 9" xfId="872"/>
    <cellStyle name="20% - Accent2 5 2 9 2" xfId="14713"/>
    <cellStyle name="20% - Accent2 5 2 9 2 2" xfId="28262"/>
    <cellStyle name="20% - Accent2 5 2 9 3" xfId="18195"/>
    <cellStyle name="20% - Accent2 5 3" xfId="873"/>
    <cellStyle name="20% - Accent2 5 3 10" xfId="8942"/>
    <cellStyle name="20% - Accent2 5 3 10 2" xfId="23417"/>
    <cellStyle name="20% - Accent2 5 3 11" xfId="18196"/>
    <cellStyle name="20% - Accent2 5 3 2" xfId="874"/>
    <cellStyle name="20% - Accent2 5 3 2 2" xfId="875"/>
    <cellStyle name="20% - Accent2 5 3 2 2 2" xfId="10668"/>
    <cellStyle name="20% - Accent2 5 3 2 2 2 2" xfId="24610"/>
    <cellStyle name="20% - Accent2 5 3 2 2 3" xfId="18198"/>
    <cellStyle name="20% - Accent2 5 3 2 3" xfId="876"/>
    <cellStyle name="20% - Accent2 5 3 2 3 2" xfId="12546"/>
    <cellStyle name="20% - Accent2 5 3 2 3 2 2" xfId="26258"/>
    <cellStyle name="20% - Accent2 5 3 2 3 3" xfId="18199"/>
    <cellStyle name="20% - Accent2 5 3 2 4" xfId="877"/>
    <cellStyle name="20% - Accent2 5 3 2 4 2" xfId="14720"/>
    <cellStyle name="20% - Accent2 5 3 2 4 2 2" xfId="28269"/>
    <cellStyle name="20% - Accent2 5 3 2 4 3" xfId="18200"/>
    <cellStyle name="20% - Accent2 5 3 2 5" xfId="878"/>
    <cellStyle name="20% - Accent2 5 3 2 5 2" xfId="16730"/>
    <cellStyle name="20% - Accent2 5 3 2 5 2 2" xfId="30137"/>
    <cellStyle name="20% - Accent2 5 3 2 5 3" xfId="18201"/>
    <cellStyle name="20% - Accent2 5 3 2 6" xfId="8943"/>
    <cellStyle name="20% - Accent2 5 3 2 6 2" xfId="23418"/>
    <cellStyle name="20% - Accent2 5 3 2 7" xfId="18197"/>
    <cellStyle name="20% - Accent2 5 3 3" xfId="879"/>
    <cellStyle name="20% - Accent2 5 3 3 2" xfId="880"/>
    <cellStyle name="20% - Accent2 5 3 3 2 2" xfId="14721"/>
    <cellStyle name="20% - Accent2 5 3 3 2 2 2" xfId="28270"/>
    <cellStyle name="20% - Accent2 5 3 3 2 3" xfId="18203"/>
    <cellStyle name="20% - Accent2 5 3 3 3" xfId="10667"/>
    <cellStyle name="20% - Accent2 5 3 3 3 2" xfId="24609"/>
    <cellStyle name="20% - Accent2 5 3 3 4" xfId="18202"/>
    <cellStyle name="20% - Accent2 5 3 4" xfId="881"/>
    <cellStyle name="20% - Accent2 5 3 4 2" xfId="12118"/>
    <cellStyle name="20% - Accent2 5 3 4 2 2" xfId="25830"/>
    <cellStyle name="20% - Accent2 5 3 4 3" xfId="18204"/>
    <cellStyle name="20% - Accent2 5 3 5" xfId="882"/>
    <cellStyle name="20% - Accent2 5 3 5 2" xfId="11752"/>
    <cellStyle name="20% - Accent2 5 3 5 2 2" xfId="25467"/>
    <cellStyle name="20% - Accent2 5 3 5 3" xfId="18205"/>
    <cellStyle name="20% - Accent2 5 3 6" xfId="883"/>
    <cellStyle name="20% - Accent2 5 3 6 2" xfId="13682"/>
    <cellStyle name="20% - Accent2 5 3 6 2 2" xfId="27231"/>
    <cellStyle name="20% - Accent2 5 3 6 3" xfId="18206"/>
    <cellStyle name="20% - Accent2 5 3 7" xfId="884"/>
    <cellStyle name="20% - Accent2 5 3 7 2" xfId="14263"/>
    <cellStyle name="20% - Accent2 5 3 7 2 2" xfId="27812"/>
    <cellStyle name="20% - Accent2 5 3 7 3" xfId="18207"/>
    <cellStyle name="20% - Accent2 5 3 8" xfId="885"/>
    <cellStyle name="20% - Accent2 5 3 8 2" xfId="14719"/>
    <cellStyle name="20% - Accent2 5 3 8 2 2" xfId="28268"/>
    <cellStyle name="20% - Accent2 5 3 8 3" xfId="18208"/>
    <cellStyle name="20% - Accent2 5 3 9" xfId="886"/>
    <cellStyle name="20% - Accent2 5 3 9 2" xfId="16149"/>
    <cellStyle name="20% - Accent2 5 3 9 2 2" xfId="29556"/>
    <cellStyle name="20% - Accent2 5 3 9 3" xfId="18209"/>
    <cellStyle name="20% - Accent2 5 4" xfId="887"/>
    <cellStyle name="20% - Accent2 5 4 2" xfId="888"/>
    <cellStyle name="20% - Accent2 5 4 2 2" xfId="10669"/>
    <cellStyle name="20% - Accent2 5 4 2 2 2" xfId="24611"/>
    <cellStyle name="20% - Accent2 5 4 2 3" xfId="18211"/>
    <cellStyle name="20% - Accent2 5 4 3" xfId="889"/>
    <cellStyle name="20% - Accent2 5 4 3 2" xfId="12567"/>
    <cellStyle name="20% - Accent2 5 4 3 2 2" xfId="26279"/>
    <cellStyle name="20% - Accent2 5 4 3 3" xfId="18212"/>
    <cellStyle name="20% - Accent2 5 4 4" xfId="890"/>
    <cellStyle name="20% - Accent2 5 4 4 2" xfId="14722"/>
    <cellStyle name="20% - Accent2 5 4 4 2 2" xfId="28271"/>
    <cellStyle name="20% - Accent2 5 4 4 3" xfId="18213"/>
    <cellStyle name="20% - Accent2 5 4 5" xfId="891"/>
    <cellStyle name="20% - Accent2 5 4 5 2" xfId="16444"/>
    <cellStyle name="20% - Accent2 5 4 5 2 2" xfId="29851"/>
    <cellStyle name="20% - Accent2 5 4 5 3" xfId="18214"/>
    <cellStyle name="20% - Accent2 5 4 6" xfId="8944"/>
    <cellStyle name="20% - Accent2 5 4 6 2" xfId="23419"/>
    <cellStyle name="20% - Accent2 5 4 7" xfId="18210"/>
    <cellStyle name="20% - Accent2 5 5" xfId="892"/>
    <cellStyle name="20% - Accent2 5 5 2" xfId="893"/>
    <cellStyle name="20% - Accent2 5 5 2 2" xfId="14723"/>
    <cellStyle name="20% - Accent2 5 5 2 2 2" xfId="28272"/>
    <cellStyle name="20% - Accent2 5 5 2 3" xfId="18216"/>
    <cellStyle name="20% - Accent2 5 5 3" xfId="10662"/>
    <cellStyle name="20% - Accent2 5 5 3 2" xfId="24604"/>
    <cellStyle name="20% - Accent2 5 5 4" xfId="18215"/>
    <cellStyle name="20% - Accent2 5 6" xfId="894"/>
    <cellStyle name="20% - Accent2 5 6 2" xfId="11795"/>
    <cellStyle name="20% - Accent2 5 6 2 2" xfId="25510"/>
    <cellStyle name="20% - Accent2 5 6 3" xfId="18217"/>
    <cellStyle name="20% - Accent2 5 7" xfId="895"/>
    <cellStyle name="20% - Accent2 5 7 2" xfId="12412"/>
    <cellStyle name="20% - Accent2 5 7 2 2" xfId="26124"/>
    <cellStyle name="20% - Accent2 5 7 3" xfId="18218"/>
    <cellStyle name="20% - Accent2 5 8" xfId="896"/>
    <cellStyle name="20% - Accent2 5 8 2" xfId="13396"/>
    <cellStyle name="20% - Accent2 5 8 2 2" xfId="26945"/>
    <cellStyle name="20% - Accent2 5 8 3" xfId="18219"/>
    <cellStyle name="20% - Accent2 5 9" xfId="897"/>
    <cellStyle name="20% - Accent2 5 9 2" xfId="13977"/>
    <cellStyle name="20% - Accent2 5 9 2 2" xfId="27526"/>
    <cellStyle name="20% - Accent2 5 9 3" xfId="18220"/>
    <cellStyle name="20% - Accent2 6" xfId="898"/>
    <cellStyle name="20% - Accent2 6 10" xfId="899"/>
    <cellStyle name="20% - Accent2 6 10 2" xfId="14724"/>
    <cellStyle name="20% - Accent2 6 10 2 2" xfId="28273"/>
    <cellStyle name="20% - Accent2 6 10 3" xfId="18222"/>
    <cellStyle name="20% - Accent2 6 11" xfId="900"/>
    <cellStyle name="20% - Accent2 6 11 2" xfId="15969"/>
    <cellStyle name="20% - Accent2 6 11 2 2" xfId="29376"/>
    <cellStyle name="20% - Accent2 6 11 3" xfId="18223"/>
    <cellStyle name="20% - Accent2 6 12" xfId="8945"/>
    <cellStyle name="20% - Accent2 6 12 2" xfId="23420"/>
    <cellStyle name="20% - Accent2 6 13" xfId="18221"/>
    <cellStyle name="20% - Accent2 6 2" xfId="901"/>
    <cellStyle name="20% - Accent2 6 2 10" xfId="902"/>
    <cellStyle name="20% - Accent2 6 2 10 2" xfId="16112"/>
    <cellStyle name="20% - Accent2 6 2 10 2 2" xfId="29519"/>
    <cellStyle name="20% - Accent2 6 2 10 3" xfId="18225"/>
    <cellStyle name="20% - Accent2 6 2 11" xfId="8946"/>
    <cellStyle name="20% - Accent2 6 2 11 2" xfId="23421"/>
    <cellStyle name="20% - Accent2 6 2 12" xfId="18224"/>
    <cellStyle name="20% - Accent2 6 2 2" xfId="903"/>
    <cellStyle name="20% - Accent2 6 2 2 10" xfId="8947"/>
    <cellStyle name="20% - Accent2 6 2 2 10 2" xfId="23422"/>
    <cellStyle name="20% - Accent2 6 2 2 11" xfId="18226"/>
    <cellStyle name="20% - Accent2 6 2 2 2" xfId="904"/>
    <cellStyle name="20% - Accent2 6 2 2 2 2" xfId="905"/>
    <cellStyle name="20% - Accent2 6 2 2 2 2 2" xfId="10673"/>
    <cellStyle name="20% - Accent2 6 2 2 2 2 2 2" xfId="24615"/>
    <cellStyle name="20% - Accent2 6 2 2 2 2 3" xfId="18228"/>
    <cellStyle name="20% - Accent2 6 2 2 2 3" xfId="906"/>
    <cellStyle name="20% - Accent2 6 2 2 2 3 2" xfId="12693"/>
    <cellStyle name="20% - Accent2 6 2 2 2 3 2 2" xfId="26405"/>
    <cellStyle name="20% - Accent2 6 2 2 2 3 3" xfId="18229"/>
    <cellStyle name="20% - Accent2 6 2 2 2 4" xfId="907"/>
    <cellStyle name="20% - Accent2 6 2 2 2 4 2" xfId="14727"/>
    <cellStyle name="20% - Accent2 6 2 2 2 4 2 2" xfId="28276"/>
    <cellStyle name="20% - Accent2 6 2 2 2 4 3" xfId="18230"/>
    <cellStyle name="20% - Accent2 6 2 2 2 5" xfId="908"/>
    <cellStyle name="20% - Accent2 6 2 2 2 5 2" xfId="16982"/>
    <cellStyle name="20% - Accent2 6 2 2 2 5 2 2" xfId="30389"/>
    <cellStyle name="20% - Accent2 6 2 2 2 5 3" xfId="18231"/>
    <cellStyle name="20% - Accent2 6 2 2 2 6" xfId="8948"/>
    <cellStyle name="20% - Accent2 6 2 2 2 6 2" xfId="23423"/>
    <cellStyle name="20% - Accent2 6 2 2 2 7" xfId="18227"/>
    <cellStyle name="20% - Accent2 6 2 2 3" xfId="909"/>
    <cellStyle name="20% - Accent2 6 2 2 3 2" xfId="910"/>
    <cellStyle name="20% - Accent2 6 2 2 3 2 2" xfId="14728"/>
    <cellStyle name="20% - Accent2 6 2 2 3 2 2 2" xfId="28277"/>
    <cellStyle name="20% - Accent2 6 2 2 3 2 3" xfId="18233"/>
    <cellStyle name="20% - Accent2 6 2 2 3 3" xfId="10672"/>
    <cellStyle name="20% - Accent2 6 2 2 3 3 2" xfId="24614"/>
    <cellStyle name="20% - Accent2 6 2 2 3 4" xfId="18232"/>
    <cellStyle name="20% - Accent2 6 2 2 4" xfId="911"/>
    <cellStyle name="20% - Accent2 6 2 2 4 2" xfId="12370"/>
    <cellStyle name="20% - Accent2 6 2 2 4 2 2" xfId="26082"/>
    <cellStyle name="20% - Accent2 6 2 2 4 3" xfId="18234"/>
    <cellStyle name="20% - Accent2 6 2 2 5" xfId="912"/>
    <cellStyle name="20% - Accent2 6 2 2 5 2" xfId="12785"/>
    <cellStyle name="20% - Accent2 6 2 2 5 2 2" xfId="26497"/>
    <cellStyle name="20% - Accent2 6 2 2 5 3" xfId="18235"/>
    <cellStyle name="20% - Accent2 6 2 2 6" xfId="913"/>
    <cellStyle name="20% - Accent2 6 2 2 6 2" xfId="13934"/>
    <cellStyle name="20% - Accent2 6 2 2 6 2 2" xfId="27483"/>
    <cellStyle name="20% - Accent2 6 2 2 6 3" xfId="18236"/>
    <cellStyle name="20% - Accent2 6 2 2 7" xfId="914"/>
    <cellStyle name="20% - Accent2 6 2 2 7 2" xfId="14515"/>
    <cellStyle name="20% - Accent2 6 2 2 7 2 2" xfId="28064"/>
    <cellStyle name="20% - Accent2 6 2 2 7 3" xfId="18237"/>
    <cellStyle name="20% - Accent2 6 2 2 8" xfId="915"/>
    <cellStyle name="20% - Accent2 6 2 2 8 2" xfId="14726"/>
    <cellStyle name="20% - Accent2 6 2 2 8 2 2" xfId="28275"/>
    <cellStyle name="20% - Accent2 6 2 2 8 3" xfId="18238"/>
    <cellStyle name="20% - Accent2 6 2 2 9" xfId="916"/>
    <cellStyle name="20% - Accent2 6 2 2 9 2" xfId="16401"/>
    <cellStyle name="20% - Accent2 6 2 2 9 2 2" xfId="29808"/>
    <cellStyle name="20% - Accent2 6 2 2 9 3" xfId="18239"/>
    <cellStyle name="20% - Accent2 6 2 3" xfId="917"/>
    <cellStyle name="20% - Accent2 6 2 3 2" xfId="918"/>
    <cellStyle name="20% - Accent2 6 2 3 2 2" xfId="10674"/>
    <cellStyle name="20% - Accent2 6 2 3 2 2 2" xfId="24616"/>
    <cellStyle name="20% - Accent2 6 2 3 2 3" xfId="18241"/>
    <cellStyle name="20% - Accent2 6 2 3 3" xfId="919"/>
    <cellStyle name="20% - Accent2 6 2 3 3 2" xfId="11857"/>
    <cellStyle name="20% - Accent2 6 2 3 3 2 2" xfId="25572"/>
    <cellStyle name="20% - Accent2 6 2 3 3 3" xfId="18242"/>
    <cellStyle name="20% - Accent2 6 2 3 4" xfId="920"/>
    <cellStyle name="20% - Accent2 6 2 3 4 2" xfId="14729"/>
    <cellStyle name="20% - Accent2 6 2 3 4 2 2" xfId="28278"/>
    <cellStyle name="20% - Accent2 6 2 3 4 3" xfId="18243"/>
    <cellStyle name="20% - Accent2 6 2 3 5" xfId="921"/>
    <cellStyle name="20% - Accent2 6 2 3 5 2" xfId="16693"/>
    <cellStyle name="20% - Accent2 6 2 3 5 2 2" xfId="30100"/>
    <cellStyle name="20% - Accent2 6 2 3 5 3" xfId="18244"/>
    <cellStyle name="20% - Accent2 6 2 3 6" xfId="8949"/>
    <cellStyle name="20% - Accent2 6 2 3 6 2" xfId="23424"/>
    <cellStyle name="20% - Accent2 6 2 3 7" xfId="18240"/>
    <cellStyle name="20% - Accent2 6 2 4" xfId="922"/>
    <cellStyle name="20% - Accent2 6 2 4 2" xfId="923"/>
    <cellStyle name="20% - Accent2 6 2 4 2 2" xfId="14730"/>
    <cellStyle name="20% - Accent2 6 2 4 2 2 2" xfId="28279"/>
    <cellStyle name="20% - Accent2 6 2 4 2 3" xfId="18246"/>
    <cellStyle name="20% - Accent2 6 2 4 3" xfId="10671"/>
    <cellStyle name="20% - Accent2 6 2 4 3 2" xfId="24613"/>
    <cellStyle name="20% - Accent2 6 2 4 4" xfId="18245"/>
    <cellStyle name="20% - Accent2 6 2 5" xfId="924"/>
    <cellStyle name="20% - Accent2 6 2 5 2" xfId="12070"/>
    <cellStyle name="20% - Accent2 6 2 5 2 2" xfId="25785"/>
    <cellStyle name="20% - Accent2 6 2 5 3" xfId="18247"/>
    <cellStyle name="20% - Accent2 6 2 6" xfId="925"/>
    <cellStyle name="20% - Accent2 6 2 6 2" xfId="12784"/>
    <cellStyle name="20% - Accent2 6 2 6 2 2" xfId="26496"/>
    <cellStyle name="20% - Accent2 6 2 6 3" xfId="18248"/>
    <cellStyle name="20% - Accent2 6 2 7" xfId="926"/>
    <cellStyle name="20% - Accent2 6 2 7 2" xfId="13645"/>
    <cellStyle name="20% - Accent2 6 2 7 2 2" xfId="27194"/>
    <cellStyle name="20% - Accent2 6 2 7 3" xfId="18249"/>
    <cellStyle name="20% - Accent2 6 2 8" xfId="927"/>
    <cellStyle name="20% - Accent2 6 2 8 2" xfId="14226"/>
    <cellStyle name="20% - Accent2 6 2 8 2 2" xfId="27775"/>
    <cellStyle name="20% - Accent2 6 2 8 3" xfId="18250"/>
    <cellStyle name="20% - Accent2 6 2 9" xfId="928"/>
    <cellStyle name="20% - Accent2 6 2 9 2" xfId="14725"/>
    <cellStyle name="20% - Accent2 6 2 9 2 2" xfId="28274"/>
    <cellStyle name="20% - Accent2 6 2 9 3" xfId="18251"/>
    <cellStyle name="20% - Accent2 6 3" xfId="929"/>
    <cellStyle name="20% - Accent2 6 3 10" xfId="8950"/>
    <cellStyle name="20% - Accent2 6 3 10 2" xfId="23425"/>
    <cellStyle name="20% - Accent2 6 3 11" xfId="18252"/>
    <cellStyle name="20% - Accent2 6 3 2" xfId="930"/>
    <cellStyle name="20% - Accent2 6 3 2 2" xfId="931"/>
    <cellStyle name="20% - Accent2 6 3 2 2 2" xfId="10676"/>
    <cellStyle name="20% - Accent2 6 3 2 2 2 2" xfId="24618"/>
    <cellStyle name="20% - Accent2 6 3 2 2 3" xfId="18254"/>
    <cellStyle name="20% - Accent2 6 3 2 3" xfId="932"/>
    <cellStyle name="20% - Accent2 6 3 2 3 2" xfId="12726"/>
    <cellStyle name="20% - Accent2 6 3 2 3 2 2" xfId="26438"/>
    <cellStyle name="20% - Accent2 6 3 2 3 3" xfId="18255"/>
    <cellStyle name="20% - Accent2 6 3 2 4" xfId="933"/>
    <cellStyle name="20% - Accent2 6 3 2 4 2" xfId="14732"/>
    <cellStyle name="20% - Accent2 6 3 2 4 2 2" xfId="28281"/>
    <cellStyle name="20% - Accent2 6 3 2 4 3" xfId="18256"/>
    <cellStyle name="20% - Accent2 6 3 2 5" xfId="934"/>
    <cellStyle name="20% - Accent2 6 3 2 5 2" xfId="16839"/>
    <cellStyle name="20% - Accent2 6 3 2 5 2 2" xfId="30246"/>
    <cellStyle name="20% - Accent2 6 3 2 5 3" xfId="18257"/>
    <cellStyle name="20% - Accent2 6 3 2 6" xfId="8951"/>
    <cellStyle name="20% - Accent2 6 3 2 6 2" xfId="23426"/>
    <cellStyle name="20% - Accent2 6 3 2 7" xfId="18253"/>
    <cellStyle name="20% - Accent2 6 3 3" xfId="935"/>
    <cellStyle name="20% - Accent2 6 3 3 2" xfId="936"/>
    <cellStyle name="20% - Accent2 6 3 3 2 2" xfId="14733"/>
    <cellStyle name="20% - Accent2 6 3 3 2 2 2" xfId="28282"/>
    <cellStyle name="20% - Accent2 6 3 3 2 3" xfId="18259"/>
    <cellStyle name="20% - Accent2 6 3 3 3" xfId="10675"/>
    <cellStyle name="20% - Accent2 6 3 3 3 2" xfId="24617"/>
    <cellStyle name="20% - Accent2 6 3 3 4" xfId="18258"/>
    <cellStyle name="20% - Accent2 6 3 4" xfId="937"/>
    <cellStyle name="20% - Accent2 6 3 4 2" xfId="12227"/>
    <cellStyle name="20% - Accent2 6 3 4 2 2" xfId="25939"/>
    <cellStyle name="20% - Accent2 6 3 4 3" xfId="18260"/>
    <cellStyle name="20% - Accent2 6 3 5" xfId="938"/>
    <cellStyle name="20% - Accent2 6 3 5 2" xfId="12731"/>
    <cellStyle name="20% - Accent2 6 3 5 2 2" xfId="26443"/>
    <cellStyle name="20% - Accent2 6 3 5 3" xfId="18261"/>
    <cellStyle name="20% - Accent2 6 3 6" xfId="939"/>
    <cellStyle name="20% - Accent2 6 3 6 2" xfId="13791"/>
    <cellStyle name="20% - Accent2 6 3 6 2 2" xfId="27340"/>
    <cellStyle name="20% - Accent2 6 3 6 3" xfId="18262"/>
    <cellStyle name="20% - Accent2 6 3 7" xfId="940"/>
    <cellStyle name="20% - Accent2 6 3 7 2" xfId="14372"/>
    <cellStyle name="20% - Accent2 6 3 7 2 2" xfId="27921"/>
    <cellStyle name="20% - Accent2 6 3 7 3" xfId="18263"/>
    <cellStyle name="20% - Accent2 6 3 8" xfId="941"/>
    <cellStyle name="20% - Accent2 6 3 8 2" xfId="14731"/>
    <cellStyle name="20% - Accent2 6 3 8 2 2" xfId="28280"/>
    <cellStyle name="20% - Accent2 6 3 8 3" xfId="18264"/>
    <cellStyle name="20% - Accent2 6 3 9" xfId="942"/>
    <cellStyle name="20% - Accent2 6 3 9 2" xfId="16258"/>
    <cellStyle name="20% - Accent2 6 3 9 2 2" xfId="29665"/>
    <cellStyle name="20% - Accent2 6 3 9 3" xfId="18265"/>
    <cellStyle name="20% - Accent2 6 4" xfId="943"/>
    <cellStyle name="20% - Accent2 6 4 2" xfId="944"/>
    <cellStyle name="20% - Accent2 6 4 2 2" xfId="10677"/>
    <cellStyle name="20% - Accent2 6 4 2 2 2" xfId="24619"/>
    <cellStyle name="20% - Accent2 6 4 2 3" xfId="18267"/>
    <cellStyle name="20% - Accent2 6 4 3" xfId="945"/>
    <cellStyle name="20% - Accent2 6 4 3 2" xfId="12753"/>
    <cellStyle name="20% - Accent2 6 4 3 2 2" xfId="26465"/>
    <cellStyle name="20% - Accent2 6 4 3 3" xfId="18268"/>
    <cellStyle name="20% - Accent2 6 4 4" xfId="946"/>
    <cellStyle name="20% - Accent2 6 4 4 2" xfId="14734"/>
    <cellStyle name="20% - Accent2 6 4 4 2 2" xfId="28283"/>
    <cellStyle name="20% - Accent2 6 4 4 3" xfId="18269"/>
    <cellStyle name="20% - Accent2 6 4 5" xfId="947"/>
    <cellStyle name="20% - Accent2 6 4 5 2" xfId="16550"/>
    <cellStyle name="20% - Accent2 6 4 5 2 2" xfId="29957"/>
    <cellStyle name="20% - Accent2 6 4 5 3" xfId="18270"/>
    <cellStyle name="20% - Accent2 6 4 6" xfId="8952"/>
    <cellStyle name="20% - Accent2 6 4 6 2" xfId="23427"/>
    <cellStyle name="20% - Accent2 6 4 7" xfId="18266"/>
    <cellStyle name="20% - Accent2 6 5" xfId="948"/>
    <cellStyle name="20% - Accent2 6 5 2" xfId="949"/>
    <cellStyle name="20% - Accent2 6 5 2 2" xfId="14735"/>
    <cellStyle name="20% - Accent2 6 5 2 2 2" xfId="28284"/>
    <cellStyle name="20% - Accent2 6 5 2 3" xfId="18272"/>
    <cellStyle name="20% - Accent2 6 5 3" xfId="10670"/>
    <cellStyle name="20% - Accent2 6 5 3 2" xfId="24612"/>
    <cellStyle name="20% - Accent2 6 5 4" xfId="18271"/>
    <cellStyle name="20% - Accent2 6 6" xfId="950"/>
    <cellStyle name="20% - Accent2 6 6 2" xfId="11925"/>
    <cellStyle name="20% - Accent2 6 6 2 2" xfId="25640"/>
    <cellStyle name="20% - Accent2 6 6 3" xfId="18273"/>
    <cellStyle name="20% - Accent2 6 7" xfId="951"/>
    <cellStyle name="20% - Accent2 6 7 2" xfId="12427"/>
    <cellStyle name="20% - Accent2 6 7 2 2" xfId="26139"/>
    <cellStyle name="20% - Accent2 6 7 3" xfId="18274"/>
    <cellStyle name="20% - Accent2 6 8" xfId="952"/>
    <cellStyle name="20% - Accent2 6 8 2" xfId="13502"/>
    <cellStyle name="20% - Accent2 6 8 2 2" xfId="27051"/>
    <cellStyle name="20% - Accent2 6 8 3" xfId="18275"/>
    <cellStyle name="20% - Accent2 6 9" xfId="953"/>
    <cellStyle name="20% - Accent2 6 9 2" xfId="14083"/>
    <cellStyle name="20% - Accent2 6 9 2 2" xfId="27632"/>
    <cellStyle name="20% - Accent2 6 9 3" xfId="18276"/>
    <cellStyle name="20% - Accent2 7" xfId="954"/>
    <cellStyle name="20% - Accent2 7 10" xfId="955"/>
    <cellStyle name="20% - Accent2 7 10 2" xfId="15990"/>
    <cellStyle name="20% - Accent2 7 10 2 2" xfId="29397"/>
    <cellStyle name="20% - Accent2 7 10 3" xfId="18278"/>
    <cellStyle name="20% - Accent2 7 11" xfId="8953"/>
    <cellStyle name="20% - Accent2 7 11 2" xfId="23428"/>
    <cellStyle name="20% - Accent2 7 12" xfId="18277"/>
    <cellStyle name="20% - Accent2 7 2" xfId="956"/>
    <cellStyle name="20% - Accent2 7 2 10" xfId="8954"/>
    <cellStyle name="20% - Accent2 7 2 10 2" xfId="23429"/>
    <cellStyle name="20% - Accent2 7 2 11" xfId="18279"/>
    <cellStyle name="20% - Accent2 7 2 2" xfId="957"/>
    <cellStyle name="20% - Accent2 7 2 2 2" xfId="958"/>
    <cellStyle name="20% - Accent2 7 2 2 2 2" xfId="10680"/>
    <cellStyle name="20% - Accent2 7 2 2 2 2 2" xfId="24622"/>
    <cellStyle name="20% - Accent2 7 2 2 2 3" xfId="18281"/>
    <cellStyle name="20% - Accent2 7 2 2 3" xfId="959"/>
    <cellStyle name="20% - Accent2 7 2 2 3 2" xfId="12483"/>
    <cellStyle name="20% - Accent2 7 2 2 3 2 2" xfId="26195"/>
    <cellStyle name="20% - Accent2 7 2 2 3 3" xfId="18282"/>
    <cellStyle name="20% - Accent2 7 2 2 4" xfId="960"/>
    <cellStyle name="20% - Accent2 7 2 2 4 2" xfId="14738"/>
    <cellStyle name="20% - Accent2 7 2 2 4 2 2" xfId="28287"/>
    <cellStyle name="20% - Accent2 7 2 2 4 3" xfId="18283"/>
    <cellStyle name="20% - Accent2 7 2 2 5" xfId="961"/>
    <cellStyle name="20% - Accent2 7 2 2 5 2" xfId="16860"/>
    <cellStyle name="20% - Accent2 7 2 2 5 2 2" xfId="30267"/>
    <cellStyle name="20% - Accent2 7 2 2 5 3" xfId="18284"/>
    <cellStyle name="20% - Accent2 7 2 2 6" xfId="8955"/>
    <cellStyle name="20% - Accent2 7 2 2 6 2" xfId="23430"/>
    <cellStyle name="20% - Accent2 7 2 2 7" xfId="18280"/>
    <cellStyle name="20% - Accent2 7 2 3" xfId="962"/>
    <cellStyle name="20% - Accent2 7 2 3 2" xfId="963"/>
    <cellStyle name="20% - Accent2 7 2 3 2 2" xfId="14739"/>
    <cellStyle name="20% - Accent2 7 2 3 2 2 2" xfId="28288"/>
    <cellStyle name="20% - Accent2 7 2 3 2 3" xfId="18286"/>
    <cellStyle name="20% - Accent2 7 2 3 3" xfId="10679"/>
    <cellStyle name="20% - Accent2 7 2 3 3 2" xfId="24621"/>
    <cellStyle name="20% - Accent2 7 2 3 4" xfId="18285"/>
    <cellStyle name="20% - Accent2 7 2 4" xfId="964"/>
    <cellStyle name="20% - Accent2 7 2 4 2" xfId="12248"/>
    <cellStyle name="20% - Accent2 7 2 4 2 2" xfId="25960"/>
    <cellStyle name="20% - Accent2 7 2 4 3" xfId="18287"/>
    <cellStyle name="20% - Accent2 7 2 5" xfId="965"/>
    <cellStyle name="20% - Accent2 7 2 5 2" xfId="11844"/>
    <cellStyle name="20% - Accent2 7 2 5 2 2" xfId="25559"/>
    <cellStyle name="20% - Accent2 7 2 5 3" xfId="18288"/>
    <cellStyle name="20% - Accent2 7 2 6" xfId="966"/>
    <cellStyle name="20% - Accent2 7 2 6 2" xfId="13812"/>
    <cellStyle name="20% - Accent2 7 2 6 2 2" xfId="27361"/>
    <cellStyle name="20% - Accent2 7 2 6 3" xfId="18289"/>
    <cellStyle name="20% - Accent2 7 2 7" xfId="967"/>
    <cellStyle name="20% - Accent2 7 2 7 2" xfId="14393"/>
    <cellStyle name="20% - Accent2 7 2 7 2 2" xfId="27942"/>
    <cellStyle name="20% - Accent2 7 2 7 3" xfId="18290"/>
    <cellStyle name="20% - Accent2 7 2 8" xfId="968"/>
    <cellStyle name="20% - Accent2 7 2 8 2" xfId="14737"/>
    <cellStyle name="20% - Accent2 7 2 8 2 2" xfId="28286"/>
    <cellStyle name="20% - Accent2 7 2 8 3" xfId="18291"/>
    <cellStyle name="20% - Accent2 7 2 9" xfId="969"/>
    <cellStyle name="20% - Accent2 7 2 9 2" xfId="16279"/>
    <cellStyle name="20% - Accent2 7 2 9 2 2" xfId="29686"/>
    <cellStyle name="20% - Accent2 7 2 9 3" xfId="18292"/>
    <cellStyle name="20% - Accent2 7 3" xfId="970"/>
    <cellStyle name="20% - Accent2 7 3 2" xfId="971"/>
    <cellStyle name="20% - Accent2 7 3 2 2" xfId="10681"/>
    <cellStyle name="20% - Accent2 7 3 2 2 2" xfId="24623"/>
    <cellStyle name="20% - Accent2 7 3 2 3" xfId="18294"/>
    <cellStyle name="20% - Accent2 7 3 3" xfId="972"/>
    <cellStyle name="20% - Accent2 7 3 3 2" xfId="12604"/>
    <cellStyle name="20% - Accent2 7 3 3 2 2" xfId="26316"/>
    <cellStyle name="20% - Accent2 7 3 3 3" xfId="18295"/>
    <cellStyle name="20% - Accent2 7 3 4" xfId="973"/>
    <cellStyle name="20% - Accent2 7 3 4 2" xfId="14740"/>
    <cellStyle name="20% - Accent2 7 3 4 2 2" xfId="28289"/>
    <cellStyle name="20% - Accent2 7 3 4 3" xfId="18296"/>
    <cellStyle name="20% - Accent2 7 3 5" xfId="974"/>
    <cellStyle name="20% - Accent2 7 3 5 2" xfId="16571"/>
    <cellStyle name="20% - Accent2 7 3 5 2 2" xfId="29978"/>
    <cellStyle name="20% - Accent2 7 3 5 3" xfId="18297"/>
    <cellStyle name="20% - Accent2 7 3 6" xfId="8956"/>
    <cellStyle name="20% - Accent2 7 3 6 2" xfId="23431"/>
    <cellStyle name="20% - Accent2 7 3 7" xfId="18293"/>
    <cellStyle name="20% - Accent2 7 4" xfId="975"/>
    <cellStyle name="20% - Accent2 7 4 2" xfId="976"/>
    <cellStyle name="20% - Accent2 7 4 2 2" xfId="14741"/>
    <cellStyle name="20% - Accent2 7 4 2 2 2" xfId="28290"/>
    <cellStyle name="20% - Accent2 7 4 2 3" xfId="18299"/>
    <cellStyle name="20% - Accent2 7 4 3" xfId="10678"/>
    <cellStyle name="20% - Accent2 7 4 3 2" xfId="24620"/>
    <cellStyle name="20% - Accent2 7 4 4" xfId="18298"/>
    <cellStyle name="20% - Accent2 7 5" xfId="977"/>
    <cellStyle name="20% - Accent2 7 5 2" xfId="11946"/>
    <cellStyle name="20% - Accent2 7 5 2 2" xfId="25661"/>
    <cellStyle name="20% - Accent2 7 5 3" xfId="18300"/>
    <cellStyle name="20% - Accent2 7 6" xfId="978"/>
    <cellStyle name="20% - Accent2 7 6 2" xfId="12586"/>
    <cellStyle name="20% - Accent2 7 6 2 2" xfId="26298"/>
    <cellStyle name="20% - Accent2 7 6 3" xfId="18301"/>
    <cellStyle name="20% - Accent2 7 7" xfId="979"/>
    <cellStyle name="20% - Accent2 7 7 2" xfId="13523"/>
    <cellStyle name="20% - Accent2 7 7 2 2" xfId="27072"/>
    <cellStyle name="20% - Accent2 7 7 3" xfId="18302"/>
    <cellStyle name="20% - Accent2 7 8" xfId="980"/>
    <cellStyle name="20% - Accent2 7 8 2" xfId="14104"/>
    <cellStyle name="20% - Accent2 7 8 2 2" xfId="27653"/>
    <cellStyle name="20% - Accent2 7 8 3" xfId="18303"/>
    <cellStyle name="20% - Accent2 7 9" xfId="981"/>
    <cellStyle name="20% - Accent2 7 9 2" xfId="14736"/>
    <cellStyle name="20% - Accent2 7 9 2 2" xfId="28285"/>
    <cellStyle name="20% - Accent2 7 9 3" xfId="18304"/>
    <cellStyle name="20% - Accent2 8" xfId="982"/>
    <cellStyle name="20% - Accent2 8 10" xfId="8957"/>
    <cellStyle name="20% - Accent2 8 10 2" xfId="23432"/>
    <cellStyle name="20% - Accent2 8 11" xfId="18305"/>
    <cellStyle name="20% - Accent2 8 2" xfId="983"/>
    <cellStyle name="20% - Accent2 8 2 2" xfId="984"/>
    <cellStyle name="20% - Accent2 8 2 2 2" xfId="10683"/>
    <cellStyle name="20% - Accent2 8 2 2 2 2" xfId="24625"/>
    <cellStyle name="20% - Accent2 8 2 2 3" xfId="18307"/>
    <cellStyle name="20% - Accent2 8 2 3" xfId="985"/>
    <cellStyle name="20% - Accent2 8 2 3 2" xfId="12797"/>
    <cellStyle name="20% - Accent2 8 2 3 2 2" xfId="26509"/>
    <cellStyle name="20% - Accent2 8 2 3 3" xfId="18308"/>
    <cellStyle name="20% - Accent2 8 2 4" xfId="986"/>
    <cellStyle name="20% - Accent2 8 2 4 2" xfId="14743"/>
    <cellStyle name="20% - Accent2 8 2 4 2 2" xfId="28292"/>
    <cellStyle name="20% - Accent2 8 2 4 3" xfId="18309"/>
    <cellStyle name="20% - Accent2 8 2 5" xfId="987"/>
    <cellStyle name="20% - Accent2 8 2 5 2" xfId="16713"/>
    <cellStyle name="20% - Accent2 8 2 5 2 2" xfId="30120"/>
    <cellStyle name="20% - Accent2 8 2 5 3" xfId="18310"/>
    <cellStyle name="20% - Accent2 8 2 6" xfId="8958"/>
    <cellStyle name="20% - Accent2 8 2 6 2" xfId="23433"/>
    <cellStyle name="20% - Accent2 8 2 7" xfId="18306"/>
    <cellStyle name="20% - Accent2 8 3" xfId="988"/>
    <cellStyle name="20% - Accent2 8 3 2" xfId="989"/>
    <cellStyle name="20% - Accent2 8 3 2 2" xfId="14744"/>
    <cellStyle name="20% - Accent2 8 3 2 2 2" xfId="28293"/>
    <cellStyle name="20% - Accent2 8 3 2 3" xfId="18312"/>
    <cellStyle name="20% - Accent2 8 3 3" xfId="10682"/>
    <cellStyle name="20% - Accent2 8 3 3 2" xfId="24624"/>
    <cellStyle name="20% - Accent2 8 3 4" xfId="18311"/>
    <cellStyle name="20% - Accent2 8 4" xfId="990"/>
    <cellStyle name="20% - Accent2 8 4 2" xfId="12091"/>
    <cellStyle name="20% - Accent2 8 4 2 2" xfId="25805"/>
    <cellStyle name="20% - Accent2 8 4 3" xfId="18313"/>
    <cellStyle name="20% - Accent2 8 5" xfId="991"/>
    <cellStyle name="20% - Accent2 8 5 2" xfId="12540"/>
    <cellStyle name="20% - Accent2 8 5 2 2" xfId="26252"/>
    <cellStyle name="20% - Accent2 8 5 3" xfId="18314"/>
    <cellStyle name="20% - Accent2 8 6" xfId="992"/>
    <cellStyle name="20% - Accent2 8 6 2" xfId="13665"/>
    <cellStyle name="20% - Accent2 8 6 2 2" xfId="27214"/>
    <cellStyle name="20% - Accent2 8 6 3" xfId="18315"/>
    <cellStyle name="20% - Accent2 8 7" xfId="993"/>
    <cellStyle name="20% - Accent2 8 7 2" xfId="14246"/>
    <cellStyle name="20% - Accent2 8 7 2 2" xfId="27795"/>
    <cellStyle name="20% - Accent2 8 7 3" xfId="18316"/>
    <cellStyle name="20% - Accent2 8 8" xfId="994"/>
    <cellStyle name="20% - Accent2 8 8 2" xfId="14742"/>
    <cellStyle name="20% - Accent2 8 8 2 2" xfId="28291"/>
    <cellStyle name="20% - Accent2 8 8 3" xfId="18317"/>
    <cellStyle name="20% - Accent2 8 9" xfId="995"/>
    <cellStyle name="20% - Accent2 8 9 2" xfId="16132"/>
    <cellStyle name="20% - Accent2 8 9 2 2" xfId="29539"/>
    <cellStyle name="20% - Accent2 8 9 3" xfId="18318"/>
    <cellStyle name="20% - Accent2 9" xfId="996"/>
    <cellStyle name="20% - Accent2 9 2" xfId="997"/>
    <cellStyle name="20% - Accent2 9 2 2" xfId="10684"/>
    <cellStyle name="20% - Accent2 9 2 2 2" xfId="24626"/>
    <cellStyle name="20% - Accent2 9 2 3" xfId="18320"/>
    <cellStyle name="20% - Accent2 9 3" xfId="998"/>
    <cellStyle name="20% - Accent2 9 3 2" xfId="12612"/>
    <cellStyle name="20% - Accent2 9 3 2 2" xfId="26324"/>
    <cellStyle name="20% - Accent2 9 3 3" xfId="18321"/>
    <cellStyle name="20% - Accent2 9 4" xfId="999"/>
    <cellStyle name="20% - Accent2 9 4 2" xfId="14745"/>
    <cellStyle name="20% - Accent2 9 4 2 2" xfId="28294"/>
    <cellStyle name="20% - Accent2 9 4 3" xfId="18322"/>
    <cellStyle name="20% - Accent2 9 5" xfId="1000"/>
    <cellStyle name="20% - Accent2 9 5 2" xfId="17097"/>
    <cellStyle name="20% - Accent2 9 5 2 2" xfId="30456"/>
    <cellStyle name="20% - Accent2 9 5 3" xfId="18323"/>
    <cellStyle name="20% - Accent2 9 6" xfId="8959"/>
    <cellStyle name="20% - Accent2 9 6 2" xfId="23434"/>
    <cellStyle name="20% - Accent2 9 7" xfId="18319"/>
    <cellStyle name="20% - Accent3" xfId="36" builtinId="38" customBuiltin="1"/>
    <cellStyle name="20% - Accent3 10" xfId="1001"/>
    <cellStyle name="20% - Accent3 10 2" xfId="1002"/>
    <cellStyle name="20% - Accent3 10 2 2" xfId="1003"/>
    <cellStyle name="20% - Accent3 10 2 2 2" xfId="12457"/>
    <cellStyle name="20% - Accent3 10 2 2 2 2" xfId="26169"/>
    <cellStyle name="20% - Accent3 10 2 2 3" xfId="18326"/>
    <cellStyle name="20% - Accent3 10 2 3" xfId="1004"/>
    <cellStyle name="20% - Accent3 10 2 3 2" xfId="14748"/>
    <cellStyle name="20% - Accent3 10 2 3 2 2" xfId="28297"/>
    <cellStyle name="20% - Accent3 10 2 3 3" xfId="18327"/>
    <cellStyle name="20% - Accent3 10 2 4" xfId="10686"/>
    <cellStyle name="20% - Accent3 10 2 4 2" xfId="24628"/>
    <cellStyle name="20% - Accent3 10 2 5" xfId="18325"/>
    <cellStyle name="20% - Accent3 10 3" xfId="1005"/>
    <cellStyle name="20% - Accent3 10 3 2" xfId="12666"/>
    <cellStyle name="20% - Accent3 10 3 2 2" xfId="26378"/>
    <cellStyle name="20% - Accent3 10 3 3" xfId="18328"/>
    <cellStyle name="20% - Accent3 10 4" xfId="1006"/>
    <cellStyle name="20% - Accent3 10 4 2" xfId="14747"/>
    <cellStyle name="20% - Accent3 10 4 2 2" xfId="28296"/>
    <cellStyle name="20% - Accent3 10 4 3" xfId="18329"/>
    <cellStyle name="20% - Accent3 10 5" xfId="1007"/>
    <cellStyle name="20% - Accent3 10 5 2" xfId="17187"/>
    <cellStyle name="20% - Accent3 10 5 2 2" xfId="30546"/>
    <cellStyle name="20% - Accent3 10 5 3" xfId="18330"/>
    <cellStyle name="20% - Accent3 10 6" xfId="8961"/>
    <cellStyle name="20% - Accent3 10 6 2" xfId="23436"/>
    <cellStyle name="20% - Accent3 10 7" xfId="18324"/>
    <cellStyle name="20% - Accent3 11" xfId="1008"/>
    <cellStyle name="20% - Accent3 11 2" xfId="1009"/>
    <cellStyle name="20% - Accent3 11 2 2" xfId="10687"/>
    <cellStyle name="20% - Accent3 11 2 2 2" xfId="24629"/>
    <cellStyle name="20% - Accent3 11 2 3" xfId="18332"/>
    <cellStyle name="20% - Accent3 11 3" xfId="1010"/>
    <cellStyle name="20% - Accent3 11 3 2" xfId="12799"/>
    <cellStyle name="20% - Accent3 11 3 2 2" xfId="26511"/>
    <cellStyle name="20% - Accent3 11 3 3" xfId="18333"/>
    <cellStyle name="20% - Accent3 11 4" xfId="1011"/>
    <cellStyle name="20% - Accent3 11 4 2" xfId="14749"/>
    <cellStyle name="20% - Accent3 11 4 2 2" xfId="28298"/>
    <cellStyle name="20% - Accent3 11 4 3" xfId="18334"/>
    <cellStyle name="20% - Accent3 11 5" xfId="1012"/>
    <cellStyle name="20% - Accent3 11 5 2" xfId="17276"/>
    <cellStyle name="20% - Accent3 11 5 2 2" xfId="30635"/>
    <cellStyle name="20% - Accent3 11 5 3" xfId="18335"/>
    <cellStyle name="20% - Accent3 11 6" xfId="8962"/>
    <cellStyle name="20% - Accent3 11 6 2" xfId="23437"/>
    <cellStyle name="20% - Accent3 11 7" xfId="18331"/>
    <cellStyle name="20% - Accent3 12" xfId="1013"/>
    <cellStyle name="20% - Accent3 12 2" xfId="1014"/>
    <cellStyle name="20% - Accent3 12 2 2" xfId="1015"/>
    <cellStyle name="20% - Accent3 12 2 2 2" xfId="10689"/>
    <cellStyle name="20% - Accent3 12 2 2 2 2" xfId="24631"/>
    <cellStyle name="20% - Accent3 12 2 2 3" xfId="18338"/>
    <cellStyle name="20% - Accent3 12 2 3" xfId="1016"/>
    <cellStyle name="20% - Accent3 12 2 3 2" xfId="12628"/>
    <cellStyle name="20% - Accent3 12 2 3 2 2" xfId="26340"/>
    <cellStyle name="20% - Accent3 12 2 3 3" xfId="18339"/>
    <cellStyle name="20% - Accent3 12 2 4" xfId="1017"/>
    <cellStyle name="20% - Accent3 12 2 4 2" xfId="14751"/>
    <cellStyle name="20% - Accent3 12 2 4 2 2" xfId="28300"/>
    <cellStyle name="20% - Accent3 12 2 4 3" xfId="18340"/>
    <cellStyle name="20% - Accent3 12 2 5" xfId="8964"/>
    <cellStyle name="20% - Accent3 12 2 5 2" xfId="23439"/>
    <cellStyle name="20% - Accent3 12 2 6" xfId="18337"/>
    <cellStyle name="20% - Accent3 12 3" xfId="1018"/>
    <cellStyle name="20% - Accent3 12 3 2" xfId="10688"/>
    <cellStyle name="20% - Accent3 12 3 2 2" xfId="24630"/>
    <cellStyle name="20% - Accent3 12 3 3" xfId="18341"/>
    <cellStyle name="20% - Accent3 12 4" xfId="1019"/>
    <cellStyle name="20% - Accent3 12 4 2" xfId="12754"/>
    <cellStyle name="20% - Accent3 12 4 2 2" xfId="26466"/>
    <cellStyle name="20% - Accent3 12 4 3" xfId="18342"/>
    <cellStyle name="20% - Accent3 12 5" xfId="1020"/>
    <cellStyle name="20% - Accent3 12 5 2" xfId="14750"/>
    <cellStyle name="20% - Accent3 12 5 2 2" xfId="28299"/>
    <cellStyle name="20% - Accent3 12 5 3" xfId="18343"/>
    <cellStyle name="20% - Accent3 12 6" xfId="1021"/>
    <cellStyle name="20% - Accent3 12 6 2" xfId="16428"/>
    <cellStyle name="20% - Accent3 12 6 2 2" xfId="29835"/>
    <cellStyle name="20% - Accent3 12 6 3" xfId="18344"/>
    <cellStyle name="20% - Accent3 12 7" xfId="8963"/>
    <cellStyle name="20% - Accent3 12 7 2" xfId="23438"/>
    <cellStyle name="20% - Accent3 12 8" xfId="18336"/>
    <cellStyle name="20% - Accent3 13" xfId="1022"/>
    <cellStyle name="20% - Accent3 13 2" xfId="1023"/>
    <cellStyle name="20% - Accent3 13 2 2" xfId="10690"/>
    <cellStyle name="20% - Accent3 13 2 2 2" xfId="24632"/>
    <cellStyle name="20% - Accent3 13 2 3" xfId="18346"/>
    <cellStyle name="20% - Accent3 13 3" xfId="1024"/>
    <cellStyle name="20% - Accent3 13 3 2" xfId="12786"/>
    <cellStyle name="20% - Accent3 13 3 2 2" xfId="26498"/>
    <cellStyle name="20% - Accent3 13 3 3" xfId="18347"/>
    <cellStyle name="20% - Accent3 13 4" xfId="1025"/>
    <cellStyle name="20% - Accent3 13 4 2" xfId="14752"/>
    <cellStyle name="20% - Accent3 13 4 2 2" xfId="28301"/>
    <cellStyle name="20% - Accent3 13 4 3" xfId="18348"/>
    <cellStyle name="20% - Accent3 13 5" xfId="8965"/>
    <cellStyle name="20% - Accent3 13 5 2" xfId="23440"/>
    <cellStyle name="20% - Accent3 13 6" xfId="18345"/>
    <cellStyle name="20% - Accent3 14" xfId="1026"/>
    <cellStyle name="20% - Accent3 14 2" xfId="1027"/>
    <cellStyle name="20% - Accent3 14 2 2" xfId="10691"/>
    <cellStyle name="20% - Accent3 14 2 2 2" xfId="24633"/>
    <cellStyle name="20% - Accent3 14 2 3" xfId="18350"/>
    <cellStyle name="20% - Accent3 14 3" xfId="1028"/>
    <cellStyle name="20% - Accent3 14 3 2" xfId="12452"/>
    <cellStyle name="20% - Accent3 14 3 2 2" xfId="26164"/>
    <cellStyle name="20% - Accent3 14 3 3" xfId="18351"/>
    <cellStyle name="20% - Accent3 14 4" xfId="1029"/>
    <cellStyle name="20% - Accent3 14 4 2" xfId="14753"/>
    <cellStyle name="20% - Accent3 14 4 2 2" xfId="28302"/>
    <cellStyle name="20% - Accent3 14 4 3" xfId="18352"/>
    <cellStyle name="20% - Accent3 14 5" xfId="8966"/>
    <cellStyle name="20% - Accent3 14 5 2" xfId="23441"/>
    <cellStyle name="20% - Accent3 14 6" xfId="18349"/>
    <cellStyle name="20% - Accent3 15" xfId="1030"/>
    <cellStyle name="20% - Accent3 15 2" xfId="1031"/>
    <cellStyle name="20% - Accent3 15 2 2" xfId="10692"/>
    <cellStyle name="20% - Accent3 15 2 2 2" xfId="24634"/>
    <cellStyle name="20% - Accent3 15 2 3" xfId="18354"/>
    <cellStyle name="20% - Accent3 15 3" xfId="1032"/>
    <cellStyle name="20% - Accent3 15 3 2" xfId="12555"/>
    <cellStyle name="20% - Accent3 15 3 2 2" xfId="26267"/>
    <cellStyle name="20% - Accent3 15 3 3" xfId="18355"/>
    <cellStyle name="20% - Accent3 15 4" xfId="1033"/>
    <cellStyle name="20% - Accent3 15 4 2" xfId="14754"/>
    <cellStyle name="20% - Accent3 15 4 2 2" xfId="28303"/>
    <cellStyle name="20% - Accent3 15 4 3" xfId="18356"/>
    <cellStyle name="20% - Accent3 15 5" xfId="8967"/>
    <cellStyle name="20% - Accent3 15 5 2" xfId="23442"/>
    <cellStyle name="20% - Accent3 15 6" xfId="18353"/>
    <cellStyle name="20% - Accent3 16" xfId="1034"/>
    <cellStyle name="20% - Accent3 16 2" xfId="1035"/>
    <cellStyle name="20% - Accent3 16 2 2" xfId="10693"/>
    <cellStyle name="20% - Accent3 16 2 2 2" xfId="24635"/>
    <cellStyle name="20% - Accent3 16 2 3" xfId="18358"/>
    <cellStyle name="20% - Accent3 16 3" xfId="1036"/>
    <cellStyle name="20% - Accent3 16 3 2" xfId="11778"/>
    <cellStyle name="20% - Accent3 16 3 2 2" xfId="25493"/>
    <cellStyle name="20% - Accent3 16 3 3" xfId="18359"/>
    <cellStyle name="20% - Accent3 16 4" xfId="1037"/>
    <cellStyle name="20% - Accent3 16 4 2" xfId="14755"/>
    <cellStyle name="20% - Accent3 16 4 2 2" xfId="28304"/>
    <cellStyle name="20% - Accent3 16 4 3" xfId="18360"/>
    <cellStyle name="20% - Accent3 16 5" xfId="8968"/>
    <cellStyle name="20% - Accent3 16 5 2" xfId="23443"/>
    <cellStyle name="20% - Accent3 16 6" xfId="18357"/>
    <cellStyle name="20% - Accent3 17" xfId="1038"/>
    <cellStyle name="20% - Accent3 17 2" xfId="1039"/>
    <cellStyle name="20% - Accent3 17 2 2" xfId="10694"/>
    <cellStyle name="20% - Accent3 17 2 2 2" xfId="24636"/>
    <cellStyle name="20% - Accent3 17 2 3" xfId="18362"/>
    <cellStyle name="20% - Accent3 17 3" xfId="1040"/>
    <cellStyle name="20% - Accent3 17 3 2" xfId="12772"/>
    <cellStyle name="20% - Accent3 17 3 2 2" xfId="26484"/>
    <cellStyle name="20% - Accent3 17 3 3" xfId="18363"/>
    <cellStyle name="20% - Accent3 17 4" xfId="1041"/>
    <cellStyle name="20% - Accent3 17 4 2" xfId="14756"/>
    <cellStyle name="20% - Accent3 17 4 2 2" xfId="28305"/>
    <cellStyle name="20% - Accent3 17 4 3" xfId="18364"/>
    <cellStyle name="20% - Accent3 17 5" xfId="8969"/>
    <cellStyle name="20% - Accent3 17 5 2" xfId="23444"/>
    <cellStyle name="20% - Accent3 17 6" xfId="18361"/>
    <cellStyle name="20% - Accent3 18" xfId="1042"/>
    <cellStyle name="20% - Accent3 18 2" xfId="1043"/>
    <cellStyle name="20% - Accent3 18 2 2" xfId="10695"/>
    <cellStyle name="20% - Accent3 18 2 2 2" xfId="24637"/>
    <cellStyle name="20% - Accent3 18 2 3" xfId="18366"/>
    <cellStyle name="20% - Accent3 18 3" xfId="1044"/>
    <cellStyle name="20% - Accent3 18 3 2" xfId="12660"/>
    <cellStyle name="20% - Accent3 18 3 2 2" xfId="26372"/>
    <cellStyle name="20% - Accent3 18 3 3" xfId="18367"/>
    <cellStyle name="20% - Accent3 18 4" xfId="1045"/>
    <cellStyle name="20% - Accent3 18 4 2" xfId="14757"/>
    <cellStyle name="20% - Accent3 18 4 2 2" xfId="28306"/>
    <cellStyle name="20% - Accent3 18 4 3" xfId="18368"/>
    <cellStyle name="20% - Accent3 18 5" xfId="8970"/>
    <cellStyle name="20% - Accent3 18 5 2" xfId="23445"/>
    <cellStyle name="20% - Accent3 18 6" xfId="18365"/>
    <cellStyle name="20% - Accent3 19" xfId="1046"/>
    <cellStyle name="20% - Accent3 19 2" xfId="1047"/>
    <cellStyle name="20% - Accent3 19 2 2" xfId="11712"/>
    <cellStyle name="20% - Accent3 19 2 2 2" xfId="25432"/>
    <cellStyle name="20% - Accent3 19 2 3" xfId="18370"/>
    <cellStyle name="20% - Accent3 19 3" xfId="1048"/>
    <cellStyle name="20% - Accent3 19 3 2" xfId="12402"/>
    <cellStyle name="20% - Accent3 19 3 2 2" xfId="26114"/>
    <cellStyle name="20% - Accent3 19 3 3" xfId="18371"/>
    <cellStyle name="20% - Accent3 19 4" xfId="1049"/>
    <cellStyle name="20% - Accent3 19 4 2" xfId="14758"/>
    <cellStyle name="20% - Accent3 19 4 2 2" xfId="28307"/>
    <cellStyle name="20% - Accent3 19 4 3" xfId="18372"/>
    <cellStyle name="20% - Accent3 19 5" xfId="10464"/>
    <cellStyle name="20% - Accent3 19 5 2" xfId="24423"/>
    <cellStyle name="20% - Accent3 19 6" xfId="18369"/>
    <cellStyle name="20% - Accent3 2" xfId="1050"/>
    <cellStyle name="20% - Accent3 2 10" xfId="1051"/>
    <cellStyle name="20% - Accent3 2 10 2" xfId="1052"/>
    <cellStyle name="20% - Accent3 2 10 2 2" xfId="14760"/>
    <cellStyle name="20% - Accent3 2 10 2 2 2" xfId="28309"/>
    <cellStyle name="20% - Accent3 2 10 2 3" xfId="18375"/>
    <cellStyle name="20% - Accent3 2 10 3" xfId="11840"/>
    <cellStyle name="20% - Accent3 2 10 3 2" xfId="25555"/>
    <cellStyle name="20% - Accent3 2 10 4" xfId="18374"/>
    <cellStyle name="20% - Accent3 2 11" xfId="1053"/>
    <cellStyle name="20% - Accent3 2 11 2" xfId="12453"/>
    <cellStyle name="20% - Accent3 2 11 2 2" xfId="26165"/>
    <cellStyle name="20% - Accent3 2 11 3" xfId="18376"/>
    <cellStyle name="20% - Accent3 2 12" xfId="1054"/>
    <cellStyle name="20% - Accent3 2 12 2" xfId="13439"/>
    <cellStyle name="20% - Accent3 2 12 2 2" xfId="26988"/>
    <cellStyle name="20% - Accent3 2 12 3" xfId="18377"/>
    <cellStyle name="20% - Accent3 2 13" xfId="1055"/>
    <cellStyle name="20% - Accent3 2 13 2" xfId="14020"/>
    <cellStyle name="20% - Accent3 2 13 2 2" xfId="27569"/>
    <cellStyle name="20% - Accent3 2 13 3" xfId="18378"/>
    <cellStyle name="20% - Accent3 2 14" xfId="1056"/>
    <cellStyle name="20% - Accent3 2 14 2" xfId="14759"/>
    <cellStyle name="20% - Accent3 2 14 2 2" xfId="28308"/>
    <cellStyle name="20% - Accent3 2 14 3" xfId="18379"/>
    <cellStyle name="20% - Accent3 2 15" xfId="1057"/>
    <cellStyle name="20% - Accent3 2 15 2" xfId="15906"/>
    <cellStyle name="20% - Accent3 2 15 2 2" xfId="29313"/>
    <cellStyle name="20% - Accent3 2 15 3" xfId="18380"/>
    <cellStyle name="20% - Accent3 2 16" xfId="8971"/>
    <cellStyle name="20% - Accent3 2 16 2" xfId="23446"/>
    <cellStyle name="20% - Accent3 2 17" xfId="18373"/>
    <cellStyle name="20% - Accent3 2 18" xfId="33070"/>
    <cellStyle name="20% - Accent3 2 2" xfId="1058"/>
    <cellStyle name="20% - Accent3 2 2 10" xfId="1059"/>
    <cellStyle name="20% - Accent3 2 2 10 2" xfId="14761"/>
    <cellStyle name="20% - Accent3 2 2 10 2 2" xfId="28310"/>
    <cellStyle name="20% - Accent3 2 2 10 3" xfId="18382"/>
    <cellStyle name="20% - Accent3 2 2 11" xfId="1060"/>
    <cellStyle name="20% - Accent3 2 2 11 2" xfId="15952"/>
    <cellStyle name="20% - Accent3 2 2 11 2 2" xfId="29359"/>
    <cellStyle name="20% - Accent3 2 2 11 3" xfId="18383"/>
    <cellStyle name="20% - Accent3 2 2 12" xfId="8972"/>
    <cellStyle name="20% - Accent3 2 2 12 2" xfId="23447"/>
    <cellStyle name="20% - Accent3 2 2 13" xfId="18381"/>
    <cellStyle name="20% - Accent3 2 2 2" xfId="1061"/>
    <cellStyle name="20% - Accent3 2 2 2 10" xfId="1062"/>
    <cellStyle name="20% - Accent3 2 2 2 10 2" xfId="16095"/>
    <cellStyle name="20% - Accent3 2 2 2 10 2 2" xfId="29502"/>
    <cellStyle name="20% - Accent3 2 2 2 10 3" xfId="18385"/>
    <cellStyle name="20% - Accent3 2 2 2 11" xfId="8973"/>
    <cellStyle name="20% - Accent3 2 2 2 11 2" xfId="23448"/>
    <cellStyle name="20% - Accent3 2 2 2 12" xfId="18384"/>
    <cellStyle name="20% - Accent3 2 2 2 2" xfId="1063"/>
    <cellStyle name="20% - Accent3 2 2 2 2 10" xfId="8974"/>
    <cellStyle name="20% - Accent3 2 2 2 2 10 2" xfId="23449"/>
    <cellStyle name="20% - Accent3 2 2 2 2 11" xfId="18386"/>
    <cellStyle name="20% - Accent3 2 2 2 2 2" xfId="1064"/>
    <cellStyle name="20% - Accent3 2 2 2 2 2 2" xfId="1065"/>
    <cellStyle name="20% - Accent3 2 2 2 2 2 2 2" xfId="10700"/>
    <cellStyle name="20% - Accent3 2 2 2 2 2 2 2 2" xfId="24642"/>
    <cellStyle name="20% - Accent3 2 2 2 2 2 2 3" xfId="18388"/>
    <cellStyle name="20% - Accent3 2 2 2 2 2 3" xfId="1066"/>
    <cellStyle name="20% - Accent3 2 2 2 2 2 3 2" xfId="12673"/>
    <cellStyle name="20% - Accent3 2 2 2 2 2 3 2 2" xfId="26385"/>
    <cellStyle name="20% - Accent3 2 2 2 2 2 3 3" xfId="18389"/>
    <cellStyle name="20% - Accent3 2 2 2 2 2 4" xfId="1067"/>
    <cellStyle name="20% - Accent3 2 2 2 2 2 4 2" xfId="14764"/>
    <cellStyle name="20% - Accent3 2 2 2 2 2 4 2 2" xfId="28313"/>
    <cellStyle name="20% - Accent3 2 2 2 2 2 4 3" xfId="18390"/>
    <cellStyle name="20% - Accent3 2 2 2 2 2 5" xfId="1068"/>
    <cellStyle name="20% - Accent3 2 2 2 2 2 5 2" xfId="16965"/>
    <cellStyle name="20% - Accent3 2 2 2 2 2 5 2 2" xfId="30372"/>
    <cellStyle name="20% - Accent3 2 2 2 2 2 5 3" xfId="18391"/>
    <cellStyle name="20% - Accent3 2 2 2 2 2 6" xfId="8975"/>
    <cellStyle name="20% - Accent3 2 2 2 2 2 6 2" xfId="23450"/>
    <cellStyle name="20% - Accent3 2 2 2 2 2 7" xfId="18387"/>
    <cellStyle name="20% - Accent3 2 2 2 2 3" xfId="1069"/>
    <cellStyle name="20% - Accent3 2 2 2 2 3 2" xfId="1070"/>
    <cellStyle name="20% - Accent3 2 2 2 2 3 2 2" xfId="14765"/>
    <cellStyle name="20% - Accent3 2 2 2 2 3 2 2 2" xfId="28314"/>
    <cellStyle name="20% - Accent3 2 2 2 2 3 2 3" xfId="18393"/>
    <cellStyle name="20% - Accent3 2 2 2 2 3 3" xfId="10699"/>
    <cellStyle name="20% - Accent3 2 2 2 2 3 3 2" xfId="24641"/>
    <cellStyle name="20% - Accent3 2 2 2 2 3 4" xfId="18392"/>
    <cellStyle name="20% - Accent3 2 2 2 2 4" xfId="1071"/>
    <cellStyle name="20% - Accent3 2 2 2 2 4 2" xfId="12353"/>
    <cellStyle name="20% - Accent3 2 2 2 2 4 2 2" xfId="26065"/>
    <cellStyle name="20% - Accent3 2 2 2 2 4 3" xfId="18394"/>
    <cellStyle name="20% - Accent3 2 2 2 2 5" xfId="1072"/>
    <cellStyle name="20% - Accent3 2 2 2 2 5 2" xfId="12441"/>
    <cellStyle name="20% - Accent3 2 2 2 2 5 2 2" xfId="26153"/>
    <cellStyle name="20% - Accent3 2 2 2 2 5 3" xfId="18395"/>
    <cellStyle name="20% - Accent3 2 2 2 2 6" xfId="1073"/>
    <cellStyle name="20% - Accent3 2 2 2 2 6 2" xfId="13917"/>
    <cellStyle name="20% - Accent3 2 2 2 2 6 2 2" xfId="27466"/>
    <cellStyle name="20% - Accent3 2 2 2 2 6 3" xfId="18396"/>
    <cellStyle name="20% - Accent3 2 2 2 2 7" xfId="1074"/>
    <cellStyle name="20% - Accent3 2 2 2 2 7 2" xfId="14498"/>
    <cellStyle name="20% - Accent3 2 2 2 2 7 2 2" xfId="28047"/>
    <cellStyle name="20% - Accent3 2 2 2 2 7 3" xfId="18397"/>
    <cellStyle name="20% - Accent3 2 2 2 2 8" xfId="1075"/>
    <cellStyle name="20% - Accent3 2 2 2 2 8 2" xfId="14763"/>
    <cellStyle name="20% - Accent3 2 2 2 2 8 2 2" xfId="28312"/>
    <cellStyle name="20% - Accent3 2 2 2 2 8 3" xfId="18398"/>
    <cellStyle name="20% - Accent3 2 2 2 2 9" xfId="1076"/>
    <cellStyle name="20% - Accent3 2 2 2 2 9 2" xfId="16384"/>
    <cellStyle name="20% - Accent3 2 2 2 2 9 2 2" xfId="29791"/>
    <cellStyle name="20% - Accent3 2 2 2 2 9 3" xfId="18399"/>
    <cellStyle name="20% - Accent3 2 2 2 3" xfId="1077"/>
    <cellStyle name="20% - Accent3 2 2 2 3 2" xfId="1078"/>
    <cellStyle name="20% - Accent3 2 2 2 3 2 2" xfId="10701"/>
    <cellStyle name="20% - Accent3 2 2 2 3 2 2 2" xfId="24643"/>
    <cellStyle name="20% - Accent3 2 2 2 3 2 3" xfId="18401"/>
    <cellStyle name="20% - Accent3 2 2 2 3 3" xfId="1079"/>
    <cellStyle name="20% - Accent3 2 2 2 3 3 2" xfId="12577"/>
    <cellStyle name="20% - Accent3 2 2 2 3 3 2 2" xfId="26289"/>
    <cellStyle name="20% - Accent3 2 2 2 3 3 3" xfId="18402"/>
    <cellStyle name="20% - Accent3 2 2 2 3 4" xfId="1080"/>
    <cellStyle name="20% - Accent3 2 2 2 3 4 2" xfId="14766"/>
    <cellStyle name="20% - Accent3 2 2 2 3 4 2 2" xfId="28315"/>
    <cellStyle name="20% - Accent3 2 2 2 3 4 3" xfId="18403"/>
    <cellStyle name="20% - Accent3 2 2 2 3 5" xfId="1081"/>
    <cellStyle name="20% - Accent3 2 2 2 3 5 2" xfId="16676"/>
    <cellStyle name="20% - Accent3 2 2 2 3 5 2 2" xfId="30083"/>
    <cellStyle name="20% - Accent3 2 2 2 3 5 3" xfId="18404"/>
    <cellStyle name="20% - Accent3 2 2 2 3 6" xfId="8976"/>
    <cellStyle name="20% - Accent3 2 2 2 3 6 2" xfId="23451"/>
    <cellStyle name="20% - Accent3 2 2 2 3 7" xfId="18400"/>
    <cellStyle name="20% - Accent3 2 2 2 4" xfId="1082"/>
    <cellStyle name="20% - Accent3 2 2 2 4 2" xfId="1083"/>
    <cellStyle name="20% - Accent3 2 2 2 4 2 2" xfId="14767"/>
    <cellStyle name="20% - Accent3 2 2 2 4 2 2 2" xfId="28316"/>
    <cellStyle name="20% - Accent3 2 2 2 4 2 3" xfId="18406"/>
    <cellStyle name="20% - Accent3 2 2 2 4 3" xfId="10698"/>
    <cellStyle name="20% - Accent3 2 2 2 4 3 2" xfId="24640"/>
    <cellStyle name="20% - Accent3 2 2 2 4 4" xfId="18405"/>
    <cellStyle name="20% - Accent3 2 2 2 5" xfId="1084"/>
    <cellStyle name="20% - Accent3 2 2 2 5 2" xfId="12053"/>
    <cellStyle name="20% - Accent3 2 2 2 5 2 2" xfId="25768"/>
    <cellStyle name="20% - Accent3 2 2 2 5 3" xfId="18407"/>
    <cellStyle name="20% - Accent3 2 2 2 6" xfId="1085"/>
    <cellStyle name="20% - Accent3 2 2 2 6 2" xfId="12420"/>
    <cellStyle name="20% - Accent3 2 2 2 6 2 2" xfId="26132"/>
    <cellStyle name="20% - Accent3 2 2 2 6 3" xfId="18408"/>
    <cellStyle name="20% - Accent3 2 2 2 7" xfId="1086"/>
    <cellStyle name="20% - Accent3 2 2 2 7 2" xfId="13628"/>
    <cellStyle name="20% - Accent3 2 2 2 7 2 2" xfId="27177"/>
    <cellStyle name="20% - Accent3 2 2 2 7 3" xfId="18409"/>
    <cellStyle name="20% - Accent3 2 2 2 8" xfId="1087"/>
    <cellStyle name="20% - Accent3 2 2 2 8 2" xfId="14209"/>
    <cellStyle name="20% - Accent3 2 2 2 8 2 2" xfId="27758"/>
    <cellStyle name="20% - Accent3 2 2 2 8 3" xfId="18410"/>
    <cellStyle name="20% - Accent3 2 2 2 9" xfId="1088"/>
    <cellStyle name="20% - Accent3 2 2 2 9 2" xfId="14762"/>
    <cellStyle name="20% - Accent3 2 2 2 9 2 2" xfId="28311"/>
    <cellStyle name="20% - Accent3 2 2 2 9 3" xfId="18411"/>
    <cellStyle name="20% - Accent3 2 2 3" xfId="1089"/>
    <cellStyle name="20% - Accent3 2 2 3 10" xfId="8977"/>
    <cellStyle name="20% - Accent3 2 2 3 10 2" xfId="23452"/>
    <cellStyle name="20% - Accent3 2 2 3 11" xfId="18412"/>
    <cellStyle name="20% - Accent3 2 2 3 2" xfId="1090"/>
    <cellStyle name="20% - Accent3 2 2 3 2 2" xfId="1091"/>
    <cellStyle name="20% - Accent3 2 2 3 2 2 2" xfId="10703"/>
    <cellStyle name="20% - Accent3 2 2 3 2 2 2 2" xfId="24645"/>
    <cellStyle name="20% - Accent3 2 2 3 2 2 3" xfId="18414"/>
    <cellStyle name="20% - Accent3 2 2 3 2 3" xfId="1092"/>
    <cellStyle name="20% - Accent3 2 2 3 2 3 2" xfId="12512"/>
    <cellStyle name="20% - Accent3 2 2 3 2 3 2 2" xfId="26224"/>
    <cellStyle name="20% - Accent3 2 2 3 2 3 3" xfId="18415"/>
    <cellStyle name="20% - Accent3 2 2 3 2 4" xfId="1093"/>
    <cellStyle name="20% - Accent3 2 2 3 2 4 2" xfId="14769"/>
    <cellStyle name="20% - Accent3 2 2 3 2 4 2 2" xfId="28318"/>
    <cellStyle name="20% - Accent3 2 2 3 2 4 3" xfId="18416"/>
    <cellStyle name="20% - Accent3 2 2 3 2 5" xfId="1094"/>
    <cellStyle name="20% - Accent3 2 2 3 2 5 2" xfId="16822"/>
    <cellStyle name="20% - Accent3 2 2 3 2 5 2 2" xfId="30229"/>
    <cellStyle name="20% - Accent3 2 2 3 2 5 3" xfId="18417"/>
    <cellStyle name="20% - Accent3 2 2 3 2 6" xfId="8978"/>
    <cellStyle name="20% - Accent3 2 2 3 2 6 2" xfId="23453"/>
    <cellStyle name="20% - Accent3 2 2 3 2 7" xfId="18413"/>
    <cellStyle name="20% - Accent3 2 2 3 3" xfId="1095"/>
    <cellStyle name="20% - Accent3 2 2 3 3 2" xfId="1096"/>
    <cellStyle name="20% - Accent3 2 2 3 3 2 2" xfId="14770"/>
    <cellStyle name="20% - Accent3 2 2 3 3 2 2 2" xfId="28319"/>
    <cellStyle name="20% - Accent3 2 2 3 3 2 3" xfId="18419"/>
    <cellStyle name="20% - Accent3 2 2 3 3 3" xfId="10702"/>
    <cellStyle name="20% - Accent3 2 2 3 3 3 2" xfId="24644"/>
    <cellStyle name="20% - Accent3 2 2 3 3 4" xfId="18418"/>
    <cellStyle name="20% - Accent3 2 2 3 4" xfId="1097"/>
    <cellStyle name="20% - Accent3 2 2 3 4 2" xfId="12210"/>
    <cellStyle name="20% - Accent3 2 2 3 4 2 2" xfId="25922"/>
    <cellStyle name="20% - Accent3 2 2 3 4 3" xfId="18420"/>
    <cellStyle name="20% - Accent3 2 2 3 5" xfId="1098"/>
    <cellStyle name="20% - Accent3 2 2 3 5 2" xfId="11871"/>
    <cellStyle name="20% - Accent3 2 2 3 5 2 2" xfId="25586"/>
    <cellStyle name="20% - Accent3 2 2 3 5 3" xfId="18421"/>
    <cellStyle name="20% - Accent3 2 2 3 6" xfId="1099"/>
    <cellStyle name="20% - Accent3 2 2 3 6 2" xfId="13774"/>
    <cellStyle name="20% - Accent3 2 2 3 6 2 2" xfId="27323"/>
    <cellStyle name="20% - Accent3 2 2 3 6 3" xfId="18422"/>
    <cellStyle name="20% - Accent3 2 2 3 7" xfId="1100"/>
    <cellStyle name="20% - Accent3 2 2 3 7 2" xfId="14355"/>
    <cellStyle name="20% - Accent3 2 2 3 7 2 2" xfId="27904"/>
    <cellStyle name="20% - Accent3 2 2 3 7 3" xfId="18423"/>
    <cellStyle name="20% - Accent3 2 2 3 8" xfId="1101"/>
    <cellStyle name="20% - Accent3 2 2 3 8 2" xfId="14768"/>
    <cellStyle name="20% - Accent3 2 2 3 8 2 2" xfId="28317"/>
    <cellStyle name="20% - Accent3 2 2 3 8 3" xfId="18424"/>
    <cellStyle name="20% - Accent3 2 2 3 9" xfId="1102"/>
    <cellStyle name="20% - Accent3 2 2 3 9 2" xfId="16241"/>
    <cellStyle name="20% - Accent3 2 2 3 9 2 2" xfId="29648"/>
    <cellStyle name="20% - Accent3 2 2 3 9 3" xfId="18425"/>
    <cellStyle name="20% - Accent3 2 2 4" xfId="1103"/>
    <cellStyle name="20% - Accent3 2 2 4 2" xfId="1104"/>
    <cellStyle name="20% - Accent3 2 2 4 2 2" xfId="10704"/>
    <cellStyle name="20% - Accent3 2 2 4 2 2 2" xfId="24646"/>
    <cellStyle name="20% - Accent3 2 2 4 2 3" xfId="18427"/>
    <cellStyle name="20% - Accent3 2 2 4 3" xfId="1105"/>
    <cellStyle name="20% - Accent3 2 2 4 3 2" xfId="12762"/>
    <cellStyle name="20% - Accent3 2 2 4 3 2 2" xfId="26474"/>
    <cellStyle name="20% - Accent3 2 2 4 3 3" xfId="18428"/>
    <cellStyle name="20% - Accent3 2 2 4 4" xfId="1106"/>
    <cellStyle name="20% - Accent3 2 2 4 4 2" xfId="14771"/>
    <cellStyle name="20% - Accent3 2 2 4 4 2 2" xfId="28320"/>
    <cellStyle name="20% - Accent3 2 2 4 4 3" xfId="18429"/>
    <cellStyle name="20% - Accent3 2 2 4 5" xfId="1107"/>
    <cellStyle name="20% - Accent3 2 2 4 5 2" xfId="17169"/>
    <cellStyle name="20% - Accent3 2 2 4 5 2 2" xfId="30528"/>
    <cellStyle name="20% - Accent3 2 2 4 5 3" xfId="18430"/>
    <cellStyle name="20% - Accent3 2 2 4 6" xfId="8979"/>
    <cellStyle name="20% - Accent3 2 2 4 6 2" xfId="23454"/>
    <cellStyle name="20% - Accent3 2 2 4 7" xfId="18426"/>
    <cellStyle name="20% - Accent3 2 2 5" xfId="1108"/>
    <cellStyle name="20% - Accent3 2 2 5 2" xfId="1109"/>
    <cellStyle name="20% - Accent3 2 2 5 2 2" xfId="14772"/>
    <cellStyle name="20% - Accent3 2 2 5 2 2 2" xfId="28321"/>
    <cellStyle name="20% - Accent3 2 2 5 2 3" xfId="18432"/>
    <cellStyle name="20% - Accent3 2 2 5 3" xfId="1110"/>
    <cellStyle name="20% - Accent3 2 2 5 3 2" xfId="17258"/>
    <cellStyle name="20% - Accent3 2 2 5 3 2 2" xfId="30617"/>
    <cellStyle name="20% - Accent3 2 2 5 3 3" xfId="18433"/>
    <cellStyle name="20% - Accent3 2 2 5 4" xfId="10697"/>
    <cellStyle name="20% - Accent3 2 2 5 4 2" xfId="24639"/>
    <cellStyle name="20% - Accent3 2 2 5 5" xfId="18431"/>
    <cellStyle name="20% - Accent3 2 2 6" xfId="1111"/>
    <cellStyle name="20% - Accent3 2 2 6 2" xfId="1112"/>
    <cellStyle name="20% - Accent3 2 2 6 2 2" xfId="16533"/>
    <cellStyle name="20% - Accent3 2 2 6 2 2 2" xfId="29940"/>
    <cellStyle name="20% - Accent3 2 2 6 2 3" xfId="18435"/>
    <cellStyle name="20% - Accent3 2 2 6 3" xfId="11908"/>
    <cellStyle name="20% - Accent3 2 2 6 3 2" xfId="25623"/>
    <cellStyle name="20% - Accent3 2 2 6 4" xfId="18434"/>
    <cellStyle name="20% - Accent3 2 2 7" xfId="1113"/>
    <cellStyle name="20% - Accent3 2 2 7 2" xfId="12646"/>
    <cellStyle name="20% - Accent3 2 2 7 2 2" xfId="26358"/>
    <cellStyle name="20% - Accent3 2 2 7 3" xfId="18436"/>
    <cellStyle name="20% - Accent3 2 2 8" xfId="1114"/>
    <cellStyle name="20% - Accent3 2 2 8 2" xfId="13485"/>
    <cellStyle name="20% - Accent3 2 2 8 2 2" xfId="27034"/>
    <cellStyle name="20% - Accent3 2 2 8 3" xfId="18437"/>
    <cellStyle name="20% - Accent3 2 2 9" xfId="1115"/>
    <cellStyle name="20% - Accent3 2 2 9 2" xfId="14066"/>
    <cellStyle name="20% - Accent3 2 2 9 2 2" xfId="27615"/>
    <cellStyle name="20% - Accent3 2 2 9 3" xfId="18438"/>
    <cellStyle name="20% - Accent3 2 3" xfId="1116"/>
    <cellStyle name="20% - Accent3 2 3 10" xfId="1117"/>
    <cellStyle name="20% - Accent3 2 3 10 2" xfId="16049"/>
    <cellStyle name="20% - Accent3 2 3 10 2 2" xfId="29456"/>
    <cellStyle name="20% - Accent3 2 3 10 3" xfId="18440"/>
    <cellStyle name="20% - Accent3 2 3 11" xfId="8980"/>
    <cellStyle name="20% - Accent3 2 3 11 2" xfId="23455"/>
    <cellStyle name="20% - Accent3 2 3 12" xfId="18439"/>
    <cellStyle name="20% - Accent3 2 3 2" xfId="1118"/>
    <cellStyle name="20% - Accent3 2 3 2 10" xfId="8981"/>
    <cellStyle name="20% - Accent3 2 3 2 10 2" xfId="23456"/>
    <cellStyle name="20% - Accent3 2 3 2 11" xfId="18441"/>
    <cellStyle name="20% - Accent3 2 3 2 2" xfId="1119"/>
    <cellStyle name="20% - Accent3 2 3 2 2 2" xfId="1120"/>
    <cellStyle name="20% - Accent3 2 3 2 2 2 2" xfId="10707"/>
    <cellStyle name="20% - Accent3 2 3 2 2 2 2 2" xfId="24649"/>
    <cellStyle name="20% - Accent3 2 3 2 2 2 3" xfId="18443"/>
    <cellStyle name="20% - Accent3 2 3 2 2 3" xfId="1121"/>
    <cellStyle name="20% - Accent3 2 3 2 2 3 2" xfId="12671"/>
    <cellStyle name="20% - Accent3 2 3 2 2 3 2 2" xfId="26383"/>
    <cellStyle name="20% - Accent3 2 3 2 2 3 3" xfId="18444"/>
    <cellStyle name="20% - Accent3 2 3 2 2 4" xfId="1122"/>
    <cellStyle name="20% - Accent3 2 3 2 2 4 2" xfId="14775"/>
    <cellStyle name="20% - Accent3 2 3 2 2 4 2 2" xfId="28324"/>
    <cellStyle name="20% - Accent3 2 3 2 2 4 3" xfId="18445"/>
    <cellStyle name="20% - Accent3 2 3 2 2 5" xfId="1123"/>
    <cellStyle name="20% - Accent3 2 3 2 2 5 2" xfId="16919"/>
    <cellStyle name="20% - Accent3 2 3 2 2 5 2 2" xfId="30326"/>
    <cellStyle name="20% - Accent3 2 3 2 2 5 3" xfId="18446"/>
    <cellStyle name="20% - Accent3 2 3 2 2 6" xfId="8982"/>
    <cellStyle name="20% - Accent3 2 3 2 2 6 2" xfId="23457"/>
    <cellStyle name="20% - Accent3 2 3 2 2 7" xfId="18442"/>
    <cellStyle name="20% - Accent3 2 3 2 3" xfId="1124"/>
    <cellStyle name="20% - Accent3 2 3 2 3 2" xfId="1125"/>
    <cellStyle name="20% - Accent3 2 3 2 3 2 2" xfId="14776"/>
    <cellStyle name="20% - Accent3 2 3 2 3 2 2 2" xfId="28325"/>
    <cellStyle name="20% - Accent3 2 3 2 3 2 3" xfId="18448"/>
    <cellStyle name="20% - Accent3 2 3 2 3 3" xfId="10706"/>
    <cellStyle name="20% - Accent3 2 3 2 3 3 2" xfId="24648"/>
    <cellStyle name="20% - Accent3 2 3 2 3 4" xfId="18447"/>
    <cellStyle name="20% - Accent3 2 3 2 4" xfId="1126"/>
    <cellStyle name="20% - Accent3 2 3 2 4 2" xfId="12307"/>
    <cellStyle name="20% - Accent3 2 3 2 4 2 2" xfId="26019"/>
    <cellStyle name="20% - Accent3 2 3 2 4 3" xfId="18449"/>
    <cellStyle name="20% - Accent3 2 3 2 5" xfId="1127"/>
    <cellStyle name="20% - Accent3 2 3 2 5 2" xfId="12449"/>
    <cellStyle name="20% - Accent3 2 3 2 5 2 2" xfId="26161"/>
    <cellStyle name="20% - Accent3 2 3 2 5 3" xfId="18450"/>
    <cellStyle name="20% - Accent3 2 3 2 6" xfId="1128"/>
    <cellStyle name="20% - Accent3 2 3 2 6 2" xfId="13871"/>
    <cellStyle name="20% - Accent3 2 3 2 6 2 2" xfId="27420"/>
    <cellStyle name="20% - Accent3 2 3 2 6 3" xfId="18451"/>
    <cellStyle name="20% - Accent3 2 3 2 7" xfId="1129"/>
    <cellStyle name="20% - Accent3 2 3 2 7 2" xfId="14452"/>
    <cellStyle name="20% - Accent3 2 3 2 7 2 2" xfId="28001"/>
    <cellStyle name="20% - Accent3 2 3 2 7 3" xfId="18452"/>
    <cellStyle name="20% - Accent3 2 3 2 8" xfId="1130"/>
    <cellStyle name="20% - Accent3 2 3 2 8 2" xfId="14774"/>
    <cellStyle name="20% - Accent3 2 3 2 8 2 2" xfId="28323"/>
    <cellStyle name="20% - Accent3 2 3 2 8 3" xfId="18453"/>
    <cellStyle name="20% - Accent3 2 3 2 9" xfId="1131"/>
    <cellStyle name="20% - Accent3 2 3 2 9 2" xfId="16338"/>
    <cellStyle name="20% - Accent3 2 3 2 9 2 2" xfId="29745"/>
    <cellStyle name="20% - Accent3 2 3 2 9 3" xfId="18454"/>
    <cellStyle name="20% - Accent3 2 3 3" xfId="1132"/>
    <cellStyle name="20% - Accent3 2 3 3 2" xfId="1133"/>
    <cellStyle name="20% - Accent3 2 3 3 2 2" xfId="10708"/>
    <cellStyle name="20% - Accent3 2 3 3 2 2 2" xfId="24650"/>
    <cellStyle name="20% - Accent3 2 3 3 2 3" xfId="18456"/>
    <cellStyle name="20% - Accent3 2 3 3 3" xfId="1134"/>
    <cellStyle name="20% - Accent3 2 3 3 3 2" xfId="12672"/>
    <cellStyle name="20% - Accent3 2 3 3 3 2 2" xfId="26384"/>
    <cellStyle name="20% - Accent3 2 3 3 3 3" xfId="18457"/>
    <cellStyle name="20% - Accent3 2 3 3 4" xfId="1135"/>
    <cellStyle name="20% - Accent3 2 3 3 4 2" xfId="14777"/>
    <cellStyle name="20% - Accent3 2 3 3 4 2 2" xfId="28326"/>
    <cellStyle name="20% - Accent3 2 3 3 4 3" xfId="18458"/>
    <cellStyle name="20% - Accent3 2 3 3 5" xfId="1136"/>
    <cellStyle name="20% - Accent3 2 3 3 5 2" xfId="16630"/>
    <cellStyle name="20% - Accent3 2 3 3 5 2 2" xfId="30037"/>
    <cellStyle name="20% - Accent3 2 3 3 5 3" xfId="18459"/>
    <cellStyle name="20% - Accent3 2 3 3 6" xfId="8983"/>
    <cellStyle name="20% - Accent3 2 3 3 6 2" xfId="23458"/>
    <cellStyle name="20% - Accent3 2 3 3 7" xfId="18455"/>
    <cellStyle name="20% - Accent3 2 3 4" xfId="1137"/>
    <cellStyle name="20% - Accent3 2 3 4 2" xfId="1138"/>
    <cellStyle name="20% - Accent3 2 3 4 2 2" xfId="14778"/>
    <cellStyle name="20% - Accent3 2 3 4 2 2 2" xfId="28327"/>
    <cellStyle name="20% - Accent3 2 3 4 2 3" xfId="18461"/>
    <cellStyle name="20% - Accent3 2 3 4 3" xfId="10705"/>
    <cellStyle name="20% - Accent3 2 3 4 3 2" xfId="24647"/>
    <cellStyle name="20% - Accent3 2 3 4 4" xfId="18460"/>
    <cellStyle name="20% - Accent3 2 3 5" xfId="1139"/>
    <cellStyle name="20% - Accent3 2 3 5 2" xfId="12007"/>
    <cellStyle name="20% - Accent3 2 3 5 2 2" xfId="25722"/>
    <cellStyle name="20% - Accent3 2 3 5 3" xfId="18462"/>
    <cellStyle name="20% - Accent3 2 3 6" xfId="1140"/>
    <cellStyle name="20% - Accent3 2 3 6 2" xfId="12787"/>
    <cellStyle name="20% - Accent3 2 3 6 2 2" xfId="26499"/>
    <cellStyle name="20% - Accent3 2 3 6 3" xfId="18463"/>
    <cellStyle name="20% - Accent3 2 3 7" xfId="1141"/>
    <cellStyle name="20% - Accent3 2 3 7 2" xfId="13582"/>
    <cellStyle name="20% - Accent3 2 3 7 2 2" xfId="27131"/>
    <cellStyle name="20% - Accent3 2 3 7 3" xfId="18464"/>
    <cellStyle name="20% - Accent3 2 3 8" xfId="1142"/>
    <cellStyle name="20% - Accent3 2 3 8 2" xfId="14163"/>
    <cellStyle name="20% - Accent3 2 3 8 2 2" xfId="27712"/>
    <cellStyle name="20% - Accent3 2 3 8 3" xfId="18465"/>
    <cellStyle name="20% - Accent3 2 3 9" xfId="1143"/>
    <cellStyle name="20% - Accent3 2 3 9 2" xfId="14773"/>
    <cellStyle name="20% - Accent3 2 3 9 2 2" xfId="28322"/>
    <cellStyle name="20% - Accent3 2 3 9 3" xfId="18466"/>
    <cellStyle name="20% - Accent3 2 4" xfId="1144"/>
    <cellStyle name="20% - Accent3 2 4 10" xfId="8984"/>
    <cellStyle name="20% - Accent3 2 4 10 2" xfId="23459"/>
    <cellStyle name="20% - Accent3 2 4 11" xfId="18467"/>
    <cellStyle name="20% - Accent3 2 4 2" xfId="1145"/>
    <cellStyle name="20% - Accent3 2 4 2 2" xfId="1146"/>
    <cellStyle name="20% - Accent3 2 4 2 2 2" xfId="10710"/>
    <cellStyle name="20% - Accent3 2 4 2 2 2 2" xfId="24652"/>
    <cellStyle name="20% - Accent3 2 4 2 2 3" xfId="18469"/>
    <cellStyle name="20% - Accent3 2 4 2 3" xfId="1147"/>
    <cellStyle name="20% - Accent3 2 4 2 3 2" xfId="12808"/>
    <cellStyle name="20% - Accent3 2 4 2 3 2 2" xfId="26520"/>
    <cellStyle name="20% - Accent3 2 4 2 3 3" xfId="18470"/>
    <cellStyle name="20% - Accent3 2 4 2 4" xfId="1148"/>
    <cellStyle name="20% - Accent3 2 4 2 4 2" xfId="14780"/>
    <cellStyle name="20% - Accent3 2 4 2 4 2 2" xfId="28329"/>
    <cellStyle name="20% - Accent3 2 4 2 4 3" xfId="18471"/>
    <cellStyle name="20% - Accent3 2 4 2 5" xfId="1149"/>
    <cellStyle name="20% - Accent3 2 4 2 5 2" xfId="16776"/>
    <cellStyle name="20% - Accent3 2 4 2 5 2 2" xfId="30183"/>
    <cellStyle name="20% - Accent3 2 4 2 5 3" xfId="18472"/>
    <cellStyle name="20% - Accent3 2 4 2 6" xfId="8985"/>
    <cellStyle name="20% - Accent3 2 4 2 6 2" xfId="23460"/>
    <cellStyle name="20% - Accent3 2 4 2 7" xfId="18468"/>
    <cellStyle name="20% - Accent3 2 4 3" xfId="1150"/>
    <cellStyle name="20% - Accent3 2 4 3 2" xfId="1151"/>
    <cellStyle name="20% - Accent3 2 4 3 2 2" xfId="14781"/>
    <cellStyle name="20% - Accent3 2 4 3 2 2 2" xfId="28330"/>
    <cellStyle name="20% - Accent3 2 4 3 2 3" xfId="18474"/>
    <cellStyle name="20% - Accent3 2 4 3 3" xfId="10709"/>
    <cellStyle name="20% - Accent3 2 4 3 3 2" xfId="24651"/>
    <cellStyle name="20% - Accent3 2 4 3 4" xfId="18473"/>
    <cellStyle name="20% - Accent3 2 4 4" xfId="1152"/>
    <cellStyle name="20% - Accent3 2 4 4 2" xfId="12164"/>
    <cellStyle name="20% - Accent3 2 4 4 2 2" xfId="25876"/>
    <cellStyle name="20% - Accent3 2 4 4 3" xfId="18475"/>
    <cellStyle name="20% - Accent3 2 4 5" xfId="1153"/>
    <cellStyle name="20% - Accent3 2 4 5 2" xfId="12493"/>
    <cellStyle name="20% - Accent3 2 4 5 2 2" xfId="26205"/>
    <cellStyle name="20% - Accent3 2 4 5 3" xfId="18476"/>
    <cellStyle name="20% - Accent3 2 4 6" xfId="1154"/>
    <cellStyle name="20% - Accent3 2 4 6 2" xfId="13728"/>
    <cellStyle name="20% - Accent3 2 4 6 2 2" xfId="27277"/>
    <cellStyle name="20% - Accent3 2 4 6 3" xfId="18477"/>
    <cellStyle name="20% - Accent3 2 4 7" xfId="1155"/>
    <cellStyle name="20% - Accent3 2 4 7 2" xfId="14309"/>
    <cellStyle name="20% - Accent3 2 4 7 2 2" xfId="27858"/>
    <cellStyle name="20% - Accent3 2 4 7 3" xfId="18478"/>
    <cellStyle name="20% - Accent3 2 4 8" xfId="1156"/>
    <cellStyle name="20% - Accent3 2 4 8 2" xfId="14779"/>
    <cellStyle name="20% - Accent3 2 4 8 2 2" xfId="28328"/>
    <cellStyle name="20% - Accent3 2 4 8 3" xfId="18479"/>
    <cellStyle name="20% - Accent3 2 4 9" xfId="1157"/>
    <cellStyle name="20% - Accent3 2 4 9 2" xfId="16195"/>
    <cellStyle name="20% - Accent3 2 4 9 2 2" xfId="29602"/>
    <cellStyle name="20% - Accent3 2 4 9 3" xfId="18480"/>
    <cellStyle name="20% - Accent3 2 5" xfId="1158"/>
    <cellStyle name="20% - Accent3 2 5 2" xfId="1159"/>
    <cellStyle name="20% - Accent3 2 5 2 2" xfId="1160"/>
    <cellStyle name="20% - Accent3 2 5 2 2 2" xfId="10712"/>
    <cellStyle name="20% - Accent3 2 5 2 2 2 2" xfId="24654"/>
    <cellStyle name="20% - Accent3 2 5 2 2 3" xfId="18483"/>
    <cellStyle name="20% - Accent3 2 5 2 3" xfId="1161"/>
    <cellStyle name="20% - Accent3 2 5 2 3 2" xfId="12621"/>
    <cellStyle name="20% - Accent3 2 5 2 3 2 2" xfId="26333"/>
    <cellStyle name="20% - Accent3 2 5 2 3 3" xfId="18484"/>
    <cellStyle name="20% - Accent3 2 5 2 4" xfId="1162"/>
    <cellStyle name="20% - Accent3 2 5 2 4 2" xfId="14783"/>
    <cellStyle name="20% - Accent3 2 5 2 4 2 2" xfId="28332"/>
    <cellStyle name="20% - Accent3 2 5 2 4 3" xfId="18485"/>
    <cellStyle name="20% - Accent3 2 5 2 5" xfId="8987"/>
    <cellStyle name="20% - Accent3 2 5 2 5 2" xfId="23462"/>
    <cellStyle name="20% - Accent3 2 5 2 6" xfId="18482"/>
    <cellStyle name="20% - Accent3 2 5 3" xfId="1163"/>
    <cellStyle name="20% - Accent3 2 5 3 2" xfId="10711"/>
    <cellStyle name="20% - Accent3 2 5 3 2 2" xfId="24653"/>
    <cellStyle name="20% - Accent3 2 5 3 3" xfId="18486"/>
    <cellStyle name="20% - Accent3 2 5 4" xfId="1164"/>
    <cellStyle name="20% - Accent3 2 5 4 2" xfId="12624"/>
    <cellStyle name="20% - Accent3 2 5 4 2 2" xfId="26336"/>
    <cellStyle name="20% - Accent3 2 5 4 3" xfId="18487"/>
    <cellStyle name="20% - Accent3 2 5 5" xfId="1165"/>
    <cellStyle name="20% - Accent3 2 5 5 2" xfId="14782"/>
    <cellStyle name="20% - Accent3 2 5 5 2 2" xfId="28331"/>
    <cellStyle name="20% - Accent3 2 5 5 3" xfId="18488"/>
    <cellStyle name="20% - Accent3 2 5 6" xfId="1166"/>
    <cellStyle name="20% - Accent3 2 5 6 2" xfId="17009"/>
    <cellStyle name="20% - Accent3 2 5 6 2 2" xfId="30416"/>
    <cellStyle name="20% - Accent3 2 5 6 3" xfId="18489"/>
    <cellStyle name="20% - Accent3 2 5 7" xfId="8986"/>
    <cellStyle name="20% - Accent3 2 5 7 2" xfId="23461"/>
    <cellStyle name="20% - Accent3 2 5 8" xfId="18481"/>
    <cellStyle name="20% - Accent3 2 6" xfId="1167"/>
    <cellStyle name="20% - Accent3 2 6 2" xfId="1168"/>
    <cellStyle name="20% - Accent3 2 6 2 2" xfId="10713"/>
    <cellStyle name="20% - Accent3 2 6 2 2 2" xfId="24655"/>
    <cellStyle name="20% - Accent3 2 6 2 3" xfId="18491"/>
    <cellStyle name="20% - Accent3 2 6 3" xfId="1169"/>
    <cellStyle name="20% - Accent3 2 6 3 2" xfId="12640"/>
    <cellStyle name="20% - Accent3 2 6 3 2 2" xfId="26352"/>
    <cellStyle name="20% - Accent3 2 6 3 3" xfId="18492"/>
    <cellStyle name="20% - Accent3 2 6 4" xfId="1170"/>
    <cellStyle name="20% - Accent3 2 6 4 2" xfId="14784"/>
    <cellStyle name="20% - Accent3 2 6 4 2 2" xfId="28333"/>
    <cellStyle name="20% - Accent3 2 6 4 3" xfId="18493"/>
    <cellStyle name="20% - Accent3 2 6 5" xfId="1171"/>
    <cellStyle name="20% - Accent3 2 6 5 2" xfId="17123"/>
    <cellStyle name="20% - Accent3 2 6 5 2 2" xfId="30482"/>
    <cellStyle name="20% - Accent3 2 6 5 3" xfId="18494"/>
    <cellStyle name="20% - Accent3 2 6 6" xfId="8988"/>
    <cellStyle name="20% - Accent3 2 6 6 2" xfId="23463"/>
    <cellStyle name="20% - Accent3 2 6 7" xfId="18490"/>
    <cellStyle name="20% - Accent3 2 7" xfId="1172"/>
    <cellStyle name="20% - Accent3 2 7 2" xfId="1173"/>
    <cellStyle name="20% - Accent3 2 7 2 2" xfId="10714"/>
    <cellStyle name="20% - Accent3 2 7 2 2 2" xfId="24656"/>
    <cellStyle name="20% - Accent3 2 7 2 3" xfId="18496"/>
    <cellStyle name="20% - Accent3 2 7 3" xfId="1174"/>
    <cellStyle name="20% - Accent3 2 7 3 2" xfId="12805"/>
    <cellStyle name="20% - Accent3 2 7 3 2 2" xfId="26517"/>
    <cellStyle name="20% - Accent3 2 7 3 3" xfId="18497"/>
    <cellStyle name="20% - Accent3 2 7 4" xfId="1175"/>
    <cellStyle name="20% - Accent3 2 7 4 2" xfId="14785"/>
    <cellStyle name="20% - Accent3 2 7 4 2 2" xfId="28334"/>
    <cellStyle name="20% - Accent3 2 7 4 3" xfId="18498"/>
    <cellStyle name="20% - Accent3 2 7 5" xfId="1176"/>
    <cellStyle name="20% - Accent3 2 7 5 2" xfId="17212"/>
    <cellStyle name="20% - Accent3 2 7 5 2 2" xfId="30571"/>
    <cellStyle name="20% - Accent3 2 7 5 3" xfId="18499"/>
    <cellStyle name="20% - Accent3 2 7 6" xfId="8989"/>
    <cellStyle name="20% - Accent3 2 7 6 2" xfId="23464"/>
    <cellStyle name="20% - Accent3 2 7 7" xfId="18495"/>
    <cellStyle name="20% - Accent3 2 8" xfId="1177"/>
    <cellStyle name="20% - Accent3 2 8 2" xfId="1178"/>
    <cellStyle name="20% - Accent3 2 8 2 2" xfId="12405"/>
    <cellStyle name="20% - Accent3 2 8 2 2 2" xfId="26117"/>
    <cellStyle name="20% - Accent3 2 8 2 3" xfId="18501"/>
    <cellStyle name="20% - Accent3 2 8 3" xfId="1179"/>
    <cellStyle name="20% - Accent3 2 8 3 2" xfId="14786"/>
    <cellStyle name="20% - Accent3 2 8 3 2 2" xfId="28335"/>
    <cellStyle name="20% - Accent3 2 8 3 3" xfId="18502"/>
    <cellStyle name="20% - Accent3 2 8 4" xfId="1180"/>
    <cellStyle name="20% - Accent3 2 8 4 2" xfId="16487"/>
    <cellStyle name="20% - Accent3 2 8 4 2 2" xfId="29894"/>
    <cellStyle name="20% - Accent3 2 8 4 3" xfId="18503"/>
    <cellStyle name="20% - Accent3 2 8 5" xfId="10530"/>
    <cellStyle name="20% - Accent3 2 8 5 2" xfId="24472"/>
    <cellStyle name="20% - Accent3 2 8 6" xfId="18500"/>
    <cellStyle name="20% - Accent3 2 9" xfId="1181"/>
    <cellStyle name="20% - Accent3 2 9 2" xfId="1182"/>
    <cellStyle name="20% - Accent3 2 9 2 2" xfId="12700"/>
    <cellStyle name="20% - Accent3 2 9 2 2 2" xfId="26412"/>
    <cellStyle name="20% - Accent3 2 9 2 3" xfId="18505"/>
    <cellStyle name="20% - Accent3 2 9 3" xfId="1183"/>
    <cellStyle name="20% - Accent3 2 9 3 2" xfId="14787"/>
    <cellStyle name="20% - Accent3 2 9 3 2 2" xfId="28336"/>
    <cellStyle name="20% - Accent3 2 9 3 3" xfId="18506"/>
    <cellStyle name="20% - Accent3 2 9 4" xfId="10696"/>
    <cellStyle name="20% - Accent3 2 9 4 2" xfId="24638"/>
    <cellStyle name="20% - Accent3 2 9 5" xfId="18504"/>
    <cellStyle name="20% - Accent3 20" xfId="1184"/>
    <cellStyle name="20% - Accent3 20 2" xfId="1185"/>
    <cellStyle name="20% - Accent3 20 2 2" xfId="12415"/>
    <cellStyle name="20% - Accent3 20 2 2 2" xfId="26127"/>
    <cellStyle name="20% - Accent3 20 2 3" xfId="18508"/>
    <cellStyle name="20% - Accent3 20 3" xfId="1186"/>
    <cellStyle name="20% - Accent3 20 3 2" xfId="14788"/>
    <cellStyle name="20% - Accent3 20 3 2 2" xfId="28337"/>
    <cellStyle name="20% - Accent3 20 3 3" xfId="18509"/>
    <cellStyle name="20% - Accent3 20 4" xfId="10505"/>
    <cellStyle name="20% - Accent3 20 4 2" xfId="24453"/>
    <cellStyle name="20% - Accent3 20 5" xfId="18507"/>
    <cellStyle name="20% - Accent3 21" xfId="1187"/>
    <cellStyle name="20% - Accent3 21 2" xfId="1188"/>
    <cellStyle name="20% - Accent3 21 2 2" xfId="12643"/>
    <cellStyle name="20% - Accent3 21 2 2 2" xfId="26355"/>
    <cellStyle name="20% - Accent3 21 2 3" xfId="18511"/>
    <cellStyle name="20% - Accent3 21 3" xfId="1189"/>
    <cellStyle name="20% - Accent3 21 3 2" xfId="14789"/>
    <cellStyle name="20% - Accent3 21 3 2 2" xfId="28338"/>
    <cellStyle name="20% - Accent3 21 3 3" xfId="18512"/>
    <cellStyle name="20% - Accent3 21 4" xfId="10685"/>
    <cellStyle name="20% - Accent3 21 4 2" xfId="24627"/>
    <cellStyle name="20% - Accent3 21 5" xfId="18510"/>
    <cellStyle name="20% - Accent3 22" xfId="1190"/>
    <cellStyle name="20% - Accent3 22 2" xfId="11741"/>
    <cellStyle name="20% - Accent3 22 2 2" xfId="25456"/>
    <cellStyle name="20% - Accent3 22 3" xfId="18513"/>
    <cellStyle name="20% - Accent3 23" xfId="1191"/>
    <cellStyle name="20% - Accent3 23 2" xfId="12800"/>
    <cellStyle name="20% - Accent3 23 2 2" xfId="26512"/>
    <cellStyle name="20% - Accent3 23 3" xfId="18514"/>
    <cellStyle name="20% - Accent3 24" xfId="1192"/>
    <cellStyle name="20% - Accent3 24 2" xfId="13380"/>
    <cellStyle name="20% - Accent3 24 2 2" xfId="26929"/>
    <cellStyle name="20% - Accent3 24 3" xfId="18515"/>
    <cellStyle name="20% - Accent3 25" xfId="1193"/>
    <cellStyle name="20% - Accent3 25 2" xfId="13961"/>
    <cellStyle name="20% - Accent3 25 2 2" xfId="27510"/>
    <cellStyle name="20% - Accent3 25 3" xfId="18516"/>
    <cellStyle name="20% - Accent3 26" xfId="1194"/>
    <cellStyle name="20% - Accent3 26 2" xfId="14746"/>
    <cellStyle name="20% - Accent3 26 2 2" xfId="28295"/>
    <cellStyle name="20% - Accent3 26 3" xfId="18517"/>
    <cellStyle name="20% - Accent3 27" xfId="1195"/>
    <cellStyle name="20% - Accent3 27 2" xfId="15838"/>
    <cellStyle name="20% - Accent3 27 2 2" xfId="29245"/>
    <cellStyle name="20% - Accent3 27 3" xfId="18518"/>
    <cellStyle name="20% - Accent3 28" xfId="1196"/>
    <cellStyle name="20% - Accent3 28 2" xfId="15847"/>
    <cellStyle name="20% - Accent3 28 2 2" xfId="29254"/>
    <cellStyle name="20% - Accent3 28 3" xfId="18519"/>
    <cellStyle name="20% - Accent3 29" xfId="1197"/>
    <cellStyle name="20% - Accent3 29 2" xfId="8960"/>
    <cellStyle name="20% - Accent3 29 2 2" xfId="23435"/>
    <cellStyle name="20% - Accent3 29 3" xfId="18520"/>
    <cellStyle name="20% - Accent3 3" xfId="1198"/>
    <cellStyle name="20% - Accent3 3 10" xfId="1199"/>
    <cellStyle name="20% - Accent3 3 10 2" xfId="14043"/>
    <cellStyle name="20% - Accent3 3 10 2 2" xfId="27592"/>
    <cellStyle name="20% - Accent3 3 10 3" xfId="18522"/>
    <cellStyle name="20% - Accent3 3 11" xfId="1200"/>
    <cellStyle name="20% - Accent3 3 11 2" xfId="14790"/>
    <cellStyle name="20% - Accent3 3 11 2 2" xfId="28339"/>
    <cellStyle name="20% - Accent3 3 11 3" xfId="18523"/>
    <cellStyle name="20% - Accent3 3 12" xfId="1201"/>
    <cellStyle name="20% - Accent3 3 12 2" xfId="15929"/>
    <cellStyle name="20% - Accent3 3 12 2 2" xfId="29336"/>
    <cellStyle name="20% - Accent3 3 12 3" xfId="18524"/>
    <cellStyle name="20% - Accent3 3 13" xfId="8990"/>
    <cellStyle name="20% - Accent3 3 13 2" xfId="23465"/>
    <cellStyle name="20% - Accent3 3 14" xfId="18521"/>
    <cellStyle name="20% - Accent3 3 2" xfId="1202"/>
    <cellStyle name="20% - Accent3 3 2 10" xfId="1203"/>
    <cellStyle name="20% - Accent3 3 2 10 2" xfId="16072"/>
    <cellStyle name="20% - Accent3 3 2 10 2 2" xfId="29479"/>
    <cellStyle name="20% - Accent3 3 2 10 3" xfId="18526"/>
    <cellStyle name="20% - Accent3 3 2 11" xfId="8991"/>
    <cellStyle name="20% - Accent3 3 2 11 2" xfId="23466"/>
    <cellStyle name="20% - Accent3 3 2 12" xfId="18525"/>
    <cellStyle name="20% - Accent3 3 2 2" xfId="1204"/>
    <cellStyle name="20% - Accent3 3 2 2 10" xfId="8992"/>
    <cellStyle name="20% - Accent3 3 2 2 10 2" xfId="23467"/>
    <cellStyle name="20% - Accent3 3 2 2 11" xfId="18527"/>
    <cellStyle name="20% - Accent3 3 2 2 2" xfId="1205"/>
    <cellStyle name="20% - Accent3 3 2 2 2 2" xfId="1206"/>
    <cellStyle name="20% - Accent3 3 2 2 2 2 2" xfId="10718"/>
    <cellStyle name="20% - Accent3 3 2 2 2 2 2 2" xfId="24660"/>
    <cellStyle name="20% - Accent3 3 2 2 2 2 3" xfId="18529"/>
    <cellStyle name="20% - Accent3 3 2 2 2 3" xfId="1207"/>
    <cellStyle name="20% - Accent3 3 2 2 2 3 2" xfId="12527"/>
    <cellStyle name="20% - Accent3 3 2 2 2 3 2 2" xfId="26239"/>
    <cellStyle name="20% - Accent3 3 2 2 2 3 3" xfId="18530"/>
    <cellStyle name="20% - Accent3 3 2 2 2 4" xfId="1208"/>
    <cellStyle name="20% - Accent3 3 2 2 2 4 2" xfId="14793"/>
    <cellStyle name="20% - Accent3 3 2 2 2 4 2 2" xfId="28342"/>
    <cellStyle name="20% - Accent3 3 2 2 2 4 3" xfId="18531"/>
    <cellStyle name="20% - Accent3 3 2 2 2 5" xfId="1209"/>
    <cellStyle name="20% - Accent3 3 2 2 2 5 2" xfId="16942"/>
    <cellStyle name="20% - Accent3 3 2 2 2 5 2 2" xfId="30349"/>
    <cellStyle name="20% - Accent3 3 2 2 2 5 3" xfId="18532"/>
    <cellStyle name="20% - Accent3 3 2 2 2 6" xfId="8993"/>
    <cellStyle name="20% - Accent3 3 2 2 2 6 2" xfId="23468"/>
    <cellStyle name="20% - Accent3 3 2 2 2 7" xfId="18528"/>
    <cellStyle name="20% - Accent3 3 2 2 3" xfId="1210"/>
    <cellStyle name="20% - Accent3 3 2 2 3 2" xfId="1211"/>
    <cellStyle name="20% - Accent3 3 2 2 3 2 2" xfId="14794"/>
    <cellStyle name="20% - Accent3 3 2 2 3 2 2 2" xfId="28343"/>
    <cellStyle name="20% - Accent3 3 2 2 3 2 3" xfId="18534"/>
    <cellStyle name="20% - Accent3 3 2 2 3 3" xfId="10717"/>
    <cellStyle name="20% - Accent3 3 2 2 3 3 2" xfId="24659"/>
    <cellStyle name="20% - Accent3 3 2 2 3 4" xfId="18533"/>
    <cellStyle name="20% - Accent3 3 2 2 4" xfId="1212"/>
    <cellStyle name="20% - Accent3 3 2 2 4 2" xfId="12330"/>
    <cellStyle name="20% - Accent3 3 2 2 4 2 2" xfId="26042"/>
    <cellStyle name="20% - Accent3 3 2 2 4 3" xfId="18535"/>
    <cellStyle name="20% - Accent3 3 2 2 5" xfId="1213"/>
    <cellStyle name="20% - Accent3 3 2 2 5 2" xfId="12692"/>
    <cellStyle name="20% - Accent3 3 2 2 5 2 2" xfId="26404"/>
    <cellStyle name="20% - Accent3 3 2 2 5 3" xfId="18536"/>
    <cellStyle name="20% - Accent3 3 2 2 6" xfId="1214"/>
    <cellStyle name="20% - Accent3 3 2 2 6 2" xfId="13894"/>
    <cellStyle name="20% - Accent3 3 2 2 6 2 2" xfId="27443"/>
    <cellStyle name="20% - Accent3 3 2 2 6 3" xfId="18537"/>
    <cellStyle name="20% - Accent3 3 2 2 7" xfId="1215"/>
    <cellStyle name="20% - Accent3 3 2 2 7 2" xfId="14475"/>
    <cellStyle name="20% - Accent3 3 2 2 7 2 2" xfId="28024"/>
    <cellStyle name="20% - Accent3 3 2 2 7 3" xfId="18538"/>
    <cellStyle name="20% - Accent3 3 2 2 8" xfId="1216"/>
    <cellStyle name="20% - Accent3 3 2 2 8 2" xfId="14792"/>
    <cellStyle name="20% - Accent3 3 2 2 8 2 2" xfId="28341"/>
    <cellStyle name="20% - Accent3 3 2 2 8 3" xfId="18539"/>
    <cellStyle name="20% - Accent3 3 2 2 9" xfId="1217"/>
    <cellStyle name="20% - Accent3 3 2 2 9 2" xfId="16361"/>
    <cellStyle name="20% - Accent3 3 2 2 9 2 2" xfId="29768"/>
    <cellStyle name="20% - Accent3 3 2 2 9 3" xfId="18540"/>
    <cellStyle name="20% - Accent3 3 2 3" xfId="1218"/>
    <cellStyle name="20% - Accent3 3 2 3 2" xfId="1219"/>
    <cellStyle name="20% - Accent3 3 2 3 2 2" xfId="10719"/>
    <cellStyle name="20% - Accent3 3 2 3 2 2 2" xfId="24661"/>
    <cellStyle name="20% - Accent3 3 2 3 2 3" xfId="18542"/>
    <cellStyle name="20% - Accent3 3 2 3 3" xfId="1220"/>
    <cellStyle name="20% - Accent3 3 2 3 3 2" xfId="12561"/>
    <cellStyle name="20% - Accent3 3 2 3 3 2 2" xfId="26273"/>
    <cellStyle name="20% - Accent3 3 2 3 3 3" xfId="18543"/>
    <cellStyle name="20% - Accent3 3 2 3 4" xfId="1221"/>
    <cellStyle name="20% - Accent3 3 2 3 4 2" xfId="14795"/>
    <cellStyle name="20% - Accent3 3 2 3 4 2 2" xfId="28344"/>
    <cellStyle name="20% - Accent3 3 2 3 4 3" xfId="18544"/>
    <cellStyle name="20% - Accent3 3 2 3 5" xfId="1222"/>
    <cellStyle name="20% - Accent3 3 2 3 5 2" xfId="16653"/>
    <cellStyle name="20% - Accent3 3 2 3 5 2 2" xfId="30060"/>
    <cellStyle name="20% - Accent3 3 2 3 5 3" xfId="18545"/>
    <cellStyle name="20% - Accent3 3 2 3 6" xfId="8994"/>
    <cellStyle name="20% - Accent3 3 2 3 6 2" xfId="23469"/>
    <cellStyle name="20% - Accent3 3 2 3 7" xfId="18541"/>
    <cellStyle name="20% - Accent3 3 2 4" xfId="1223"/>
    <cellStyle name="20% - Accent3 3 2 4 2" xfId="1224"/>
    <cellStyle name="20% - Accent3 3 2 4 2 2" xfId="14796"/>
    <cellStyle name="20% - Accent3 3 2 4 2 2 2" xfId="28345"/>
    <cellStyle name="20% - Accent3 3 2 4 2 3" xfId="18547"/>
    <cellStyle name="20% - Accent3 3 2 4 3" xfId="10716"/>
    <cellStyle name="20% - Accent3 3 2 4 3 2" xfId="24658"/>
    <cellStyle name="20% - Accent3 3 2 4 4" xfId="18546"/>
    <cellStyle name="20% - Accent3 3 2 5" xfId="1225"/>
    <cellStyle name="20% - Accent3 3 2 5 2" xfId="12030"/>
    <cellStyle name="20% - Accent3 3 2 5 2 2" xfId="25745"/>
    <cellStyle name="20% - Accent3 3 2 5 3" xfId="18548"/>
    <cellStyle name="20% - Accent3 3 2 6" xfId="1226"/>
    <cellStyle name="20% - Accent3 3 2 6 2" xfId="12471"/>
    <cellStyle name="20% - Accent3 3 2 6 2 2" xfId="26183"/>
    <cellStyle name="20% - Accent3 3 2 6 3" xfId="18549"/>
    <cellStyle name="20% - Accent3 3 2 7" xfId="1227"/>
    <cellStyle name="20% - Accent3 3 2 7 2" xfId="13605"/>
    <cellStyle name="20% - Accent3 3 2 7 2 2" xfId="27154"/>
    <cellStyle name="20% - Accent3 3 2 7 3" xfId="18550"/>
    <cellStyle name="20% - Accent3 3 2 8" xfId="1228"/>
    <cellStyle name="20% - Accent3 3 2 8 2" xfId="14186"/>
    <cellStyle name="20% - Accent3 3 2 8 2 2" xfId="27735"/>
    <cellStyle name="20% - Accent3 3 2 8 3" xfId="18551"/>
    <cellStyle name="20% - Accent3 3 2 9" xfId="1229"/>
    <cellStyle name="20% - Accent3 3 2 9 2" xfId="14791"/>
    <cellStyle name="20% - Accent3 3 2 9 2 2" xfId="28340"/>
    <cellStyle name="20% - Accent3 3 2 9 3" xfId="18552"/>
    <cellStyle name="20% - Accent3 3 3" xfId="1230"/>
    <cellStyle name="20% - Accent3 3 3 10" xfId="8995"/>
    <cellStyle name="20% - Accent3 3 3 10 2" xfId="23470"/>
    <cellStyle name="20% - Accent3 3 3 11" xfId="18553"/>
    <cellStyle name="20% - Accent3 3 3 2" xfId="1231"/>
    <cellStyle name="20% - Accent3 3 3 2 2" xfId="1232"/>
    <cellStyle name="20% - Accent3 3 3 2 2 2" xfId="10721"/>
    <cellStyle name="20% - Accent3 3 3 2 2 2 2" xfId="24663"/>
    <cellStyle name="20% - Accent3 3 3 2 2 3" xfId="18555"/>
    <cellStyle name="20% - Accent3 3 3 2 3" xfId="1233"/>
    <cellStyle name="20% - Accent3 3 3 2 3 2" xfId="12641"/>
    <cellStyle name="20% - Accent3 3 3 2 3 2 2" xfId="26353"/>
    <cellStyle name="20% - Accent3 3 3 2 3 3" xfId="18556"/>
    <cellStyle name="20% - Accent3 3 3 2 4" xfId="1234"/>
    <cellStyle name="20% - Accent3 3 3 2 4 2" xfId="14798"/>
    <cellStyle name="20% - Accent3 3 3 2 4 2 2" xfId="28347"/>
    <cellStyle name="20% - Accent3 3 3 2 4 3" xfId="18557"/>
    <cellStyle name="20% - Accent3 3 3 2 5" xfId="1235"/>
    <cellStyle name="20% - Accent3 3 3 2 5 2" xfId="16799"/>
    <cellStyle name="20% - Accent3 3 3 2 5 2 2" xfId="30206"/>
    <cellStyle name="20% - Accent3 3 3 2 5 3" xfId="18558"/>
    <cellStyle name="20% - Accent3 3 3 2 6" xfId="8996"/>
    <cellStyle name="20% - Accent3 3 3 2 6 2" xfId="23471"/>
    <cellStyle name="20% - Accent3 3 3 2 7" xfId="18554"/>
    <cellStyle name="20% - Accent3 3 3 3" xfId="1236"/>
    <cellStyle name="20% - Accent3 3 3 3 2" xfId="1237"/>
    <cellStyle name="20% - Accent3 3 3 3 2 2" xfId="14799"/>
    <cellStyle name="20% - Accent3 3 3 3 2 2 2" xfId="28348"/>
    <cellStyle name="20% - Accent3 3 3 3 2 3" xfId="18560"/>
    <cellStyle name="20% - Accent3 3 3 3 3" xfId="10720"/>
    <cellStyle name="20% - Accent3 3 3 3 3 2" xfId="24662"/>
    <cellStyle name="20% - Accent3 3 3 3 4" xfId="18559"/>
    <cellStyle name="20% - Accent3 3 3 4" xfId="1238"/>
    <cellStyle name="20% - Accent3 3 3 4 2" xfId="12187"/>
    <cellStyle name="20% - Accent3 3 3 4 2 2" xfId="25899"/>
    <cellStyle name="20% - Accent3 3 3 4 3" xfId="18561"/>
    <cellStyle name="20% - Accent3 3 3 5" xfId="1239"/>
    <cellStyle name="20% - Accent3 3 3 5 2" xfId="12691"/>
    <cellStyle name="20% - Accent3 3 3 5 2 2" xfId="26403"/>
    <cellStyle name="20% - Accent3 3 3 5 3" xfId="18562"/>
    <cellStyle name="20% - Accent3 3 3 6" xfId="1240"/>
    <cellStyle name="20% - Accent3 3 3 6 2" xfId="13751"/>
    <cellStyle name="20% - Accent3 3 3 6 2 2" xfId="27300"/>
    <cellStyle name="20% - Accent3 3 3 6 3" xfId="18563"/>
    <cellStyle name="20% - Accent3 3 3 7" xfId="1241"/>
    <cellStyle name="20% - Accent3 3 3 7 2" xfId="14332"/>
    <cellStyle name="20% - Accent3 3 3 7 2 2" xfId="27881"/>
    <cellStyle name="20% - Accent3 3 3 7 3" xfId="18564"/>
    <cellStyle name="20% - Accent3 3 3 8" xfId="1242"/>
    <cellStyle name="20% - Accent3 3 3 8 2" xfId="14797"/>
    <cellStyle name="20% - Accent3 3 3 8 2 2" xfId="28346"/>
    <cellStyle name="20% - Accent3 3 3 8 3" xfId="18565"/>
    <cellStyle name="20% - Accent3 3 3 9" xfId="1243"/>
    <cellStyle name="20% - Accent3 3 3 9 2" xfId="16218"/>
    <cellStyle name="20% - Accent3 3 3 9 2 2" xfId="29625"/>
    <cellStyle name="20% - Accent3 3 3 9 3" xfId="18566"/>
    <cellStyle name="20% - Accent3 3 4" xfId="1244"/>
    <cellStyle name="20% - Accent3 3 4 2" xfId="1245"/>
    <cellStyle name="20% - Accent3 3 4 2 2" xfId="10722"/>
    <cellStyle name="20% - Accent3 3 4 2 2 2" xfId="24664"/>
    <cellStyle name="20% - Accent3 3 4 2 3" xfId="18568"/>
    <cellStyle name="20% - Accent3 3 4 3" xfId="1246"/>
    <cellStyle name="20% - Accent3 3 4 3 2" xfId="12432"/>
    <cellStyle name="20% - Accent3 3 4 3 2 2" xfId="26144"/>
    <cellStyle name="20% - Accent3 3 4 3 3" xfId="18569"/>
    <cellStyle name="20% - Accent3 3 4 4" xfId="1247"/>
    <cellStyle name="20% - Accent3 3 4 4 2" xfId="14800"/>
    <cellStyle name="20% - Accent3 3 4 4 2 2" xfId="28349"/>
    <cellStyle name="20% - Accent3 3 4 4 3" xfId="18570"/>
    <cellStyle name="20% - Accent3 3 4 5" xfId="1248"/>
    <cellStyle name="20% - Accent3 3 4 5 2" xfId="17146"/>
    <cellStyle name="20% - Accent3 3 4 5 2 2" xfId="30505"/>
    <cellStyle name="20% - Accent3 3 4 5 3" xfId="18571"/>
    <cellStyle name="20% - Accent3 3 4 6" xfId="8997"/>
    <cellStyle name="20% - Accent3 3 4 6 2" xfId="23472"/>
    <cellStyle name="20% - Accent3 3 4 7" xfId="18567"/>
    <cellStyle name="20% - Accent3 3 5" xfId="1249"/>
    <cellStyle name="20% - Accent3 3 5 2" xfId="1250"/>
    <cellStyle name="20% - Accent3 3 5 2 2" xfId="10723"/>
    <cellStyle name="20% - Accent3 3 5 2 2 2" xfId="24665"/>
    <cellStyle name="20% - Accent3 3 5 2 3" xfId="18573"/>
    <cellStyle name="20% - Accent3 3 5 3" xfId="1251"/>
    <cellStyle name="20% - Accent3 3 5 3 2" xfId="12462"/>
    <cellStyle name="20% - Accent3 3 5 3 2 2" xfId="26174"/>
    <cellStyle name="20% - Accent3 3 5 3 3" xfId="18574"/>
    <cellStyle name="20% - Accent3 3 5 4" xfId="1252"/>
    <cellStyle name="20% - Accent3 3 5 4 2" xfId="14801"/>
    <cellStyle name="20% - Accent3 3 5 4 2 2" xfId="28350"/>
    <cellStyle name="20% - Accent3 3 5 4 3" xfId="18575"/>
    <cellStyle name="20% - Accent3 3 5 5" xfId="1253"/>
    <cellStyle name="20% - Accent3 3 5 5 2" xfId="17235"/>
    <cellStyle name="20% - Accent3 3 5 5 2 2" xfId="30594"/>
    <cellStyle name="20% - Accent3 3 5 5 3" xfId="18576"/>
    <cellStyle name="20% - Accent3 3 5 6" xfId="8998"/>
    <cellStyle name="20% - Accent3 3 5 6 2" xfId="23473"/>
    <cellStyle name="20% - Accent3 3 5 7" xfId="18572"/>
    <cellStyle name="20% - Accent3 3 6" xfId="1254"/>
    <cellStyle name="20% - Accent3 3 6 2" xfId="1255"/>
    <cellStyle name="20% - Accent3 3 6 2 2" xfId="14802"/>
    <cellStyle name="20% - Accent3 3 6 2 2 2" xfId="28351"/>
    <cellStyle name="20% - Accent3 3 6 2 3" xfId="18578"/>
    <cellStyle name="20% - Accent3 3 6 3" xfId="1256"/>
    <cellStyle name="20% - Accent3 3 6 3 2" xfId="16510"/>
    <cellStyle name="20% - Accent3 3 6 3 2 2" xfId="29917"/>
    <cellStyle name="20% - Accent3 3 6 3 3" xfId="18579"/>
    <cellStyle name="20% - Accent3 3 6 4" xfId="10715"/>
    <cellStyle name="20% - Accent3 3 6 4 2" xfId="24657"/>
    <cellStyle name="20% - Accent3 3 6 5" xfId="18577"/>
    <cellStyle name="20% - Accent3 3 7" xfId="1257"/>
    <cellStyle name="20% - Accent3 3 7 2" xfId="11882"/>
    <cellStyle name="20% - Accent3 3 7 2 2" xfId="25597"/>
    <cellStyle name="20% - Accent3 3 7 3" xfId="18580"/>
    <cellStyle name="20% - Accent3 3 8" xfId="1258"/>
    <cellStyle name="20% - Accent3 3 8 2" xfId="12688"/>
    <cellStyle name="20% - Accent3 3 8 2 2" xfId="26400"/>
    <cellStyle name="20% - Accent3 3 8 3" xfId="18581"/>
    <cellStyle name="20% - Accent3 3 9" xfId="1259"/>
    <cellStyle name="20% - Accent3 3 9 2" xfId="13462"/>
    <cellStyle name="20% - Accent3 3 9 2 2" xfId="27011"/>
    <cellStyle name="20% - Accent3 3 9 3" xfId="18582"/>
    <cellStyle name="20% - Accent3 30" xfId="23253"/>
    <cellStyle name="20% - Accent3 4" xfId="1260"/>
    <cellStyle name="20% - Accent3 4 10" xfId="1261"/>
    <cellStyle name="20% - Accent3 4 10 2" xfId="14803"/>
    <cellStyle name="20% - Accent3 4 10 2 2" xfId="28352"/>
    <cellStyle name="20% - Accent3 4 10 3" xfId="18584"/>
    <cellStyle name="20% - Accent3 4 11" xfId="1262"/>
    <cellStyle name="20% - Accent3 4 11 2" xfId="15881"/>
    <cellStyle name="20% - Accent3 4 11 2 2" xfId="29288"/>
    <cellStyle name="20% - Accent3 4 11 3" xfId="18585"/>
    <cellStyle name="20% - Accent3 4 12" xfId="8999"/>
    <cellStyle name="20% - Accent3 4 12 2" xfId="23474"/>
    <cellStyle name="20% - Accent3 4 13" xfId="18583"/>
    <cellStyle name="20% - Accent3 4 2" xfId="1263"/>
    <cellStyle name="20% - Accent3 4 2 10" xfId="1264"/>
    <cellStyle name="20% - Accent3 4 2 10 2" xfId="16024"/>
    <cellStyle name="20% - Accent3 4 2 10 2 2" xfId="29431"/>
    <cellStyle name="20% - Accent3 4 2 10 3" xfId="18587"/>
    <cellStyle name="20% - Accent3 4 2 11" xfId="9000"/>
    <cellStyle name="20% - Accent3 4 2 11 2" xfId="23475"/>
    <cellStyle name="20% - Accent3 4 2 12" xfId="18586"/>
    <cellStyle name="20% - Accent3 4 2 2" xfId="1265"/>
    <cellStyle name="20% - Accent3 4 2 2 10" xfId="9001"/>
    <cellStyle name="20% - Accent3 4 2 2 10 2" xfId="23476"/>
    <cellStyle name="20% - Accent3 4 2 2 11" xfId="18588"/>
    <cellStyle name="20% - Accent3 4 2 2 2" xfId="1266"/>
    <cellStyle name="20% - Accent3 4 2 2 2 2" xfId="1267"/>
    <cellStyle name="20% - Accent3 4 2 2 2 2 2" xfId="10727"/>
    <cellStyle name="20% - Accent3 4 2 2 2 2 2 2" xfId="24669"/>
    <cellStyle name="20% - Accent3 4 2 2 2 2 3" xfId="18590"/>
    <cellStyle name="20% - Accent3 4 2 2 2 3" xfId="1268"/>
    <cellStyle name="20% - Accent3 4 2 2 2 3 2" xfId="11755"/>
    <cellStyle name="20% - Accent3 4 2 2 2 3 2 2" xfId="25470"/>
    <cellStyle name="20% - Accent3 4 2 2 2 3 3" xfId="18591"/>
    <cellStyle name="20% - Accent3 4 2 2 2 4" xfId="1269"/>
    <cellStyle name="20% - Accent3 4 2 2 2 4 2" xfId="14806"/>
    <cellStyle name="20% - Accent3 4 2 2 2 4 2 2" xfId="28355"/>
    <cellStyle name="20% - Accent3 4 2 2 2 4 3" xfId="18592"/>
    <cellStyle name="20% - Accent3 4 2 2 2 5" xfId="1270"/>
    <cellStyle name="20% - Accent3 4 2 2 2 5 2" xfId="16894"/>
    <cellStyle name="20% - Accent3 4 2 2 2 5 2 2" xfId="30301"/>
    <cellStyle name="20% - Accent3 4 2 2 2 5 3" xfId="18593"/>
    <cellStyle name="20% - Accent3 4 2 2 2 6" xfId="9002"/>
    <cellStyle name="20% - Accent3 4 2 2 2 6 2" xfId="23477"/>
    <cellStyle name="20% - Accent3 4 2 2 2 7" xfId="18589"/>
    <cellStyle name="20% - Accent3 4 2 2 3" xfId="1271"/>
    <cellStyle name="20% - Accent3 4 2 2 3 2" xfId="1272"/>
    <cellStyle name="20% - Accent3 4 2 2 3 2 2" xfId="14807"/>
    <cellStyle name="20% - Accent3 4 2 2 3 2 2 2" xfId="28356"/>
    <cellStyle name="20% - Accent3 4 2 2 3 2 3" xfId="18595"/>
    <cellStyle name="20% - Accent3 4 2 2 3 3" xfId="10726"/>
    <cellStyle name="20% - Accent3 4 2 2 3 3 2" xfId="24668"/>
    <cellStyle name="20% - Accent3 4 2 2 3 4" xfId="18594"/>
    <cellStyle name="20% - Accent3 4 2 2 4" xfId="1273"/>
    <cellStyle name="20% - Accent3 4 2 2 4 2" xfId="12282"/>
    <cellStyle name="20% - Accent3 4 2 2 4 2 2" xfId="25994"/>
    <cellStyle name="20% - Accent3 4 2 2 4 3" xfId="18596"/>
    <cellStyle name="20% - Accent3 4 2 2 5" xfId="1274"/>
    <cellStyle name="20% - Accent3 4 2 2 5 2" xfId="12627"/>
    <cellStyle name="20% - Accent3 4 2 2 5 2 2" xfId="26339"/>
    <cellStyle name="20% - Accent3 4 2 2 5 3" xfId="18597"/>
    <cellStyle name="20% - Accent3 4 2 2 6" xfId="1275"/>
    <cellStyle name="20% - Accent3 4 2 2 6 2" xfId="13846"/>
    <cellStyle name="20% - Accent3 4 2 2 6 2 2" xfId="27395"/>
    <cellStyle name="20% - Accent3 4 2 2 6 3" xfId="18598"/>
    <cellStyle name="20% - Accent3 4 2 2 7" xfId="1276"/>
    <cellStyle name="20% - Accent3 4 2 2 7 2" xfId="14427"/>
    <cellStyle name="20% - Accent3 4 2 2 7 2 2" xfId="27976"/>
    <cellStyle name="20% - Accent3 4 2 2 7 3" xfId="18599"/>
    <cellStyle name="20% - Accent3 4 2 2 8" xfId="1277"/>
    <cellStyle name="20% - Accent3 4 2 2 8 2" xfId="14805"/>
    <cellStyle name="20% - Accent3 4 2 2 8 2 2" xfId="28354"/>
    <cellStyle name="20% - Accent3 4 2 2 8 3" xfId="18600"/>
    <cellStyle name="20% - Accent3 4 2 2 9" xfId="1278"/>
    <cellStyle name="20% - Accent3 4 2 2 9 2" xfId="16313"/>
    <cellStyle name="20% - Accent3 4 2 2 9 2 2" xfId="29720"/>
    <cellStyle name="20% - Accent3 4 2 2 9 3" xfId="18601"/>
    <cellStyle name="20% - Accent3 4 2 3" xfId="1279"/>
    <cellStyle name="20% - Accent3 4 2 3 2" xfId="1280"/>
    <cellStyle name="20% - Accent3 4 2 3 2 2" xfId="10728"/>
    <cellStyle name="20% - Accent3 4 2 3 2 2 2" xfId="24670"/>
    <cellStyle name="20% - Accent3 4 2 3 2 3" xfId="18603"/>
    <cellStyle name="20% - Accent3 4 2 3 3" xfId="1281"/>
    <cellStyle name="20% - Accent3 4 2 3 3 2" xfId="12506"/>
    <cellStyle name="20% - Accent3 4 2 3 3 2 2" xfId="26218"/>
    <cellStyle name="20% - Accent3 4 2 3 3 3" xfId="18604"/>
    <cellStyle name="20% - Accent3 4 2 3 4" xfId="1282"/>
    <cellStyle name="20% - Accent3 4 2 3 4 2" xfId="14808"/>
    <cellStyle name="20% - Accent3 4 2 3 4 2 2" xfId="28357"/>
    <cellStyle name="20% - Accent3 4 2 3 4 3" xfId="18605"/>
    <cellStyle name="20% - Accent3 4 2 3 5" xfId="1283"/>
    <cellStyle name="20% - Accent3 4 2 3 5 2" xfId="16605"/>
    <cellStyle name="20% - Accent3 4 2 3 5 2 2" xfId="30012"/>
    <cellStyle name="20% - Accent3 4 2 3 5 3" xfId="18606"/>
    <cellStyle name="20% - Accent3 4 2 3 6" xfId="9003"/>
    <cellStyle name="20% - Accent3 4 2 3 6 2" xfId="23478"/>
    <cellStyle name="20% - Accent3 4 2 3 7" xfId="18602"/>
    <cellStyle name="20% - Accent3 4 2 4" xfId="1284"/>
    <cellStyle name="20% - Accent3 4 2 4 2" xfId="1285"/>
    <cellStyle name="20% - Accent3 4 2 4 2 2" xfId="14809"/>
    <cellStyle name="20% - Accent3 4 2 4 2 2 2" xfId="28358"/>
    <cellStyle name="20% - Accent3 4 2 4 2 3" xfId="18608"/>
    <cellStyle name="20% - Accent3 4 2 4 3" xfId="10725"/>
    <cellStyle name="20% - Accent3 4 2 4 3 2" xfId="24667"/>
    <cellStyle name="20% - Accent3 4 2 4 4" xfId="18607"/>
    <cellStyle name="20% - Accent3 4 2 5" xfId="1286"/>
    <cellStyle name="20% - Accent3 4 2 5 2" xfId="11982"/>
    <cellStyle name="20% - Accent3 4 2 5 2 2" xfId="25697"/>
    <cellStyle name="20% - Accent3 4 2 5 3" xfId="18609"/>
    <cellStyle name="20% - Accent3 4 2 6" xfId="1287"/>
    <cellStyle name="20% - Accent3 4 2 6 2" xfId="12736"/>
    <cellStyle name="20% - Accent3 4 2 6 2 2" xfId="26448"/>
    <cellStyle name="20% - Accent3 4 2 6 3" xfId="18610"/>
    <cellStyle name="20% - Accent3 4 2 7" xfId="1288"/>
    <cellStyle name="20% - Accent3 4 2 7 2" xfId="13557"/>
    <cellStyle name="20% - Accent3 4 2 7 2 2" xfId="27106"/>
    <cellStyle name="20% - Accent3 4 2 7 3" xfId="18611"/>
    <cellStyle name="20% - Accent3 4 2 8" xfId="1289"/>
    <cellStyle name="20% - Accent3 4 2 8 2" xfId="14138"/>
    <cellStyle name="20% - Accent3 4 2 8 2 2" xfId="27687"/>
    <cellStyle name="20% - Accent3 4 2 8 3" xfId="18612"/>
    <cellStyle name="20% - Accent3 4 2 9" xfId="1290"/>
    <cellStyle name="20% - Accent3 4 2 9 2" xfId="14804"/>
    <cellStyle name="20% - Accent3 4 2 9 2 2" xfId="28353"/>
    <cellStyle name="20% - Accent3 4 2 9 3" xfId="18613"/>
    <cellStyle name="20% - Accent3 4 3" xfId="1291"/>
    <cellStyle name="20% - Accent3 4 3 10" xfId="9004"/>
    <cellStyle name="20% - Accent3 4 3 10 2" xfId="23479"/>
    <cellStyle name="20% - Accent3 4 3 11" xfId="18614"/>
    <cellStyle name="20% - Accent3 4 3 2" xfId="1292"/>
    <cellStyle name="20% - Accent3 4 3 2 2" xfId="1293"/>
    <cellStyle name="20% - Accent3 4 3 2 2 2" xfId="10730"/>
    <cellStyle name="20% - Accent3 4 3 2 2 2 2" xfId="24672"/>
    <cellStyle name="20% - Accent3 4 3 2 2 3" xfId="18616"/>
    <cellStyle name="20% - Accent3 4 3 2 3" xfId="1294"/>
    <cellStyle name="20% - Accent3 4 3 2 3 2" xfId="12619"/>
    <cellStyle name="20% - Accent3 4 3 2 3 2 2" xfId="26331"/>
    <cellStyle name="20% - Accent3 4 3 2 3 3" xfId="18617"/>
    <cellStyle name="20% - Accent3 4 3 2 4" xfId="1295"/>
    <cellStyle name="20% - Accent3 4 3 2 4 2" xfId="14811"/>
    <cellStyle name="20% - Accent3 4 3 2 4 2 2" xfId="28360"/>
    <cellStyle name="20% - Accent3 4 3 2 4 3" xfId="18618"/>
    <cellStyle name="20% - Accent3 4 3 2 5" xfId="1296"/>
    <cellStyle name="20% - Accent3 4 3 2 5 2" xfId="16754"/>
    <cellStyle name="20% - Accent3 4 3 2 5 2 2" xfId="30161"/>
    <cellStyle name="20% - Accent3 4 3 2 5 3" xfId="18619"/>
    <cellStyle name="20% - Accent3 4 3 2 6" xfId="9005"/>
    <cellStyle name="20% - Accent3 4 3 2 6 2" xfId="23480"/>
    <cellStyle name="20% - Accent3 4 3 2 7" xfId="18615"/>
    <cellStyle name="20% - Accent3 4 3 3" xfId="1297"/>
    <cellStyle name="20% - Accent3 4 3 3 2" xfId="1298"/>
    <cellStyle name="20% - Accent3 4 3 3 2 2" xfId="14812"/>
    <cellStyle name="20% - Accent3 4 3 3 2 2 2" xfId="28361"/>
    <cellStyle name="20% - Accent3 4 3 3 2 3" xfId="18621"/>
    <cellStyle name="20% - Accent3 4 3 3 3" xfId="10729"/>
    <cellStyle name="20% - Accent3 4 3 3 3 2" xfId="24671"/>
    <cellStyle name="20% - Accent3 4 3 3 4" xfId="18620"/>
    <cellStyle name="20% - Accent3 4 3 4" xfId="1299"/>
    <cellStyle name="20% - Accent3 4 3 4 2" xfId="12142"/>
    <cellStyle name="20% - Accent3 4 3 4 2 2" xfId="25854"/>
    <cellStyle name="20% - Accent3 4 3 4 3" xfId="18622"/>
    <cellStyle name="20% - Accent3 4 3 5" xfId="1300"/>
    <cellStyle name="20% - Accent3 4 3 5 2" xfId="12723"/>
    <cellStyle name="20% - Accent3 4 3 5 2 2" xfId="26435"/>
    <cellStyle name="20% - Accent3 4 3 5 3" xfId="18623"/>
    <cellStyle name="20% - Accent3 4 3 6" xfId="1301"/>
    <cellStyle name="20% - Accent3 4 3 6 2" xfId="13706"/>
    <cellStyle name="20% - Accent3 4 3 6 2 2" xfId="27255"/>
    <cellStyle name="20% - Accent3 4 3 6 3" xfId="18624"/>
    <cellStyle name="20% - Accent3 4 3 7" xfId="1302"/>
    <cellStyle name="20% - Accent3 4 3 7 2" xfId="14287"/>
    <cellStyle name="20% - Accent3 4 3 7 2 2" xfId="27836"/>
    <cellStyle name="20% - Accent3 4 3 7 3" xfId="18625"/>
    <cellStyle name="20% - Accent3 4 3 8" xfId="1303"/>
    <cellStyle name="20% - Accent3 4 3 8 2" xfId="14810"/>
    <cellStyle name="20% - Accent3 4 3 8 2 2" xfId="28359"/>
    <cellStyle name="20% - Accent3 4 3 8 3" xfId="18626"/>
    <cellStyle name="20% - Accent3 4 3 9" xfId="1304"/>
    <cellStyle name="20% - Accent3 4 3 9 2" xfId="16173"/>
    <cellStyle name="20% - Accent3 4 3 9 2 2" xfId="29580"/>
    <cellStyle name="20% - Accent3 4 3 9 3" xfId="18627"/>
    <cellStyle name="20% - Accent3 4 4" xfId="1305"/>
    <cellStyle name="20% - Accent3 4 4 2" xfId="1306"/>
    <cellStyle name="20% - Accent3 4 4 2 2" xfId="10731"/>
    <cellStyle name="20% - Accent3 4 4 2 2 2" xfId="24673"/>
    <cellStyle name="20% - Accent3 4 4 2 3" xfId="18629"/>
    <cellStyle name="20% - Accent3 4 4 3" xfId="1307"/>
    <cellStyle name="20% - Accent3 4 4 3 2" xfId="12479"/>
    <cellStyle name="20% - Accent3 4 4 3 2 2" xfId="26191"/>
    <cellStyle name="20% - Accent3 4 4 3 3" xfId="18630"/>
    <cellStyle name="20% - Accent3 4 4 4" xfId="1308"/>
    <cellStyle name="20% - Accent3 4 4 4 2" xfId="14813"/>
    <cellStyle name="20% - Accent3 4 4 4 2 2" xfId="28362"/>
    <cellStyle name="20% - Accent3 4 4 4 3" xfId="18631"/>
    <cellStyle name="20% - Accent3 4 4 5" xfId="1309"/>
    <cellStyle name="20% - Accent3 4 4 5 2" xfId="16462"/>
    <cellStyle name="20% - Accent3 4 4 5 2 2" xfId="29869"/>
    <cellStyle name="20% - Accent3 4 4 5 3" xfId="18632"/>
    <cellStyle name="20% - Accent3 4 4 6" xfId="9006"/>
    <cellStyle name="20% - Accent3 4 4 6 2" xfId="23481"/>
    <cellStyle name="20% - Accent3 4 4 7" xfId="18628"/>
    <cellStyle name="20% - Accent3 4 5" xfId="1310"/>
    <cellStyle name="20% - Accent3 4 5 2" xfId="1311"/>
    <cellStyle name="20% - Accent3 4 5 2 2" xfId="14814"/>
    <cellStyle name="20% - Accent3 4 5 2 2 2" xfId="28363"/>
    <cellStyle name="20% - Accent3 4 5 2 3" xfId="18634"/>
    <cellStyle name="20% - Accent3 4 5 3" xfId="10724"/>
    <cellStyle name="20% - Accent3 4 5 3 2" xfId="24666"/>
    <cellStyle name="20% - Accent3 4 5 4" xfId="18633"/>
    <cellStyle name="20% - Accent3 4 6" xfId="1312"/>
    <cellStyle name="20% - Accent3 4 6 2" xfId="11813"/>
    <cellStyle name="20% - Accent3 4 6 2 2" xfId="25528"/>
    <cellStyle name="20% - Accent3 4 6 3" xfId="18635"/>
    <cellStyle name="20% - Accent3 4 7" xfId="1313"/>
    <cellStyle name="20% - Accent3 4 7 2" xfId="12520"/>
    <cellStyle name="20% - Accent3 4 7 2 2" xfId="26232"/>
    <cellStyle name="20% - Accent3 4 7 3" xfId="18636"/>
    <cellStyle name="20% - Accent3 4 8" xfId="1314"/>
    <cellStyle name="20% - Accent3 4 8 2" xfId="13414"/>
    <cellStyle name="20% - Accent3 4 8 2 2" xfId="26963"/>
    <cellStyle name="20% - Accent3 4 8 3" xfId="18637"/>
    <cellStyle name="20% - Accent3 4 9" xfId="1315"/>
    <cellStyle name="20% - Accent3 4 9 2" xfId="13995"/>
    <cellStyle name="20% - Accent3 4 9 2 2" xfId="27544"/>
    <cellStyle name="20% - Accent3 4 9 3" xfId="18638"/>
    <cellStyle name="20% - Accent3 5" xfId="1316"/>
    <cellStyle name="20% - Accent3 5 10" xfId="1317"/>
    <cellStyle name="20% - Accent3 5 10 2" xfId="14815"/>
    <cellStyle name="20% - Accent3 5 10 2 2" xfId="28364"/>
    <cellStyle name="20% - Accent3 5 10 3" xfId="18640"/>
    <cellStyle name="20% - Accent3 5 11" xfId="1318"/>
    <cellStyle name="20% - Accent3 5 11 2" xfId="15864"/>
    <cellStyle name="20% - Accent3 5 11 2 2" xfId="29271"/>
    <cellStyle name="20% - Accent3 5 11 3" xfId="18641"/>
    <cellStyle name="20% - Accent3 5 12" xfId="9007"/>
    <cellStyle name="20% - Accent3 5 12 2" xfId="23482"/>
    <cellStyle name="20% - Accent3 5 13" xfId="18639"/>
    <cellStyle name="20% - Accent3 5 2" xfId="1319"/>
    <cellStyle name="20% - Accent3 5 2 10" xfId="1320"/>
    <cellStyle name="20% - Accent3 5 2 10 2" xfId="16007"/>
    <cellStyle name="20% - Accent3 5 2 10 2 2" xfId="29414"/>
    <cellStyle name="20% - Accent3 5 2 10 3" xfId="18643"/>
    <cellStyle name="20% - Accent3 5 2 11" xfId="9008"/>
    <cellStyle name="20% - Accent3 5 2 11 2" xfId="23483"/>
    <cellStyle name="20% - Accent3 5 2 12" xfId="18642"/>
    <cellStyle name="20% - Accent3 5 2 2" xfId="1321"/>
    <cellStyle name="20% - Accent3 5 2 2 10" xfId="9009"/>
    <cellStyle name="20% - Accent3 5 2 2 10 2" xfId="23484"/>
    <cellStyle name="20% - Accent3 5 2 2 11" xfId="18644"/>
    <cellStyle name="20% - Accent3 5 2 2 2" xfId="1322"/>
    <cellStyle name="20% - Accent3 5 2 2 2 2" xfId="1323"/>
    <cellStyle name="20% - Accent3 5 2 2 2 2 2" xfId="10735"/>
    <cellStyle name="20% - Accent3 5 2 2 2 2 2 2" xfId="24677"/>
    <cellStyle name="20% - Accent3 5 2 2 2 2 3" xfId="18646"/>
    <cellStyle name="20% - Accent3 5 2 2 2 3" xfId="1324"/>
    <cellStyle name="20% - Accent3 5 2 2 2 3 2" xfId="12496"/>
    <cellStyle name="20% - Accent3 5 2 2 2 3 2 2" xfId="26208"/>
    <cellStyle name="20% - Accent3 5 2 2 2 3 3" xfId="18647"/>
    <cellStyle name="20% - Accent3 5 2 2 2 4" xfId="1325"/>
    <cellStyle name="20% - Accent3 5 2 2 2 4 2" xfId="14818"/>
    <cellStyle name="20% - Accent3 5 2 2 2 4 2 2" xfId="28367"/>
    <cellStyle name="20% - Accent3 5 2 2 2 4 3" xfId="18648"/>
    <cellStyle name="20% - Accent3 5 2 2 2 5" xfId="1326"/>
    <cellStyle name="20% - Accent3 5 2 2 2 5 2" xfId="16877"/>
    <cellStyle name="20% - Accent3 5 2 2 2 5 2 2" xfId="30284"/>
    <cellStyle name="20% - Accent3 5 2 2 2 5 3" xfId="18649"/>
    <cellStyle name="20% - Accent3 5 2 2 2 6" xfId="9010"/>
    <cellStyle name="20% - Accent3 5 2 2 2 6 2" xfId="23485"/>
    <cellStyle name="20% - Accent3 5 2 2 2 7" xfId="18645"/>
    <cellStyle name="20% - Accent3 5 2 2 3" xfId="1327"/>
    <cellStyle name="20% - Accent3 5 2 2 3 2" xfId="1328"/>
    <cellStyle name="20% - Accent3 5 2 2 3 2 2" xfId="14819"/>
    <cellStyle name="20% - Accent3 5 2 2 3 2 2 2" xfId="28368"/>
    <cellStyle name="20% - Accent3 5 2 2 3 2 3" xfId="18651"/>
    <cellStyle name="20% - Accent3 5 2 2 3 3" xfId="10734"/>
    <cellStyle name="20% - Accent3 5 2 2 3 3 2" xfId="24676"/>
    <cellStyle name="20% - Accent3 5 2 2 3 4" xfId="18650"/>
    <cellStyle name="20% - Accent3 5 2 2 4" xfId="1329"/>
    <cellStyle name="20% - Accent3 5 2 2 4 2" xfId="12265"/>
    <cellStyle name="20% - Accent3 5 2 2 4 2 2" xfId="25977"/>
    <cellStyle name="20% - Accent3 5 2 2 4 3" xfId="18652"/>
    <cellStyle name="20% - Accent3 5 2 2 5" xfId="1330"/>
    <cellStyle name="20% - Accent3 5 2 2 5 2" xfId="12695"/>
    <cellStyle name="20% - Accent3 5 2 2 5 2 2" xfId="26407"/>
    <cellStyle name="20% - Accent3 5 2 2 5 3" xfId="18653"/>
    <cellStyle name="20% - Accent3 5 2 2 6" xfId="1331"/>
    <cellStyle name="20% - Accent3 5 2 2 6 2" xfId="13829"/>
    <cellStyle name="20% - Accent3 5 2 2 6 2 2" xfId="27378"/>
    <cellStyle name="20% - Accent3 5 2 2 6 3" xfId="18654"/>
    <cellStyle name="20% - Accent3 5 2 2 7" xfId="1332"/>
    <cellStyle name="20% - Accent3 5 2 2 7 2" xfId="14410"/>
    <cellStyle name="20% - Accent3 5 2 2 7 2 2" xfId="27959"/>
    <cellStyle name="20% - Accent3 5 2 2 7 3" xfId="18655"/>
    <cellStyle name="20% - Accent3 5 2 2 8" xfId="1333"/>
    <cellStyle name="20% - Accent3 5 2 2 8 2" xfId="14817"/>
    <cellStyle name="20% - Accent3 5 2 2 8 2 2" xfId="28366"/>
    <cellStyle name="20% - Accent3 5 2 2 8 3" xfId="18656"/>
    <cellStyle name="20% - Accent3 5 2 2 9" xfId="1334"/>
    <cellStyle name="20% - Accent3 5 2 2 9 2" xfId="16296"/>
    <cellStyle name="20% - Accent3 5 2 2 9 2 2" xfId="29703"/>
    <cellStyle name="20% - Accent3 5 2 2 9 3" xfId="18657"/>
    <cellStyle name="20% - Accent3 5 2 3" xfId="1335"/>
    <cellStyle name="20% - Accent3 5 2 3 2" xfId="1336"/>
    <cellStyle name="20% - Accent3 5 2 3 2 2" xfId="10736"/>
    <cellStyle name="20% - Accent3 5 2 3 2 2 2" xfId="24678"/>
    <cellStyle name="20% - Accent3 5 2 3 2 3" xfId="18659"/>
    <cellStyle name="20% - Accent3 5 2 3 3" xfId="1337"/>
    <cellStyle name="20% - Accent3 5 2 3 3 2" xfId="12711"/>
    <cellStyle name="20% - Accent3 5 2 3 3 2 2" xfId="26423"/>
    <cellStyle name="20% - Accent3 5 2 3 3 3" xfId="18660"/>
    <cellStyle name="20% - Accent3 5 2 3 4" xfId="1338"/>
    <cellStyle name="20% - Accent3 5 2 3 4 2" xfId="14820"/>
    <cellStyle name="20% - Accent3 5 2 3 4 2 2" xfId="28369"/>
    <cellStyle name="20% - Accent3 5 2 3 4 3" xfId="18661"/>
    <cellStyle name="20% - Accent3 5 2 3 5" xfId="1339"/>
    <cellStyle name="20% - Accent3 5 2 3 5 2" xfId="16588"/>
    <cellStyle name="20% - Accent3 5 2 3 5 2 2" xfId="29995"/>
    <cellStyle name="20% - Accent3 5 2 3 5 3" xfId="18662"/>
    <cellStyle name="20% - Accent3 5 2 3 6" xfId="9011"/>
    <cellStyle name="20% - Accent3 5 2 3 6 2" xfId="23486"/>
    <cellStyle name="20% - Accent3 5 2 3 7" xfId="18658"/>
    <cellStyle name="20% - Accent3 5 2 4" xfId="1340"/>
    <cellStyle name="20% - Accent3 5 2 4 2" xfId="1341"/>
    <cellStyle name="20% - Accent3 5 2 4 2 2" xfId="14821"/>
    <cellStyle name="20% - Accent3 5 2 4 2 2 2" xfId="28370"/>
    <cellStyle name="20% - Accent3 5 2 4 2 3" xfId="18664"/>
    <cellStyle name="20% - Accent3 5 2 4 3" xfId="10733"/>
    <cellStyle name="20% - Accent3 5 2 4 3 2" xfId="24675"/>
    <cellStyle name="20% - Accent3 5 2 4 4" xfId="18663"/>
    <cellStyle name="20% - Accent3 5 2 5" xfId="1342"/>
    <cellStyle name="20% - Accent3 5 2 5 2" xfId="11965"/>
    <cellStyle name="20% - Accent3 5 2 5 2 2" xfId="25680"/>
    <cellStyle name="20% - Accent3 5 2 5 3" xfId="18665"/>
    <cellStyle name="20% - Accent3 5 2 6" xfId="1343"/>
    <cellStyle name="20% - Accent3 5 2 6 2" xfId="12803"/>
    <cellStyle name="20% - Accent3 5 2 6 2 2" xfId="26515"/>
    <cellStyle name="20% - Accent3 5 2 6 3" xfId="18666"/>
    <cellStyle name="20% - Accent3 5 2 7" xfId="1344"/>
    <cellStyle name="20% - Accent3 5 2 7 2" xfId="13540"/>
    <cellStyle name="20% - Accent3 5 2 7 2 2" xfId="27089"/>
    <cellStyle name="20% - Accent3 5 2 7 3" xfId="18667"/>
    <cellStyle name="20% - Accent3 5 2 8" xfId="1345"/>
    <cellStyle name="20% - Accent3 5 2 8 2" xfId="14121"/>
    <cellStyle name="20% - Accent3 5 2 8 2 2" xfId="27670"/>
    <cellStyle name="20% - Accent3 5 2 8 3" xfId="18668"/>
    <cellStyle name="20% - Accent3 5 2 9" xfId="1346"/>
    <cellStyle name="20% - Accent3 5 2 9 2" xfId="14816"/>
    <cellStyle name="20% - Accent3 5 2 9 2 2" xfId="28365"/>
    <cellStyle name="20% - Accent3 5 2 9 3" xfId="18669"/>
    <cellStyle name="20% - Accent3 5 3" xfId="1347"/>
    <cellStyle name="20% - Accent3 5 3 10" xfId="9012"/>
    <cellStyle name="20% - Accent3 5 3 10 2" xfId="23487"/>
    <cellStyle name="20% - Accent3 5 3 11" xfId="18670"/>
    <cellStyle name="20% - Accent3 5 3 2" xfId="1348"/>
    <cellStyle name="20% - Accent3 5 3 2 2" xfId="1349"/>
    <cellStyle name="20% - Accent3 5 3 2 2 2" xfId="10738"/>
    <cellStyle name="20% - Accent3 5 3 2 2 2 2" xfId="24680"/>
    <cellStyle name="20% - Accent3 5 3 2 2 3" xfId="18672"/>
    <cellStyle name="20% - Accent3 5 3 2 3" xfId="1350"/>
    <cellStyle name="20% - Accent3 5 3 2 3 2" xfId="12611"/>
    <cellStyle name="20% - Accent3 5 3 2 3 2 2" xfId="26323"/>
    <cellStyle name="20% - Accent3 5 3 2 3 3" xfId="18673"/>
    <cellStyle name="20% - Accent3 5 3 2 4" xfId="1351"/>
    <cellStyle name="20% - Accent3 5 3 2 4 2" xfId="14823"/>
    <cellStyle name="20% - Accent3 5 3 2 4 2 2" xfId="28372"/>
    <cellStyle name="20% - Accent3 5 3 2 4 3" xfId="18674"/>
    <cellStyle name="20% - Accent3 5 3 2 5" xfId="1352"/>
    <cellStyle name="20% - Accent3 5 3 2 5 2" xfId="16737"/>
    <cellStyle name="20% - Accent3 5 3 2 5 2 2" xfId="30144"/>
    <cellStyle name="20% - Accent3 5 3 2 5 3" xfId="18675"/>
    <cellStyle name="20% - Accent3 5 3 2 6" xfId="9013"/>
    <cellStyle name="20% - Accent3 5 3 2 6 2" xfId="23488"/>
    <cellStyle name="20% - Accent3 5 3 2 7" xfId="18671"/>
    <cellStyle name="20% - Accent3 5 3 3" xfId="1353"/>
    <cellStyle name="20% - Accent3 5 3 3 2" xfId="1354"/>
    <cellStyle name="20% - Accent3 5 3 3 2 2" xfId="14824"/>
    <cellStyle name="20% - Accent3 5 3 3 2 2 2" xfId="28373"/>
    <cellStyle name="20% - Accent3 5 3 3 2 3" xfId="18677"/>
    <cellStyle name="20% - Accent3 5 3 3 3" xfId="10737"/>
    <cellStyle name="20% - Accent3 5 3 3 3 2" xfId="24679"/>
    <cellStyle name="20% - Accent3 5 3 3 4" xfId="18676"/>
    <cellStyle name="20% - Accent3 5 3 4" xfId="1355"/>
    <cellStyle name="20% - Accent3 5 3 4 2" xfId="12125"/>
    <cellStyle name="20% - Accent3 5 3 4 2 2" xfId="25837"/>
    <cellStyle name="20% - Accent3 5 3 4 3" xfId="18678"/>
    <cellStyle name="20% - Accent3 5 3 5" xfId="1356"/>
    <cellStyle name="20% - Accent3 5 3 5 2" xfId="12607"/>
    <cellStyle name="20% - Accent3 5 3 5 2 2" xfId="26319"/>
    <cellStyle name="20% - Accent3 5 3 5 3" xfId="18679"/>
    <cellStyle name="20% - Accent3 5 3 6" xfId="1357"/>
    <cellStyle name="20% - Accent3 5 3 6 2" xfId="13689"/>
    <cellStyle name="20% - Accent3 5 3 6 2 2" xfId="27238"/>
    <cellStyle name="20% - Accent3 5 3 6 3" xfId="18680"/>
    <cellStyle name="20% - Accent3 5 3 7" xfId="1358"/>
    <cellStyle name="20% - Accent3 5 3 7 2" xfId="14270"/>
    <cellStyle name="20% - Accent3 5 3 7 2 2" xfId="27819"/>
    <cellStyle name="20% - Accent3 5 3 7 3" xfId="18681"/>
    <cellStyle name="20% - Accent3 5 3 8" xfId="1359"/>
    <cellStyle name="20% - Accent3 5 3 8 2" xfId="14822"/>
    <cellStyle name="20% - Accent3 5 3 8 2 2" xfId="28371"/>
    <cellStyle name="20% - Accent3 5 3 8 3" xfId="18682"/>
    <cellStyle name="20% - Accent3 5 3 9" xfId="1360"/>
    <cellStyle name="20% - Accent3 5 3 9 2" xfId="16156"/>
    <cellStyle name="20% - Accent3 5 3 9 2 2" xfId="29563"/>
    <cellStyle name="20% - Accent3 5 3 9 3" xfId="18683"/>
    <cellStyle name="20% - Accent3 5 4" xfId="1361"/>
    <cellStyle name="20% - Accent3 5 4 2" xfId="1362"/>
    <cellStyle name="20% - Accent3 5 4 2 2" xfId="10739"/>
    <cellStyle name="20% - Accent3 5 4 2 2 2" xfId="24681"/>
    <cellStyle name="20% - Accent3 5 4 2 3" xfId="18685"/>
    <cellStyle name="20% - Accent3 5 4 3" xfId="1363"/>
    <cellStyle name="20% - Accent3 5 4 3 2" xfId="12422"/>
    <cellStyle name="20% - Accent3 5 4 3 2 2" xfId="26134"/>
    <cellStyle name="20% - Accent3 5 4 3 3" xfId="18686"/>
    <cellStyle name="20% - Accent3 5 4 4" xfId="1364"/>
    <cellStyle name="20% - Accent3 5 4 4 2" xfId="14825"/>
    <cellStyle name="20% - Accent3 5 4 4 2 2" xfId="28374"/>
    <cellStyle name="20% - Accent3 5 4 4 3" xfId="18687"/>
    <cellStyle name="20% - Accent3 5 4 5" xfId="1365"/>
    <cellStyle name="20% - Accent3 5 4 5 2" xfId="16445"/>
    <cellStyle name="20% - Accent3 5 4 5 2 2" xfId="29852"/>
    <cellStyle name="20% - Accent3 5 4 5 3" xfId="18688"/>
    <cellStyle name="20% - Accent3 5 4 6" xfId="9014"/>
    <cellStyle name="20% - Accent3 5 4 6 2" xfId="23489"/>
    <cellStyle name="20% - Accent3 5 4 7" xfId="18684"/>
    <cellStyle name="20% - Accent3 5 5" xfId="1366"/>
    <cellStyle name="20% - Accent3 5 5 2" xfId="1367"/>
    <cellStyle name="20% - Accent3 5 5 2 2" xfId="14826"/>
    <cellStyle name="20% - Accent3 5 5 2 2 2" xfId="28375"/>
    <cellStyle name="20% - Accent3 5 5 2 3" xfId="18690"/>
    <cellStyle name="20% - Accent3 5 5 3" xfId="10732"/>
    <cellStyle name="20% - Accent3 5 5 3 2" xfId="24674"/>
    <cellStyle name="20% - Accent3 5 5 4" xfId="18689"/>
    <cellStyle name="20% - Accent3 5 6" xfId="1368"/>
    <cellStyle name="20% - Accent3 5 6 2" xfId="11796"/>
    <cellStyle name="20% - Accent3 5 6 2 2" xfId="25511"/>
    <cellStyle name="20% - Accent3 5 6 3" xfId="18691"/>
    <cellStyle name="20% - Accent3 5 7" xfId="1369"/>
    <cellStyle name="20% - Accent3 5 7 2" xfId="12585"/>
    <cellStyle name="20% - Accent3 5 7 2 2" xfId="26297"/>
    <cellStyle name="20% - Accent3 5 7 3" xfId="18692"/>
    <cellStyle name="20% - Accent3 5 8" xfId="1370"/>
    <cellStyle name="20% - Accent3 5 8 2" xfId="13397"/>
    <cellStyle name="20% - Accent3 5 8 2 2" xfId="26946"/>
    <cellStyle name="20% - Accent3 5 8 3" xfId="18693"/>
    <cellStyle name="20% - Accent3 5 9" xfId="1371"/>
    <cellStyle name="20% - Accent3 5 9 2" xfId="13978"/>
    <cellStyle name="20% - Accent3 5 9 2 2" xfId="27527"/>
    <cellStyle name="20% - Accent3 5 9 3" xfId="18694"/>
    <cellStyle name="20% - Accent3 6" xfId="1372"/>
    <cellStyle name="20% - Accent3 6 10" xfId="1373"/>
    <cellStyle name="20% - Accent3 6 10 2" xfId="14827"/>
    <cellStyle name="20% - Accent3 6 10 2 2" xfId="28376"/>
    <cellStyle name="20% - Accent3 6 10 3" xfId="18696"/>
    <cellStyle name="20% - Accent3 6 11" xfId="1374"/>
    <cellStyle name="20% - Accent3 6 11 2" xfId="15970"/>
    <cellStyle name="20% - Accent3 6 11 2 2" xfId="29377"/>
    <cellStyle name="20% - Accent3 6 11 3" xfId="18697"/>
    <cellStyle name="20% - Accent3 6 12" xfId="9015"/>
    <cellStyle name="20% - Accent3 6 12 2" xfId="23490"/>
    <cellStyle name="20% - Accent3 6 13" xfId="18695"/>
    <cellStyle name="20% - Accent3 6 2" xfId="1375"/>
    <cellStyle name="20% - Accent3 6 2 10" xfId="1376"/>
    <cellStyle name="20% - Accent3 6 2 10 2" xfId="16113"/>
    <cellStyle name="20% - Accent3 6 2 10 2 2" xfId="29520"/>
    <cellStyle name="20% - Accent3 6 2 10 3" xfId="18699"/>
    <cellStyle name="20% - Accent3 6 2 11" xfId="9016"/>
    <cellStyle name="20% - Accent3 6 2 11 2" xfId="23491"/>
    <cellStyle name="20% - Accent3 6 2 12" xfId="18698"/>
    <cellStyle name="20% - Accent3 6 2 2" xfId="1377"/>
    <cellStyle name="20% - Accent3 6 2 2 10" xfId="9017"/>
    <cellStyle name="20% - Accent3 6 2 2 10 2" xfId="23492"/>
    <cellStyle name="20% - Accent3 6 2 2 11" xfId="18700"/>
    <cellStyle name="20% - Accent3 6 2 2 2" xfId="1378"/>
    <cellStyle name="20% - Accent3 6 2 2 2 2" xfId="1379"/>
    <cellStyle name="20% - Accent3 6 2 2 2 2 2" xfId="10743"/>
    <cellStyle name="20% - Accent3 6 2 2 2 2 2 2" xfId="24685"/>
    <cellStyle name="20% - Accent3 6 2 2 2 2 3" xfId="18702"/>
    <cellStyle name="20% - Accent3 6 2 2 2 3" xfId="1380"/>
    <cellStyle name="20% - Accent3 6 2 2 2 3 2" xfId="12795"/>
    <cellStyle name="20% - Accent3 6 2 2 2 3 2 2" xfId="26507"/>
    <cellStyle name="20% - Accent3 6 2 2 2 3 3" xfId="18703"/>
    <cellStyle name="20% - Accent3 6 2 2 2 4" xfId="1381"/>
    <cellStyle name="20% - Accent3 6 2 2 2 4 2" xfId="14830"/>
    <cellStyle name="20% - Accent3 6 2 2 2 4 2 2" xfId="28379"/>
    <cellStyle name="20% - Accent3 6 2 2 2 4 3" xfId="18704"/>
    <cellStyle name="20% - Accent3 6 2 2 2 5" xfId="1382"/>
    <cellStyle name="20% - Accent3 6 2 2 2 5 2" xfId="16983"/>
    <cellStyle name="20% - Accent3 6 2 2 2 5 2 2" xfId="30390"/>
    <cellStyle name="20% - Accent3 6 2 2 2 5 3" xfId="18705"/>
    <cellStyle name="20% - Accent3 6 2 2 2 6" xfId="9018"/>
    <cellStyle name="20% - Accent3 6 2 2 2 6 2" xfId="23493"/>
    <cellStyle name="20% - Accent3 6 2 2 2 7" xfId="18701"/>
    <cellStyle name="20% - Accent3 6 2 2 3" xfId="1383"/>
    <cellStyle name="20% - Accent3 6 2 2 3 2" xfId="1384"/>
    <cellStyle name="20% - Accent3 6 2 2 3 2 2" xfId="14831"/>
    <cellStyle name="20% - Accent3 6 2 2 3 2 2 2" xfId="28380"/>
    <cellStyle name="20% - Accent3 6 2 2 3 2 3" xfId="18707"/>
    <cellStyle name="20% - Accent3 6 2 2 3 3" xfId="10742"/>
    <cellStyle name="20% - Accent3 6 2 2 3 3 2" xfId="24684"/>
    <cellStyle name="20% - Accent3 6 2 2 3 4" xfId="18706"/>
    <cellStyle name="20% - Accent3 6 2 2 4" xfId="1385"/>
    <cellStyle name="20% - Accent3 6 2 2 4 2" xfId="12371"/>
    <cellStyle name="20% - Accent3 6 2 2 4 2 2" xfId="26083"/>
    <cellStyle name="20% - Accent3 6 2 2 4 3" xfId="18708"/>
    <cellStyle name="20% - Accent3 6 2 2 5" xfId="1386"/>
    <cellStyle name="20% - Accent3 6 2 2 5 2" xfId="12655"/>
    <cellStyle name="20% - Accent3 6 2 2 5 2 2" xfId="26367"/>
    <cellStyle name="20% - Accent3 6 2 2 5 3" xfId="18709"/>
    <cellStyle name="20% - Accent3 6 2 2 6" xfId="1387"/>
    <cellStyle name="20% - Accent3 6 2 2 6 2" xfId="13935"/>
    <cellStyle name="20% - Accent3 6 2 2 6 2 2" xfId="27484"/>
    <cellStyle name="20% - Accent3 6 2 2 6 3" xfId="18710"/>
    <cellStyle name="20% - Accent3 6 2 2 7" xfId="1388"/>
    <cellStyle name="20% - Accent3 6 2 2 7 2" xfId="14516"/>
    <cellStyle name="20% - Accent3 6 2 2 7 2 2" xfId="28065"/>
    <cellStyle name="20% - Accent3 6 2 2 7 3" xfId="18711"/>
    <cellStyle name="20% - Accent3 6 2 2 8" xfId="1389"/>
    <cellStyle name="20% - Accent3 6 2 2 8 2" xfId="14829"/>
    <cellStyle name="20% - Accent3 6 2 2 8 2 2" xfId="28378"/>
    <cellStyle name="20% - Accent3 6 2 2 8 3" xfId="18712"/>
    <cellStyle name="20% - Accent3 6 2 2 9" xfId="1390"/>
    <cellStyle name="20% - Accent3 6 2 2 9 2" xfId="16402"/>
    <cellStyle name="20% - Accent3 6 2 2 9 2 2" xfId="29809"/>
    <cellStyle name="20% - Accent3 6 2 2 9 3" xfId="18713"/>
    <cellStyle name="20% - Accent3 6 2 3" xfId="1391"/>
    <cellStyle name="20% - Accent3 6 2 3 2" xfId="1392"/>
    <cellStyle name="20% - Accent3 6 2 3 2 2" xfId="10744"/>
    <cellStyle name="20% - Accent3 6 2 3 2 2 2" xfId="24686"/>
    <cellStyle name="20% - Accent3 6 2 3 2 3" xfId="18715"/>
    <cellStyle name="20% - Accent3 6 2 3 3" xfId="1393"/>
    <cellStyle name="20% - Accent3 6 2 3 3 2" xfId="11860"/>
    <cellStyle name="20% - Accent3 6 2 3 3 2 2" xfId="25575"/>
    <cellStyle name="20% - Accent3 6 2 3 3 3" xfId="18716"/>
    <cellStyle name="20% - Accent3 6 2 3 4" xfId="1394"/>
    <cellStyle name="20% - Accent3 6 2 3 4 2" xfId="14832"/>
    <cellStyle name="20% - Accent3 6 2 3 4 2 2" xfId="28381"/>
    <cellStyle name="20% - Accent3 6 2 3 4 3" xfId="18717"/>
    <cellStyle name="20% - Accent3 6 2 3 5" xfId="1395"/>
    <cellStyle name="20% - Accent3 6 2 3 5 2" xfId="16694"/>
    <cellStyle name="20% - Accent3 6 2 3 5 2 2" xfId="30101"/>
    <cellStyle name="20% - Accent3 6 2 3 5 3" xfId="18718"/>
    <cellStyle name="20% - Accent3 6 2 3 6" xfId="9019"/>
    <cellStyle name="20% - Accent3 6 2 3 6 2" xfId="23494"/>
    <cellStyle name="20% - Accent3 6 2 3 7" xfId="18714"/>
    <cellStyle name="20% - Accent3 6 2 4" xfId="1396"/>
    <cellStyle name="20% - Accent3 6 2 4 2" xfId="1397"/>
    <cellStyle name="20% - Accent3 6 2 4 2 2" xfId="14833"/>
    <cellStyle name="20% - Accent3 6 2 4 2 2 2" xfId="28382"/>
    <cellStyle name="20% - Accent3 6 2 4 2 3" xfId="18720"/>
    <cellStyle name="20% - Accent3 6 2 4 3" xfId="10741"/>
    <cellStyle name="20% - Accent3 6 2 4 3 2" xfId="24683"/>
    <cellStyle name="20% - Accent3 6 2 4 4" xfId="18719"/>
    <cellStyle name="20% - Accent3 6 2 5" xfId="1398"/>
    <cellStyle name="20% - Accent3 6 2 5 2" xfId="12071"/>
    <cellStyle name="20% - Accent3 6 2 5 2 2" xfId="25786"/>
    <cellStyle name="20% - Accent3 6 2 5 3" xfId="18721"/>
    <cellStyle name="20% - Accent3 6 2 6" xfId="1399"/>
    <cellStyle name="20% - Accent3 6 2 6 2" xfId="12409"/>
    <cellStyle name="20% - Accent3 6 2 6 2 2" xfId="26121"/>
    <cellStyle name="20% - Accent3 6 2 6 3" xfId="18722"/>
    <cellStyle name="20% - Accent3 6 2 7" xfId="1400"/>
    <cellStyle name="20% - Accent3 6 2 7 2" xfId="13646"/>
    <cellStyle name="20% - Accent3 6 2 7 2 2" xfId="27195"/>
    <cellStyle name="20% - Accent3 6 2 7 3" xfId="18723"/>
    <cellStyle name="20% - Accent3 6 2 8" xfId="1401"/>
    <cellStyle name="20% - Accent3 6 2 8 2" xfId="14227"/>
    <cellStyle name="20% - Accent3 6 2 8 2 2" xfId="27776"/>
    <cellStyle name="20% - Accent3 6 2 8 3" xfId="18724"/>
    <cellStyle name="20% - Accent3 6 2 9" xfId="1402"/>
    <cellStyle name="20% - Accent3 6 2 9 2" xfId="14828"/>
    <cellStyle name="20% - Accent3 6 2 9 2 2" xfId="28377"/>
    <cellStyle name="20% - Accent3 6 2 9 3" xfId="18725"/>
    <cellStyle name="20% - Accent3 6 3" xfId="1403"/>
    <cellStyle name="20% - Accent3 6 3 10" xfId="9020"/>
    <cellStyle name="20% - Accent3 6 3 10 2" xfId="23495"/>
    <cellStyle name="20% - Accent3 6 3 11" xfId="18726"/>
    <cellStyle name="20% - Accent3 6 3 2" xfId="1404"/>
    <cellStyle name="20% - Accent3 6 3 2 2" xfId="1405"/>
    <cellStyle name="20% - Accent3 6 3 2 2 2" xfId="10746"/>
    <cellStyle name="20% - Accent3 6 3 2 2 2 2" xfId="24688"/>
    <cellStyle name="20% - Accent3 6 3 2 2 3" xfId="18728"/>
    <cellStyle name="20% - Accent3 6 3 2 3" xfId="1406"/>
    <cellStyle name="20% - Accent3 6 3 2 3 2" xfId="12648"/>
    <cellStyle name="20% - Accent3 6 3 2 3 2 2" xfId="26360"/>
    <cellStyle name="20% - Accent3 6 3 2 3 3" xfId="18729"/>
    <cellStyle name="20% - Accent3 6 3 2 4" xfId="1407"/>
    <cellStyle name="20% - Accent3 6 3 2 4 2" xfId="14835"/>
    <cellStyle name="20% - Accent3 6 3 2 4 2 2" xfId="28384"/>
    <cellStyle name="20% - Accent3 6 3 2 4 3" xfId="18730"/>
    <cellStyle name="20% - Accent3 6 3 2 5" xfId="1408"/>
    <cellStyle name="20% - Accent3 6 3 2 5 2" xfId="16840"/>
    <cellStyle name="20% - Accent3 6 3 2 5 2 2" xfId="30247"/>
    <cellStyle name="20% - Accent3 6 3 2 5 3" xfId="18731"/>
    <cellStyle name="20% - Accent3 6 3 2 6" xfId="9021"/>
    <cellStyle name="20% - Accent3 6 3 2 6 2" xfId="23496"/>
    <cellStyle name="20% - Accent3 6 3 2 7" xfId="18727"/>
    <cellStyle name="20% - Accent3 6 3 3" xfId="1409"/>
    <cellStyle name="20% - Accent3 6 3 3 2" xfId="1410"/>
    <cellStyle name="20% - Accent3 6 3 3 2 2" xfId="14836"/>
    <cellStyle name="20% - Accent3 6 3 3 2 2 2" xfId="28385"/>
    <cellStyle name="20% - Accent3 6 3 3 2 3" xfId="18733"/>
    <cellStyle name="20% - Accent3 6 3 3 3" xfId="10745"/>
    <cellStyle name="20% - Accent3 6 3 3 3 2" xfId="24687"/>
    <cellStyle name="20% - Accent3 6 3 3 4" xfId="18732"/>
    <cellStyle name="20% - Accent3 6 3 4" xfId="1411"/>
    <cellStyle name="20% - Accent3 6 3 4 2" xfId="12228"/>
    <cellStyle name="20% - Accent3 6 3 4 2 2" xfId="25940"/>
    <cellStyle name="20% - Accent3 6 3 4 3" xfId="18734"/>
    <cellStyle name="20% - Accent3 6 3 5" xfId="1412"/>
    <cellStyle name="20% - Accent3 6 3 5 2" xfId="12728"/>
    <cellStyle name="20% - Accent3 6 3 5 2 2" xfId="26440"/>
    <cellStyle name="20% - Accent3 6 3 5 3" xfId="18735"/>
    <cellStyle name="20% - Accent3 6 3 6" xfId="1413"/>
    <cellStyle name="20% - Accent3 6 3 6 2" xfId="13792"/>
    <cellStyle name="20% - Accent3 6 3 6 2 2" xfId="27341"/>
    <cellStyle name="20% - Accent3 6 3 6 3" xfId="18736"/>
    <cellStyle name="20% - Accent3 6 3 7" xfId="1414"/>
    <cellStyle name="20% - Accent3 6 3 7 2" xfId="14373"/>
    <cellStyle name="20% - Accent3 6 3 7 2 2" xfId="27922"/>
    <cellStyle name="20% - Accent3 6 3 7 3" xfId="18737"/>
    <cellStyle name="20% - Accent3 6 3 8" xfId="1415"/>
    <cellStyle name="20% - Accent3 6 3 8 2" xfId="14834"/>
    <cellStyle name="20% - Accent3 6 3 8 2 2" xfId="28383"/>
    <cellStyle name="20% - Accent3 6 3 8 3" xfId="18738"/>
    <cellStyle name="20% - Accent3 6 3 9" xfId="1416"/>
    <cellStyle name="20% - Accent3 6 3 9 2" xfId="16259"/>
    <cellStyle name="20% - Accent3 6 3 9 2 2" xfId="29666"/>
    <cellStyle name="20% - Accent3 6 3 9 3" xfId="18739"/>
    <cellStyle name="20% - Accent3 6 4" xfId="1417"/>
    <cellStyle name="20% - Accent3 6 4 2" xfId="1418"/>
    <cellStyle name="20% - Accent3 6 4 2 2" xfId="10747"/>
    <cellStyle name="20% - Accent3 6 4 2 2 2" xfId="24689"/>
    <cellStyle name="20% - Accent3 6 4 2 3" xfId="18741"/>
    <cellStyle name="20% - Accent3 6 4 3" xfId="1419"/>
    <cellStyle name="20% - Accent3 6 4 3 2" xfId="12675"/>
    <cellStyle name="20% - Accent3 6 4 3 2 2" xfId="26387"/>
    <cellStyle name="20% - Accent3 6 4 3 3" xfId="18742"/>
    <cellStyle name="20% - Accent3 6 4 4" xfId="1420"/>
    <cellStyle name="20% - Accent3 6 4 4 2" xfId="14837"/>
    <cellStyle name="20% - Accent3 6 4 4 2 2" xfId="28386"/>
    <cellStyle name="20% - Accent3 6 4 4 3" xfId="18743"/>
    <cellStyle name="20% - Accent3 6 4 5" xfId="1421"/>
    <cellStyle name="20% - Accent3 6 4 5 2" xfId="16551"/>
    <cellStyle name="20% - Accent3 6 4 5 2 2" xfId="29958"/>
    <cellStyle name="20% - Accent3 6 4 5 3" xfId="18744"/>
    <cellStyle name="20% - Accent3 6 4 6" xfId="9022"/>
    <cellStyle name="20% - Accent3 6 4 6 2" xfId="23497"/>
    <cellStyle name="20% - Accent3 6 4 7" xfId="18740"/>
    <cellStyle name="20% - Accent3 6 5" xfId="1422"/>
    <cellStyle name="20% - Accent3 6 5 2" xfId="1423"/>
    <cellStyle name="20% - Accent3 6 5 2 2" xfId="14838"/>
    <cellStyle name="20% - Accent3 6 5 2 2 2" xfId="28387"/>
    <cellStyle name="20% - Accent3 6 5 2 3" xfId="18746"/>
    <cellStyle name="20% - Accent3 6 5 3" xfId="10740"/>
    <cellStyle name="20% - Accent3 6 5 3 2" xfId="24682"/>
    <cellStyle name="20% - Accent3 6 5 4" xfId="18745"/>
    <cellStyle name="20% - Accent3 6 6" xfId="1424"/>
    <cellStyle name="20% - Accent3 6 6 2" xfId="11926"/>
    <cellStyle name="20% - Accent3 6 6 2 2" xfId="25641"/>
    <cellStyle name="20% - Accent3 6 6 3" xfId="18747"/>
    <cellStyle name="20% - Accent3 6 7" xfId="1425"/>
    <cellStyle name="20% - Accent3 6 7 2" xfId="12429"/>
    <cellStyle name="20% - Accent3 6 7 2 2" xfId="26141"/>
    <cellStyle name="20% - Accent3 6 7 3" xfId="18748"/>
    <cellStyle name="20% - Accent3 6 8" xfId="1426"/>
    <cellStyle name="20% - Accent3 6 8 2" xfId="13503"/>
    <cellStyle name="20% - Accent3 6 8 2 2" xfId="27052"/>
    <cellStyle name="20% - Accent3 6 8 3" xfId="18749"/>
    <cellStyle name="20% - Accent3 6 9" xfId="1427"/>
    <cellStyle name="20% - Accent3 6 9 2" xfId="14084"/>
    <cellStyle name="20% - Accent3 6 9 2 2" xfId="27633"/>
    <cellStyle name="20% - Accent3 6 9 3" xfId="18750"/>
    <cellStyle name="20% - Accent3 7" xfId="1428"/>
    <cellStyle name="20% - Accent3 7 10" xfId="1429"/>
    <cellStyle name="20% - Accent3 7 10 2" xfId="15992"/>
    <cellStyle name="20% - Accent3 7 10 2 2" xfId="29399"/>
    <cellStyle name="20% - Accent3 7 10 3" xfId="18752"/>
    <cellStyle name="20% - Accent3 7 11" xfId="9023"/>
    <cellStyle name="20% - Accent3 7 11 2" xfId="23498"/>
    <cellStyle name="20% - Accent3 7 12" xfId="18751"/>
    <cellStyle name="20% - Accent3 7 2" xfId="1430"/>
    <cellStyle name="20% - Accent3 7 2 10" xfId="9024"/>
    <cellStyle name="20% - Accent3 7 2 10 2" xfId="23499"/>
    <cellStyle name="20% - Accent3 7 2 11" xfId="18753"/>
    <cellStyle name="20% - Accent3 7 2 2" xfId="1431"/>
    <cellStyle name="20% - Accent3 7 2 2 2" xfId="1432"/>
    <cellStyle name="20% - Accent3 7 2 2 2 2" xfId="10750"/>
    <cellStyle name="20% - Accent3 7 2 2 2 2 2" xfId="24692"/>
    <cellStyle name="20% - Accent3 7 2 2 2 3" xfId="18755"/>
    <cellStyle name="20% - Accent3 7 2 2 3" xfId="1433"/>
    <cellStyle name="20% - Accent3 7 2 2 3 2" xfId="12532"/>
    <cellStyle name="20% - Accent3 7 2 2 3 2 2" xfId="26244"/>
    <cellStyle name="20% - Accent3 7 2 2 3 3" xfId="18756"/>
    <cellStyle name="20% - Accent3 7 2 2 4" xfId="1434"/>
    <cellStyle name="20% - Accent3 7 2 2 4 2" xfId="14841"/>
    <cellStyle name="20% - Accent3 7 2 2 4 2 2" xfId="28390"/>
    <cellStyle name="20% - Accent3 7 2 2 4 3" xfId="18757"/>
    <cellStyle name="20% - Accent3 7 2 2 5" xfId="1435"/>
    <cellStyle name="20% - Accent3 7 2 2 5 2" xfId="16862"/>
    <cellStyle name="20% - Accent3 7 2 2 5 2 2" xfId="30269"/>
    <cellStyle name="20% - Accent3 7 2 2 5 3" xfId="18758"/>
    <cellStyle name="20% - Accent3 7 2 2 6" xfId="9025"/>
    <cellStyle name="20% - Accent3 7 2 2 6 2" xfId="23500"/>
    <cellStyle name="20% - Accent3 7 2 2 7" xfId="18754"/>
    <cellStyle name="20% - Accent3 7 2 3" xfId="1436"/>
    <cellStyle name="20% - Accent3 7 2 3 2" xfId="1437"/>
    <cellStyle name="20% - Accent3 7 2 3 2 2" xfId="14842"/>
    <cellStyle name="20% - Accent3 7 2 3 2 2 2" xfId="28391"/>
    <cellStyle name="20% - Accent3 7 2 3 2 3" xfId="18760"/>
    <cellStyle name="20% - Accent3 7 2 3 3" xfId="10749"/>
    <cellStyle name="20% - Accent3 7 2 3 3 2" xfId="24691"/>
    <cellStyle name="20% - Accent3 7 2 3 4" xfId="18759"/>
    <cellStyle name="20% - Accent3 7 2 4" xfId="1438"/>
    <cellStyle name="20% - Accent3 7 2 4 2" xfId="12250"/>
    <cellStyle name="20% - Accent3 7 2 4 2 2" xfId="25962"/>
    <cellStyle name="20% - Accent3 7 2 4 3" xfId="18761"/>
    <cellStyle name="20% - Accent3 7 2 5" xfId="1439"/>
    <cellStyle name="20% - Accent3 7 2 5 2" xfId="12531"/>
    <cellStyle name="20% - Accent3 7 2 5 2 2" xfId="26243"/>
    <cellStyle name="20% - Accent3 7 2 5 3" xfId="18762"/>
    <cellStyle name="20% - Accent3 7 2 6" xfId="1440"/>
    <cellStyle name="20% - Accent3 7 2 6 2" xfId="13814"/>
    <cellStyle name="20% - Accent3 7 2 6 2 2" xfId="27363"/>
    <cellStyle name="20% - Accent3 7 2 6 3" xfId="18763"/>
    <cellStyle name="20% - Accent3 7 2 7" xfId="1441"/>
    <cellStyle name="20% - Accent3 7 2 7 2" xfId="14395"/>
    <cellStyle name="20% - Accent3 7 2 7 2 2" xfId="27944"/>
    <cellStyle name="20% - Accent3 7 2 7 3" xfId="18764"/>
    <cellStyle name="20% - Accent3 7 2 8" xfId="1442"/>
    <cellStyle name="20% - Accent3 7 2 8 2" xfId="14840"/>
    <cellStyle name="20% - Accent3 7 2 8 2 2" xfId="28389"/>
    <cellStyle name="20% - Accent3 7 2 8 3" xfId="18765"/>
    <cellStyle name="20% - Accent3 7 2 9" xfId="1443"/>
    <cellStyle name="20% - Accent3 7 2 9 2" xfId="16281"/>
    <cellStyle name="20% - Accent3 7 2 9 2 2" xfId="29688"/>
    <cellStyle name="20% - Accent3 7 2 9 3" xfId="18766"/>
    <cellStyle name="20% - Accent3 7 3" xfId="1444"/>
    <cellStyle name="20% - Accent3 7 3 2" xfId="1445"/>
    <cellStyle name="20% - Accent3 7 3 2 2" xfId="10751"/>
    <cellStyle name="20% - Accent3 7 3 2 2 2" xfId="24693"/>
    <cellStyle name="20% - Accent3 7 3 2 3" xfId="18768"/>
    <cellStyle name="20% - Accent3 7 3 3" xfId="1446"/>
    <cellStyle name="20% - Accent3 7 3 3 2" xfId="12709"/>
    <cellStyle name="20% - Accent3 7 3 3 2 2" xfId="26421"/>
    <cellStyle name="20% - Accent3 7 3 3 3" xfId="18769"/>
    <cellStyle name="20% - Accent3 7 3 4" xfId="1447"/>
    <cellStyle name="20% - Accent3 7 3 4 2" xfId="14843"/>
    <cellStyle name="20% - Accent3 7 3 4 2 2" xfId="28392"/>
    <cellStyle name="20% - Accent3 7 3 4 3" xfId="18770"/>
    <cellStyle name="20% - Accent3 7 3 5" xfId="1448"/>
    <cellStyle name="20% - Accent3 7 3 5 2" xfId="16573"/>
    <cellStyle name="20% - Accent3 7 3 5 2 2" xfId="29980"/>
    <cellStyle name="20% - Accent3 7 3 5 3" xfId="18771"/>
    <cellStyle name="20% - Accent3 7 3 6" xfId="9026"/>
    <cellStyle name="20% - Accent3 7 3 6 2" xfId="23501"/>
    <cellStyle name="20% - Accent3 7 3 7" xfId="18767"/>
    <cellStyle name="20% - Accent3 7 4" xfId="1449"/>
    <cellStyle name="20% - Accent3 7 4 2" xfId="1450"/>
    <cellStyle name="20% - Accent3 7 4 2 2" xfId="14844"/>
    <cellStyle name="20% - Accent3 7 4 2 2 2" xfId="28393"/>
    <cellStyle name="20% - Accent3 7 4 2 3" xfId="18773"/>
    <cellStyle name="20% - Accent3 7 4 3" xfId="10748"/>
    <cellStyle name="20% - Accent3 7 4 3 2" xfId="24690"/>
    <cellStyle name="20% - Accent3 7 4 4" xfId="18772"/>
    <cellStyle name="20% - Accent3 7 5" xfId="1451"/>
    <cellStyle name="20% - Accent3 7 5 2" xfId="11948"/>
    <cellStyle name="20% - Accent3 7 5 2 2" xfId="25663"/>
    <cellStyle name="20% - Accent3 7 5 3" xfId="18774"/>
    <cellStyle name="20% - Accent3 7 6" xfId="1452"/>
    <cellStyle name="20% - Accent3 7 6 2" xfId="12495"/>
    <cellStyle name="20% - Accent3 7 6 2 2" xfId="26207"/>
    <cellStyle name="20% - Accent3 7 6 3" xfId="18775"/>
    <cellStyle name="20% - Accent3 7 7" xfId="1453"/>
    <cellStyle name="20% - Accent3 7 7 2" xfId="13525"/>
    <cellStyle name="20% - Accent3 7 7 2 2" xfId="27074"/>
    <cellStyle name="20% - Accent3 7 7 3" xfId="18776"/>
    <cellStyle name="20% - Accent3 7 8" xfId="1454"/>
    <cellStyle name="20% - Accent3 7 8 2" xfId="14106"/>
    <cellStyle name="20% - Accent3 7 8 2 2" xfId="27655"/>
    <cellStyle name="20% - Accent3 7 8 3" xfId="18777"/>
    <cellStyle name="20% - Accent3 7 9" xfId="1455"/>
    <cellStyle name="20% - Accent3 7 9 2" xfId="14839"/>
    <cellStyle name="20% - Accent3 7 9 2 2" xfId="28388"/>
    <cellStyle name="20% - Accent3 7 9 3" xfId="18778"/>
    <cellStyle name="20% - Accent3 8" xfId="1456"/>
    <cellStyle name="20% - Accent3 8 10" xfId="9027"/>
    <cellStyle name="20% - Accent3 8 10 2" xfId="23502"/>
    <cellStyle name="20% - Accent3 8 11" xfId="18779"/>
    <cellStyle name="20% - Accent3 8 2" xfId="1457"/>
    <cellStyle name="20% - Accent3 8 2 2" xfId="1458"/>
    <cellStyle name="20% - Accent3 8 2 2 2" xfId="10753"/>
    <cellStyle name="20% - Accent3 8 2 2 2 2" xfId="24695"/>
    <cellStyle name="20% - Accent3 8 2 2 3" xfId="18781"/>
    <cellStyle name="20% - Accent3 8 2 3" xfId="1459"/>
    <cellStyle name="20% - Accent3 8 2 3 2" xfId="12111"/>
    <cellStyle name="20% - Accent3 8 2 3 2 2" xfId="25823"/>
    <cellStyle name="20% - Accent3 8 2 3 3" xfId="18782"/>
    <cellStyle name="20% - Accent3 8 2 4" xfId="1460"/>
    <cellStyle name="20% - Accent3 8 2 4 2" xfId="14846"/>
    <cellStyle name="20% - Accent3 8 2 4 2 2" xfId="28395"/>
    <cellStyle name="20% - Accent3 8 2 4 3" xfId="18783"/>
    <cellStyle name="20% - Accent3 8 2 5" xfId="1461"/>
    <cellStyle name="20% - Accent3 8 2 5 2" xfId="16714"/>
    <cellStyle name="20% - Accent3 8 2 5 2 2" xfId="30121"/>
    <cellStyle name="20% - Accent3 8 2 5 3" xfId="18784"/>
    <cellStyle name="20% - Accent3 8 2 6" xfId="9028"/>
    <cellStyle name="20% - Accent3 8 2 6 2" xfId="23503"/>
    <cellStyle name="20% - Accent3 8 2 7" xfId="18780"/>
    <cellStyle name="20% - Accent3 8 3" xfId="1462"/>
    <cellStyle name="20% - Accent3 8 3 2" xfId="1463"/>
    <cellStyle name="20% - Accent3 8 3 2 2" xfId="14847"/>
    <cellStyle name="20% - Accent3 8 3 2 2 2" xfId="28396"/>
    <cellStyle name="20% - Accent3 8 3 2 3" xfId="18786"/>
    <cellStyle name="20% - Accent3 8 3 3" xfId="10752"/>
    <cellStyle name="20% - Accent3 8 3 3 2" xfId="24694"/>
    <cellStyle name="20% - Accent3 8 3 4" xfId="18785"/>
    <cellStyle name="20% - Accent3 8 4" xfId="1464"/>
    <cellStyle name="20% - Accent3 8 4 2" xfId="12092"/>
    <cellStyle name="20% - Accent3 8 4 2 2" xfId="25806"/>
    <cellStyle name="20% - Accent3 8 4 3" xfId="18787"/>
    <cellStyle name="20% - Accent3 8 5" xfId="1465"/>
    <cellStyle name="20% - Accent3 8 5 2" xfId="12107"/>
    <cellStyle name="20% - Accent3 8 5 2 2" xfId="25819"/>
    <cellStyle name="20% - Accent3 8 5 3" xfId="18788"/>
    <cellStyle name="20% - Accent3 8 6" xfId="1466"/>
    <cellStyle name="20% - Accent3 8 6 2" xfId="13666"/>
    <cellStyle name="20% - Accent3 8 6 2 2" xfId="27215"/>
    <cellStyle name="20% - Accent3 8 6 3" xfId="18789"/>
    <cellStyle name="20% - Accent3 8 7" xfId="1467"/>
    <cellStyle name="20% - Accent3 8 7 2" xfId="14247"/>
    <cellStyle name="20% - Accent3 8 7 2 2" xfId="27796"/>
    <cellStyle name="20% - Accent3 8 7 3" xfId="18790"/>
    <cellStyle name="20% - Accent3 8 8" xfId="1468"/>
    <cellStyle name="20% - Accent3 8 8 2" xfId="14845"/>
    <cellStyle name="20% - Accent3 8 8 2 2" xfId="28394"/>
    <cellStyle name="20% - Accent3 8 8 3" xfId="18791"/>
    <cellStyle name="20% - Accent3 8 9" xfId="1469"/>
    <cellStyle name="20% - Accent3 8 9 2" xfId="16133"/>
    <cellStyle name="20% - Accent3 8 9 2 2" xfId="29540"/>
    <cellStyle name="20% - Accent3 8 9 3" xfId="18792"/>
    <cellStyle name="20% - Accent3 9" xfId="1470"/>
    <cellStyle name="20% - Accent3 9 2" xfId="1471"/>
    <cellStyle name="20% - Accent3 9 2 2" xfId="10754"/>
    <cellStyle name="20% - Accent3 9 2 2 2" xfId="24696"/>
    <cellStyle name="20% - Accent3 9 2 3" xfId="18794"/>
    <cellStyle name="20% - Accent3 9 3" xfId="1472"/>
    <cellStyle name="20% - Accent3 9 3 2" xfId="11761"/>
    <cellStyle name="20% - Accent3 9 3 2 2" xfId="25476"/>
    <cellStyle name="20% - Accent3 9 3 3" xfId="18795"/>
    <cellStyle name="20% - Accent3 9 4" xfId="1473"/>
    <cellStyle name="20% - Accent3 9 4 2" xfId="14848"/>
    <cellStyle name="20% - Accent3 9 4 2 2" xfId="28397"/>
    <cellStyle name="20% - Accent3 9 4 3" xfId="18796"/>
    <cellStyle name="20% - Accent3 9 5" xfId="1474"/>
    <cellStyle name="20% - Accent3 9 5 2" xfId="17098"/>
    <cellStyle name="20% - Accent3 9 5 2 2" xfId="30457"/>
    <cellStyle name="20% - Accent3 9 5 3" xfId="18797"/>
    <cellStyle name="20% - Accent3 9 6" xfId="9029"/>
    <cellStyle name="20% - Accent3 9 6 2" xfId="23504"/>
    <cellStyle name="20% - Accent3 9 7" xfId="18793"/>
    <cellStyle name="20% - Accent4" xfId="40" builtinId="42" customBuiltin="1"/>
    <cellStyle name="20% - Accent4 10" xfId="1475"/>
    <cellStyle name="20% - Accent4 10 2" xfId="1476"/>
    <cellStyle name="20% - Accent4 10 2 2" xfId="1477"/>
    <cellStyle name="20% - Accent4 10 2 2 2" xfId="12458"/>
    <cellStyle name="20% - Accent4 10 2 2 2 2" xfId="26170"/>
    <cellStyle name="20% - Accent4 10 2 2 3" xfId="18800"/>
    <cellStyle name="20% - Accent4 10 2 3" xfId="1478"/>
    <cellStyle name="20% - Accent4 10 2 3 2" xfId="14851"/>
    <cellStyle name="20% - Accent4 10 2 3 2 2" xfId="28400"/>
    <cellStyle name="20% - Accent4 10 2 3 3" xfId="18801"/>
    <cellStyle name="20% - Accent4 10 2 4" xfId="10756"/>
    <cellStyle name="20% - Accent4 10 2 4 2" xfId="24698"/>
    <cellStyle name="20% - Accent4 10 2 5" xfId="18799"/>
    <cellStyle name="20% - Accent4 10 3" xfId="1479"/>
    <cellStyle name="20% - Accent4 10 3 2" xfId="12697"/>
    <cellStyle name="20% - Accent4 10 3 2 2" xfId="26409"/>
    <cellStyle name="20% - Accent4 10 3 3" xfId="18802"/>
    <cellStyle name="20% - Accent4 10 4" xfId="1480"/>
    <cellStyle name="20% - Accent4 10 4 2" xfId="14850"/>
    <cellStyle name="20% - Accent4 10 4 2 2" xfId="28399"/>
    <cellStyle name="20% - Accent4 10 4 3" xfId="18803"/>
    <cellStyle name="20% - Accent4 10 5" xfId="1481"/>
    <cellStyle name="20% - Accent4 10 5 2" xfId="17188"/>
    <cellStyle name="20% - Accent4 10 5 2 2" xfId="30547"/>
    <cellStyle name="20% - Accent4 10 5 3" xfId="18804"/>
    <cellStyle name="20% - Accent4 10 6" xfId="9031"/>
    <cellStyle name="20% - Accent4 10 6 2" xfId="23506"/>
    <cellStyle name="20% - Accent4 10 7" xfId="18798"/>
    <cellStyle name="20% - Accent4 11" xfId="1482"/>
    <cellStyle name="20% - Accent4 11 2" xfId="1483"/>
    <cellStyle name="20% - Accent4 11 2 2" xfId="10757"/>
    <cellStyle name="20% - Accent4 11 2 2 2" xfId="24699"/>
    <cellStyle name="20% - Accent4 11 2 3" xfId="18806"/>
    <cellStyle name="20% - Accent4 11 3" xfId="1484"/>
    <cellStyle name="20% - Accent4 11 3 2" xfId="12588"/>
    <cellStyle name="20% - Accent4 11 3 2 2" xfId="26300"/>
    <cellStyle name="20% - Accent4 11 3 3" xfId="18807"/>
    <cellStyle name="20% - Accent4 11 4" xfId="1485"/>
    <cellStyle name="20% - Accent4 11 4 2" xfId="14852"/>
    <cellStyle name="20% - Accent4 11 4 2 2" xfId="28401"/>
    <cellStyle name="20% - Accent4 11 4 3" xfId="18808"/>
    <cellStyle name="20% - Accent4 11 5" xfId="1486"/>
    <cellStyle name="20% - Accent4 11 5 2" xfId="17277"/>
    <cellStyle name="20% - Accent4 11 5 2 2" xfId="30636"/>
    <cellStyle name="20% - Accent4 11 5 3" xfId="18809"/>
    <cellStyle name="20% - Accent4 11 6" xfId="9032"/>
    <cellStyle name="20% - Accent4 11 6 2" xfId="23507"/>
    <cellStyle name="20% - Accent4 11 7" xfId="18805"/>
    <cellStyle name="20% - Accent4 12" xfId="1487"/>
    <cellStyle name="20% - Accent4 12 2" xfId="1488"/>
    <cellStyle name="20% - Accent4 12 2 2" xfId="1489"/>
    <cellStyle name="20% - Accent4 12 2 2 2" xfId="10759"/>
    <cellStyle name="20% - Accent4 12 2 2 2 2" xfId="24701"/>
    <cellStyle name="20% - Accent4 12 2 2 3" xfId="18812"/>
    <cellStyle name="20% - Accent4 12 2 3" xfId="1490"/>
    <cellStyle name="20% - Accent4 12 2 3 2" xfId="12773"/>
    <cellStyle name="20% - Accent4 12 2 3 2 2" xfId="26485"/>
    <cellStyle name="20% - Accent4 12 2 3 3" xfId="18813"/>
    <cellStyle name="20% - Accent4 12 2 4" xfId="1491"/>
    <cellStyle name="20% - Accent4 12 2 4 2" xfId="14854"/>
    <cellStyle name="20% - Accent4 12 2 4 2 2" xfId="28403"/>
    <cellStyle name="20% - Accent4 12 2 4 3" xfId="18814"/>
    <cellStyle name="20% - Accent4 12 2 5" xfId="9034"/>
    <cellStyle name="20% - Accent4 12 2 5 2" xfId="23509"/>
    <cellStyle name="20% - Accent4 12 2 6" xfId="18811"/>
    <cellStyle name="20% - Accent4 12 3" xfId="1492"/>
    <cellStyle name="20% - Accent4 12 3 2" xfId="10758"/>
    <cellStyle name="20% - Accent4 12 3 2 2" xfId="24700"/>
    <cellStyle name="20% - Accent4 12 3 3" xfId="18815"/>
    <cellStyle name="20% - Accent4 12 4" xfId="1493"/>
    <cellStyle name="20% - Accent4 12 4 2" xfId="12465"/>
    <cellStyle name="20% - Accent4 12 4 2 2" xfId="26177"/>
    <cellStyle name="20% - Accent4 12 4 3" xfId="18816"/>
    <cellStyle name="20% - Accent4 12 5" xfId="1494"/>
    <cellStyle name="20% - Accent4 12 5 2" xfId="14853"/>
    <cellStyle name="20% - Accent4 12 5 2 2" xfId="28402"/>
    <cellStyle name="20% - Accent4 12 5 3" xfId="18817"/>
    <cellStyle name="20% - Accent4 12 6" xfId="1495"/>
    <cellStyle name="20% - Accent4 12 6 2" xfId="16429"/>
    <cellStyle name="20% - Accent4 12 6 2 2" xfId="29836"/>
    <cellStyle name="20% - Accent4 12 6 3" xfId="18818"/>
    <cellStyle name="20% - Accent4 12 7" xfId="9033"/>
    <cellStyle name="20% - Accent4 12 7 2" xfId="23508"/>
    <cellStyle name="20% - Accent4 12 8" xfId="18810"/>
    <cellStyle name="20% - Accent4 13" xfId="1496"/>
    <cellStyle name="20% - Accent4 13 2" xfId="1497"/>
    <cellStyle name="20% - Accent4 13 2 2" xfId="10760"/>
    <cellStyle name="20% - Accent4 13 2 2 2" xfId="24702"/>
    <cellStyle name="20% - Accent4 13 2 3" xfId="18820"/>
    <cellStyle name="20% - Accent4 13 3" xfId="1498"/>
    <cellStyle name="20% - Accent4 13 3 2" xfId="12484"/>
    <cellStyle name="20% - Accent4 13 3 2 2" xfId="26196"/>
    <cellStyle name="20% - Accent4 13 3 3" xfId="18821"/>
    <cellStyle name="20% - Accent4 13 4" xfId="1499"/>
    <cellStyle name="20% - Accent4 13 4 2" xfId="14855"/>
    <cellStyle name="20% - Accent4 13 4 2 2" xfId="28404"/>
    <cellStyle name="20% - Accent4 13 4 3" xfId="18822"/>
    <cellStyle name="20% - Accent4 13 5" xfId="9035"/>
    <cellStyle name="20% - Accent4 13 5 2" xfId="23510"/>
    <cellStyle name="20% - Accent4 13 6" xfId="18819"/>
    <cellStyle name="20% - Accent4 14" xfId="1500"/>
    <cellStyle name="20% - Accent4 14 2" xfId="1501"/>
    <cellStyle name="20% - Accent4 14 2 2" xfId="10761"/>
    <cellStyle name="20% - Accent4 14 2 2 2" xfId="24703"/>
    <cellStyle name="20% - Accent4 14 2 3" xfId="18824"/>
    <cellStyle name="20% - Accent4 14 3" xfId="1502"/>
    <cellStyle name="20% - Accent4 14 3 2" xfId="12575"/>
    <cellStyle name="20% - Accent4 14 3 2 2" xfId="26287"/>
    <cellStyle name="20% - Accent4 14 3 3" xfId="18825"/>
    <cellStyle name="20% - Accent4 14 4" xfId="1503"/>
    <cellStyle name="20% - Accent4 14 4 2" xfId="14856"/>
    <cellStyle name="20% - Accent4 14 4 2 2" xfId="28405"/>
    <cellStyle name="20% - Accent4 14 4 3" xfId="18826"/>
    <cellStyle name="20% - Accent4 14 5" xfId="9036"/>
    <cellStyle name="20% - Accent4 14 5 2" xfId="23511"/>
    <cellStyle name="20% - Accent4 14 6" xfId="18823"/>
    <cellStyle name="20% - Accent4 15" xfId="1504"/>
    <cellStyle name="20% - Accent4 15 2" xfId="1505"/>
    <cellStyle name="20% - Accent4 15 2 2" xfId="10762"/>
    <cellStyle name="20% - Accent4 15 2 2 2" xfId="24704"/>
    <cellStyle name="20% - Accent4 15 2 3" xfId="18828"/>
    <cellStyle name="20% - Accent4 15 3" xfId="1506"/>
    <cellStyle name="20% - Accent4 15 3 2" xfId="12491"/>
    <cellStyle name="20% - Accent4 15 3 2 2" xfId="26203"/>
    <cellStyle name="20% - Accent4 15 3 3" xfId="18829"/>
    <cellStyle name="20% - Accent4 15 4" xfId="1507"/>
    <cellStyle name="20% - Accent4 15 4 2" xfId="14857"/>
    <cellStyle name="20% - Accent4 15 4 2 2" xfId="28406"/>
    <cellStyle name="20% - Accent4 15 4 3" xfId="18830"/>
    <cellStyle name="20% - Accent4 15 5" xfId="9037"/>
    <cellStyle name="20% - Accent4 15 5 2" xfId="23512"/>
    <cellStyle name="20% - Accent4 15 6" xfId="18827"/>
    <cellStyle name="20% - Accent4 16" xfId="1508"/>
    <cellStyle name="20% - Accent4 16 2" xfId="1509"/>
    <cellStyle name="20% - Accent4 16 2 2" xfId="10763"/>
    <cellStyle name="20% - Accent4 16 2 2 2" xfId="24705"/>
    <cellStyle name="20% - Accent4 16 2 3" xfId="18832"/>
    <cellStyle name="20% - Accent4 16 3" xfId="1510"/>
    <cellStyle name="20% - Accent4 16 3 2" xfId="12741"/>
    <cellStyle name="20% - Accent4 16 3 2 2" xfId="26453"/>
    <cellStyle name="20% - Accent4 16 3 3" xfId="18833"/>
    <cellStyle name="20% - Accent4 16 4" xfId="1511"/>
    <cellStyle name="20% - Accent4 16 4 2" xfId="14858"/>
    <cellStyle name="20% - Accent4 16 4 2 2" xfId="28407"/>
    <cellStyle name="20% - Accent4 16 4 3" xfId="18834"/>
    <cellStyle name="20% - Accent4 16 5" xfId="9038"/>
    <cellStyle name="20% - Accent4 16 5 2" xfId="23513"/>
    <cellStyle name="20% - Accent4 16 6" xfId="18831"/>
    <cellStyle name="20% - Accent4 17" xfId="1512"/>
    <cellStyle name="20% - Accent4 17 2" xfId="1513"/>
    <cellStyle name="20% - Accent4 17 2 2" xfId="10764"/>
    <cellStyle name="20% - Accent4 17 2 2 2" xfId="24706"/>
    <cellStyle name="20% - Accent4 17 2 3" xfId="18836"/>
    <cellStyle name="20% - Accent4 17 3" xfId="1514"/>
    <cellStyle name="20% - Accent4 17 3 2" xfId="12779"/>
    <cellStyle name="20% - Accent4 17 3 2 2" xfId="26491"/>
    <cellStyle name="20% - Accent4 17 3 3" xfId="18837"/>
    <cellStyle name="20% - Accent4 17 4" xfId="1515"/>
    <cellStyle name="20% - Accent4 17 4 2" xfId="14859"/>
    <cellStyle name="20% - Accent4 17 4 2 2" xfId="28408"/>
    <cellStyle name="20% - Accent4 17 4 3" xfId="18838"/>
    <cellStyle name="20% - Accent4 17 5" xfId="9039"/>
    <cellStyle name="20% - Accent4 17 5 2" xfId="23514"/>
    <cellStyle name="20% - Accent4 17 6" xfId="18835"/>
    <cellStyle name="20% - Accent4 18" xfId="1516"/>
    <cellStyle name="20% - Accent4 18 2" xfId="1517"/>
    <cellStyle name="20% - Accent4 18 2 2" xfId="10765"/>
    <cellStyle name="20% - Accent4 18 2 2 2" xfId="24707"/>
    <cellStyle name="20% - Accent4 18 2 3" xfId="18840"/>
    <cellStyle name="20% - Accent4 18 3" xfId="1518"/>
    <cellStyle name="20% - Accent4 18 3 2" xfId="12490"/>
    <cellStyle name="20% - Accent4 18 3 2 2" xfId="26202"/>
    <cellStyle name="20% - Accent4 18 3 3" xfId="18841"/>
    <cellStyle name="20% - Accent4 18 4" xfId="1519"/>
    <cellStyle name="20% - Accent4 18 4 2" xfId="14860"/>
    <cellStyle name="20% - Accent4 18 4 2 2" xfId="28409"/>
    <cellStyle name="20% - Accent4 18 4 3" xfId="18842"/>
    <cellStyle name="20% - Accent4 18 5" xfId="9040"/>
    <cellStyle name="20% - Accent4 18 5 2" xfId="23515"/>
    <cellStyle name="20% - Accent4 18 6" xfId="18839"/>
    <cellStyle name="20% - Accent4 19" xfId="1520"/>
    <cellStyle name="20% - Accent4 19 2" xfId="1521"/>
    <cellStyle name="20% - Accent4 19 2 2" xfId="11713"/>
    <cellStyle name="20% - Accent4 19 2 2 2" xfId="25433"/>
    <cellStyle name="20% - Accent4 19 2 3" xfId="18844"/>
    <cellStyle name="20% - Accent4 19 3" xfId="1522"/>
    <cellStyle name="20% - Accent4 19 3 2" xfId="12450"/>
    <cellStyle name="20% - Accent4 19 3 2 2" xfId="26162"/>
    <cellStyle name="20% - Accent4 19 3 3" xfId="18845"/>
    <cellStyle name="20% - Accent4 19 4" xfId="1523"/>
    <cellStyle name="20% - Accent4 19 4 2" xfId="14861"/>
    <cellStyle name="20% - Accent4 19 4 2 2" xfId="28410"/>
    <cellStyle name="20% - Accent4 19 4 3" xfId="18846"/>
    <cellStyle name="20% - Accent4 19 5" xfId="10465"/>
    <cellStyle name="20% - Accent4 19 5 2" xfId="24424"/>
    <cellStyle name="20% - Accent4 19 6" xfId="18843"/>
    <cellStyle name="20% - Accent4 2" xfId="1524"/>
    <cellStyle name="20% - Accent4 2 10" xfId="1525"/>
    <cellStyle name="20% - Accent4 2 10 2" xfId="1526"/>
    <cellStyle name="20% - Accent4 2 10 2 2" xfId="14863"/>
    <cellStyle name="20% - Accent4 2 10 2 2 2" xfId="28412"/>
    <cellStyle name="20% - Accent4 2 10 2 3" xfId="18849"/>
    <cellStyle name="20% - Accent4 2 10 3" xfId="11842"/>
    <cellStyle name="20% - Accent4 2 10 3 2" xfId="25557"/>
    <cellStyle name="20% - Accent4 2 10 4" xfId="18848"/>
    <cellStyle name="20% - Accent4 2 11" xfId="1527"/>
    <cellStyle name="20% - Accent4 2 11 2" xfId="12543"/>
    <cellStyle name="20% - Accent4 2 11 2 2" xfId="26255"/>
    <cellStyle name="20% - Accent4 2 11 3" xfId="18850"/>
    <cellStyle name="20% - Accent4 2 12" xfId="1528"/>
    <cellStyle name="20% - Accent4 2 12 2" xfId="13441"/>
    <cellStyle name="20% - Accent4 2 12 2 2" xfId="26990"/>
    <cellStyle name="20% - Accent4 2 12 3" xfId="18851"/>
    <cellStyle name="20% - Accent4 2 13" xfId="1529"/>
    <cellStyle name="20% - Accent4 2 13 2" xfId="14022"/>
    <cellStyle name="20% - Accent4 2 13 2 2" xfId="27571"/>
    <cellStyle name="20% - Accent4 2 13 3" xfId="18852"/>
    <cellStyle name="20% - Accent4 2 14" xfId="1530"/>
    <cellStyle name="20% - Accent4 2 14 2" xfId="14862"/>
    <cellStyle name="20% - Accent4 2 14 2 2" xfId="28411"/>
    <cellStyle name="20% - Accent4 2 14 3" xfId="18853"/>
    <cellStyle name="20% - Accent4 2 15" xfId="1531"/>
    <cellStyle name="20% - Accent4 2 15 2" xfId="15908"/>
    <cellStyle name="20% - Accent4 2 15 2 2" xfId="29315"/>
    <cellStyle name="20% - Accent4 2 15 3" xfId="18854"/>
    <cellStyle name="20% - Accent4 2 16" xfId="9041"/>
    <cellStyle name="20% - Accent4 2 16 2" xfId="23516"/>
    <cellStyle name="20% - Accent4 2 17" xfId="18847"/>
    <cellStyle name="20% - Accent4 2 18" xfId="33074"/>
    <cellStyle name="20% - Accent4 2 2" xfId="1532"/>
    <cellStyle name="20% - Accent4 2 2 10" xfId="1533"/>
    <cellStyle name="20% - Accent4 2 2 10 2" xfId="14864"/>
    <cellStyle name="20% - Accent4 2 2 10 2 2" xfId="28413"/>
    <cellStyle name="20% - Accent4 2 2 10 3" xfId="18856"/>
    <cellStyle name="20% - Accent4 2 2 11" xfId="1534"/>
    <cellStyle name="20% - Accent4 2 2 11 2" xfId="15954"/>
    <cellStyle name="20% - Accent4 2 2 11 2 2" xfId="29361"/>
    <cellStyle name="20% - Accent4 2 2 11 3" xfId="18857"/>
    <cellStyle name="20% - Accent4 2 2 12" xfId="9042"/>
    <cellStyle name="20% - Accent4 2 2 12 2" xfId="23517"/>
    <cellStyle name="20% - Accent4 2 2 13" xfId="18855"/>
    <cellStyle name="20% - Accent4 2 2 2" xfId="1535"/>
    <cellStyle name="20% - Accent4 2 2 2 10" xfId="1536"/>
    <cellStyle name="20% - Accent4 2 2 2 10 2" xfId="16097"/>
    <cellStyle name="20% - Accent4 2 2 2 10 2 2" xfId="29504"/>
    <cellStyle name="20% - Accent4 2 2 2 10 3" xfId="18859"/>
    <cellStyle name="20% - Accent4 2 2 2 11" xfId="9043"/>
    <cellStyle name="20% - Accent4 2 2 2 11 2" xfId="23518"/>
    <cellStyle name="20% - Accent4 2 2 2 12" xfId="18858"/>
    <cellStyle name="20% - Accent4 2 2 2 2" xfId="1537"/>
    <cellStyle name="20% - Accent4 2 2 2 2 10" xfId="9044"/>
    <cellStyle name="20% - Accent4 2 2 2 2 10 2" xfId="23519"/>
    <cellStyle name="20% - Accent4 2 2 2 2 11" xfId="18860"/>
    <cellStyle name="20% - Accent4 2 2 2 2 2" xfId="1538"/>
    <cellStyle name="20% - Accent4 2 2 2 2 2 2" xfId="1539"/>
    <cellStyle name="20% - Accent4 2 2 2 2 2 2 2" xfId="10770"/>
    <cellStyle name="20% - Accent4 2 2 2 2 2 2 2 2" xfId="24712"/>
    <cellStyle name="20% - Accent4 2 2 2 2 2 2 3" xfId="18862"/>
    <cellStyle name="20% - Accent4 2 2 2 2 2 3" xfId="1540"/>
    <cellStyle name="20% - Accent4 2 2 2 2 2 3 2" xfId="12623"/>
    <cellStyle name="20% - Accent4 2 2 2 2 2 3 2 2" xfId="26335"/>
    <cellStyle name="20% - Accent4 2 2 2 2 2 3 3" xfId="18863"/>
    <cellStyle name="20% - Accent4 2 2 2 2 2 4" xfId="1541"/>
    <cellStyle name="20% - Accent4 2 2 2 2 2 4 2" xfId="14867"/>
    <cellStyle name="20% - Accent4 2 2 2 2 2 4 2 2" xfId="28416"/>
    <cellStyle name="20% - Accent4 2 2 2 2 2 4 3" xfId="18864"/>
    <cellStyle name="20% - Accent4 2 2 2 2 2 5" xfId="1542"/>
    <cellStyle name="20% - Accent4 2 2 2 2 2 5 2" xfId="16967"/>
    <cellStyle name="20% - Accent4 2 2 2 2 2 5 2 2" xfId="30374"/>
    <cellStyle name="20% - Accent4 2 2 2 2 2 5 3" xfId="18865"/>
    <cellStyle name="20% - Accent4 2 2 2 2 2 6" xfId="9045"/>
    <cellStyle name="20% - Accent4 2 2 2 2 2 6 2" xfId="23520"/>
    <cellStyle name="20% - Accent4 2 2 2 2 2 7" xfId="18861"/>
    <cellStyle name="20% - Accent4 2 2 2 2 3" xfId="1543"/>
    <cellStyle name="20% - Accent4 2 2 2 2 3 2" xfId="1544"/>
    <cellStyle name="20% - Accent4 2 2 2 2 3 2 2" xfId="14868"/>
    <cellStyle name="20% - Accent4 2 2 2 2 3 2 2 2" xfId="28417"/>
    <cellStyle name="20% - Accent4 2 2 2 2 3 2 3" xfId="18867"/>
    <cellStyle name="20% - Accent4 2 2 2 2 3 3" xfId="10769"/>
    <cellStyle name="20% - Accent4 2 2 2 2 3 3 2" xfId="24711"/>
    <cellStyle name="20% - Accent4 2 2 2 2 3 4" xfId="18866"/>
    <cellStyle name="20% - Accent4 2 2 2 2 4" xfId="1545"/>
    <cellStyle name="20% - Accent4 2 2 2 2 4 2" xfId="12355"/>
    <cellStyle name="20% - Accent4 2 2 2 2 4 2 2" xfId="26067"/>
    <cellStyle name="20% - Accent4 2 2 2 2 4 3" xfId="18868"/>
    <cellStyle name="20% - Accent4 2 2 2 2 5" xfId="1546"/>
    <cellStyle name="20% - Accent4 2 2 2 2 5 2" xfId="11850"/>
    <cellStyle name="20% - Accent4 2 2 2 2 5 2 2" xfId="25565"/>
    <cellStyle name="20% - Accent4 2 2 2 2 5 3" xfId="18869"/>
    <cellStyle name="20% - Accent4 2 2 2 2 6" xfId="1547"/>
    <cellStyle name="20% - Accent4 2 2 2 2 6 2" xfId="13919"/>
    <cellStyle name="20% - Accent4 2 2 2 2 6 2 2" xfId="27468"/>
    <cellStyle name="20% - Accent4 2 2 2 2 6 3" xfId="18870"/>
    <cellStyle name="20% - Accent4 2 2 2 2 7" xfId="1548"/>
    <cellStyle name="20% - Accent4 2 2 2 2 7 2" xfId="14500"/>
    <cellStyle name="20% - Accent4 2 2 2 2 7 2 2" xfId="28049"/>
    <cellStyle name="20% - Accent4 2 2 2 2 7 3" xfId="18871"/>
    <cellStyle name="20% - Accent4 2 2 2 2 8" xfId="1549"/>
    <cellStyle name="20% - Accent4 2 2 2 2 8 2" xfId="14866"/>
    <cellStyle name="20% - Accent4 2 2 2 2 8 2 2" xfId="28415"/>
    <cellStyle name="20% - Accent4 2 2 2 2 8 3" xfId="18872"/>
    <cellStyle name="20% - Accent4 2 2 2 2 9" xfId="1550"/>
    <cellStyle name="20% - Accent4 2 2 2 2 9 2" xfId="16386"/>
    <cellStyle name="20% - Accent4 2 2 2 2 9 2 2" xfId="29793"/>
    <cellStyle name="20% - Accent4 2 2 2 2 9 3" xfId="18873"/>
    <cellStyle name="20% - Accent4 2 2 2 3" xfId="1551"/>
    <cellStyle name="20% - Accent4 2 2 2 3 2" xfId="1552"/>
    <cellStyle name="20% - Accent4 2 2 2 3 2 2" xfId="10771"/>
    <cellStyle name="20% - Accent4 2 2 2 3 2 2 2" xfId="24713"/>
    <cellStyle name="20% - Accent4 2 2 2 3 2 3" xfId="18875"/>
    <cellStyle name="20% - Accent4 2 2 2 3 3" xfId="1553"/>
    <cellStyle name="20% - Accent4 2 2 2 3 3 2" xfId="11754"/>
    <cellStyle name="20% - Accent4 2 2 2 3 3 2 2" xfId="25469"/>
    <cellStyle name="20% - Accent4 2 2 2 3 3 3" xfId="18876"/>
    <cellStyle name="20% - Accent4 2 2 2 3 4" xfId="1554"/>
    <cellStyle name="20% - Accent4 2 2 2 3 4 2" xfId="14869"/>
    <cellStyle name="20% - Accent4 2 2 2 3 4 2 2" xfId="28418"/>
    <cellStyle name="20% - Accent4 2 2 2 3 4 3" xfId="18877"/>
    <cellStyle name="20% - Accent4 2 2 2 3 5" xfId="1555"/>
    <cellStyle name="20% - Accent4 2 2 2 3 5 2" xfId="16678"/>
    <cellStyle name="20% - Accent4 2 2 2 3 5 2 2" xfId="30085"/>
    <cellStyle name="20% - Accent4 2 2 2 3 5 3" xfId="18878"/>
    <cellStyle name="20% - Accent4 2 2 2 3 6" xfId="9046"/>
    <cellStyle name="20% - Accent4 2 2 2 3 6 2" xfId="23521"/>
    <cellStyle name="20% - Accent4 2 2 2 3 7" xfId="18874"/>
    <cellStyle name="20% - Accent4 2 2 2 4" xfId="1556"/>
    <cellStyle name="20% - Accent4 2 2 2 4 2" xfId="1557"/>
    <cellStyle name="20% - Accent4 2 2 2 4 2 2" xfId="14870"/>
    <cellStyle name="20% - Accent4 2 2 2 4 2 2 2" xfId="28419"/>
    <cellStyle name="20% - Accent4 2 2 2 4 2 3" xfId="18880"/>
    <cellStyle name="20% - Accent4 2 2 2 4 3" xfId="10768"/>
    <cellStyle name="20% - Accent4 2 2 2 4 3 2" xfId="24710"/>
    <cellStyle name="20% - Accent4 2 2 2 4 4" xfId="18879"/>
    <cellStyle name="20% - Accent4 2 2 2 5" xfId="1558"/>
    <cellStyle name="20% - Accent4 2 2 2 5 2" xfId="12055"/>
    <cellStyle name="20% - Accent4 2 2 2 5 2 2" xfId="25770"/>
    <cellStyle name="20% - Accent4 2 2 2 5 3" xfId="18881"/>
    <cellStyle name="20% - Accent4 2 2 2 6" xfId="1559"/>
    <cellStyle name="20% - Accent4 2 2 2 6 2" xfId="12488"/>
    <cellStyle name="20% - Accent4 2 2 2 6 2 2" xfId="26200"/>
    <cellStyle name="20% - Accent4 2 2 2 6 3" xfId="18882"/>
    <cellStyle name="20% - Accent4 2 2 2 7" xfId="1560"/>
    <cellStyle name="20% - Accent4 2 2 2 7 2" xfId="13630"/>
    <cellStyle name="20% - Accent4 2 2 2 7 2 2" xfId="27179"/>
    <cellStyle name="20% - Accent4 2 2 2 7 3" xfId="18883"/>
    <cellStyle name="20% - Accent4 2 2 2 8" xfId="1561"/>
    <cellStyle name="20% - Accent4 2 2 2 8 2" xfId="14211"/>
    <cellStyle name="20% - Accent4 2 2 2 8 2 2" xfId="27760"/>
    <cellStyle name="20% - Accent4 2 2 2 8 3" xfId="18884"/>
    <cellStyle name="20% - Accent4 2 2 2 9" xfId="1562"/>
    <cellStyle name="20% - Accent4 2 2 2 9 2" xfId="14865"/>
    <cellStyle name="20% - Accent4 2 2 2 9 2 2" xfId="28414"/>
    <cellStyle name="20% - Accent4 2 2 2 9 3" xfId="18885"/>
    <cellStyle name="20% - Accent4 2 2 3" xfId="1563"/>
    <cellStyle name="20% - Accent4 2 2 3 10" xfId="9047"/>
    <cellStyle name="20% - Accent4 2 2 3 10 2" xfId="23522"/>
    <cellStyle name="20% - Accent4 2 2 3 11" xfId="18886"/>
    <cellStyle name="20% - Accent4 2 2 3 2" xfId="1564"/>
    <cellStyle name="20% - Accent4 2 2 3 2 2" xfId="1565"/>
    <cellStyle name="20% - Accent4 2 2 3 2 2 2" xfId="10773"/>
    <cellStyle name="20% - Accent4 2 2 3 2 2 2 2" xfId="24715"/>
    <cellStyle name="20% - Accent4 2 2 3 2 2 3" xfId="18888"/>
    <cellStyle name="20% - Accent4 2 2 3 2 3" xfId="1566"/>
    <cellStyle name="20% - Accent4 2 2 3 2 3 2" xfId="11775"/>
    <cellStyle name="20% - Accent4 2 2 3 2 3 2 2" xfId="25490"/>
    <cellStyle name="20% - Accent4 2 2 3 2 3 3" xfId="18889"/>
    <cellStyle name="20% - Accent4 2 2 3 2 4" xfId="1567"/>
    <cellStyle name="20% - Accent4 2 2 3 2 4 2" xfId="14872"/>
    <cellStyle name="20% - Accent4 2 2 3 2 4 2 2" xfId="28421"/>
    <cellStyle name="20% - Accent4 2 2 3 2 4 3" xfId="18890"/>
    <cellStyle name="20% - Accent4 2 2 3 2 5" xfId="1568"/>
    <cellStyle name="20% - Accent4 2 2 3 2 5 2" xfId="16824"/>
    <cellStyle name="20% - Accent4 2 2 3 2 5 2 2" xfId="30231"/>
    <cellStyle name="20% - Accent4 2 2 3 2 5 3" xfId="18891"/>
    <cellStyle name="20% - Accent4 2 2 3 2 6" xfId="9048"/>
    <cellStyle name="20% - Accent4 2 2 3 2 6 2" xfId="23523"/>
    <cellStyle name="20% - Accent4 2 2 3 2 7" xfId="18887"/>
    <cellStyle name="20% - Accent4 2 2 3 3" xfId="1569"/>
    <cellStyle name="20% - Accent4 2 2 3 3 2" xfId="1570"/>
    <cellStyle name="20% - Accent4 2 2 3 3 2 2" xfId="14873"/>
    <cellStyle name="20% - Accent4 2 2 3 3 2 2 2" xfId="28422"/>
    <cellStyle name="20% - Accent4 2 2 3 3 2 3" xfId="18893"/>
    <cellStyle name="20% - Accent4 2 2 3 3 3" xfId="10772"/>
    <cellStyle name="20% - Accent4 2 2 3 3 3 2" xfId="24714"/>
    <cellStyle name="20% - Accent4 2 2 3 3 4" xfId="18892"/>
    <cellStyle name="20% - Accent4 2 2 3 4" xfId="1571"/>
    <cellStyle name="20% - Accent4 2 2 3 4 2" xfId="12212"/>
    <cellStyle name="20% - Accent4 2 2 3 4 2 2" xfId="25924"/>
    <cellStyle name="20% - Accent4 2 2 3 4 3" xfId="18894"/>
    <cellStyle name="20% - Accent4 2 2 3 5" xfId="1572"/>
    <cellStyle name="20% - Accent4 2 2 3 5 2" xfId="12535"/>
    <cellStyle name="20% - Accent4 2 2 3 5 2 2" xfId="26247"/>
    <cellStyle name="20% - Accent4 2 2 3 5 3" xfId="18895"/>
    <cellStyle name="20% - Accent4 2 2 3 6" xfId="1573"/>
    <cellStyle name="20% - Accent4 2 2 3 6 2" xfId="13776"/>
    <cellStyle name="20% - Accent4 2 2 3 6 2 2" xfId="27325"/>
    <cellStyle name="20% - Accent4 2 2 3 6 3" xfId="18896"/>
    <cellStyle name="20% - Accent4 2 2 3 7" xfId="1574"/>
    <cellStyle name="20% - Accent4 2 2 3 7 2" xfId="14357"/>
    <cellStyle name="20% - Accent4 2 2 3 7 2 2" xfId="27906"/>
    <cellStyle name="20% - Accent4 2 2 3 7 3" xfId="18897"/>
    <cellStyle name="20% - Accent4 2 2 3 8" xfId="1575"/>
    <cellStyle name="20% - Accent4 2 2 3 8 2" xfId="14871"/>
    <cellStyle name="20% - Accent4 2 2 3 8 2 2" xfId="28420"/>
    <cellStyle name="20% - Accent4 2 2 3 8 3" xfId="18898"/>
    <cellStyle name="20% - Accent4 2 2 3 9" xfId="1576"/>
    <cellStyle name="20% - Accent4 2 2 3 9 2" xfId="16243"/>
    <cellStyle name="20% - Accent4 2 2 3 9 2 2" xfId="29650"/>
    <cellStyle name="20% - Accent4 2 2 3 9 3" xfId="18899"/>
    <cellStyle name="20% - Accent4 2 2 4" xfId="1577"/>
    <cellStyle name="20% - Accent4 2 2 4 2" xfId="1578"/>
    <cellStyle name="20% - Accent4 2 2 4 2 2" xfId="10774"/>
    <cellStyle name="20% - Accent4 2 2 4 2 2 2" xfId="24716"/>
    <cellStyle name="20% - Accent4 2 2 4 2 3" xfId="18901"/>
    <cellStyle name="20% - Accent4 2 2 4 3" xfId="1579"/>
    <cellStyle name="20% - Accent4 2 2 4 3 2" xfId="12747"/>
    <cellStyle name="20% - Accent4 2 2 4 3 2 2" xfId="26459"/>
    <cellStyle name="20% - Accent4 2 2 4 3 3" xfId="18902"/>
    <cellStyle name="20% - Accent4 2 2 4 4" xfId="1580"/>
    <cellStyle name="20% - Accent4 2 2 4 4 2" xfId="14874"/>
    <cellStyle name="20% - Accent4 2 2 4 4 2 2" xfId="28423"/>
    <cellStyle name="20% - Accent4 2 2 4 4 3" xfId="18903"/>
    <cellStyle name="20% - Accent4 2 2 4 5" xfId="1581"/>
    <cellStyle name="20% - Accent4 2 2 4 5 2" xfId="17171"/>
    <cellStyle name="20% - Accent4 2 2 4 5 2 2" xfId="30530"/>
    <cellStyle name="20% - Accent4 2 2 4 5 3" xfId="18904"/>
    <cellStyle name="20% - Accent4 2 2 4 6" xfId="9049"/>
    <cellStyle name="20% - Accent4 2 2 4 6 2" xfId="23524"/>
    <cellStyle name="20% - Accent4 2 2 4 7" xfId="18900"/>
    <cellStyle name="20% - Accent4 2 2 5" xfId="1582"/>
    <cellStyle name="20% - Accent4 2 2 5 2" xfId="1583"/>
    <cellStyle name="20% - Accent4 2 2 5 2 2" xfId="14875"/>
    <cellStyle name="20% - Accent4 2 2 5 2 2 2" xfId="28424"/>
    <cellStyle name="20% - Accent4 2 2 5 2 3" xfId="18906"/>
    <cellStyle name="20% - Accent4 2 2 5 3" xfId="1584"/>
    <cellStyle name="20% - Accent4 2 2 5 3 2" xfId="17260"/>
    <cellStyle name="20% - Accent4 2 2 5 3 2 2" xfId="30619"/>
    <cellStyle name="20% - Accent4 2 2 5 3 3" xfId="18907"/>
    <cellStyle name="20% - Accent4 2 2 5 4" xfId="10767"/>
    <cellStyle name="20% - Accent4 2 2 5 4 2" xfId="24709"/>
    <cellStyle name="20% - Accent4 2 2 5 5" xfId="18905"/>
    <cellStyle name="20% - Accent4 2 2 6" xfId="1585"/>
    <cellStyle name="20% - Accent4 2 2 6 2" xfId="1586"/>
    <cellStyle name="20% - Accent4 2 2 6 2 2" xfId="16535"/>
    <cellStyle name="20% - Accent4 2 2 6 2 2 2" xfId="29942"/>
    <cellStyle name="20% - Accent4 2 2 6 2 3" xfId="18909"/>
    <cellStyle name="20% - Accent4 2 2 6 3" xfId="11910"/>
    <cellStyle name="20% - Accent4 2 2 6 3 2" xfId="25625"/>
    <cellStyle name="20% - Accent4 2 2 6 4" xfId="18908"/>
    <cellStyle name="20% - Accent4 2 2 7" xfId="1587"/>
    <cellStyle name="20% - Accent4 2 2 7 2" xfId="12397"/>
    <cellStyle name="20% - Accent4 2 2 7 2 2" xfId="26109"/>
    <cellStyle name="20% - Accent4 2 2 7 3" xfId="18910"/>
    <cellStyle name="20% - Accent4 2 2 8" xfId="1588"/>
    <cellStyle name="20% - Accent4 2 2 8 2" xfId="13487"/>
    <cellStyle name="20% - Accent4 2 2 8 2 2" xfId="27036"/>
    <cellStyle name="20% - Accent4 2 2 8 3" xfId="18911"/>
    <cellStyle name="20% - Accent4 2 2 9" xfId="1589"/>
    <cellStyle name="20% - Accent4 2 2 9 2" xfId="14068"/>
    <cellStyle name="20% - Accent4 2 2 9 2 2" xfId="27617"/>
    <cellStyle name="20% - Accent4 2 2 9 3" xfId="18912"/>
    <cellStyle name="20% - Accent4 2 3" xfId="1590"/>
    <cellStyle name="20% - Accent4 2 3 10" xfId="1591"/>
    <cellStyle name="20% - Accent4 2 3 10 2" xfId="16051"/>
    <cellStyle name="20% - Accent4 2 3 10 2 2" xfId="29458"/>
    <cellStyle name="20% - Accent4 2 3 10 3" xfId="18914"/>
    <cellStyle name="20% - Accent4 2 3 11" xfId="9050"/>
    <cellStyle name="20% - Accent4 2 3 11 2" xfId="23525"/>
    <cellStyle name="20% - Accent4 2 3 12" xfId="18913"/>
    <cellStyle name="20% - Accent4 2 3 2" xfId="1592"/>
    <cellStyle name="20% - Accent4 2 3 2 10" xfId="9051"/>
    <cellStyle name="20% - Accent4 2 3 2 10 2" xfId="23526"/>
    <cellStyle name="20% - Accent4 2 3 2 11" xfId="18915"/>
    <cellStyle name="20% - Accent4 2 3 2 2" xfId="1593"/>
    <cellStyle name="20% - Accent4 2 3 2 2 2" xfId="1594"/>
    <cellStyle name="20% - Accent4 2 3 2 2 2 2" xfId="10777"/>
    <cellStyle name="20% - Accent4 2 3 2 2 2 2 2" xfId="24719"/>
    <cellStyle name="20% - Accent4 2 3 2 2 2 3" xfId="18917"/>
    <cellStyle name="20% - Accent4 2 3 2 2 3" xfId="1595"/>
    <cellStyle name="20% - Accent4 2 3 2 2 3 2" xfId="11769"/>
    <cellStyle name="20% - Accent4 2 3 2 2 3 2 2" xfId="25484"/>
    <cellStyle name="20% - Accent4 2 3 2 2 3 3" xfId="18918"/>
    <cellStyle name="20% - Accent4 2 3 2 2 4" xfId="1596"/>
    <cellStyle name="20% - Accent4 2 3 2 2 4 2" xfId="14878"/>
    <cellStyle name="20% - Accent4 2 3 2 2 4 2 2" xfId="28427"/>
    <cellStyle name="20% - Accent4 2 3 2 2 4 3" xfId="18919"/>
    <cellStyle name="20% - Accent4 2 3 2 2 5" xfId="1597"/>
    <cellStyle name="20% - Accent4 2 3 2 2 5 2" xfId="16921"/>
    <cellStyle name="20% - Accent4 2 3 2 2 5 2 2" xfId="30328"/>
    <cellStyle name="20% - Accent4 2 3 2 2 5 3" xfId="18920"/>
    <cellStyle name="20% - Accent4 2 3 2 2 6" xfId="9052"/>
    <cellStyle name="20% - Accent4 2 3 2 2 6 2" xfId="23527"/>
    <cellStyle name="20% - Accent4 2 3 2 2 7" xfId="18916"/>
    <cellStyle name="20% - Accent4 2 3 2 3" xfId="1598"/>
    <cellStyle name="20% - Accent4 2 3 2 3 2" xfId="1599"/>
    <cellStyle name="20% - Accent4 2 3 2 3 2 2" xfId="14879"/>
    <cellStyle name="20% - Accent4 2 3 2 3 2 2 2" xfId="28428"/>
    <cellStyle name="20% - Accent4 2 3 2 3 2 3" xfId="18922"/>
    <cellStyle name="20% - Accent4 2 3 2 3 3" xfId="10776"/>
    <cellStyle name="20% - Accent4 2 3 2 3 3 2" xfId="24718"/>
    <cellStyle name="20% - Accent4 2 3 2 3 4" xfId="18921"/>
    <cellStyle name="20% - Accent4 2 3 2 4" xfId="1600"/>
    <cellStyle name="20% - Accent4 2 3 2 4 2" xfId="12309"/>
    <cellStyle name="20% - Accent4 2 3 2 4 2 2" xfId="26021"/>
    <cellStyle name="20% - Accent4 2 3 2 4 3" xfId="18923"/>
    <cellStyle name="20% - Accent4 2 3 2 5" xfId="1601"/>
    <cellStyle name="20% - Accent4 2 3 2 5 2" xfId="12603"/>
    <cellStyle name="20% - Accent4 2 3 2 5 2 2" xfId="26315"/>
    <cellStyle name="20% - Accent4 2 3 2 5 3" xfId="18924"/>
    <cellStyle name="20% - Accent4 2 3 2 6" xfId="1602"/>
    <cellStyle name="20% - Accent4 2 3 2 6 2" xfId="13873"/>
    <cellStyle name="20% - Accent4 2 3 2 6 2 2" xfId="27422"/>
    <cellStyle name="20% - Accent4 2 3 2 6 3" xfId="18925"/>
    <cellStyle name="20% - Accent4 2 3 2 7" xfId="1603"/>
    <cellStyle name="20% - Accent4 2 3 2 7 2" xfId="14454"/>
    <cellStyle name="20% - Accent4 2 3 2 7 2 2" xfId="28003"/>
    <cellStyle name="20% - Accent4 2 3 2 7 3" xfId="18926"/>
    <cellStyle name="20% - Accent4 2 3 2 8" xfId="1604"/>
    <cellStyle name="20% - Accent4 2 3 2 8 2" xfId="14877"/>
    <cellStyle name="20% - Accent4 2 3 2 8 2 2" xfId="28426"/>
    <cellStyle name="20% - Accent4 2 3 2 8 3" xfId="18927"/>
    <cellStyle name="20% - Accent4 2 3 2 9" xfId="1605"/>
    <cellStyle name="20% - Accent4 2 3 2 9 2" xfId="16340"/>
    <cellStyle name="20% - Accent4 2 3 2 9 2 2" xfId="29747"/>
    <cellStyle name="20% - Accent4 2 3 2 9 3" xfId="18928"/>
    <cellStyle name="20% - Accent4 2 3 3" xfId="1606"/>
    <cellStyle name="20% - Accent4 2 3 3 2" xfId="1607"/>
    <cellStyle name="20% - Accent4 2 3 3 2 2" xfId="10778"/>
    <cellStyle name="20% - Accent4 2 3 3 2 2 2" xfId="24720"/>
    <cellStyle name="20% - Accent4 2 3 3 2 3" xfId="18930"/>
    <cellStyle name="20% - Accent4 2 3 3 3" xfId="1608"/>
    <cellStyle name="20% - Accent4 2 3 3 3 2" xfId="12502"/>
    <cellStyle name="20% - Accent4 2 3 3 3 2 2" xfId="26214"/>
    <cellStyle name="20% - Accent4 2 3 3 3 3" xfId="18931"/>
    <cellStyle name="20% - Accent4 2 3 3 4" xfId="1609"/>
    <cellStyle name="20% - Accent4 2 3 3 4 2" xfId="14880"/>
    <cellStyle name="20% - Accent4 2 3 3 4 2 2" xfId="28429"/>
    <cellStyle name="20% - Accent4 2 3 3 4 3" xfId="18932"/>
    <cellStyle name="20% - Accent4 2 3 3 5" xfId="1610"/>
    <cellStyle name="20% - Accent4 2 3 3 5 2" xfId="16632"/>
    <cellStyle name="20% - Accent4 2 3 3 5 2 2" xfId="30039"/>
    <cellStyle name="20% - Accent4 2 3 3 5 3" xfId="18933"/>
    <cellStyle name="20% - Accent4 2 3 3 6" xfId="9053"/>
    <cellStyle name="20% - Accent4 2 3 3 6 2" xfId="23528"/>
    <cellStyle name="20% - Accent4 2 3 3 7" xfId="18929"/>
    <cellStyle name="20% - Accent4 2 3 4" xfId="1611"/>
    <cellStyle name="20% - Accent4 2 3 4 2" xfId="1612"/>
    <cellStyle name="20% - Accent4 2 3 4 2 2" xfId="14881"/>
    <cellStyle name="20% - Accent4 2 3 4 2 2 2" xfId="28430"/>
    <cellStyle name="20% - Accent4 2 3 4 2 3" xfId="18935"/>
    <cellStyle name="20% - Accent4 2 3 4 3" xfId="10775"/>
    <cellStyle name="20% - Accent4 2 3 4 3 2" xfId="24717"/>
    <cellStyle name="20% - Accent4 2 3 4 4" xfId="18934"/>
    <cellStyle name="20% - Accent4 2 3 5" xfId="1613"/>
    <cellStyle name="20% - Accent4 2 3 5 2" xfId="12009"/>
    <cellStyle name="20% - Accent4 2 3 5 2 2" xfId="25724"/>
    <cellStyle name="20% - Accent4 2 3 5 3" xfId="18936"/>
    <cellStyle name="20% - Accent4 2 3 6" xfId="1614"/>
    <cellStyle name="20% - Accent4 2 3 6 2" xfId="12748"/>
    <cellStyle name="20% - Accent4 2 3 6 2 2" xfId="26460"/>
    <cellStyle name="20% - Accent4 2 3 6 3" xfId="18937"/>
    <cellStyle name="20% - Accent4 2 3 7" xfId="1615"/>
    <cellStyle name="20% - Accent4 2 3 7 2" xfId="13584"/>
    <cellStyle name="20% - Accent4 2 3 7 2 2" xfId="27133"/>
    <cellStyle name="20% - Accent4 2 3 7 3" xfId="18938"/>
    <cellStyle name="20% - Accent4 2 3 8" xfId="1616"/>
    <cellStyle name="20% - Accent4 2 3 8 2" xfId="14165"/>
    <cellStyle name="20% - Accent4 2 3 8 2 2" xfId="27714"/>
    <cellStyle name="20% - Accent4 2 3 8 3" xfId="18939"/>
    <cellStyle name="20% - Accent4 2 3 9" xfId="1617"/>
    <cellStyle name="20% - Accent4 2 3 9 2" xfId="14876"/>
    <cellStyle name="20% - Accent4 2 3 9 2 2" xfId="28425"/>
    <cellStyle name="20% - Accent4 2 3 9 3" xfId="18940"/>
    <cellStyle name="20% - Accent4 2 4" xfId="1618"/>
    <cellStyle name="20% - Accent4 2 4 10" xfId="9054"/>
    <cellStyle name="20% - Accent4 2 4 10 2" xfId="23529"/>
    <cellStyle name="20% - Accent4 2 4 11" xfId="18941"/>
    <cellStyle name="20% - Accent4 2 4 2" xfId="1619"/>
    <cellStyle name="20% - Accent4 2 4 2 2" xfId="1620"/>
    <cellStyle name="20% - Accent4 2 4 2 2 2" xfId="10780"/>
    <cellStyle name="20% - Accent4 2 4 2 2 2 2" xfId="24722"/>
    <cellStyle name="20% - Accent4 2 4 2 2 3" xfId="18943"/>
    <cellStyle name="20% - Accent4 2 4 2 3" xfId="1621"/>
    <cellStyle name="20% - Accent4 2 4 2 3 2" xfId="12553"/>
    <cellStyle name="20% - Accent4 2 4 2 3 2 2" xfId="26265"/>
    <cellStyle name="20% - Accent4 2 4 2 3 3" xfId="18944"/>
    <cellStyle name="20% - Accent4 2 4 2 4" xfId="1622"/>
    <cellStyle name="20% - Accent4 2 4 2 4 2" xfId="14883"/>
    <cellStyle name="20% - Accent4 2 4 2 4 2 2" xfId="28432"/>
    <cellStyle name="20% - Accent4 2 4 2 4 3" xfId="18945"/>
    <cellStyle name="20% - Accent4 2 4 2 5" xfId="1623"/>
    <cellStyle name="20% - Accent4 2 4 2 5 2" xfId="16778"/>
    <cellStyle name="20% - Accent4 2 4 2 5 2 2" xfId="30185"/>
    <cellStyle name="20% - Accent4 2 4 2 5 3" xfId="18946"/>
    <cellStyle name="20% - Accent4 2 4 2 6" xfId="9055"/>
    <cellStyle name="20% - Accent4 2 4 2 6 2" xfId="23530"/>
    <cellStyle name="20% - Accent4 2 4 2 7" xfId="18942"/>
    <cellStyle name="20% - Accent4 2 4 3" xfId="1624"/>
    <cellStyle name="20% - Accent4 2 4 3 2" xfId="1625"/>
    <cellStyle name="20% - Accent4 2 4 3 2 2" xfId="14884"/>
    <cellStyle name="20% - Accent4 2 4 3 2 2 2" xfId="28433"/>
    <cellStyle name="20% - Accent4 2 4 3 2 3" xfId="18948"/>
    <cellStyle name="20% - Accent4 2 4 3 3" xfId="10779"/>
    <cellStyle name="20% - Accent4 2 4 3 3 2" xfId="24721"/>
    <cellStyle name="20% - Accent4 2 4 3 4" xfId="18947"/>
    <cellStyle name="20% - Accent4 2 4 4" xfId="1626"/>
    <cellStyle name="20% - Accent4 2 4 4 2" xfId="12166"/>
    <cellStyle name="20% - Accent4 2 4 4 2 2" xfId="25878"/>
    <cellStyle name="20% - Accent4 2 4 4 3" xfId="18949"/>
    <cellStyle name="20% - Accent4 2 4 5" xfId="1627"/>
    <cellStyle name="20% - Accent4 2 4 5 2" xfId="12499"/>
    <cellStyle name="20% - Accent4 2 4 5 2 2" xfId="26211"/>
    <cellStyle name="20% - Accent4 2 4 5 3" xfId="18950"/>
    <cellStyle name="20% - Accent4 2 4 6" xfId="1628"/>
    <cellStyle name="20% - Accent4 2 4 6 2" xfId="13730"/>
    <cellStyle name="20% - Accent4 2 4 6 2 2" xfId="27279"/>
    <cellStyle name="20% - Accent4 2 4 6 3" xfId="18951"/>
    <cellStyle name="20% - Accent4 2 4 7" xfId="1629"/>
    <cellStyle name="20% - Accent4 2 4 7 2" xfId="14311"/>
    <cellStyle name="20% - Accent4 2 4 7 2 2" xfId="27860"/>
    <cellStyle name="20% - Accent4 2 4 7 3" xfId="18952"/>
    <cellStyle name="20% - Accent4 2 4 8" xfId="1630"/>
    <cellStyle name="20% - Accent4 2 4 8 2" xfId="14882"/>
    <cellStyle name="20% - Accent4 2 4 8 2 2" xfId="28431"/>
    <cellStyle name="20% - Accent4 2 4 8 3" xfId="18953"/>
    <cellStyle name="20% - Accent4 2 4 9" xfId="1631"/>
    <cellStyle name="20% - Accent4 2 4 9 2" xfId="16197"/>
    <cellStyle name="20% - Accent4 2 4 9 2 2" xfId="29604"/>
    <cellStyle name="20% - Accent4 2 4 9 3" xfId="18954"/>
    <cellStyle name="20% - Accent4 2 5" xfId="1632"/>
    <cellStyle name="20% - Accent4 2 5 2" xfId="1633"/>
    <cellStyle name="20% - Accent4 2 5 2 2" xfId="1634"/>
    <cellStyle name="20% - Accent4 2 5 2 2 2" xfId="10782"/>
    <cellStyle name="20% - Accent4 2 5 2 2 2 2" xfId="24724"/>
    <cellStyle name="20% - Accent4 2 5 2 2 3" xfId="18957"/>
    <cellStyle name="20% - Accent4 2 5 2 3" xfId="1635"/>
    <cellStyle name="20% - Accent4 2 5 2 3 2" xfId="12780"/>
    <cellStyle name="20% - Accent4 2 5 2 3 2 2" xfId="26492"/>
    <cellStyle name="20% - Accent4 2 5 2 3 3" xfId="18958"/>
    <cellStyle name="20% - Accent4 2 5 2 4" xfId="1636"/>
    <cellStyle name="20% - Accent4 2 5 2 4 2" xfId="14886"/>
    <cellStyle name="20% - Accent4 2 5 2 4 2 2" xfId="28435"/>
    <cellStyle name="20% - Accent4 2 5 2 4 3" xfId="18959"/>
    <cellStyle name="20% - Accent4 2 5 2 5" xfId="9057"/>
    <cellStyle name="20% - Accent4 2 5 2 5 2" xfId="23532"/>
    <cellStyle name="20% - Accent4 2 5 2 6" xfId="18956"/>
    <cellStyle name="20% - Accent4 2 5 3" xfId="1637"/>
    <cellStyle name="20% - Accent4 2 5 3 2" xfId="10781"/>
    <cellStyle name="20% - Accent4 2 5 3 2 2" xfId="24723"/>
    <cellStyle name="20% - Accent4 2 5 3 3" xfId="18960"/>
    <cellStyle name="20% - Accent4 2 5 4" xfId="1638"/>
    <cellStyle name="20% - Accent4 2 5 4 2" xfId="12522"/>
    <cellStyle name="20% - Accent4 2 5 4 2 2" xfId="26234"/>
    <cellStyle name="20% - Accent4 2 5 4 3" xfId="18961"/>
    <cellStyle name="20% - Accent4 2 5 5" xfId="1639"/>
    <cellStyle name="20% - Accent4 2 5 5 2" xfId="14885"/>
    <cellStyle name="20% - Accent4 2 5 5 2 2" xfId="28434"/>
    <cellStyle name="20% - Accent4 2 5 5 3" xfId="18962"/>
    <cellStyle name="20% - Accent4 2 5 6" xfId="1640"/>
    <cellStyle name="20% - Accent4 2 5 6 2" xfId="17010"/>
    <cellStyle name="20% - Accent4 2 5 6 2 2" xfId="30417"/>
    <cellStyle name="20% - Accent4 2 5 6 3" xfId="18963"/>
    <cellStyle name="20% - Accent4 2 5 7" xfId="9056"/>
    <cellStyle name="20% - Accent4 2 5 7 2" xfId="23531"/>
    <cellStyle name="20% - Accent4 2 5 8" xfId="18955"/>
    <cellStyle name="20% - Accent4 2 6" xfId="1641"/>
    <cellStyle name="20% - Accent4 2 6 2" xfId="1642"/>
    <cellStyle name="20% - Accent4 2 6 2 2" xfId="10783"/>
    <cellStyle name="20% - Accent4 2 6 2 2 2" xfId="24725"/>
    <cellStyle name="20% - Accent4 2 6 2 3" xfId="18965"/>
    <cellStyle name="20% - Accent4 2 6 3" xfId="1643"/>
    <cellStyle name="20% - Accent4 2 6 3 2" xfId="12406"/>
    <cellStyle name="20% - Accent4 2 6 3 2 2" xfId="26118"/>
    <cellStyle name="20% - Accent4 2 6 3 3" xfId="18966"/>
    <cellStyle name="20% - Accent4 2 6 4" xfId="1644"/>
    <cellStyle name="20% - Accent4 2 6 4 2" xfId="14887"/>
    <cellStyle name="20% - Accent4 2 6 4 2 2" xfId="28436"/>
    <cellStyle name="20% - Accent4 2 6 4 3" xfId="18967"/>
    <cellStyle name="20% - Accent4 2 6 5" xfId="1645"/>
    <cellStyle name="20% - Accent4 2 6 5 2" xfId="17125"/>
    <cellStyle name="20% - Accent4 2 6 5 2 2" xfId="30484"/>
    <cellStyle name="20% - Accent4 2 6 5 3" xfId="18968"/>
    <cellStyle name="20% - Accent4 2 6 6" xfId="9058"/>
    <cellStyle name="20% - Accent4 2 6 6 2" xfId="23533"/>
    <cellStyle name="20% - Accent4 2 6 7" xfId="18964"/>
    <cellStyle name="20% - Accent4 2 7" xfId="1646"/>
    <cellStyle name="20% - Accent4 2 7 2" xfId="1647"/>
    <cellStyle name="20% - Accent4 2 7 2 2" xfId="10784"/>
    <cellStyle name="20% - Accent4 2 7 2 2 2" xfId="24726"/>
    <cellStyle name="20% - Accent4 2 7 2 3" xfId="18970"/>
    <cellStyle name="20% - Accent4 2 7 3" xfId="1648"/>
    <cellStyle name="20% - Accent4 2 7 3 2" xfId="12788"/>
    <cellStyle name="20% - Accent4 2 7 3 2 2" xfId="26500"/>
    <cellStyle name="20% - Accent4 2 7 3 3" xfId="18971"/>
    <cellStyle name="20% - Accent4 2 7 4" xfId="1649"/>
    <cellStyle name="20% - Accent4 2 7 4 2" xfId="14888"/>
    <cellStyle name="20% - Accent4 2 7 4 2 2" xfId="28437"/>
    <cellStyle name="20% - Accent4 2 7 4 3" xfId="18972"/>
    <cellStyle name="20% - Accent4 2 7 5" xfId="1650"/>
    <cellStyle name="20% - Accent4 2 7 5 2" xfId="17214"/>
    <cellStyle name="20% - Accent4 2 7 5 2 2" xfId="30573"/>
    <cellStyle name="20% - Accent4 2 7 5 3" xfId="18973"/>
    <cellStyle name="20% - Accent4 2 7 6" xfId="9059"/>
    <cellStyle name="20% - Accent4 2 7 6 2" xfId="23534"/>
    <cellStyle name="20% - Accent4 2 7 7" xfId="18969"/>
    <cellStyle name="20% - Accent4 2 8" xfId="1651"/>
    <cellStyle name="20% - Accent4 2 8 2" xfId="1652"/>
    <cellStyle name="20% - Accent4 2 8 2 2" xfId="12480"/>
    <cellStyle name="20% - Accent4 2 8 2 2 2" xfId="26192"/>
    <cellStyle name="20% - Accent4 2 8 2 3" xfId="18975"/>
    <cellStyle name="20% - Accent4 2 8 3" xfId="1653"/>
    <cellStyle name="20% - Accent4 2 8 3 2" xfId="14889"/>
    <cellStyle name="20% - Accent4 2 8 3 2 2" xfId="28438"/>
    <cellStyle name="20% - Accent4 2 8 3 3" xfId="18976"/>
    <cellStyle name="20% - Accent4 2 8 4" xfId="1654"/>
    <cellStyle name="20% - Accent4 2 8 4 2" xfId="16489"/>
    <cellStyle name="20% - Accent4 2 8 4 2 2" xfId="29896"/>
    <cellStyle name="20% - Accent4 2 8 4 3" xfId="18977"/>
    <cellStyle name="20% - Accent4 2 8 5" xfId="10531"/>
    <cellStyle name="20% - Accent4 2 8 5 2" xfId="24473"/>
    <cellStyle name="20% - Accent4 2 8 6" xfId="18974"/>
    <cellStyle name="20% - Accent4 2 9" xfId="1655"/>
    <cellStyle name="20% - Accent4 2 9 2" xfId="1656"/>
    <cellStyle name="20% - Accent4 2 9 2 2" xfId="12593"/>
    <cellStyle name="20% - Accent4 2 9 2 2 2" xfId="26305"/>
    <cellStyle name="20% - Accent4 2 9 2 3" xfId="18979"/>
    <cellStyle name="20% - Accent4 2 9 3" xfId="1657"/>
    <cellStyle name="20% - Accent4 2 9 3 2" xfId="14890"/>
    <cellStyle name="20% - Accent4 2 9 3 2 2" xfId="28439"/>
    <cellStyle name="20% - Accent4 2 9 3 3" xfId="18980"/>
    <cellStyle name="20% - Accent4 2 9 4" xfId="10766"/>
    <cellStyle name="20% - Accent4 2 9 4 2" xfId="24708"/>
    <cellStyle name="20% - Accent4 2 9 5" xfId="18978"/>
    <cellStyle name="20% - Accent4 20" xfId="1658"/>
    <cellStyle name="20% - Accent4 20 2" xfId="1659"/>
    <cellStyle name="20% - Accent4 20 2 2" xfId="12683"/>
    <cellStyle name="20% - Accent4 20 2 2 2" xfId="26395"/>
    <cellStyle name="20% - Accent4 20 2 3" xfId="18982"/>
    <cellStyle name="20% - Accent4 20 3" xfId="1660"/>
    <cellStyle name="20% - Accent4 20 3 2" xfId="14891"/>
    <cellStyle name="20% - Accent4 20 3 2 2" xfId="28440"/>
    <cellStyle name="20% - Accent4 20 3 3" xfId="18983"/>
    <cellStyle name="20% - Accent4 20 4" xfId="10506"/>
    <cellStyle name="20% - Accent4 20 4 2" xfId="24454"/>
    <cellStyle name="20% - Accent4 20 5" xfId="18981"/>
    <cellStyle name="20% - Accent4 21" xfId="1661"/>
    <cellStyle name="20% - Accent4 21 2" xfId="1662"/>
    <cellStyle name="20% - Accent4 21 2 2" xfId="12601"/>
    <cellStyle name="20% - Accent4 21 2 2 2" xfId="26313"/>
    <cellStyle name="20% - Accent4 21 2 3" xfId="18985"/>
    <cellStyle name="20% - Accent4 21 3" xfId="1663"/>
    <cellStyle name="20% - Accent4 21 3 2" xfId="14892"/>
    <cellStyle name="20% - Accent4 21 3 2 2" xfId="28441"/>
    <cellStyle name="20% - Accent4 21 3 3" xfId="18986"/>
    <cellStyle name="20% - Accent4 21 4" xfId="10755"/>
    <cellStyle name="20% - Accent4 21 4 2" xfId="24697"/>
    <cellStyle name="20% - Accent4 21 5" xfId="18984"/>
    <cellStyle name="20% - Accent4 22" xfId="1664"/>
    <cellStyle name="20% - Accent4 22 2" xfId="11742"/>
    <cellStyle name="20% - Accent4 22 2 2" xfId="25457"/>
    <cellStyle name="20% - Accent4 22 3" xfId="18987"/>
    <cellStyle name="20% - Accent4 23" xfId="1665"/>
    <cellStyle name="20% - Accent4 23 2" xfId="12447"/>
    <cellStyle name="20% - Accent4 23 2 2" xfId="26159"/>
    <cellStyle name="20% - Accent4 23 3" xfId="18988"/>
    <cellStyle name="20% - Accent4 24" xfId="1666"/>
    <cellStyle name="20% - Accent4 24 2" xfId="13381"/>
    <cellStyle name="20% - Accent4 24 2 2" xfId="26930"/>
    <cellStyle name="20% - Accent4 24 3" xfId="18989"/>
    <cellStyle name="20% - Accent4 25" xfId="1667"/>
    <cellStyle name="20% - Accent4 25 2" xfId="13962"/>
    <cellStyle name="20% - Accent4 25 2 2" xfId="27511"/>
    <cellStyle name="20% - Accent4 25 3" xfId="18990"/>
    <cellStyle name="20% - Accent4 26" xfId="1668"/>
    <cellStyle name="20% - Accent4 26 2" xfId="14849"/>
    <cellStyle name="20% - Accent4 26 2 2" xfId="28398"/>
    <cellStyle name="20% - Accent4 26 3" xfId="18991"/>
    <cellStyle name="20% - Accent4 27" xfId="1669"/>
    <cellStyle name="20% - Accent4 27 2" xfId="15837"/>
    <cellStyle name="20% - Accent4 27 2 2" xfId="29244"/>
    <cellStyle name="20% - Accent4 27 3" xfId="18992"/>
    <cellStyle name="20% - Accent4 28" xfId="1670"/>
    <cellStyle name="20% - Accent4 28 2" xfId="15848"/>
    <cellStyle name="20% - Accent4 28 2 2" xfId="29255"/>
    <cellStyle name="20% - Accent4 28 3" xfId="18993"/>
    <cellStyle name="20% - Accent4 29" xfId="1671"/>
    <cellStyle name="20% - Accent4 29 2" xfId="9030"/>
    <cellStyle name="20% - Accent4 29 2 2" xfId="23505"/>
    <cellStyle name="20% - Accent4 29 3" xfId="18994"/>
    <cellStyle name="20% - Accent4 3" xfId="1672"/>
    <cellStyle name="20% - Accent4 3 10" xfId="1673"/>
    <cellStyle name="20% - Accent4 3 10 2" xfId="14045"/>
    <cellStyle name="20% - Accent4 3 10 2 2" xfId="27594"/>
    <cellStyle name="20% - Accent4 3 10 3" xfId="18996"/>
    <cellStyle name="20% - Accent4 3 11" xfId="1674"/>
    <cellStyle name="20% - Accent4 3 11 2" xfId="14893"/>
    <cellStyle name="20% - Accent4 3 11 2 2" xfId="28442"/>
    <cellStyle name="20% - Accent4 3 11 3" xfId="18997"/>
    <cellStyle name="20% - Accent4 3 12" xfId="1675"/>
    <cellStyle name="20% - Accent4 3 12 2" xfId="15931"/>
    <cellStyle name="20% - Accent4 3 12 2 2" xfId="29338"/>
    <cellStyle name="20% - Accent4 3 12 3" xfId="18998"/>
    <cellStyle name="20% - Accent4 3 13" xfId="9060"/>
    <cellStyle name="20% - Accent4 3 13 2" xfId="23535"/>
    <cellStyle name="20% - Accent4 3 14" xfId="18995"/>
    <cellStyle name="20% - Accent4 3 2" xfId="1676"/>
    <cellStyle name="20% - Accent4 3 2 10" xfId="1677"/>
    <cellStyle name="20% - Accent4 3 2 10 2" xfId="16074"/>
    <cellStyle name="20% - Accent4 3 2 10 2 2" xfId="29481"/>
    <cellStyle name="20% - Accent4 3 2 10 3" xfId="19000"/>
    <cellStyle name="20% - Accent4 3 2 11" xfId="9061"/>
    <cellStyle name="20% - Accent4 3 2 11 2" xfId="23536"/>
    <cellStyle name="20% - Accent4 3 2 12" xfId="18999"/>
    <cellStyle name="20% - Accent4 3 2 2" xfId="1678"/>
    <cellStyle name="20% - Accent4 3 2 2 10" xfId="9062"/>
    <cellStyle name="20% - Accent4 3 2 2 10 2" xfId="23537"/>
    <cellStyle name="20% - Accent4 3 2 2 11" xfId="19001"/>
    <cellStyle name="20% - Accent4 3 2 2 2" xfId="1679"/>
    <cellStyle name="20% - Accent4 3 2 2 2 2" xfId="1680"/>
    <cellStyle name="20% - Accent4 3 2 2 2 2 2" xfId="10788"/>
    <cellStyle name="20% - Accent4 3 2 2 2 2 2 2" xfId="24730"/>
    <cellStyle name="20% - Accent4 3 2 2 2 2 3" xfId="19003"/>
    <cellStyle name="20% - Accent4 3 2 2 2 3" xfId="1681"/>
    <cellStyle name="20% - Accent4 3 2 2 2 3 2" xfId="12771"/>
    <cellStyle name="20% - Accent4 3 2 2 2 3 2 2" xfId="26483"/>
    <cellStyle name="20% - Accent4 3 2 2 2 3 3" xfId="19004"/>
    <cellStyle name="20% - Accent4 3 2 2 2 4" xfId="1682"/>
    <cellStyle name="20% - Accent4 3 2 2 2 4 2" xfId="14896"/>
    <cellStyle name="20% - Accent4 3 2 2 2 4 2 2" xfId="28445"/>
    <cellStyle name="20% - Accent4 3 2 2 2 4 3" xfId="19005"/>
    <cellStyle name="20% - Accent4 3 2 2 2 5" xfId="1683"/>
    <cellStyle name="20% - Accent4 3 2 2 2 5 2" xfId="16944"/>
    <cellStyle name="20% - Accent4 3 2 2 2 5 2 2" xfId="30351"/>
    <cellStyle name="20% - Accent4 3 2 2 2 5 3" xfId="19006"/>
    <cellStyle name="20% - Accent4 3 2 2 2 6" xfId="9063"/>
    <cellStyle name="20% - Accent4 3 2 2 2 6 2" xfId="23538"/>
    <cellStyle name="20% - Accent4 3 2 2 2 7" xfId="19002"/>
    <cellStyle name="20% - Accent4 3 2 2 3" xfId="1684"/>
    <cellStyle name="20% - Accent4 3 2 2 3 2" xfId="1685"/>
    <cellStyle name="20% - Accent4 3 2 2 3 2 2" xfId="14897"/>
    <cellStyle name="20% - Accent4 3 2 2 3 2 2 2" xfId="28446"/>
    <cellStyle name="20% - Accent4 3 2 2 3 2 3" xfId="19008"/>
    <cellStyle name="20% - Accent4 3 2 2 3 3" xfId="10787"/>
    <cellStyle name="20% - Accent4 3 2 2 3 3 2" xfId="24729"/>
    <cellStyle name="20% - Accent4 3 2 2 3 4" xfId="19007"/>
    <cellStyle name="20% - Accent4 3 2 2 4" xfId="1686"/>
    <cellStyle name="20% - Accent4 3 2 2 4 2" xfId="12332"/>
    <cellStyle name="20% - Accent4 3 2 2 4 2 2" xfId="26044"/>
    <cellStyle name="20% - Accent4 3 2 2 4 3" xfId="19009"/>
    <cellStyle name="20% - Accent4 3 2 2 5" xfId="1687"/>
    <cellStyle name="20% - Accent4 3 2 2 5 2" xfId="12595"/>
    <cellStyle name="20% - Accent4 3 2 2 5 2 2" xfId="26307"/>
    <cellStyle name="20% - Accent4 3 2 2 5 3" xfId="19010"/>
    <cellStyle name="20% - Accent4 3 2 2 6" xfId="1688"/>
    <cellStyle name="20% - Accent4 3 2 2 6 2" xfId="13896"/>
    <cellStyle name="20% - Accent4 3 2 2 6 2 2" xfId="27445"/>
    <cellStyle name="20% - Accent4 3 2 2 6 3" xfId="19011"/>
    <cellStyle name="20% - Accent4 3 2 2 7" xfId="1689"/>
    <cellStyle name="20% - Accent4 3 2 2 7 2" xfId="14477"/>
    <cellStyle name="20% - Accent4 3 2 2 7 2 2" xfId="28026"/>
    <cellStyle name="20% - Accent4 3 2 2 7 3" xfId="19012"/>
    <cellStyle name="20% - Accent4 3 2 2 8" xfId="1690"/>
    <cellStyle name="20% - Accent4 3 2 2 8 2" xfId="14895"/>
    <cellStyle name="20% - Accent4 3 2 2 8 2 2" xfId="28444"/>
    <cellStyle name="20% - Accent4 3 2 2 8 3" xfId="19013"/>
    <cellStyle name="20% - Accent4 3 2 2 9" xfId="1691"/>
    <cellStyle name="20% - Accent4 3 2 2 9 2" xfId="16363"/>
    <cellStyle name="20% - Accent4 3 2 2 9 2 2" xfId="29770"/>
    <cellStyle name="20% - Accent4 3 2 2 9 3" xfId="19014"/>
    <cellStyle name="20% - Accent4 3 2 3" xfId="1692"/>
    <cellStyle name="20% - Accent4 3 2 3 2" xfId="1693"/>
    <cellStyle name="20% - Accent4 3 2 3 2 2" xfId="10789"/>
    <cellStyle name="20% - Accent4 3 2 3 2 2 2" xfId="24731"/>
    <cellStyle name="20% - Accent4 3 2 3 2 3" xfId="19016"/>
    <cellStyle name="20% - Accent4 3 2 3 3" xfId="1694"/>
    <cellStyle name="20% - Accent4 3 2 3 3 2" xfId="11868"/>
    <cellStyle name="20% - Accent4 3 2 3 3 2 2" xfId="25583"/>
    <cellStyle name="20% - Accent4 3 2 3 3 3" xfId="19017"/>
    <cellStyle name="20% - Accent4 3 2 3 4" xfId="1695"/>
    <cellStyle name="20% - Accent4 3 2 3 4 2" xfId="14898"/>
    <cellStyle name="20% - Accent4 3 2 3 4 2 2" xfId="28447"/>
    <cellStyle name="20% - Accent4 3 2 3 4 3" xfId="19018"/>
    <cellStyle name="20% - Accent4 3 2 3 5" xfId="1696"/>
    <cellStyle name="20% - Accent4 3 2 3 5 2" xfId="16655"/>
    <cellStyle name="20% - Accent4 3 2 3 5 2 2" xfId="30062"/>
    <cellStyle name="20% - Accent4 3 2 3 5 3" xfId="19019"/>
    <cellStyle name="20% - Accent4 3 2 3 6" xfId="9064"/>
    <cellStyle name="20% - Accent4 3 2 3 6 2" xfId="23539"/>
    <cellStyle name="20% - Accent4 3 2 3 7" xfId="19015"/>
    <cellStyle name="20% - Accent4 3 2 4" xfId="1697"/>
    <cellStyle name="20% - Accent4 3 2 4 2" xfId="1698"/>
    <cellStyle name="20% - Accent4 3 2 4 2 2" xfId="14899"/>
    <cellStyle name="20% - Accent4 3 2 4 2 2 2" xfId="28448"/>
    <cellStyle name="20% - Accent4 3 2 4 2 3" xfId="19021"/>
    <cellStyle name="20% - Accent4 3 2 4 3" xfId="10786"/>
    <cellStyle name="20% - Accent4 3 2 4 3 2" xfId="24728"/>
    <cellStyle name="20% - Accent4 3 2 4 4" xfId="19020"/>
    <cellStyle name="20% - Accent4 3 2 5" xfId="1699"/>
    <cellStyle name="20% - Accent4 3 2 5 2" xfId="12032"/>
    <cellStyle name="20% - Accent4 3 2 5 2 2" xfId="25747"/>
    <cellStyle name="20% - Accent4 3 2 5 3" xfId="19022"/>
    <cellStyle name="20% - Accent4 3 2 6" xfId="1700"/>
    <cellStyle name="20% - Accent4 3 2 6 2" xfId="12528"/>
    <cellStyle name="20% - Accent4 3 2 6 2 2" xfId="26240"/>
    <cellStyle name="20% - Accent4 3 2 6 3" xfId="19023"/>
    <cellStyle name="20% - Accent4 3 2 7" xfId="1701"/>
    <cellStyle name="20% - Accent4 3 2 7 2" xfId="13607"/>
    <cellStyle name="20% - Accent4 3 2 7 2 2" xfId="27156"/>
    <cellStyle name="20% - Accent4 3 2 7 3" xfId="19024"/>
    <cellStyle name="20% - Accent4 3 2 8" xfId="1702"/>
    <cellStyle name="20% - Accent4 3 2 8 2" xfId="14188"/>
    <cellStyle name="20% - Accent4 3 2 8 2 2" xfId="27737"/>
    <cellStyle name="20% - Accent4 3 2 8 3" xfId="19025"/>
    <cellStyle name="20% - Accent4 3 2 9" xfId="1703"/>
    <cellStyle name="20% - Accent4 3 2 9 2" xfId="14894"/>
    <cellStyle name="20% - Accent4 3 2 9 2 2" xfId="28443"/>
    <cellStyle name="20% - Accent4 3 2 9 3" xfId="19026"/>
    <cellStyle name="20% - Accent4 3 3" xfId="1704"/>
    <cellStyle name="20% - Accent4 3 3 10" xfId="9065"/>
    <cellStyle name="20% - Accent4 3 3 10 2" xfId="23540"/>
    <cellStyle name="20% - Accent4 3 3 11" xfId="19027"/>
    <cellStyle name="20% - Accent4 3 3 2" xfId="1705"/>
    <cellStyle name="20% - Accent4 3 3 2 2" xfId="1706"/>
    <cellStyle name="20% - Accent4 3 3 2 2 2" xfId="10791"/>
    <cellStyle name="20% - Accent4 3 3 2 2 2 2" xfId="24733"/>
    <cellStyle name="20% - Accent4 3 3 2 2 3" xfId="19029"/>
    <cellStyle name="20% - Accent4 3 3 2 3" xfId="1707"/>
    <cellStyle name="20% - Accent4 3 3 2 3 2" xfId="12516"/>
    <cellStyle name="20% - Accent4 3 3 2 3 2 2" xfId="26228"/>
    <cellStyle name="20% - Accent4 3 3 2 3 3" xfId="19030"/>
    <cellStyle name="20% - Accent4 3 3 2 4" xfId="1708"/>
    <cellStyle name="20% - Accent4 3 3 2 4 2" xfId="14901"/>
    <cellStyle name="20% - Accent4 3 3 2 4 2 2" xfId="28450"/>
    <cellStyle name="20% - Accent4 3 3 2 4 3" xfId="19031"/>
    <cellStyle name="20% - Accent4 3 3 2 5" xfId="1709"/>
    <cellStyle name="20% - Accent4 3 3 2 5 2" xfId="16801"/>
    <cellStyle name="20% - Accent4 3 3 2 5 2 2" xfId="30208"/>
    <cellStyle name="20% - Accent4 3 3 2 5 3" xfId="19032"/>
    <cellStyle name="20% - Accent4 3 3 2 6" xfId="9066"/>
    <cellStyle name="20% - Accent4 3 3 2 6 2" xfId="23541"/>
    <cellStyle name="20% - Accent4 3 3 2 7" xfId="19028"/>
    <cellStyle name="20% - Accent4 3 3 3" xfId="1710"/>
    <cellStyle name="20% - Accent4 3 3 3 2" xfId="1711"/>
    <cellStyle name="20% - Accent4 3 3 3 2 2" xfId="14902"/>
    <cellStyle name="20% - Accent4 3 3 3 2 2 2" xfId="28451"/>
    <cellStyle name="20% - Accent4 3 3 3 2 3" xfId="19034"/>
    <cellStyle name="20% - Accent4 3 3 3 3" xfId="10790"/>
    <cellStyle name="20% - Accent4 3 3 3 3 2" xfId="24732"/>
    <cellStyle name="20% - Accent4 3 3 3 4" xfId="19033"/>
    <cellStyle name="20% - Accent4 3 3 4" xfId="1712"/>
    <cellStyle name="20% - Accent4 3 3 4 2" xfId="12189"/>
    <cellStyle name="20% - Accent4 3 3 4 2 2" xfId="25901"/>
    <cellStyle name="20% - Accent4 3 3 4 3" xfId="19035"/>
    <cellStyle name="20% - Accent4 3 3 5" xfId="1713"/>
    <cellStyle name="20% - Accent4 3 3 5 2" xfId="12545"/>
    <cellStyle name="20% - Accent4 3 3 5 2 2" xfId="26257"/>
    <cellStyle name="20% - Accent4 3 3 5 3" xfId="19036"/>
    <cellStyle name="20% - Accent4 3 3 6" xfId="1714"/>
    <cellStyle name="20% - Accent4 3 3 6 2" xfId="13753"/>
    <cellStyle name="20% - Accent4 3 3 6 2 2" xfId="27302"/>
    <cellStyle name="20% - Accent4 3 3 6 3" xfId="19037"/>
    <cellStyle name="20% - Accent4 3 3 7" xfId="1715"/>
    <cellStyle name="20% - Accent4 3 3 7 2" xfId="14334"/>
    <cellStyle name="20% - Accent4 3 3 7 2 2" xfId="27883"/>
    <cellStyle name="20% - Accent4 3 3 7 3" xfId="19038"/>
    <cellStyle name="20% - Accent4 3 3 8" xfId="1716"/>
    <cellStyle name="20% - Accent4 3 3 8 2" xfId="14900"/>
    <cellStyle name="20% - Accent4 3 3 8 2 2" xfId="28449"/>
    <cellStyle name="20% - Accent4 3 3 8 3" xfId="19039"/>
    <cellStyle name="20% - Accent4 3 3 9" xfId="1717"/>
    <cellStyle name="20% - Accent4 3 3 9 2" xfId="16220"/>
    <cellStyle name="20% - Accent4 3 3 9 2 2" xfId="29627"/>
    <cellStyle name="20% - Accent4 3 3 9 3" xfId="19040"/>
    <cellStyle name="20% - Accent4 3 4" xfId="1718"/>
    <cellStyle name="20% - Accent4 3 4 2" xfId="1719"/>
    <cellStyle name="20% - Accent4 3 4 2 2" xfId="10792"/>
    <cellStyle name="20% - Accent4 3 4 2 2 2" xfId="24734"/>
    <cellStyle name="20% - Accent4 3 4 2 3" xfId="19042"/>
    <cellStyle name="20% - Accent4 3 4 3" xfId="1720"/>
    <cellStyle name="20% - Accent4 3 4 3 2" xfId="12590"/>
    <cellStyle name="20% - Accent4 3 4 3 2 2" xfId="26302"/>
    <cellStyle name="20% - Accent4 3 4 3 3" xfId="19043"/>
    <cellStyle name="20% - Accent4 3 4 4" xfId="1721"/>
    <cellStyle name="20% - Accent4 3 4 4 2" xfId="14903"/>
    <cellStyle name="20% - Accent4 3 4 4 2 2" xfId="28452"/>
    <cellStyle name="20% - Accent4 3 4 4 3" xfId="19044"/>
    <cellStyle name="20% - Accent4 3 4 5" xfId="1722"/>
    <cellStyle name="20% - Accent4 3 4 5 2" xfId="17148"/>
    <cellStyle name="20% - Accent4 3 4 5 2 2" xfId="30507"/>
    <cellStyle name="20% - Accent4 3 4 5 3" xfId="19045"/>
    <cellStyle name="20% - Accent4 3 4 6" xfId="9067"/>
    <cellStyle name="20% - Accent4 3 4 6 2" xfId="23542"/>
    <cellStyle name="20% - Accent4 3 4 7" xfId="19041"/>
    <cellStyle name="20% - Accent4 3 5" xfId="1723"/>
    <cellStyle name="20% - Accent4 3 5 2" xfId="1724"/>
    <cellStyle name="20% - Accent4 3 5 2 2" xfId="10793"/>
    <cellStyle name="20% - Accent4 3 5 2 2 2" xfId="24735"/>
    <cellStyle name="20% - Accent4 3 5 2 3" xfId="19047"/>
    <cellStyle name="20% - Accent4 3 5 3" xfId="1725"/>
    <cellStyle name="20% - Accent4 3 5 3 2" xfId="11851"/>
    <cellStyle name="20% - Accent4 3 5 3 2 2" xfId="25566"/>
    <cellStyle name="20% - Accent4 3 5 3 3" xfId="19048"/>
    <cellStyle name="20% - Accent4 3 5 4" xfId="1726"/>
    <cellStyle name="20% - Accent4 3 5 4 2" xfId="14904"/>
    <cellStyle name="20% - Accent4 3 5 4 2 2" xfId="28453"/>
    <cellStyle name="20% - Accent4 3 5 4 3" xfId="19049"/>
    <cellStyle name="20% - Accent4 3 5 5" xfId="1727"/>
    <cellStyle name="20% - Accent4 3 5 5 2" xfId="17237"/>
    <cellStyle name="20% - Accent4 3 5 5 2 2" xfId="30596"/>
    <cellStyle name="20% - Accent4 3 5 5 3" xfId="19050"/>
    <cellStyle name="20% - Accent4 3 5 6" xfId="9068"/>
    <cellStyle name="20% - Accent4 3 5 6 2" xfId="23543"/>
    <cellStyle name="20% - Accent4 3 5 7" xfId="19046"/>
    <cellStyle name="20% - Accent4 3 6" xfId="1728"/>
    <cellStyle name="20% - Accent4 3 6 2" xfId="1729"/>
    <cellStyle name="20% - Accent4 3 6 2 2" xfId="14905"/>
    <cellStyle name="20% - Accent4 3 6 2 2 2" xfId="28454"/>
    <cellStyle name="20% - Accent4 3 6 2 3" xfId="19052"/>
    <cellStyle name="20% - Accent4 3 6 3" xfId="1730"/>
    <cellStyle name="20% - Accent4 3 6 3 2" xfId="16512"/>
    <cellStyle name="20% - Accent4 3 6 3 2 2" xfId="29919"/>
    <cellStyle name="20% - Accent4 3 6 3 3" xfId="19053"/>
    <cellStyle name="20% - Accent4 3 6 4" xfId="10785"/>
    <cellStyle name="20% - Accent4 3 6 4 2" xfId="24727"/>
    <cellStyle name="20% - Accent4 3 6 5" xfId="19051"/>
    <cellStyle name="20% - Accent4 3 7" xfId="1731"/>
    <cellStyle name="20% - Accent4 3 7 2" xfId="11884"/>
    <cellStyle name="20% - Accent4 3 7 2 2" xfId="25599"/>
    <cellStyle name="20% - Accent4 3 7 3" xfId="19054"/>
    <cellStyle name="20% - Accent4 3 8" xfId="1732"/>
    <cellStyle name="20% - Accent4 3 8 2" xfId="12435"/>
    <cellStyle name="20% - Accent4 3 8 2 2" xfId="26147"/>
    <cellStyle name="20% - Accent4 3 8 3" xfId="19055"/>
    <cellStyle name="20% - Accent4 3 9" xfId="1733"/>
    <cellStyle name="20% - Accent4 3 9 2" xfId="13464"/>
    <cellStyle name="20% - Accent4 3 9 2 2" xfId="27013"/>
    <cellStyle name="20% - Accent4 3 9 3" xfId="19056"/>
    <cellStyle name="20% - Accent4 30" xfId="23257"/>
    <cellStyle name="20% - Accent4 4" xfId="1734"/>
    <cellStyle name="20% - Accent4 4 10" xfId="1735"/>
    <cellStyle name="20% - Accent4 4 10 2" xfId="14906"/>
    <cellStyle name="20% - Accent4 4 10 2 2" xfId="28455"/>
    <cellStyle name="20% - Accent4 4 10 3" xfId="19058"/>
    <cellStyle name="20% - Accent4 4 11" xfId="1736"/>
    <cellStyle name="20% - Accent4 4 11 2" xfId="15882"/>
    <cellStyle name="20% - Accent4 4 11 2 2" xfId="29289"/>
    <cellStyle name="20% - Accent4 4 11 3" xfId="19059"/>
    <cellStyle name="20% - Accent4 4 12" xfId="9069"/>
    <cellStyle name="20% - Accent4 4 12 2" xfId="23544"/>
    <cellStyle name="20% - Accent4 4 13" xfId="19057"/>
    <cellStyle name="20% - Accent4 4 2" xfId="1737"/>
    <cellStyle name="20% - Accent4 4 2 10" xfId="1738"/>
    <cellStyle name="20% - Accent4 4 2 10 2" xfId="16025"/>
    <cellStyle name="20% - Accent4 4 2 10 2 2" xfId="29432"/>
    <cellStyle name="20% - Accent4 4 2 10 3" xfId="19061"/>
    <cellStyle name="20% - Accent4 4 2 11" xfId="9070"/>
    <cellStyle name="20% - Accent4 4 2 11 2" xfId="23545"/>
    <cellStyle name="20% - Accent4 4 2 12" xfId="19060"/>
    <cellStyle name="20% - Accent4 4 2 2" xfId="1739"/>
    <cellStyle name="20% - Accent4 4 2 2 10" xfId="9071"/>
    <cellStyle name="20% - Accent4 4 2 2 10 2" xfId="23546"/>
    <cellStyle name="20% - Accent4 4 2 2 11" xfId="19062"/>
    <cellStyle name="20% - Accent4 4 2 2 2" xfId="1740"/>
    <cellStyle name="20% - Accent4 4 2 2 2 2" xfId="1741"/>
    <cellStyle name="20% - Accent4 4 2 2 2 2 2" xfId="10797"/>
    <cellStyle name="20% - Accent4 4 2 2 2 2 2 2" xfId="24739"/>
    <cellStyle name="20% - Accent4 4 2 2 2 2 3" xfId="19064"/>
    <cellStyle name="20% - Accent4 4 2 2 2 3" xfId="1742"/>
    <cellStyle name="20% - Accent4 4 2 2 2 3 2" xfId="11738"/>
    <cellStyle name="20% - Accent4 4 2 2 2 3 2 2" xfId="25453"/>
    <cellStyle name="20% - Accent4 4 2 2 2 3 3" xfId="19065"/>
    <cellStyle name="20% - Accent4 4 2 2 2 4" xfId="1743"/>
    <cellStyle name="20% - Accent4 4 2 2 2 4 2" xfId="14909"/>
    <cellStyle name="20% - Accent4 4 2 2 2 4 2 2" xfId="28458"/>
    <cellStyle name="20% - Accent4 4 2 2 2 4 3" xfId="19066"/>
    <cellStyle name="20% - Accent4 4 2 2 2 5" xfId="1744"/>
    <cellStyle name="20% - Accent4 4 2 2 2 5 2" xfId="16895"/>
    <cellStyle name="20% - Accent4 4 2 2 2 5 2 2" xfId="30302"/>
    <cellStyle name="20% - Accent4 4 2 2 2 5 3" xfId="19067"/>
    <cellStyle name="20% - Accent4 4 2 2 2 6" xfId="9072"/>
    <cellStyle name="20% - Accent4 4 2 2 2 6 2" xfId="23547"/>
    <cellStyle name="20% - Accent4 4 2 2 2 7" xfId="19063"/>
    <cellStyle name="20% - Accent4 4 2 2 3" xfId="1745"/>
    <cellStyle name="20% - Accent4 4 2 2 3 2" xfId="1746"/>
    <cellStyle name="20% - Accent4 4 2 2 3 2 2" xfId="14910"/>
    <cellStyle name="20% - Accent4 4 2 2 3 2 2 2" xfId="28459"/>
    <cellStyle name="20% - Accent4 4 2 2 3 2 3" xfId="19069"/>
    <cellStyle name="20% - Accent4 4 2 2 3 3" xfId="10796"/>
    <cellStyle name="20% - Accent4 4 2 2 3 3 2" xfId="24738"/>
    <cellStyle name="20% - Accent4 4 2 2 3 4" xfId="19068"/>
    <cellStyle name="20% - Accent4 4 2 2 4" xfId="1747"/>
    <cellStyle name="20% - Accent4 4 2 2 4 2" xfId="12283"/>
    <cellStyle name="20% - Accent4 4 2 2 4 2 2" xfId="25995"/>
    <cellStyle name="20% - Accent4 4 2 2 4 3" xfId="19070"/>
    <cellStyle name="20% - Accent4 4 2 2 5" xfId="1748"/>
    <cellStyle name="20% - Accent4 4 2 2 5 2" xfId="12751"/>
    <cellStyle name="20% - Accent4 4 2 2 5 2 2" xfId="26463"/>
    <cellStyle name="20% - Accent4 4 2 2 5 3" xfId="19071"/>
    <cellStyle name="20% - Accent4 4 2 2 6" xfId="1749"/>
    <cellStyle name="20% - Accent4 4 2 2 6 2" xfId="13847"/>
    <cellStyle name="20% - Accent4 4 2 2 6 2 2" xfId="27396"/>
    <cellStyle name="20% - Accent4 4 2 2 6 3" xfId="19072"/>
    <cellStyle name="20% - Accent4 4 2 2 7" xfId="1750"/>
    <cellStyle name="20% - Accent4 4 2 2 7 2" xfId="14428"/>
    <cellStyle name="20% - Accent4 4 2 2 7 2 2" xfId="27977"/>
    <cellStyle name="20% - Accent4 4 2 2 7 3" xfId="19073"/>
    <cellStyle name="20% - Accent4 4 2 2 8" xfId="1751"/>
    <cellStyle name="20% - Accent4 4 2 2 8 2" xfId="14908"/>
    <cellStyle name="20% - Accent4 4 2 2 8 2 2" xfId="28457"/>
    <cellStyle name="20% - Accent4 4 2 2 8 3" xfId="19074"/>
    <cellStyle name="20% - Accent4 4 2 2 9" xfId="1752"/>
    <cellStyle name="20% - Accent4 4 2 2 9 2" xfId="16314"/>
    <cellStyle name="20% - Accent4 4 2 2 9 2 2" xfId="29721"/>
    <cellStyle name="20% - Accent4 4 2 2 9 3" xfId="19075"/>
    <cellStyle name="20% - Accent4 4 2 3" xfId="1753"/>
    <cellStyle name="20% - Accent4 4 2 3 2" xfId="1754"/>
    <cellStyle name="20% - Accent4 4 2 3 2 2" xfId="10798"/>
    <cellStyle name="20% - Accent4 4 2 3 2 2 2" xfId="24740"/>
    <cellStyle name="20% - Accent4 4 2 3 2 3" xfId="19077"/>
    <cellStyle name="20% - Accent4 4 2 3 3" xfId="1755"/>
    <cellStyle name="20% - Accent4 4 2 3 3 2" xfId="12635"/>
    <cellStyle name="20% - Accent4 4 2 3 3 2 2" xfId="26347"/>
    <cellStyle name="20% - Accent4 4 2 3 3 3" xfId="19078"/>
    <cellStyle name="20% - Accent4 4 2 3 4" xfId="1756"/>
    <cellStyle name="20% - Accent4 4 2 3 4 2" xfId="14911"/>
    <cellStyle name="20% - Accent4 4 2 3 4 2 2" xfId="28460"/>
    <cellStyle name="20% - Accent4 4 2 3 4 3" xfId="19079"/>
    <cellStyle name="20% - Accent4 4 2 3 5" xfId="1757"/>
    <cellStyle name="20% - Accent4 4 2 3 5 2" xfId="16606"/>
    <cellStyle name="20% - Accent4 4 2 3 5 2 2" xfId="30013"/>
    <cellStyle name="20% - Accent4 4 2 3 5 3" xfId="19080"/>
    <cellStyle name="20% - Accent4 4 2 3 6" xfId="9073"/>
    <cellStyle name="20% - Accent4 4 2 3 6 2" xfId="23548"/>
    <cellStyle name="20% - Accent4 4 2 3 7" xfId="19076"/>
    <cellStyle name="20% - Accent4 4 2 4" xfId="1758"/>
    <cellStyle name="20% - Accent4 4 2 4 2" xfId="1759"/>
    <cellStyle name="20% - Accent4 4 2 4 2 2" xfId="14912"/>
    <cellStyle name="20% - Accent4 4 2 4 2 2 2" xfId="28461"/>
    <cellStyle name="20% - Accent4 4 2 4 2 3" xfId="19082"/>
    <cellStyle name="20% - Accent4 4 2 4 3" xfId="10795"/>
    <cellStyle name="20% - Accent4 4 2 4 3 2" xfId="24737"/>
    <cellStyle name="20% - Accent4 4 2 4 4" xfId="19081"/>
    <cellStyle name="20% - Accent4 4 2 5" xfId="1760"/>
    <cellStyle name="20% - Accent4 4 2 5 2" xfId="11983"/>
    <cellStyle name="20% - Accent4 4 2 5 2 2" xfId="25698"/>
    <cellStyle name="20% - Accent4 4 2 5 3" xfId="19083"/>
    <cellStyle name="20% - Accent4 4 2 6" xfId="1761"/>
    <cellStyle name="20% - Accent4 4 2 6 2" xfId="12507"/>
    <cellStyle name="20% - Accent4 4 2 6 2 2" xfId="26219"/>
    <cellStyle name="20% - Accent4 4 2 6 3" xfId="19084"/>
    <cellStyle name="20% - Accent4 4 2 7" xfId="1762"/>
    <cellStyle name="20% - Accent4 4 2 7 2" xfId="13558"/>
    <cellStyle name="20% - Accent4 4 2 7 2 2" xfId="27107"/>
    <cellStyle name="20% - Accent4 4 2 7 3" xfId="19085"/>
    <cellStyle name="20% - Accent4 4 2 8" xfId="1763"/>
    <cellStyle name="20% - Accent4 4 2 8 2" xfId="14139"/>
    <cellStyle name="20% - Accent4 4 2 8 2 2" xfId="27688"/>
    <cellStyle name="20% - Accent4 4 2 8 3" xfId="19086"/>
    <cellStyle name="20% - Accent4 4 2 9" xfId="1764"/>
    <cellStyle name="20% - Accent4 4 2 9 2" xfId="14907"/>
    <cellStyle name="20% - Accent4 4 2 9 2 2" xfId="28456"/>
    <cellStyle name="20% - Accent4 4 2 9 3" xfId="19087"/>
    <cellStyle name="20% - Accent4 4 3" xfId="1765"/>
    <cellStyle name="20% - Accent4 4 3 10" xfId="9074"/>
    <cellStyle name="20% - Accent4 4 3 10 2" xfId="23549"/>
    <cellStyle name="20% - Accent4 4 3 11" xfId="19088"/>
    <cellStyle name="20% - Accent4 4 3 2" xfId="1766"/>
    <cellStyle name="20% - Accent4 4 3 2 2" xfId="1767"/>
    <cellStyle name="20% - Accent4 4 3 2 2 2" xfId="10800"/>
    <cellStyle name="20% - Accent4 4 3 2 2 2 2" xfId="24742"/>
    <cellStyle name="20% - Accent4 4 3 2 2 3" xfId="19090"/>
    <cellStyle name="20% - Accent4 4 3 2 3" xfId="1768"/>
    <cellStyle name="20% - Accent4 4 3 2 3 2" xfId="12609"/>
    <cellStyle name="20% - Accent4 4 3 2 3 2 2" xfId="26321"/>
    <cellStyle name="20% - Accent4 4 3 2 3 3" xfId="19091"/>
    <cellStyle name="20% - Accent4 4 3 2 4" xfId="1769"/>
    <cellStyle name="20% - Accent4 4 3 2 4 2" xfId="14914"/>
    <cellStyle name="20% - Accent4 4 3 2 4 2 2" xfId="28463"/>
    <cellStyle name="20% - Accent4 4 3 2 4 3" xfId="19092"/>
    <cellStyle name="20% - Accent4 4 3 2 5" xfId="1770"/>
    <cellStyle name="20% - Accent4 4 3 2 5 2" xfId="16755"/>
    <cellStyle name="20% - Accent4 4 3 2 5 2 2" xfId="30162"/>
    <cellStyle name="20% - Accent4 4 3 2 5 3" xfId="19093"/>
    <cellStyle name="20% - Accent4 4 3 2 6" xfId="9075"/>
    <cellStyle name="20% - Accent4 4 3 2 6 2" xfId="23550"/>
    <cellStyle name="20% - Accent4 4 3 2 7" xfId="19089"/>
    <cellStyle name="20% - Accent4 4 3 3" xfId="1771"/>
    <cellStyle name="20% - Accent4 4 3 3 2" xfId="1772"/>
    <cellStyle name="20% - Accent4 4 3 3 2 2" xfId="14915"/>
    <cellStyle name="20% - Accent4 4 3 3 2 2 2" xfId="28464"/>
    <cellStyle name="20% - Accent4 4 3 3 2 3" xfId="19095"/>
    <cellStyle name="20% - Accent4 4 3 3 3" xfId="10799"/>
    <cellStyle name="20% - Accent4 4 3 3 3 2" xfId="24741"/>
    <cellStyle name="20% - Accent4 4 3 3 4" xfId="19094"/>
    <cellStyle name="20% - Accent4 4 3 4" xfId="1773"/>
    <cellStyle name="20% - Accent4 4 3 4 2" xfId="12143"/>
    <cellStyle name="20% - Accent4 4 3 4 2 2" xfId="25855"/>
    <cellStyle name="20% - Accent4 4 3 4 3" xfId="19096"/>
    <cellStyle name="20% - Accent4 4 3 5" xfId="1774"/>
    <cellStyle name="20% - Accent4 4 3 5 2" xfId="12636"/>
    <cellStyle name="20% - Accent4 4 3 5 2 2" xfId="26348"/>
    <cellStyle name="20% - Accent4 4 3 5 3" xfId="19097"/>
    <cellStyle name="20% - Accent4 4 3 6" xfId="1775"/>
    <cellStyle name="20% - Accent4 4 3 6 2" xfId="13707"/>
    <cellStyle name="20% - Accent4 4 3 6 2 2" xfId="27256"/>
    <cellStyle name="20% - Accent4 4 3 6 3" xfId="19098"/>
    <cellStyle name="20% - Accent4 4 3 7" xfId="1776"/>
    <cellStyle name="20% - Accent4 4 3 7 2" xfId="14288"/>
    <cellStyle name="20% - Accent4 4 3 7 2 2" xfId="27837"/>
    <cellStyle name="20% - Accent4 4 3 7 3" xfId="19099"/>
    <cellStyle name="20% - Accent4 4 3 8" xfId="1777"/>
    <cellStyle name="20% - Accent4 4 3 8 2" xfId="14913"/>
    <cellStyle name="20% - Accent4 4 3 8 2 2" xfId="28462"/>
    <cellStyle name="20% - Accent4 4 3 8 3" xfId="19100"/>
    <cellStyle name="20% - Accent4 4 3 9" xfId="1778"/>
    <cellStyle name="20% - Accent4 4 3 9 2" xfId="16174"/>
    <cellStyle name="20% - Accent4 4 3 9 2 2" xfId="29581"/>
    <cellStyle name="20% - Accent4 4 3 9 3" xfId="19101"/>
    <cellStyle name="20% - Accent4 4 4" xfId="1779"/>
    <cellStyle name="20% - Accent4 4 4 2" xfId="1780"/>
    <cellStyle name="20% - Accent4 4 4 2 2" xfId="10801"/>
    <cellStyle name="20% - Accent4 4 4 2 2 2" xfId="24743"/>
    <cellStyle name="20% - Accent4 4 4 2 3" xfId="19103"/>
    <cellStyle name="20% - Accent4 4 4 3" xfId="1781"/>
    <cellStyle name="20% - Accent4 4 4 3 2" xfId="12425"/>
    <cellStyle name="20% - Accent4 4 4 3 2 2" xfId="26137"/>
    <cellStyle name="20% - Accent4 4 4 3 3" xfId="19104"/>
    <cellStyle name="20% - Accent4 4 4 4" xfId="1782"/>
    <cellStyle name="20% - Accent4 4 4 4 2" xfId="14916"/>
    <cellStyle name="20% - Accent4 4 4 4 2 2" xfId="28465"/>
    <cellStyle name="20% - Accent4 4 4 4 3" xfId="19105"/>
    <cellStyle name="20% - Accent4 4 4 5" xfId="1783"/>
    <cellStyle name="20% - Accent4 4 4 5 2" xfId="16463"/>
    <cellStyle name="20% - Accent4 4 4 5 2 2" xfId="29870"/>
    <cellStyle name="20% - Accent4 4 4 5 3" xfId="19106"/>
    <cellStyle name="20% - Accent4 4 4 6" xfId="9076"/>
    <cellStyle name="20% - Accent4 4 4 6 2" xfId="23551"/>
    <cellStyle name="20% - Accent4 4 4 7" xfId="19102"/>
    <cellStyle name="20% - Accent4 4 5" xfId="1784"/>
    <cellStyle name="20% - Accent4 4 5 2" xfId="1785"/>
    <cellStyle name="20% - Accent4 4 5 2 2" xfId="14917"/>
    <cellStyle name="20% - Accent4 4 5 2 2 2" xfId="28466"/>
    <cellStyle name="20% - Accent4 4 5 2 3" xfId="19108"/>
    <cellStyle name="20% - Accent4 4 5 3" xfId="10794"/>
    <cellStyle name="20% - Accent4 4 5 3 2" xfId="24736"/>
    <cellStyle name="20% - Accent4 4 5 4" xfId="19107"/>
    <cellStyle name="20% - Accent4 4 6" xfId="1786"/>
    <cellStyle name="20% - Accent4 4 6 2" xfId="11814"/>
    <cellStyle name="20% - Accent4 4 6 2 2" xfId="25529"/>
    <cellStyle name="20% - Accent4 4 6 3" xfId="19109"/>
    <cellStyle name="20% - Accent4 4 7" xfId="1787"/>
    <cellStyle name="20% - Accent4 4 7 2" xfId="11858"/>
    <cellStyle name="20% - Accent4 4 7 2 2" xfId="25573"/>
    <cellStyle name="20% - Accent4 4 7 3" xfId="19110"/>
    <cellStyle name="20% - Accent4 4 8" xfId="1788"/>
    <cellStyle name="20% - Accent4 4 8 2" xfId="13415"/>
    <cellStyle name="20% - Accent4 4 8 2 2" xfId="26964"/>
    <cellStyle name="20% - Accent4 4 8 3" xfId="19111"/>
    <cellStyle name="20% - Accent4 4 9" xfId="1789"/>
    <cellStyle name="20% - Accent4 4 9 2" xfId="13996"/>
    <cellStyle name="20% - Accent4 4 9 2 2" xfId="27545"/>
    <cellStyle name="20% - Accent4 4 9 3" xfId="19112"/>
    <cellStyle name="20% - Accent4 5" xfId="1790"/>
    <cellStyle name="20% - Accent4 5 10" xfId="1791"/>
    <cellStyle name="20% - Accent4 5 10 2" xfId="14918"/>
    <cellStyle name="20% - Accent4 5 10 2 2" xfId="28467"/>
    <cellStyle name="20% - Accent4 5 10 3" xfId="19114"/>
    <cellStyle name="20% - Accent4 5 11" xfId="1792"/>
    <cellStyle name="20% - Accent4 5 11 2" xfId="15865"/>
    <cellStyle name="20% - Accent4 5 11 2 2" xfId="29272"/>
    <cellStyle name="20% - Accent4 5 11 3" xfId="19115"/>
    <cellStyle name="20% - Accent4 5 12" xfId="9077"/>
    <cellStyle name="20% - Accent4 5 12 2" xfId="23552"/>
    <cellStyle name="20% - Accent4 5 13" xfId="19113"/>
    <cellStyle name="20% - Accent4 5 2" xfId="1793"/>
    <cellStyle name="20% - Accent4 5 2 10" xfId="1794"/>
    <cellStyle name="20% - Accent4 5 2 10 2" xfId="16008"/>
    <cellStyle name="20% - Accent4 5 2 10 2 2" xfId="29415"/>
    <cellStyle name="20% - Accent4 5 2 10 3" xfId="19117"/>
    <cellStyle name="20% - Accent4 5 2 11" xfId="9078"/>
    <cellStyle name="20% - Accent4 5 2 11 2" xfId="23553"/>
    <cellStyle name="20% - Accent4 5 2 12" xfId="19116"/>
    <cellStyle name="20% - Accent4 5 2 2" xfId="1795"/>
    <cellStyle name="20% - Accent4 5 2 2 10" xfId="9079"/>
    <cellStyle name="20% - Accent4 5 2 2 10 2" xfId="23554"/>
    <cellStyle name="20% - Accent4 5 2 2 11" xfId="19118"/>
    <cellStyle name="20% - Accent4 5 2 2 2" xfId="1796"/>
    <cellStyle name="20% - Accent4 5 2 2 2 2" xfId="1797"/>
    <cellStyle name="20% - Accent4 5 2 2 2 2 2" xfId="10805"/>
    <cellStyle name="20% - Accent4 5 2 2 2 2 2 2" xfId="24747"/>
    <cellStyle name="20% - Accent4 5 2 2 2 2 3" xfId="19120"/>
    <cellStyle name="20% - Accent4 5 2 2 2 3" xfId="1798"/>
    <cellStyle name="20% - Accent4 5 2 2 2 3 2" xfId="12738"/>
    <cellStyle name="20% - Accent4 5 2 2 2 3 2 2" xfId="26450"/>
    <cellStyle name="20% - Accent4 5 2 2 2 3 3" xfId="19121"/>
    <cellStyle name="20% - Accent4 5 2 2 2 4" xfId="1799"/>
    <cellStyle name="20% - Accent4 5 2 2 2 4 2" xfId="14921"/>
    <cellStyle name="20% - Accent4 5 2 2 2 4 2 2" xfId="28470"/>
    <cellStyle name="20% - Accent4 5 2 2 2 4 3" xfId="19122"/>
    <cellStyle name="20% - Accent4 5 2 2 2 5" xfId="1800"/>
    <cellStyle name="20% - Accent4 5 2 2 2 5 2" xfId="16878"/>
    <cellStyle name="20% - Accent4 5 2 2 2 5 2 2" xfId="30285"/>
    <cellStyle name="20% - Accent4 5 2 2 2 5 3" xfId="19123"/>
    <cellStyle name="20% - Accent4 5 2 2 2 6" xfId="9080"/>
    <cellStyle name="20% - Accent4 5 2 2 2 6 2" xfId="23555"/>
    <cellStyle name="20% - Accent4 5 2 2 2 7" xfId="19119"/>
    <cellStyle name="20% - Accent4 5 2 2 3" xfId="1801"/>
    <cellStyle name="20% - Accent4 5 2 2 3 2" xfId="1802"/>
    <cellStyle name="20% - Accent4 5 2 2 3 2 2" xfId="14922"/>
    <cellStyle name="20% - Accent4 5 2 2 3 2 2 2" xfId="28471"/>
    <cellStyle name="20% - Accent4 5 2 2 3 2 3" xfId="19125"/>
    <cellStyle name="20% - Accent4 5 2 2 3 3" xfId="10804"/>
    <cellStyle name="20% - Accent4 5 2 2 3 3 2" xfId="24746"/>
    <cellStyle name="20% - Accent4 5 2 2 3 4" xfId="19124"/>
    <cellStyle name="20% - Accent4 5 2 2 4" xfId="1803"/>
    <cellStyle name="20% - Accent4 5 2 2 4 2" xfId="12266"/>
    <cellStyle name="20% - Accent4 5 2 2 4 2 2" xfId="25978"/>
    <cellStyle name="20% - Accent4 5 2 2 4 3" xfId="19126"/>
    <cellStyle name="20% - Accent4 5 2 2 5" xfId="1804"/>
    <cellStyle name="20% - Accent4 5 2 2 5 2" xfId="12770"/>
    <cellStyle name="20% - Accent4 5 2 2 5 2 2" xfId="26482"/>
    <cellStyle name="20% - Accent4 5 2 2 5 3" xfId="19127"/>
    <cellStyle name="20% - Accent4 5 2 2 6" xfId="1805"/>
    <cellStyle name="20% - Accent4 5 2 2 6 2" xfId="13830"/>
    <cellStyle name="20% - Accent4 5 2 2 6 2 2" xfId="27379"/>
    <cellStyle name="20% - Accent4 5 2 2 6 3" xfId="19128"/>
    <cellStyle name="20% - Accent4 5 2 2 7" xfId="1806"/>
    <cellStyle name="20% - Accent4 5 2 2 7 2" xfId="14411"/>
    <cellStyle name="20% - Accent4 5 2 2 7 2 2" xfId="27960"/>
    <cellStyle name="20% - Accent4 5 2 2 7 3" xfId="19129"/>
    <cellStyle name="20% - Accent4 5 2 2 8" xfId="1807"/>
    <cellStyle name="20% - Accent4 5 2 2 8 2" xfId="14920"/>
    <cellStyle name="20% - Accent4 5 2 2 8 2 2" xfId="28469"/>
    <cellStyle name="20% - Accent4 5 2 2 8 3" xfId="19130"/>
    <cellStyle name="20% - Accent4 5 2 2 9" xfId="1808"/>
    <cellStyle name="20% - Accent4 5 2 2 9 2" xfId="16297"/>
    <cellStyle name="20% - Accent4 5 2 2 9 2 2" xfId="29704"/>
    <cellStyle name="20% - Accent4 5 2 2 9 3" xfId="19131"/>
    <cellStyle name="20% - Accent4 5 2 3" xfId="1809"/>
    <cellStyle name="20% - Accent4 5 2 3 2" xfId="1810"/>
    <cellStyle name="20% - Accent4 5 2 3 2 2" xfId="10806"/>
    <cellStyle name="20% - Accent4 5 2 3 2 2 2" xfId="24748"/>
    <cellStyle name="20% - Accent4 5 2 3 2 3" xfId="19133"/>
    <cellStyle name="20% - Accent4 5 2 3 3" xfId="1811"/>
    <cellStyle name="20% - Accent4 5 2 3 3 2" xfId="12529"/>
    <cellStyle name="20% - Accent4 5 2 3 3 2 2" xfId="26241"/>
    <cellStyle name="20% - Accent4 5 2 3 3 3" xfId="19134"/>
    <cellStyle name="20% - Accent4 5 2 3 4" xfId="1812"/>
    <cellStyle name="20% - Accent4 5 2 3 4 2" xfId="14923"/>
    <cellStyle name="20% - Accent4 5 2 3 4 2 2" xfId="28472"/>
    <cellStyle name="20% - Accent4 5 2 3 4 3" xfId="19135"/>
    <cellStyle name="20% - Accent4 5 2 3 5" xfId="1813"/>
    <cellStyle name="20% - Accent4 5 2 3 5 2" xfId="16589"/>
    <cellStyle name="20% - Accent4 5 2 3 5 2 2" xfId="29996"/>
    <cellStyle name="20% - Accent4 5 2 3 5 3" xfId="19136"/>
    <cellStyle name="20% - Accent4 5 2 3 6" xfId="9081"/>
    <cellStyle name="20% - Accent4 5 2 3 6 2" xfId="23556"/>
    <cellStyle name="20% - Accent4 5 2 3 7" xfId="19132"/>
    <cellStyle name="20% - Accent4 5 2 4" xfId="1814"/>
    <cellStyle name="20% - Accent4 5 2 4 2" xfId="1815"/>
    <cellStyle name="20% - Accent4 5 2 4 2 2" xfId="14924"/>
    <cellStyle name="20% - Accent4 5 2 4 2 2 2" xfId="28473"/>
    <cellStyle name="20% - Accent4 5 2 4 2 3" xfId="19138"/>
    <cellStyle name="20% - Accent4 5 2 4 3" xfId="10803"/>
    <cellStyle name="20% - Accent4 5 2 4 3 2" xfId="24745"/>
    <cellStyle name="20% - Accent4 5 2 4 4" xfId="19137"/>
    <cellStyle name="20% - Accent4 5 2 5" xfId="1816"/>
    <cellStyle name="20% - Accent4 5 2 5 2" xfId="11966"/>
    <cellStyle name="20% - Accent4 5 2 5 2 2" xfId="25681"/>
    <cellStyle name="20% - Accent4 5 2 5 3" xfId="19139"/>
    <cellStyle name="20% - Accent4 5 2 6" xfId="1817"/>
    <cellStyle name="20% - Accent4 5 2 6 2" xfId="12715"/>
    <cellStyle name="20% - Accent4 5 2 6 2 2" xfId="26427"/>
    <cellStyle name="20% - Accent4 5 2 6 3" xfId="19140"/>
    <cellStyle name="20% - Accent4 5 2 7" xfId="1818"/>
    <cellStyle name="20% - Accent4 5 2 7 2" xfId="13541"/>
    <cellStyle name="20% - Accent4 5 2 7 2 2" xfId="27090"/>
    <cellStyle name="20% - Accent4 5 2 7 3" xfId="19141"/>
    <cellStyle name="20% - Accent4 5 2 8" xfId="1819"/>
    <cellStyle name="20% - Accent4 5 2 8 2" xfId="14122"/>
    <cellStyle name="20% - Accent4 5 2 8 2 2" xfId="27671"/>
    <cellStyle name="20% - Accent4 5 2 8 3" xfId="19142"/>
    <cellStyle name="20% - Accent4 5 2 9" xfId="1820"/>
    <cellStyle name="20% - Accent4 5 2 9 2" xfId="14919"/>
    <cellStyle name="20% - Accent4 5 2 9 2 2" xfId="28468"/>
    <cellStyle name="20% - Accent4 5 2 9 3" xfId="19143"/>
    <cellStyle name="20% - Accent4 5 3" xfId="1821"/>
    <cellStyle name="20% - Accent4 5 3 10" xfId="9082"/>
    <cellStyle name="20% - Accent4 5 3 10 2" xfId="23557"/>
    <cellStyle name="20% - Accent4 5 3 11" xfId="19144"/>
    <cellStyle name="20% - Accent4 5 3 2" xfId="1822"/>
    <cellStyle name="20% - Accent4 5 3 2 2" xfId="1823"/>
    <cellStyle name="20% - Accent4 5 3 2 2 2" xfId="10808"/>
    <cellStyle name="20% - Accent4 5 3 2 2 2 2" xfId="24750"/>
    <cellStyle name="20% - Accent4 5 3 2 2 3" xfId="19146"/>
    <cellStyle name="20% - Accent4 5 3 2 3" xfId="1824"/>
    <cellStyle name="20% - Accent4 5 3 2 3 2" xfId="12536"/>
    <cellStyle name="20% - Accent4 5 3 2 3 2 2" xfId="26248"/>
    <cellStyle name="20% - Accent4 5 3 2 3 3" xfId="19147"/>
    <cellStyle name="20% - Accent4 5 3 2 4" xfId="1825"/>
    <cellStyle name="20% - Accent4 5 3 2 4 2" xfId="14926"/>
    <cellStyle name="20% - Accent4 5 3 2 4 2 2" xfId="28475"/>
    <cellStyle name="20% - Accent4 5 3 2 4 3" xfId="19148"/>
    <cellStyle name="20% - Accent4 5 3 2 5" xfId="1826"/>
    <cellStyle name="20% - Accent4 5 3 2 5 2" xfId="16738"/>
    <cellStyle name="20% - Accent4 5 3 2 5 2 2" xfId="30145"/>
    <cellStyle name="20% - Accent4 5 3 2 5 3" xfId="19149"/>
    <cellStyle name="20% - Accent4 5 3 2 6" xfId="9083"/>
    <cellStyle name="20% - Accent4 5 3 2 6 2" xfId="23558"/>
    <cellStyle name="20% - Accent4 5 3 2 7" xfId="19145"/>
    <cellStyle name="20% - Accent4 5 3 3" xfId="1827"/>
    <cellStyle name="20% - Accent4 5 3 3 2" xfId="1828"/>
    <cellStyle name="20% - Accent4 5 3 3 2 2" xfId="14927"/>
    <cellStyle name="20% - Accent4 5 3 3 2 2 2" xfId="28476"/>
    <cellStyle name="20% - Accent4 5 3 3 2 3" xfId="19151"/>
    <cellStyle name="20% - Accent4 5 3 3 3" xfId="10807"/>
    <cellStyle name="20% - Accent4 5 3 3 3 2" xfId="24749"/>
    <cellStyle name="20% - Accent4 5 3 3 4" xfId="19150"/>
    <cellStyle name="20% - Accent4 5 3 4" xfId="1829"/>
    <cellStyle name="20% - Accent4 5 3 4 2" xfId="12126"/>
    <cellStyle name="20% - Accent4 5 3 4 2 2" xfId="25838"/>
    <cellStyle name="20% - Accent4 5 3 4 3" xfId="19152"/>
    <cellStyle name="20% - Accent4 5 3 5" xfId="1830"/>
    <cellStyle name="20% - Accent4 5 3 5 2" xfId="12563"/>
    <cellStyle name="20% - Accent4 5 3 5 2 2" xfId="26275"/>
    <cellStyle name="20% - Accent4 5 3 5 3" xfId="19153"/>
    <cellStyle name="20% - Accent4 5 3 6" xfId="1831"/>
    <cellStyle name="20% - Accent4 5 3 6 2" xfId="13690"/>
    <cellStyle name="20% - Accent4 5 3 6 2 2" xfId="27239"/>
    <cellStyle name="20% - Accent4 5 3 6 3" xfId="19154"/>
    <cellStyle name="20% - Accent4 5 3 7" xfId="1832"/>
    <cellStyle name="20% - Accent4 5 3 7 2" xfId="14271"/>
    <cellStyle name="20% - Accent4 5 3 7 2 2" xfId="27820"/>
    <cellStyle name="20% - Accent4 5 3 7 3" xfId="19155"/>
    <cellStyle name="20% - Accent4 5 3 8" xfId="1833"/>
    <cellStyle name="20% - Accent4 5 3 8 2" xfId="14925"/>
    <cellStyle name="20% - Accent4 5 3 8 2 2" xfId="28474"/>
    <cellStyle name="20% - Accent4 5 3 8 3" xfId="19156"/>
    <cellStyle name="20% - Accent4 5 3 9" xfId="1834"/>
    <cellStyle name="20% - Accent4 5 3 9 2" xfId="16157"/>
    <cellStyle name="20% - Accent4 5 3 9 2 2" xfId="29564"/>
    <cellStyle name="20% - Accent4 5 3 9 3" xfId="19157"/>
    <cellStyle name="20% - Accent4 5 4" xfId="1835"/>
    <cellStyle name="20% - Accent4 5 4 2" xfId="1836"/>
    <cellStyle name="20% - Accent4 5 4 2 2" xfId="10809"/>
    <cellStyle name="20% - Accent4 5 4 2 2 2" xfId="24751"/>
    <cellStyle name="20% - Accent4 5 4 2 3" xfId="19159"/>
    <cellStyle name="20% - Accent4 5 4 3" xfId="1837"/>
    <cellStyle name="20% - Accent4 5 4 3 2" xfId="12804"/>
    <cellStyle name="20% - Accent4 5 4 3 2 2" xfId="26516"/>
    <cellStyle name="20% - Accent4 5 4 3 3" xfId="19160"/>
    <cellStyle name="20% - Accent4 5 4 4" xfId="1838"/>
    <cellStyle name="20% - Accent4 5 4 4 2" xfId="14928"/>
    <cellStyle name="20% - Accent4 5 4 4 2 2" xfId="28477"/>
    <cellStyle name="20% - Accent4 5 4 4 3" xfId="19161"/>
    <cellStyle name="20% - Accent4 5 4 5" xfId="1839"/>
    <cellStyle name="20% - Accent4 5 4 5 2" xfId="16446"/>
    <cellStyle name="20% - Accent4 5 4 5 2 2" xfId="29853"/>
    <cellStyle name="20% - Accent4 5 4 5 3" xfId="19162"/>
    <cellStyle name="20% - Accent4 5 4 6" xfId="9084"/>
    <cellStyle name="20% - Accent4 5 4 6 2" xfId="23559"/>
    <cellStyle name="20% - Accent4 5 4 7" xfId="19158"/>
    <cellStyle name="20% - Accent4 5 5" xfId="1840"/>
    <cellStyle name="20% - Accent4 5 5 2" xfId="1841"/>
    <cellStyle name="20% - Accent4 5 5 2 2" xfId="14929"/>
    <cellStyle name="20% - Accent4 5 5 2 2 2" xfId="28478"/>
    <cellStyle name="20% - Accent4 5 5 2 3" xfId="19164"/>
    <cellStyle name="20% - Accent4 5 5 3" xfId="10802"/>
    <cellStyle name="20% - Accent4 5 5 3 2" xfId="24744"/>
    <cellStyle name="20% - Accent4 5 5 4" xfId="19163"/>
    <cellStyle name="20% - Accent4 5 6" xfId="1842"/>
    <cellStyle name="20% - Accent4 5 6 2" xfId="11797"/>
    <cellStyle name="20% - Accent4 5 6 2 2" xfId="25512"/>
    <cellStyle name="20% - Accent4 5 6 3" xfId="19165"/>
    <cellStyle name="20% - Accent4 5 7" xfId="1843"/>
    <cellStyle name="20% - Accent4 5 7 2" xfId="12717"/>
    <cellStyle name="20% - Accent4 5 7 2 2" xfId="26429"/>
    <cellStyle name="20% - Accent4 5 7 3" xfId="19166"/>
    <cellStyle name="20% - Accent4 5 8" xfId="1844"/>
    <cellStyle name="20% - Accent4 5 8 2" xfId="13398"/>
    <cellStyle name="20% - Accent4 5 8 2 2" xfId="26947"/>
    <cellStyle name="20% - Accent4 5 8 3" xfId="19167"/>
    <cellStyle name="20% - Accent4 5 9" xfId="1845"/>
    <cellStyle name="20% - Accent4 5 9 2" xfId="13979"/>
    <cellStyle name="20% - Accent4 5 9 2 2" xfId="27528"/>
    <cellStyle name="20% - Accent4 5 9 3" xfId="19168"/>
    <cellStyle name="20% - Accent4 6" xfId="1846"/>
    <cellStyle name="20% - Accent4 6 10" xfId="1847"/>
    <cellStyle name="20% - Accent4 6 10 2" xfId="14930"/>
    <cellStyle name="20% - Accent4 6 10 2 2" xfId="28479"/>
    <cellStyle name="20% - Accent4 6 10 3" xfId="19170"/>
    <cellStyle name="20% - Accent4 6 11" xfId="1848"/>
    <cellStyle name="20% - Accent4 6 11 2" xfId="15971"/>
    <cellStyle name="20% - Accent4 6 11 2 2" xfId="29378"/>
    <cellStyle name="20% - Accent4 6 11 3" xfId="19171"/>
    <cellStyle name="20% - Accent4 6 12" xfId="9085"/>
    <cellStyle name="20% - Accent4 6 12 2" xfId="23560"/>
    <cellStyle name="20% - Accent4 6 13" xfId="19169"/>
    <cellStyle name="20% - Accent4 6 2" xfId="1849"/>
    <cellStyle name="20% - Accent4 6 2 10" xfId="1850"/>
    <cellStyle name="20% - Accent4 6 2 10 2" xfId="16114"/>
    <cellStyle name="20% - Accent4 6 2 10 2 2" xfId="29521"/>
    <cellStyle name="20% - Accent4 6 2 10 3" xfId="19173"/>
    <cellStyle name="20% - Accent4 6 2 11" xfId="9086"/>
    <cellStyle name="20% - Accent4 6 2 11 2" xfId="23561"/>
    <cellStyle name="20% - Accent4 6 2 12" xfId="19172"/>
    <cellStyle name="20% - Accent4 6 2 2" xfId="1851"/>
    <cellStyle name="20% - Accent4 6 2 2 10" xfId="9087"/>
    <cellStyle name="20% - Accent4 6 2 2 10 2" xfId="23562"/>
    <cellStyle name="20% - Accent4 6 2 2 11" xfId="19174"/>
    <cellStyle name="20% - Accent4 6 2 2 2" xfId="1852"/>
    <cellStyle name="20% - Accent4 6 2 2 2 2" xfId="1853"/>
    <cellStyle name="20% - Accent4 6 2 2 2 2 2" xfId="10813"/>
    <cellStyle name="20% - Accent4 6 2 2 2 2 2 2" xfId="24755"/>
    <cellStyle name="20% - Accent4 6 2 2 2 2 3" xfId="19176"/>
    <cellStyle name="20% - Accent4 6 2 2 2 3" xfId="1854"/>
    <cellStyle name="20% - Accent4 6 2 2 2 3 2" xfId="12763"/>
    <cellStyle name="20% - Accent4 6 2 2 2 3 2 2" xfId="26475"/>
    <cellStyle name="20% - Accent4 6 2 2 2 3 3" xfId="19177"/>
    <cellStyle name="20% - Accent4 6 2 2 2 4" xfId="1855"/>
    <cellStyle name="20% - Accent4 6 2 2 2 4 2" xfId="14933"/>
    <cellStyle name="20% - Accent4 6 2 2 2 4 2 2" xfId="28482"/>
    <cellStyle name="20% - Accent4 6 2 2 2 4 3" xfId="19178"/>
    <cellStyle name="20% - Accent4 6 2 2 2 5" xfId="1856"/>
    <cellStyle name="20% - Accent4 6 2 2 2 5 2" xfId="16984"/>
    <cellStyle name="20% - Accent4 6 2 2 2 5 2 2" xfId="30391"/>
    <cellStyle name="20% - Accent4 6 2 2 2 5 3" xfId="19179"/>
    <cellStyle name="20% - Accent4 6 2 2 2 6" xfId="9088"/>
    <cellStyle name="20% - Accent4 6 2 2 2 6 2" xfId="23563"/>
    <cellStyle name="20% - Accent4 6 2 2 2 7" xfId="19175"/>
    <cellStyle name="20% - Accent4 6 2 2 3" xfId="1857"/>
    <cellStyle name="20% - Accent4 6 2 2 3 2" xfId="1858"/>
    <cellStyle name="20% - Accent4 6 2 2 3 2 2" xfId="14934"/>
    <cellStyle name="20% - Accent4 6 2 2 3 2 2 2" xfId="28483"/>
    <cellStyle name="20% - Accent4 6 2 2 3 2 3" xfId="19181"/>
    <cellStyle name="20% - Accent4 6 2 2 3 3" xfId="10812"/>
    <cellStyle name="20% - Accent4 6 2 2 3 3 2" xfId="24754"/>
    <cellStyle name="20% - Accent4 6 2 2 3 4" xfId="19180"/>
    <cellStyle name="20% - Accent4 6 2 2 4" xfId="1859"/>
    <cellStyle name="20% - Accent4 6 2 2 4 2" xfId="12372"/>
    <cellStyle name="20% - Accent4 6 2 2 4 2 2" xfId="26084"/>
    <cellStyle name="20% - Accent4 6 2 2 4 3" xfId="19182"/>
    <cellStyle name="20% - Accent4 6 2 2 5" xfId="1860"/>
    <cellStyle name="20% - Accent4 6 2 2 5 2" xfId="12414"/>
    <cellStyle name="20% - Accent4 6 2 2 5 2 2" xfId="26126"/>
    <cellStyle name="20% - Accent4 6 2 2 5 3" xfId="19183"/>
    <cellStyle name="20% - Accent4 6 2 2 6" xfId="1861"/>
    <cellStyle name="20% - Accent4 6 2 2 6 2" xfId="13936"/>
    <cellStyle name="20% - Accent4 6 2 2 6 2 2" xfId="27485"/>
    <cellStyle name="20% - Accent4 6 2 2 6 3" xfId="19184"/>
    <cellStyle name="20% - Accent4 6 2 2 7" xfId="1862"/>
    <cellStyle name="20% - Accent4 6 2 2 7 2" xfId="14517"/>
    <cellStyle name="20% - Accent4 6 2 2 7 2 2" xfId="28066"/>
    <cellStyle name="20% - Accent4 6 2 2 7 3" xfId="19185"/>
    <cellStyle name="20% - Accent4 6 2 2 8" xfId="1863"/>
    <cellStyle name="20% - Accent4 6 2 2 8 2" xfId="14932"/>
    <cellStyle name="20% - Accent4 6 2 2 8 2 2" xfId="28481"/>
    <cellStyle name="20% - Accent4 6 2 2 8 3" xfId="19186"/>
    <cellStyle name="20% - Accent4 6 2 2 9" xfId="1864"/>
    <cellStyle name="20% - Accent4 6 2 2 9 2" xfId="16403"/>
    <cellStyle name="20% - Accent4 6 2 2 9 2 2" xfId="29810"/>
    <cellStyle name="20% - Accent4 6 2 2 9 3" xfId="19187"/>
    <cellStyle name="20% - Accent4 6 2 3" xfId="1865"/>
    <cellStyle name="20% - Accent4 6 2 3 2" xfId="1866"/>
    <cellStyle name="20% - Accent4 6 2 3 2 2" xfId="10814"/>
    <cellStyle name="20% - Accent4 6 2 3 2 2 2" xfId="24756"/>
    <cellStyle name="20% - Accent4 6 2 3 2 3" xfId="19189"/>
    <cellStyle name="20% - Accent4 6 2 3 3" xfId="1867"/>
    <cellStyle name="20% - Accent4 6 2 3 3 2" xfId="12632"/>
    <cellStyle name="20% - Accent4 6 2 3 3 2 2" xfId="26344"/>
    <cellStyle name="20% - Accent4 6 2 3 3 3" xfId="19190"/>
    <cellStyle name="20% - Accent4 6 2 3 4" xfId="1868"/>
    <cellStyle name="20% - Accent4 6 2 3 4 2" xfId="14935"/>
    <cellStyle name="20% - Accent4 6 2 3 4 2 2" xfId="28484"/>
    <cellStyle name="20% - Accent4 6 2 3 4 3" xfId="19191"/>
    <cellStyle name="20% - Accent4 6 2 3 5" xfId="1869"/>
    <cellStyle name="20% - Accent4 6 2 3 5 2" xfId="16695"/>
    <cellStyle name="20% - Accent4 6 2 3 5 2 2" xfId="30102"/>
    <cellStyle name="20% - Accent4 6 2 3 5 3" xfId="19192"/>
    <cellStyle name="20% - Accent4 6 2 3 6" xfId="9089"/>
    <cellStyle name="20% - Accent4 6 2 3 6 2" xfId="23564"/>
    <cellStyle name="20% - Accent4 6 2 3 7" xfId="19188"/>
    <cellStyle name="20% - Accent4 6 2 4" xfId="1870"/>
    <cellStyle name="20% - Accent4 6 2 4 2" xfId="1871"/>
    <cellStyle name="20% - Accent4 6 2 4 2 2" xfId="14936"/>
    <cellStyle name="20% - Accent4 6 2 4 2 2 2" xfId="28485"/>
    <cellStyle name="20% - Accent4 6 2 4 2 3" xfId="19194"/>
    <cellStyle name="20% - Accent4 6 2 4 3" xfId="10811"/>
    <cellStyle name="20% - Accent4 6 2 4 3 2" xfId="24753"/>
    <cellStyle name="20% - Accent4 6 2 4 4" xfId="19193"/>
    <cellStyle name="20% - Accent4 6 2 5" xfId="1872"/>
    <cellStyle name="20% - Accent4 6 2 5 2" xfId="12072"/>
    <cellStyle name="20% - Accent4 6 2 5 2 2" xfId="25787"/>
    <cellStyle name="20% - Accent4 6 2 5 3" xfId="19195"/>
    <cellStyle name="20% - Accent4 6 2 6" xfId="1873"/>
    <cellStyle name="20% - Accent4 6 2 6 2" xfId="12702"/>
    <cellStyle name="20% - Accent4 6 2 6 2 2" xfId="26414"/>
    <cellStyle name="20% - Accent4 6 2 6 3" xfId="19196"/>
    <cellStyle name="20% - Accent4 6 2 7" xfId="1874"/>
    <cellStyle name="20% - Accent4 6 2 7 2" xfId="13647"/>
    <cellStyle name="20% - Accent4 6 2 7 2 2" xfId="27196"/>
    <cellStyle name="20% - Accent4 6 2 7 3" xfId="19197"/>
    <cellStyle name="20% - Accent4 6 2 8" xfId="1875"/>
    <cellStyle name="20% - Accent4 6 2 8 2" xfId="14228"/>
    <cellStyle name="20% - Accent4 6 2 8 2 2" xfId="27777"/>
    <cellStyle name="20% - Accent4 6 2 8 3" xfId="19198"/>
    <cellStyle name="20% - Accent4 6 2 9" xfId="1876"/>
    <cellStyle name="20% - Accent4 6 2 9 2" xfId="14931"/>
    <cellStyle name="20% - Accent4 6 2 9 2 2" xfId="28480"/>
    <cellStyle name="20% - Accent4 6 2 9 3" xfId="19199"/>
    <cellStyle name="20% - Accent4 6 3" xfId="1877"/>
    <cellStyle name="20% - Accent4 6 3 10" xfId="9090"/>
    <cellStyle name="20% - Accent4 6 3 10 2" xfId="23565"/>
    <cellStyle name="20% - Accent4 6 3 11" xfId="19200"/>
    <cellStyle name="20% - Accent4 6 3 2" xfId="1878"/>
    <cellStyle name="20% - Accent4 6 3 2 2" xfId="1879"/>
    <cellStyle name="20% - Accent4 6 3 2 2 2" xfId="10816"/>
    <cellStyle name="20% - Accent4 6 3 2 2 2 2" xfId="24758"/>
    <cellStyle name="20% - Accent4 6 3 2 2 3" xfId="19202"/>
    <cellStyle name="20% - Accent4 6 3 2 3" xfId="1880"/>
    <cellStyle name="20% - Accent4 6 3 2 3 2" xfId="12401"/>
    <cellStyle name="20% - Accent4 6 3 2 3 2 2" xfId="26113"/>
    <cellStyle name="20% - Accent4 6 3 2 3 3" xfId="19203"/>
    <cellStyle name="20% - Accent4 6 3 2 4" xfId="1881"/>
    <cellStyle name="20% - Accent4 6 3 2 4 2" xfId="14938"/>
    <cellStyle name="20% - Accent4 6 3 2 4 2 2" xfId="28487"/>
    <cellStyle name="20% - Accent4 6 3 2 4 3" xfId="19204"/>
    <cellStyle name="20% - Accent4 6 3 2 5" xfId="1882"/>
    <cellStyle name="20% - Accent4 6 3 2 5 2" xfId="16841"/>
    <cellStyle name="20% - Accent4 6 3 2 5 2 2" xfId="30248"/>
    <cellStyle name="20% - Accent4 6 3 2 5 3" xfId="19205"/>
    <cellStyle name="20% - Accent4 6 3 2 6" xfId="9091"/>
    <cellStyle name="20% - Accent4 6 3 2 6 2" xfId="23566"/>
    <cellStyle name="20% - Accent4 6 3 2 7" xfId="19201"/>
    <cellStyle name="20% - Accent4 6 3 3" xfId="1883"/>
    <cellStyle name="20% - Accent4 6 3 3 2" xfId="1884"/>
    <cellStyle name="20% - Accent4 6 3 3 2 2" xfId="14939"/>
    <cellStyle name="20% - Accent4 6 3 3 2 2 2" xfId="28488"/>
    <cellStyle name="20% - Accent4 6 3 3 2 3" xfId="19207"/>
    <cellStyle name="20% - Accent4 6 3 3 3" xfId="10815"/>
    <cellStyle name="20% - Accent4 6 3 3 3 2" xfId="24757"/>
    <cellStyle name="20% - Accent4 6 3 3 4" xfId="19206"/>
    <cellStyle name="20% - Accent4 6 3 4" xfId="1885"/>
    <cellStyle name="20% - Accent4 6 3 4 2" xfId="12229"/>
    <cellStyle name="20% - Accent4 6 3 4 2 2" xfId="25941"/>
    <cellStyle name="20% - Accent4 6 3 4 3" xfId="19208"/>
    <cellStyle name="20% - Accent4 6 3 5" xfId="1886"/>
    <cellStyle name="20% - Accent4 6 3 5 2" xfId="11788"/>
    <cellStyle name="20% - Accent4 6 3 5 2 2" xfId="25503"/>
    <cellStyle name="20% - Accent4 6 3 5 3" xfId="19209"/>
    <cellStyle name="20% - Accent4 6 3 6" xfId="1887"/>
    <cellStyle name="20% - Accent4 6 3 6 2" xfId="13793"/>
    <cellStyle name="20% - Accent4 6 3 6 2 2" xfId="27342"/>
    <cellStyle name="20% - Accent4 6 3 6 3" xfId="19210"/>
    <cellStyle name="20% - Accent4 6 3 7" xfId="1888"/>
    <cellStyle name="20% - Accent4 6 3 7 2" xfId="14374"/>
    <cellStyle name="20% - Accent4 6 3 7 2 2" xfId="27923"/>
    <cellStyle name="20% - Accent4 6 3 7 3" xfId="19211"/>
    <cellStyle name="20% - Accent4 6 3 8" xfId="1889"/>
    <cellStyle name="20% - Accent4 6 3 8 2" xfId="14937"/>
    <cellStyle name="20% - Accent4 6 3 8 2 2" xfId="28486"/>
    <cellStyle name="20% - Accent4 6 3 8 3" xfId="19212"/>
    <cellStyle name="20% - Accent4 6 3 9" xfId="1890"/>
    <cellStyle name="20% - Accent4 6 3 9 2" xfId="16260"/>
    <cellStyle name="20% - Accent4 6 3 9 2 2" xfId="29667"/>
    <cellStyle name="20% - Accent4 6 3 9 3" xfId="19213"/>
    <cellStyle name="20% - Accent4 6 4" xfId="1891"/>
    <cellStyle name="20% - Accent4 6 4 2" xfId="1892"/>
    <cellStyle name="20% - Accent4 6 4 2 2" xfId="10817"/>
    <cellStyle name="20% - Accent4 6 4 2 2 2" xfId="24759"/>
    <cellStyle name="20% - Accent4 6 4 2 3" xfId="19215"/>
    <cellStyle name="20% - Accent4 6 4 3" xfId="1893"/>
    <cellStyle name="20% - Accent4 6 4 3 2" xfId="12106"/>
    <cellStyle name="20% - Accent4 6 4 3 2 2" xfId="25818"/>
    <cellStyle name="20% - Accent4 6 4 3 3" xfId="19216"/>
    <cellStyle name="20% - Accent4 6 4 4" xfId="1894"/>
    <cellStyle name="20% - Accent4 6 4 4 2" xfId="14940"/>
    <cellStyle name="20% - Accent4 6 4 4 2 2" xfId="28489"/>
    <cellStyle name="20% - Accent4 6 4 4 3" xfId="19217"/>
    <cellStyle name="20% - Accent4 6 4 5" xfId="1895"/>
    <cellStyle name="20% - Accent4 6 4 5 2" xfId="16552"/>
    <cellStyle name="20% - Accent4 6 4 5 2 2" xfId="29959"/>
    <cellStyle name="20% - Accent4 6 4 5 3" xfId="19218"/>
    <cellStyle name="20% - Accent4 6 4 6" xfId="9092"/>
    <cellStyle name="20% - Accent4 6 4 6 2" xfId="23567"/>
    <cellStyle name="20% - Accent4 6 4 7" xfId="19214"/>
    <cellStyle name="20% - Accent4 6 5" xfId="1896"/>
    <cellStyle name="20% - Accent4 6 5 2" xfId="1897"/>
    <cellStyle name="20% - Accent4 6 5 2 2" xfId="14941"/>
    <cellStyle name="20% - Accent4 6 5 2 2 2" xfId="28490"/>
    <cellStyle name="20% - Accent4 6 5 2 3" xfId="19220"/>
    <cellStyle name="20% - Accent4 6 5 3" xfId="10810"/>
    <cellStyle name="20% - Accent4 6 5 3 2" xfId="24752"/>
    <cellStyle name="20% - Accent4 6 5 4" xfId="19219"/>
    <cellStyle name="20% - Accent4 6 6" xfId="1898"/>
    <cellStyle name="20% - Accent4 6 6 2" xfId="11927"/>
    <cellStyle name="20% - Accent4 6 6 2 2" xfId="25642"/>
    <cellStyle name="20% - Accent4 6 6 3" xfId="19221"/>
    <cellStyle name="20% - Accent4 6 7" xfId="1899"/>
    <cellStyle name="20% - Accent4 6 7 2" xfId="12407"/>
    <cellStyle name="20% - Accent4 6 7 2 2" xfId="26119"/>
    <cellStyle name="20% - Accent4 6 7 3" xfId="19222"/>
    <cellStyle name="20% - Accent4 6 8" xfId="1900"/>
    <cellStyle name="20% - Accent4 6 8 2" xfId="13504"/>
    <cellStyle name="20% - Accent4 6 8 2 2" xfId="27053"/>
    <cellStyle name="20% - Accent4 6 8 3" xfId="19223"/>
    <cellStyle name="20% - Accent4 6 9" xfId="1901"/>
    <cellStyle name="20% - Accent4 6 9 2" xfId="14085"/>
    <cellStyle name="20% - Accent4 6 9 2 2" xfId="27634"/>
    <cellStyle name="20% - Accent4 6 9 3" xfId="19224"/>
    <cellStyle name="20% - Accent4 7" xfId="1902"/>
    <cellStyle name="20% - Accent4 7 10" xfId="1903"/>
    <cellStyle name="20% - Accent4 7 10 2" xfId="15994"/>
    <cellStyle name="20% - Accent4 7 10 2 2" xfId="29401"/>
    <cellStyle name="20% - Accent4 7 10 3" xfId="19226"/>
    <cellStyle name="20% - Accent4 7 11" xfId="9093"/>
    <cellStyle name="20% - Accent4 7 11 2" xfId="23568"/>
    <cellStyle name="20% - Accent4 7 12" xfId="19225"/>
    <cellStyle name="20% - Accent4 7 2" xfId="1904"/>
    <cellStyle name="20% - Accent4 7 2 10" xfId="9094"/>
    <cellStyle name="20% - Accent4 7 2 10 2" xfId="23569"/>
    <cellStyle name="20% - Accent4 7 2 11" xfId="19227"/>
    <cellStyle name="20% - Accent4 7 2 2" xfId="1905"/>
    <cellStyle name="20% - Accent4 7 2 2 2" xfId="1906"/>
    <cellStyle name="20% - Accent4 7 2 2 2 2" xfId="10820"/>
    <cellStyle name="20% - Accent4 7 2 2 2 2 2" xfId="24762"/>
    <cellStyle name="20% - Accent4 7 2 2 2 3" xfId="19229"/>
    <cellStyle name="20% - Accent4 7 2 2 3" xfId="1907"/>
    <cellStyle name="20% - Accent4 7 2 2 3 2" xfId="12411"/>
    <cellStyle name="20% - Accent4 7 2 2 3 2 2" xfId="26123"/>
    <cellStyle name="20% - Accent4 7 2 2 3 3" xfId="19230"/>
    <cellStyle name="20% - Accent4 7 2 2 4" xfId="1908"/>
    <cellStyle name="20% - Accent4 7 2 2 4 2" xfId="14944"/>
    <cellStyle name="20% - Accent4 7 2 2 4 2 2" xfId="28493"/>
    <cellStyle name="20% - Accent4 7 2 2 4 3" xfId="19231"/>
    <cellStyle name="20% - Accent4 7 2 2 5" xfId="1909"/>
    <cellStyle name="20% - Accent4 7 2 2 5 2" xfId="16864"/>
    <cellStyle name="20% - Accent4 7 2 2 5 2 2" xfId="30271"/>
    <cellStyle name="20% - Accent4 7 2 2 5 3" xfId="19232"/>
    <cellStyle name="20% - Accent4 7 2 2 6" xfId="9095"/>
    <cellStyle name="20% - Accent4 7 2 2 6 2" xfId="23570"/>
    <cellStyle name="20% - Accent4 7 2 2 7" xfId="19228"/>
    <cellStyle name="20% - Accent4 7 2 3" xfId="1910"/>
    <cellStyle name="20% - Accent4 7 2 3 2" xfId="1911"/>
    <cellStyle name="20% - Accent4 7 2 3 2 2" xfId="14945"/>
    <cellStyle name="20% - Accent4 7 2 3 2 2 2" xfId="28494"/>
    <cellStyle name="20% - Accent4 7 2 3 2 3" xfId="19234"/>
    <cellStyle name="20% - Accent4 7 2 3 3" xfId="10819"/>
    <cellStyle name="20% - Accent4 7 2 3 3 2" xfId="24761"/>
    <cellStyle name="20% - Accent4 7 2 3 4" xfId="19233"/>
    <cellStyle name="20% - Accent4 7 2 4" xfId="1912"/>
    <cellStyle name="20% - Accent4 7 2 4 2" xfId="12252"/>
    <cellStyle name="20% - Accent4 7 2 4 2 2" xfId="25964"/>
    <cellStyle name="20% - Accent4 7 2 4 3" xfId="19235"/>
    <cellStyle name="20% - Accent4 7 2 5" xfId="1913"/>
    <cellStyle name="20% - Accent4 7 2 5 2" xfId="12733"/>
    <cellStyle name="20% - Accent4 7 2 5 2 2" xfId="26445"/>
    <cellStyle name="20% - Accent4 7 2 5 3" xfId="19236"/>
    <cellStyle name="20% - Accent4 7 2 6" xfId="1914"/>
    <cellStyle name="20% - Accent4 7 2 6 2" xfId="13816"/>
    <cellStyle name="20% - Accent4 7 2 6 2 2" xfId="27365"/>
    <cellStyle name="20% - Accent4 7 2 6 3" xfId="19237"/>
    <cellStyle name="20% - Accent4 7 2 7" xfId="1915"/>
    <cellStyle name="20% - Accent4 7 2 7 2" xfId="14397"/>
    <cellStyle name="20% - Accent4 7 2 7 2 2" xfId="27946"/>
    <cellStyle name="20% - Accent4 7 2 7 3" xfId="19238"/>
    <cellStyle name="20% - Accent4 7 2 8" xfId="1916"/>
    <cellStyle name="20% - Accent4 7 2 8 2" xfId="14943"/>
    <cellStyle name="20% - Accent4 7 2 8 2 2" xfId="28492"/>
    <cellStyle name="20% - Accent4 7 2 8 3" xfId="19239"/>
    <cellStyle name="20% - Accent4 7 2 9" xfId="1917"/>
    <cellStyle name="20% - Accent4 7 2 9 2" xfId="16283"/>
    <cellStyle name="20% - Accent4 7 2 9 2 2" xfId="29690"/>
    <cellStyle name="20% - Accent4 7 2 9 3" xfId="19240"/>
    <cellStyle name="20% - Accent4 7 3" xfId="1918"/>
    <cellStyle name="20% - Accent4 7 3 2" xfId="1919"/>
    <cellStyle name="20% - Accent4 7 3 2 2" xfId="10821"/>
    <cellStyle name="20% - Accent4 7 3 2 2 2" xfId="24763"/>
    <cellStyle name="20% - Accent4 7 3 2 3" xfId="19242"/>
    <cellStyle name="20% - Accent4 7 3 3" xfId="1920"/>
    <cellStyle name="20% - Accent4 7 3 3 2" xfId="12600"/>
    <cellStyle name="20% - Accent4 7 3 3 2 2" xfId="26312"/>
    <cellStyle name="20% - Accent4 7 3 3 3" xfId="19243"/>
    <cellStyle name="20% - Accent4 7 3 4" xfId="1921"/>
    <cellStyle name="20% - Accent4 7 3 4 2" xfId="14946"/>
    <cellStyle name="20% - Accent4 7 3 4 2 2" xfId="28495"/>
    <cellStyle name="20% - Accent4 7 3 4 3" xfId="19244"/>
    <cellStyle name="20% - Accent4 7 3 5" xfId="1922"/>
    <cellStyle name="20% - Accent4 7 3 5 2" xfId="16575"/>
    <cellStyle name="20% - Accent4 7 3 5 2 2" xfId="29982"/>
    <cellStyle name="20% - Accent4 7 3 5 3" xfId="19245"/>
    <cellStyle name="20% - Accent4 7 3 6" xfId="9096"/>
    <cellStyle name="20% - Accent4 7 3 6 2" xfId="23571"/>
    <cellStyle name="20% - Accent4 7 3 7" xfId="19241"/>
    <cellStyle name="20% - Accent4 7 4" xfId="1923"/>
    <cellStyle name="20% - Accent4 7 4 2" xfId="1924"/>
    <cellStyle name="20% - Accent4 7 4 2 2" xfId="14947"/>
    <cellStyle name="20% - Accent4 7 4 2 2 2" xfId="28496"/>
    <cellStyle name="20% - Accent4 7 4 2 3" xfId="19247"/>
    <cellStyle name="20% - Accent4 7 4 3" xfId="10818"/>
    <cellStyle name="20% - Accent4 7 4 3 2" xfId="24760"/>
    <cellStyle name="20% - Accent4 7 4 4" xfId="19246"/>
    <cellStyle name="20% - Accent4 7 5" xfId="1925"/>
    <cellStyle name="20% - Accent4 7 5 2" xfId="11950"/>
    <cellStyle name="20% - Accent4 7 5 2 2" xfId="25665"/>
    <cellStyle name="20% - Accent4 7 5 3" xfId="19248"/>
    <cellStyle name="20% - Accent4 7 6" xfId="1926"/>
    <cellStyle name="20% - Accent4 7 6 2" xfId="12761"/>
    <cellStyle name="20% - Accent4 7 6 2 2" xfId="26473"/>
    <cellStyle name="20% - Accent4 7 6 3" xfId="19249"/>
    <cellStyle name="20% - Accent4 7 7" xfId="1927"/>
    <cellStyle name="20% - Accent4 7 7 2" xfId="13527"/>
    <cellStyle name="20% - Accent4 7 7 2 2" xfId="27076"/>
    <cellStyle name="20% - Accent4 7 7 3" xfId="19250"/>
    <cellStyle name="20% - Accent4 7 8" xfId="1928"/>
    <cellStyle name="20% - Accent4 7 8 2" xfId="14108"/>
    <cellStyle name="20% - Accent4 7 8 2 2" xfId="27657"/>
    <cellStyle name="20% - Accent4 7 8 3" xfId="19251"/>
    <cellStyle name="20% - Accent4 7 9" xfId="1929"/>
    <cellStyle name="20% - Accent4 7 9 2" xfId="14942"/>
    <cellStyle name="20% - Accent4 7 9 2 2" xfId="28491"/>
    <cellStyle name="20% - Accent4 7 9 3" xfId="19252"/>
    <cellStyle name="20% - Accent4 8" xfId="1930"/>
    <cellStyle name="20% - Accent4 8 10" xfId="9097"/>
    <cellStyle name="20% - Accent4 8 10 2" xfId="23572"/>
    <cellStyle name="20% - Accent4 8 11" xfId="19253"/>
    <cellStyle name="20% - Accent4 8 2" xfId="1931"/>
    <cellStyle name="20% - Accent4 8 2 2" xfId="1932"/>
    <cellStyle name="20% - Accent4 8 2 2 2" xfId="10823"/>
    <cellStyle name="20% - Accent4 8 2 2 2 2" xfId="24765"/>
    <cellStyle name="20% - Accent4 8 2 2 3" xfId="19255"/>
    <cellStyle name="20% - Accent4 8 2 3" xfId="1933"/>
    <cellStyle name="20% - Accent4 8 2 3 2" xfId="12724"/>
    <cellStyle name="20% - Accent4 8 2 3 2 2" xfId="26436"/>
    <cellStyle name="20% - Accent4 8 2 3 3" xfId="19256"/>
    <cellStyle name="20% - Accent4 8 2 4" xfId="1934"/>
    <cellStyle name="20% - Accent4 8 2 4 2" xfId="14949"/>
    <cellStyle name="20% - Accent4 8 2 4 2 2" xfId="28498"/>
    <cellStyle name="20% - Accent4 8 2 4 3" xfId="19257"/>
    <cellStyle name="20% - Accent4 8 2 5" xfId="1935"/>
    <cellStyle name="20% - Accent4 8 2 5 2" xfId="16715"/>
    <cellStyle name="20% - Accent4 8 2 5 2 2" xfId="30122"/>
    <cellStyle name="20% - Accent4 8 2 5 3" xfId="19258"/>
    <cellStyle name="20% - Accent4 8 2 6" xfId="9098"/>
    <cellStyle name="20% - Accent4 8 2 6 2" xfId="23573"/>
    <cellStyle name="20% - Accent4 8 2 7" xfId="19254"/>
    <cellStyle name="20% - Accent4 8 3" xfId="1936"/>
    <cellStyle name="20% - Accent4 8 3 2" xfId="1937"/>
    <cellStyle name="20% - Accent4 8 3 2 2" xfId="14950"/>
    <cellStyle name="20% - Accent4 8 3 2 2 2" xfId="28499"/>
    <cellStyle name="20% - Accent4 8 3 2 3" xfId="19260"/>
    <cellStyle name="20% - Accent4 8 3 3" xfId="10822"/>
    <cellStyle name="20% - Accent4 8 3 3 2" xfId="24764"/>
    <cellStyle name="20% - Accent4 8 3 4" xfId="19259"/>
    <cellStyle name="20% - Accent4 8 4" xfId="1938"/>
    <cellStyle name="20% - Accent4 8 4 2" xfId="12093"/>
    <cellStyle name="20% - Accent4 8 4 2 2" xfId="25807"/>
    <cellStyle name="20% - Accent4 8 4 3" xfId="19261"/>
    <cellStyle name="20% - Accent4 8 5" xfId="1939"/>
    <cellStyle name="20% - Accent4 8 5 2" xfId="12500"/>
    <cellStyle name="20% - Accent4 8 5 2 2" xfId="26212"/>
    <cellStyle name="20% - Accent4 8 5 3" xfId="19262"/>
    <cellStyle name="20% - Accent4 8 6" xfId="1940"/>
    <cellStyle name="20% - Accent4 8 6 2" xfId="13667"/>
    <cellStyle name="20% - Accent4 8 6 2 2" xfId="27216"/>
    <cellStyle name="20% - Accent4 8 6 3" xfId="19263"/>
    <cellStyle name="20% - Accent4 8 7" xfId="1941"/>
    <cellStyle name="20% - Accent4 8 7 2" xfId="14248"/>
    <cellStyle name="20% - Accent4 8 7 2 2" xfId="27797"/>
    <cellStyle name="20% - Accent4 8 7 3" xfId="19264"/>
    <cellStyle name="20% - Accent4 8 8" xfId="1942"/>
    <cellStyle name="20% - Accent4 8 8 2" xfId="14948"/>
    <cellStyle name="20% - Accent4 8 8 2 2" xfId="28497"/>
    <cellStyle name="20% - Accent4 8 8 3" xfId="19265"/>
    <cellStyle name="20% - Accent4 8 9" xfId="1943"/>
    <cellStyle name="20% - Accent4 8 9 2" xfId="16134"/>
    <cellStyle name="20% - Accent4 8 9 2 2" xfId="29541"/>
    <cellStyle name="20% - Accent4 8 9 3" xfId="19266"/>
    <cellStyle name="20% - Accent4 9" xfId="1944"/>
    <cellStyle name="20% - Accent4 9 2" xfId="1945"/>
    <cellStyle name="20% - Accent4 9 2 2" xfId="10824"/>
    <cellStyle name="20% - Accent4 9 2 2 2" xfId="24766"/>
    <cellStyle name="20% - Accent4 9 2 3" xfId="19268"/>
    <cellStyle name="20% - Accent4 9 3" xfId="1946"/>
    <cellStyle name="20% - Accent4 9 3 2" xfId="12638"/>
    <cellStyle name="20% - Accent4 9 3 2 2" xfId="26350"/>
    <cellStyle name="20% - Accent4 9 3 3" xfId="19269"/>
    <cellStyle name="20% - Accent4 9 4" xfId="1947"/>
    <cellStyle name="20% - Accent4 9 4 2" xfId="14951"/>
    <cellStyle name="20% - Accent4 9 4 2 2" xfId="28500"/>
    <cellStyle name="20% - Accent4 9 4 3" xfId="19270"/>
    <cellStyle name="20% - Accent4 9 5" xfId="1948"/>
    <cellStyle name="20% - Accent4 9 5 2" xfId="17099"/>
    <cellStyle name="20% - Accent4 9 5 2 2" xfId="30458"/>
    <cellStyle name="20% - Accent4 9 5 3" xfId="19271"/>
    <cellStyle name="20% - Accent4 9 6" xfId="9099"/>
    <cellStyle name="20% - Accent4 9 6 2" xfId="23574"/>
    <cellStyle name="20% - Accent4 9 7" xfId="19267"/>
    <cellStyle name="20% - Accent5" xfId="43" builtinId="46" customBuiltin="1"/>
    <cellStyle name="20% - Accent5 10" xfId="1949"/>
    <cellStyle name="20% - Accent5 10 2" xfId="1950"/>
    <cellStyle name="20% - Accent5 10 2 2" xfId="12439"/>
    <cellStyle name="20% - Accent5 10 2 2 2" xfId="26151"/>
    <cellStyle name="20% - Accent5 10 2 3" xfId="19274"/>
    <cellStyle name="20% - Accent5 10 3" xfId="1951"/>
    <cellStyle name="20% - Accent5 10 3 2" xfId="14952"/>
    <cellStyle name="20% - Accent5 10 3 2 2" xfId="28501"/>
    <cellStyle name="20% - Accent5 10 3 3" xfId="19275"/>
    <cellStyle name="20% - Accent5 10 4" xfId="1952"/>
    <cellStyle name="20% - Accent5 10 4 2" xfId="17189"/>
    <cellStyle name="20% - Accent5 10 4 2 2" xfId="30548"/>
    <cellStyle name="20% - Accent5 10 4 3" xfId="19276"/>
    <cellStyle name="20% - Accent5 10 5" xfId="10507"/>
    <cellStyle name="20% - Accent5 10 5 2" xfId="24455"/>
    <cellStyle name="20% - Accent5 10 6" xfId="19273"/>
    <cellStyle name="20% - Accent5 11" xfId="1953"/>
    <cellStyle name="20% - Accent5 11 2" xfId="1954"/>
    <cellStyle name="20% - Accent5 11 2 2" xfId="12440"/>
    <cellStyle name="20% - Accent5 11 2 2 2" xfId="26152"/>
    <cellStyle name="20% - Accent5 11 2 3" xfId="19278"/>
    <cellStyle name="20% - Accent5 11 3" xfId="1955"/>
    <cellStyle name="20% - Accent5 11 3 2" xfId="14953"/>
    <cellStyle name="20% - Accent5 11 3 2 2" xfId="28502"/>
    <cellStyle name="20% - Accent5 11 3 3" xfId="19279"/>
    <cellStyle name="20% - Accent5 11 4" xfId="1956"/>
    <cellStyle name="20% - Accent5 11 4 2" xfId="17278"/>
    <cellStyle name="20% - Accent5 11 4 2 2" xfId="30637"/>
    <cellStyle name="20% - Accent5 11 4 3" xfId="19280"/>
    <cellStyle name="20% - Accent5 11 5" xfId="10825"/>
    <cellStyle name="20% - Accent5 11 5 2" xfId="24767"/>
    <cellStyle name="20% - Accent5 11 6" xfId="19277"/>
    <cellStyle name="20% - Accent5 12" xfId="1957"/>
    <cellStyle name="20% - Accent5 12 2" xfId="1958"/>
    <cellStyle name="20% - Accent5 12 2 2" xfId="16430"/>
    <cellStyle name="20% - Accent5 12 2 2 2" xfId="29837"/>
    <cellStyle name="20% - Accent5 12 2 3" xfId="19282"/>
    <cellStyle name="20% - Accent5 12 3" xfId="11743"/>
    <cellStyle name="20% - Accent5 12 3 2" xfId="25458"/>
    <cellStyle name="20% - Accent5 12 4" xfId="19281"/>
    <cellStyle name="20% - Accent5 13" xfId="1959"/>
    <cellStyle name="20% - Accent5 13 2" xfId="13382"/>
    <cellStyle name="20% - Accent5 13 2 2" xfId="26931"/>
    <cellStyle name="20% - Accent5 13 3" xfId="19283"/>
    <cellStyle name="20% - Accent5 14" xfId="1960"/>
    <cellStyle name="20% - Accent5 14 2" xfId="13963"/>
    <cellStyle name="20% - Accent5 14 2 2" xfId="27512"/>
    <cellStyle name="20% - Accent5 14 3" xfId="19284"/>
    <cellStyle name="20% - Accent5 15" xfId="1961"/>
    <cellStyle name="20% - Accent5 15 2" xfId="15836"/>
    <cellStyle name="20% - Accent5 15 2 2" xfId="29243"/>
    <cellStyle name="20% - Accent5 15 3" xfId="19285"/>
    <cellStyle name="20% - Accent5 16" xfId="1962"/>
    <cellStyle name="20% - Accent5 16 2" xfId="15849"/>
    <cellStyle name="20% - Accent5 16 2 2" xfId="29256"/>
    <cellStyle name="20% - Accent5 16 3" xfId="19286"/>
    <cellStyle name="20% - Accent5 17" xfId="8818"/>
    <cellStyle name="20% - Accent5 17 2" xfId="23294"/>
    <cellStyle name="20% - Accent5 18" xfId="19272"/>
    <cellStyle name="20% - Accent5 2" xfId="1963"/>
    <cellStyle name="20% - Accent5 2 10" xfId="1964"/>
    <cellStyle name="20% - Accent5 2 10 2" xfId="15910"/>
    <cellStyle name="20% - Accent5 2 10 2 2" xfId="29317"/>
    <cellStyle name="20% - Accent5 2 10 3" xfId="19288"/>
    <cellStyle name="20% - Accent5 2 11" xfId="9100"/>
    <cellStyle name="20% - Accent5 2 11 2" xfId="23575"/>
    <cellStyle name="20% - Accent5 2 12" xfId="19287"/>
    <cellStyle name="20% - Accent5 2 13" xfId="33078"/>
    <cellStyle name="20% - Accent5 2 2" xfId="1965"/>
    <cellStyle name="20% - Accent5 2 2 10" xfId="19289"/>
    <cellStyle name="20% - Accent5 2 2 2" xfId="1966"/>
    <cellStyle name="20% - Accent5 2 2 2 2" xfId="1967"/>
    <cellStyle name="20% - Accent5 2 2 2 2 2" xfId="1968"/>
    <cellStyle name="20% - Accent5 2 2 2 2 2 2" xfId="1969"/>
    <cellStyle name="20% - Accent5 2 2 2 2 2 2 2" xfId="16969"/>
    <cellStyle name="20% - Accent5 2 2 2 2 2 2 2 2" xfId="30376"/>
    <cellStyle name="20% - Accent5 2 2 2 2 2 2 3" xfId="19293"/>
    <cellStyle name="20% - Accent5 2 2 2 2 2 3" xfId="10829"/>
    <cellStyle name="20% - Accent5 2 2 2 2 2 3 2" xfId="24771"/>
    <cellStyle name="20% - Accent5 2 2 2 2 2 4" xfId="19292"/>
    <cellStyle name="20% - Accent5 2 2 2 2 3" xfId="1970"/>
    <cellStyle name="20% - Accent5 2 2 2 2 3 2" xfId="12357"/>
    <cellStyle name="20% - Accent5 2 2 2 2 3 2 2" xfId="26069"/>
    <cellStyle name="20% - Accent5 2 2 2 2 3 3" xfId="19294"/>
    <cellStyle name="20% - Accent5 2 2 2 2 4" xfId="1971"/>
    <cellStyle name="20% - Accent5 2 2 2 2 4 2" xfId="13921"/>
    <cellStyle name="20% - Accent5 2 2 2 2 4 2 2" xfId="27470"/>
    <cellStyle name="20% - Accent5 2 2 2 2 4 3" xfId="19295"/>
    <cellStyle name="20% - Accent5 2 2 2 2 5" xfId="1972"/>
    <cellStyle name="20% - Accent5 2 2 2 2 5 2" xfId="14502"/>
    <cellStyle name="20% - Accent5 2 2 2 2 5 2 2" xfId="28051"/>
    <cellStyle name="20% - Accent5 2 2 2 2 5 3" xfId="19296"/>
    <cellStyle name="20% - Accent5 2 2 2 2 6" xfId="1973"/>
    <cellStyle name="20% - Accent5 2 2 2 2 6 2" xfId="16388"/>
    <cellStyle name="20% - Accent5 2 2 2 2 6 2 2" xfId="29795"/>
    <cellStyle name="20% - Accent5 2 2 2 2 6 3" xfId="19297"/>
    <cellStyle name="20% - Accent5 2 2 2 2 7" xfId="9103"/>
    <cellStyle name="20% - Accent5 2 2 2 2 7 2" xfId="23578"/>
    <cellStyle name="20% - Accent5 2 2 2 2 8" xfId="19291"/>
    <cellStyle name="20% - Accent5 2 2 2 3" xfId="1974"/>
    <cellStyle name="20% - Accent5 2 2 2 3 2" xfId="1975"/>
    <cellStyle name="20% - Accent5 2 2 2 3 2 2" xfId="16680"/>
    <cellStyle name="20% - Accent5 2 2 2 3 2 2 2" xfId="30087"/>
    <cellStyle name="20% - Accent5 2 2 2 3 2 3" xfId="19299"/>
    <cellStyle name="20% - Accent5 2 2 2 3 3" xfId="10828"/>
    <cellStyle name="20% - Accent5 2 2 2 3 3 2" xfId="24770"/>
    <cellStyle name="20% - Accent5 2 2 2 3 4" xfId="19298"/>
    <cellStyle name="20% - Accent5 2 2 2 4" xfId="1976"/>
    <cellStyle name="20% - Accent5 2 2 2 4 2" xfId="12057"/>
    <cellStyle name="20% - Accent5 2 2 2 4 2 2" xfId="25772"/>
    <cellStyle name="20% - Accent5 2 2 2 4 3" xfId="19300"/>
    <cellStyle name="20% - Accent5 2 2 2 5" xfId="1977"/>
    <cellStyle name="20% - Accent5 2 2 2 5 2" xfId="13632"/>
    <cellStyle name="20% - Accent5 2 2 2 5 2 2" xfId="27181"/>
    <cellStyle name="20% - Accent5 2 2 2 5 3" xfId="19301"/>
    <cellStyle name="20% - Accent5 2 2 2 6" xfId="1978"/>
    <cellStyle name="20% - Accent5 2 2 2 6 2" xfId="14213"/>
    <cellStyle name="20% - Accent5 2 2 2 6 2 2" xfId="27762"/>
    <cellStyle name="20% - Accent5 2 2 2 6 3" xfId="19302"/>
    <cellStyle name="20% - Accent5 2 2 2 7" xfId="1979"/>
    <cellStyle name="20% - Accent5 2 2 2 7 2" xfId="16099"/>
    <cellStyle name="20% - Accent5 2 2 2 7 2 2" xfId="29506"/>
    <cellStyle name="20% - Accent5 2 2 2 7 3" xfId="19303"/>
    <cellStyle name="20% - Accent5 2 2 2 8" xfId="9102"/>
    <cellStyle name="20% - Accent5 2 2 2 8 2" xfId="23577"/>
    <cellStyle name="20% - Accent5 2 2 2 9" xfId="19290"/>
    <cellStyle name="20% - Accent5 2 2 3" xfId="1980"/>
    <cellStyle name="20% - Accent5 2 2 3 2" xfId="1981"/>
    <cellStyle name="20% - Accent5 2 2 3 2 2" xfId="1982"/>
    <cellStyle name="20% - Accent5 2 2 3 2 2 2" xfId="16826"/>
    <cellStyle name="20% - Accent5 2 2 3 2 2 2 2" xfId="30233"/>
    <cellStyle name="20% - Accent5 2 2 3 2 2 3" xfId="19306"/>
    <cellStyle name="20% - Accent5 2 2 3 2 3" xfId="10830"/>
    <cellStyle name="20% - Accent5 2 2 3 2 3 2" xfId="24772"/>
    <cellStyle name="20% - Accent5 2 2 3 2 4" xfId="19305"/>
    <cellStyle name="20% - Accent5 2 2 3 3" xfId="1983"/>
    <cellStyle name="20% - Accent5 2 2 3 3 2" xfId="12214"/>
    <cellStyle name="20% - Accent5 2 2 3 3 2 2" xfId="25926"/>
    <cellStyle name="20% - Accent5 2 2 3 3 3" xfId="19307"/>
    <cellStyle name="20% - Accent5 2 2 3 4" xfId="1984"/>
    <cellStyle name="20% - Accent5 2 2 3 4 2" xfId="13778"/>
    <cellStyle name="20% - Accent5 2 2 3 4 2 2" xfId="27327"/>
    <cellStyle name="20% - Accent5 2 2 3 4 3" xfId="19308"/>
    <cellStyle name="20% - Accent5 2 2 3 5" xfId="1985"/>
    <cellStyle name="20% - Accent5 2 2 3 5 2" xfId="14359"/>
    <cellStyle name="20% - Accent5 2 2 3 5 2 2" xfId="27908"/>
    <cellStyle name="20% - Accent5 2 2 3 5 3" xfId="19309"/>
    <cellStyle name="20% - Accent5 2 2 3 6" xfId="1986"/>
    <cellStyle name="20% - Accent5 2 2 3 6 2" xfId="16245"/>
    <cellStyle name="20% - Accent5 2 2 3 6 2 2" xfId="29652"/>
    <cellStyle name="20% - Accent5 2 2 3 6 3" xfId="19310"/>
    <cellStyle name="20% - Accent5 2 2 3 7" xfId="9104"/>
    <cellStyle name="20% - Accent5 2 2 3 7 2" xfId="23579"/>
    <cellStyle name="20% - Accent5 2 2 3 8" xfId="19304"/>
    <cellStyle name="20% - Accent5 2 2 4" xfId="1987"/>
    <cellStyle name="20% - Accent5 2 2 4 2" xfId="1988"/>
    <cellStyle name="20% - Accent5 2 2 4 2 2" xfId="17173"/>
    <cellStyle name="20% - Accent5 2 2 4 2 2 2" xfId="30532"/>
    <cellStyle name="20% - Accent5 2 2 4 2 3" xfId="19312"/>
    <cellStyle name="20% - Accent5 2 2 4 3" xfId="10827"/>
    <cellStyle name="20% - Accent5 2 2 4 3 2" xfId="24769"/>
    <cellStyle name="20% - Accent5 2 2 4 4" xfId="19311"/>
    <cellStyle name="20% - Accent5 2 2 5" xfId="1989"/>
    <cellStyle name="20% - Accent5 2 2 5 2" xfId="1990"/>
    <cellStyle name="20% - Accent5 2 2 5 2 2" xfId="17262"/>
    <cellStyle name="20% - Accent5 2 2 5 2 2 2" xfId="30621"/>
    <cellStyle name="20% - Accent5 2 2 5 2 3" xfId="19314"/>
    <cellStyle name="20% - Accent5 2 2 5 3" xfId="11912"/>
    <cellStyle name="20% - Accent5 2 2 5 3 2" xfId="25627"/>
    <cellStyle name="20% - Accent5 2 2 5 4" xfId="19313"/>
    <cellStyle name="20% - Accent5 2 2 6" xfId="1991"/>
    <cellStyle name="20% - Accent5 2 2 6 2" xfId="1992"/>
    <cellStyle name="20% - Accent5 2 2 6 2 2" xfId="16537"/>
    <cellStyle name="20% - Accent5 2 2 6 2 2 2" xfId="29944"/>
    <cellStyle name="20% - Accent5 2 2 6 2 3" xfId="19316"/>
    <cellStyle name="20% - Accent5 2 2 6 3" xfId="13489"/>
    <cellStyle name="20% - Accent5 2 2 6 3 2" xfId="27038"/>
    <cellStyle name="20% - Accent5 2 2 6 4" xfId="19315"/>
    <cellStyle name="20% - Accent5 2 2 7" xfId="1993"/>
    <cellStyle name="20% - Accent5 2 2 7 2" xfId="14070"/>
    <cellStyle name="20% - Accent5 2 2 7 2 2" xfId="27619"/>
    <cellStyle name="20% - Accent5 2 2 7 3" xfId="19317"/>
    <cellStyle name="20% - Accent5 2 2 8" xfId="1994"/>
    <cellStyle name="20% - Accent5 2 2 8 2" xfId="15956"/>
    <cellStyle name="20% - Accent5 2 2 8 2 2" xfId="29363"/>
    <cellStyle name="20% - Accent5 2 2 8 3" xfId="19318"/>
    <cellStyle name="20% - Accent5 2 2 9" xfId="9101"/>
    <cellStyle name="20% - Accent5 2 2 9 2" xfId="23576"/>
    <cellStyle name="20% - Accent5 2 3" xfId="1995"/>
    <cellStyle name="20% - Accent5 2 3 2" xfId="1996"/>
    <cellStyle name="20% - Accent5 2 3 2 2" xfId="1997"/>
    <cellStyle name="20% - Accent5 2 3 2 2 2" xfId="1998"/>
    <cellStyle name="20% - Accent5 2 3 2 2 2 2" xfId="16923"/>
    <cellStyle name="20% - Accent5 2 3 2 2 2 2 2" xfId="30330"/>
    <cellStyle name="20% - Accent5 2 3 2 2 2 3" xfId="19322"/>
    <cellStyle name="20% - Accent5 2 3 2 2 3" xfId="10832"/>
    <cellStyle name="20% - Accent5 2 3 2 2 3 2" xfId="24774"/>
    <cellStyle name="20% - Accent5 2 3 2 2 4" xfId="19321"/>
    <cellStyle name="20% - Accent5 2 3 2 3" xfId="1999"/>
    <cellStyle name="20% - Accent5 2 3 2 3 2" xfId="12311"/>
    <cellStyle name="20% - Accent5 2 3 2 3 2 2" xfId="26023"/>
    <cellStyle name="20% - Accent5 2 3 2 3 3" xfId="19323"/>
    <cellStyle name="20% - Accent5 2 3 2 4" xfId="2000"/>
    <cellStyle name="20% - Accent5 2 3 2 4 2" xfId="13875"/>
    <cellStyle name="20% - Accent5 2 3 2 4 2 2" xfId="27424"/>
    <cellStyle name="20% - Accent5 2 3 2 4 3" xfId="19324"/>
    <cellStyle name="20% - Accent5 2 3 2 5" xfId="2001"/>
    <cellStyle name="20% - Accent5 2 3 2 5 2" xfId="14456"/>
    <cellStyle name="20% - Accent5 2 3 2 5 2 2" xfId="28005"/>
    <cellStyle name="20% - Accent5 2 3 2 5 3" xfId="19325"/>
    <cellStyle name="20% - Accent5 2 3 2 6" xfId="2002"/>
    <cellStyle name="20% - Accent5 2 3 2 6 2" xfId="16342"/>
    <cellStyle name="20% - Accent5 2 3 2 6 2 2" xfId="29749"/>
    <cellStyle name="20% - Accent5 2 3 2 6 3" xfId="19326"/>
    <cellStyle name="20% - Accent5 2 3 2 7" xfId="9106"/>
    <cellStyle name="20% - Accent5 2 3 2 7 2" xfId="23581"/>
    <cellStyle name="20% - Accent5 2 3 2 8" xfId="19320"/>
    <cellStyle name="20% - Accent5 2 3 3" xfId="2003"/>
    <cellStyle name="20% - Accent5 2 3 3 2" xfId="2004"/>
    <cellStyle name="20% - Accent5 2 3 3 2 2" xfId="16634"/>
    <cellStyle name="20% - Accent5 2 3 3 2 2 2" xfId="30041"/>
    <cellStyle name="20% - Accent5 2 3 3 2 3" xfId="19328"/>
    <cellStyle name="20% - Accent5 2 3 3 3" xfId="10831"/>
    <cellStyle name="20% - Accent5 2 3 3 3 2" xfId="24773"/>
    <cellStyle name="20% - Accent5 2 3 3 4" xfId="19327"/>
    <cellStyle name="20% - Accent5 2 3 4" xfId="2005"/>
    <cellStyle name="20% - Accent5 2 3 4 2" xfId="12011"/>
    <cellStyle name="20% - Accent5 2 3 4 2 2" xfId="25726"/>
    <cellStyle name="20% - Accent5 2 3 4 3" xfId="19329"/>
    <cellStyle name="20% - Accent5 2 3 5" xfId="2006"/>
    <cellStyle name="20% - Accent5 2 3 5 2" xfId="13586"/>
    <cellStyle name="20% - Accent5 2 3 5 2 2" xfId="27135"/>
    <cellStyle name="20% - Accent5 2 3 5 3" xfId="19330"/>
    <cellStyle name="20% - Accent5 2 3 6" xfId="2007"/>
    <cellStyle name="20% - Accent5 2 3 6 2" xfId="14167"/>
    <cellStyle name="20% - Accent5 2 3 6 2 2" xfId="27716"/>
    <cellStyle name="20% - Accent5 2 3 6 3" xfId="19331"/>
    <cellStyle name="20% - Accent5 2 3 7" xfId="2008"/>
    <cellStyle name="20% - Accent5 2 3 7 2" xfId="16053"/>
    <cellStyle name="20% - Accent5 2 3 7 2 2" xfId="29460"/>
    <cellStyle name="20% - Accent5 2 3 7 3" xfId="19332"/>
    <cellStyle name="20% - Accent5 2 3 8" xfId="9105"/>
    <cellStyle name="20% - Accent5 2 3 8 2" xfId="23580"/>
    <cellStyle name="20% - Accent5 2 3 9" xfId="19319"/>
    <cellStyle name="20% - Accent5 2 4" xfId="2009"/>
    <cellStyle name="20% - Accent5 2 4 2" xfId="2010"/>
    <cellStyle name="20% - Accent5 2 4 2 2" xfId="2011"/>
    <cellStyle name="20% - Accent5 2 4 2 2 2" xfId="16780"/>
    <cellStyle name="20% - Accent5 2 4 2 2 2 2" xfId="30187"/>
    <cellStyle name="20% - Accent5 2 4 2 2 3" xfId="19335"/>
    <cellStyle name="20% - Accent5 2 4 2 3" xfId="10833"/>
    <cellStyle name="20% - Accent5 2 4 2 3 2" xfId="24775"/>
    <cellStyle name="20% - Accent5 2 4 2 4" xfId="19334"/>
    <cellStyle name="20% - Accent5 2 4 3" xfId="2012"/>
    <cellStyle name="20% - Accent5 2 4 3 2" xfId="12168"/>
    <cellStyle name="20% - Accent5 2 4 3 2 2" xfId="25880"/>
    <cellStyle name="20% - Accent5 2 4 3 3" xfId="19336"/>
    <cellStyle name="20% - Accent5 2 4 4" xfId="2013"/>
    <cellStyle name="20% - Accent5 2 4 4 2" xfId="13732"/>
    <cellStyle name="20% - Accent5 2 4 4 2 2" xfId="27281"/>
    <cellStyle name="20% - Accent5 2 4 4 3" xfId="19337"/>
    <cellStyle name="20% - Accent5 2 4 5" xfId="2014"/>
    <cellStyle name="20% - Accent5 2 4 5 2" xfId="14313"/>
    <cellStyle name="20% - Accent5 2 4 5 2 2" xfId="27862"/>
    <cellStyle name="20% - Accent5 2 4 5 3" xfId="19338"/>
    <cellStyle name="20% - Accent5 2 4 6" xfId="2015"/>
    <cellStyle name="20% - Accent5 2 4 6 2" xfId="16199"/>
    <cellStyle name="20% - Accent5 2 4 6 2 2" xfId="29606"/>
    <cellStyle name="20% - Accent5 2 4 6 3" xfId="19339"/>
    <cellStyle name="20% - Accent5 2 4 7" xfId="9107"/>
    <cellStyle name="20% - Accent5 2 4 7 2" xfId="23582"/>
    <cellStyle name="20% - Accent5 2 4 8" xfId="19333"/>
    <cellStyle name="20% - Accent5 2 5" xfId="2016"/>
    <cellStyle name="20% - Accent5 2 5 2" xfId="2017"/>
    <cellStyle name="20% - Accent5 2 5 2 2" xfId="12639"/>
    <cellStyle name="20% - Accent5 2 5 2 2 2" xfId="26351"/>
    <cellStyle name="20% - Accent5 2 5 2 3" xfId="19341"/>
    <cellStyle name="20% - Accent5 2 5 3" xfId="2018"/>
    <cellStyle name="20% - Accent5 2 5 3 2" xfId="14954"/>
    <cellStyle name="20% - Accent5 2 5 3 2 2" xfId="28503"/>
    <cellStyle name="20% - Accent5 2 5 3 3" xfId="19342"/>
    <cellStyle name="20% - Accent5 2 5 4" xfId="2019"/>
    <cellStyle name="20% - Accent5 2 5 4 2" xfId="17011"/>
    <cellStyle name="20% - Accent5 2 5 4 2 2" xfId="30418"/>
    <cellStyle name="20% - Accent5 2 5 4 3" xfId="19343"/>
    <cellStyle name="20% - Accent5 2 5 5" xfId="10532"/>
    <cellStyle name="20% - Accent5 2 5 5 2" xfId="24474"/>
    <cellStyle name="20% - Accent5 2 5 6" xfId="19340"/>
    <cellStyle name="20% - Accent5 2 6" xfId="2020"/>
    <cellStyle name="20% - Accent5 2 6 2" xfId="2021"/>
    <cellStyle name="20% - Accent5 2 6 2 2" xfId="12521"/>
    <cellStyle name="20% - Accent5 2 6 2 2 2" xfId="26233"/>
    <cellStyle name="20% - Accent5 2 6 2 3" xfId="19345"/>
    <cellStyle name="20% - Accent5 2 6 3" xfId="2022"/>
    <cellStyle name="20% - Accent5 2 6 3 2" xfId="14955"/>
    <cellStyle name="20% - Accent5 2 6 3 2 2" xfId="28504"/>
    <cellStyle name="20% - Accent5 2 6 3 3" xfId="19346"/>
    <cellStyle name="20% - Accent5 2 6 4" xfId="2023"/>
    <cellStyle name="20% - Accent5 2 6 4 2" xfId="17127"/>
    <cellStyle name="20% - Accent5 2 6 4 2 2" xfId="30486"/>
    <cellStyle name="20% - Accent5 2 6 4 3" xfId="19347"/>
    <cellStyle name="20% - Accent5 2 6 5" xfId="10826"/>
    <cellStyle name="20% - Accent5 2 6 5 2" xfId="24768"/>
    <cellStyle name="20% - Accent5 2 6 6" xfId="19344"/>
    <cellStyle name="20% - Accent5 2 7" xfId="2024"/>
    <cellStyle name="20% - Accent5 2 7 2" xfId="2025"/>
    <cellStyle name="20% - Accent5 2 7 2 2" xfId="17216"/>
    <cellStyle name="20% - Accent5 2 7 2 2 2" xfId="30575"/>
    <cellStyle name="20% - Accent5 2 7 2 3" xfId="19349"/>
    <cellStyle name="20% - Accent5 2 7 3" xfId="11845"/>
    <cellStyle name="20% - Accent5 2 7 3 2" xfId="25560"/>
    <cellStyle name="20% - Accent5 2 7 4" xfId="19348"/>
    <cellStyle name="20% - Accent5 2 8" xfId="2026"/>
    <cellStyle name="20% - Accent5 2 8 2" xfId="2027"/>
    <cellStyle name="20% - Accent5 2 8 2 2" xfId="16491"/>
    <cellStyle name="20% - Accent5 2 8 2 2 2" xfId="29898"/>
    <cellStyle name="20% - Accent5 2 8 2 3" xfId="19351"/>
    <cellStyle name="20% - Accent5 2 8 3" xfId="13443"/>
    <cellStyle name="20% - Accent5 2 8 3 2" xfId="26992"/>
    <cellStyle name="20% - Accent5 2 8 4" xfId="19350"/>
    <cellStyle name="20% - Accent5 2 9" xfId="2028"/>
    <cellStyle name="20% - Accent5 2 9 2" xfId="14024"/>
    <cellStyle name="20% - Accent5 2 9 2 2" xfId="27573"/>
    <cellStyle name="20% - Accent5 2 9 3" xfId="19352"/>
    <cellStyle name="20% - Accent5 3" xfId="2029"/>
    <cellStyle name="20% - Accent5 3 10" xfId="19353"/>
    <cellStyle name="20% - Accent5 3 2" xfId="2030"/>
    <cellStyle name="20% - Accent5 3 2 2" xfId="2031"/>
    <cellStyle name="20% - Accent5 3 2 2 2" xfId="2032"/>
    <cellStyle name="20% - Accent5 3 2 2 2 2" xfId="2033"/>
    <cellStyle name="20% - Accent5 3 2 2 2 2 2" xfId="16946"/>
    <cellStyle name="20% - Accent5 3 2 2 2 2 2 2" xfId="30353"/>
    <cellStyle name="20% - Accent5 3 2 2 2 2 3" xfId="19357"/>
    <cellStyle name="20% - Accent5 3 2 2 2 3" xfId="10836"/>
    <cellStyle name="20% - Accent5 3 2 2 2 3 2" xfId="24778"/>
    <cellStyle name="20% - Accent5 3 2 2 2 4" xfId="19356"/>
    <cellStyle name="20% - Accent5 3 2 2 3" xfId="2034"/>
    <cellStyle name="20% - Accent5 3 2 2 3 2" xfId="12334"/>
    <cellStyle name="20% - Accent5 3 2 2 3 2 2" xfId="26046"/>
    <cellStyle name="20% - Accent5 3 2 2 3 3" xfId="19358"/>
    <cellStyle name="20% - Accent5 3 2 2 4" xfId="2035"/>
    <cellStyle name="20% - Accent5 3 2 2 4 2" xfId="13898"/>
    <cellStyle name="20% - Accent5 3 2 2 4 2 2" xfId="27447"/>
    <cellStyle name="20% - Accent5 3 2 2 4 3" xfId="19359"/>
    <cellStyle name="20% - Accent5 3 2 2 5" xfId="2036"/>
    <cellStyle name="20% - Accent5 3 2 2 5 2" xfId="14479"/>
    <cellStyle name="20% - Accent5 3 2 2 5 2 2" xfId="28028"/>
    <cellStyle name="20% - Accent5 3 2 2 5 3" xfId="19360"/>
    <cellStyle name="20% - Accent5 3 2 2 6" xfId="2037"/>
    <cellStyle name="20% - Accent5 3 2 2 6 2" xfId="16365"/>
    <cellStyle name="20% - Accent5 3 2 2 6 2 2" xfId="29772"/>
    <cellStyle name="20% - Accent5 3 2 2 6 3" xfId="19361"/>
    <cellStyle name="20% - Accent5 3 2 2 7" xfId="9110"/>
    <cellStyle name="20% - Accent5 3 2 2 7 2" xfId="23585"/>
    <cellStyle name="20% - Accent5 3 2 2 8" xfId="19355"/>
    <cellStyle name="20% - Accent5 3 2 3" xfId="2038"/>
    <cellStyle name="20% - Accent5 3 2 3 2" xfId="2039"/>
    <cellStyle name="20% - Accent5 3 2 3 2 2" xfId="16657"/>
    <cellStyle name="20% - Accent5 3 2 3 2 2 2" xfId="30064"/>
    <cellStyle name="20% - Accent5 3 2 3 2 3" xfId="19363"/>
    <cellStyle name="20% - Accent5 3 2 3 3" xfId="10835"/>
    <cellStyle name="20% - Accent5 3 2 3 3 2" xfId="24777"/>
    <cellStyle name="20% - Accent5 3 2 3 4" xfId="19362"/>
    <cellStyle name="20% - Accent5 3 2 4" xfId="2040"/>
    <cellStyle name="20% - Accent5 3 2 4 2" xfId="12034"/>
    <cellStyle name="20% - Accent5 3 2 4 2 2" xfId="25749"/>
    <cellStyle name="20% - Accent5 3 2 4 3" xfId="19364"/>
    <cellStyle name="20% - Accent5 3 2 5" xfId="2041"/>
    <cellStyle name="20% - Accent5 3 2 5 2" xfId="13609"/>
    <cellStyle name="20% - Accent5 3 2 5 2 2" xfId="27158"/>
    <cellStyle name="20% - Accent5 3 2 5 3" xfId="19365"/>
    <cellStyle name="20% - Accent5 3 2 6" xfId="2042"/>
    <cellStyle name="20% - Accent5 3 2 6 2" xfId="14190"/>
    <cellStyle name="20% - Accent5 3 2 6 2 2" xfId="27739"/>
    <cellStyle name="20% - Accent5 3 2 6 3" xfId="19366"/>
    <cellStyle name="20% - Accent5 3 2 7" xfId="2043"/>
    <cellStyle name="20% - Accent5 3 2 7 2" xfId="16076"/>
    <cellStyle name="20% - Accent5 3 2 7 2 2" xfId="29483"/>
    <cellStyle name="20% - Accent5 3 2 7 3" xfId="19367"/>
    <cellStyle name="20% - Accent5 3 2 8" xfId="9109"/>
    <cellStyle name="20% - Accent5 3 2 8 2" xfId="23584"/>
    <cellStyle name="20% - Accent5 3 2 9" xfId="19354"/>
    <cellStyle name="20% - Accent5 3 3" xfId="2044"/>
    <cellStyle name="20% - Accent5 3 3 2" xfId="2045"/>
    <cellStyle name="20% - Accent5 3 3 2 2" xfId="2046"/>
    <cellStyle name="20% - Accent5 3 3 2 2 2" xfId="16803"/>
    <cellStyle name="20% - Accent5 3 3 2 2 2 2" xfId="30210"/>
    <cellStyle name="20% - Accent5 3 3 2 2 3" xfId="19370"/>
    <cellStyle name="20% - Accent5 3 3 2 3" xfId="10837"/>
    <cellStyle name="20% - Accent5 3 3 2 3 2" xfId="24779"/>
    <cellStyle name="20% - Accent5 3 3 2 4" xfId="19369"/>
    <cellStyle name="20% - Accent5 3 3 3" xfId="2047"/>
    <cellStyle name="20% - Accent5 3 3 3 2" xfId="12191"/>
    <cellStyle name="20% - Accent5 3 3 3 2 2" xfId="25903"/>
    <cellStyle name="20% - Accent5 3 3 3 3" xfId="19371"/>
    <cellStyle name="20% - Accent5 3 3 4" xfId="2048"/>
    <cellStyle name="20% - Accent5 3 3 4 2" xfId="13755"/>
    <cellStyle name="20% - Accent5 3 3 4 2 2" xfId="27304"/>
    <cellStyle name="20% - Accent5 3 3 4 3" xfId="19372"/>
    <cellStyle name="20% - Accent5 3 3 5" xfId="2049"/>
    <cellStyle name="20% - Accent5 3 3 5 2" xfId="14336"/>
    <cellStyle name="20% - Accent5 3 3 5 2 2" xfId="27885"/>
    <cellStyle name="20% - Accent5 3 3 5 3" xfId="19373"/>
    <cellStyle name="20% - Accent5 3 3 6" xfId="2050"/>
    <cellStyle name="20% - Accent5 3 3 6 2" xfId="16222"/>
    <cellStyle name="20% - Accent5 3 3 6 2 2" xfId="29629"/>
    <cellStyle name="20% - Accent5 3 3 6 3" xfId="19374"/>
    <cellStyle name="20% - Accent5 3 3 7" xfId="9111"/>
    <cellStyle name="20% - Accent5 3 3 7 2" xfId="23586"/>
    <cellStyle name="20% - Accent5 3 3 8" xfId="19368"/>
    <cellStyle name="20% - Accent5 3 4" xfId="2051"/>
    <cellStyle name="20% - Accent5 3 4 2" xfId="2052"/>
    <cellStyle name="20% - Accent5 3 4 2 2" xfId="17150"/>
    <cellStyle name="20% - Accent5 3 4 2 2 2" xfId="30509"/>
    <cellStyle name="20% - Accent5 3 4 2 3" xfId="19376"/>
    <cellStyle name="20% - Accent5 3 4 3" xfId="10834"/>
    <cellStyle name="20% - Accent5 3 4 3 2" xfId="24776"/>
    <cellStyle name="20% - Accent5 3 4 4" xfId="19375"/>
    <cellStyle name="20% - Accent5 3 5" xfId="2053"/>
    <cellStyle name="20% - Accent5 3 5 2" xfId="2054"/>
    <cellStyle name="20% - Accent5 3 5 2 2" xfId="17239"/>
    <cellStyle name="20% - Accent5 3 5 2 2 2" xfId="30598"/>
    <cellStyle name="20% - Accent5 3 5 2 3" xfId="19378"/>
    <cellStyle name="20% - Accent5 3 5 3" xfId="11886"/>
    <cellStyle name="20% - Accent5 3 5 3 2" xfId="25601"/>
    <cellStyle name="20% - Accent5 3 5 4" xfId="19377"/>
    <cellStyle name="20% - Accent5 3 6" xfId="2055"/>
    <cellStyle name="20% - Accent5 3 6 2" xfId="2056"/>
    <cellStyle name="20% - Accent5 3 6 2 2" xfId="16514"/>
    <cellStyle name="20% - Accent5 3 6 2 2 2" xfId="29921"/>
    <cellStyle name="20% - Accent5 3 6 2 3" xfId="19380"/>
    <cellStyle name="20% - Accent5 3 6 3" xfId="13466"/>
    <cellStyle name="20% - Accent5 3 6 3 2" xfId="27015"/>
    <cellStyle name="20% - Accent5 3 6 4" xfId="19379"/>
    <cellStyle name="20% - Accent5 3 7" xfId="2057"/>
    <cellStyle name="20% - Accent5 3 7 2" xfId="14047"/>
    <cellStyle name="20% - Accent5 3 7 2 2" xfId="27596"/>
    <cellStyle name="20% - Accent5 3 7 3" xfId="19381"/>
    <cellStyle name="20% - Accent5 3 8" xfId="2058"/>
    <cellStyle name="20% - Accent5 3 8 2" xfId="15933"/>
    <cellStyle name="20% - Accent5 3 8 2 2" xfId="29340"/>
    <cellStyle name="20% - Accent5 3 8 3" xfId="19382"/>
    <cellStyle name="20% - Accent5 3 9" xfId="9108"/>
    <cellStyle name="20% - Accent5 3 9 2" xfId="23583"/>
    <cellStyle name="20% - Accent5 4" xfId="2059"/>
    <cellStyle name="20% - Accent5 4 10" xfId="19383"/>
    <cellStyle name="20% - Accent5 4 2" xfId="2060"/>
    <cellStyle name="20% - Accent5 4 2 2" xfId="2061"/>
    <cellStyle name="20% - Accent5 4 2 2 2" xfId="2062"/>
    <cellStyle name="20% - Accent5 4 2 2 2 2" xfId="2063"/>
    <cellStyle name="20% - Accent5 4 2 2 2 2 2" xfId="16896"/>
    <cellStyle name="20% - Accent5 4 2 2 2 2 2 2" xfId="30303"/>
    <cellStyle name="20% - Accent5 4 2 2 2 2 3" xfId="19387"/>
    <cellStyle name="20% - Accent5 4 2 2 2 3" xfId="10840"/>
    <cellStyle name="20% - Accent5 4 2 2 2 3 2" xfId="24782"/>
    <cellStyle name="20% - Accent5 4 2 2 2 4" xfId="19386"/>
    <cellStyle name="20% - Accent5 4 2 2 3" xfId="2064"/>
    <cellStyle name="20% - Accent5 4 2 2 3 2" xfId="12284"/>
    <cellStyle name="20% - Accent5 4 2 2 3 2 2" xfId="25996"/>
    <cellStyle name="20% - Accent5 4 2 2 3 3" xfId="19388"/>
    <cellStyle name="20% - Accent5 4 2 2 4" xfId="2065"/>
    <cellStyle name="20% - Accent5 4 2 2 4 2" xfId="13848"/>
    <cellStyle name="20% - Accent5 4 2 2 4 2 2" xfId="27397"/>
    <cellStyle name="20% - Accent5 4 2 2 4 3" xfId="19389"/>
    <cellStyle name="20% - Accent5 4 2 2 5" xfId="2066"/>
    <cellStyle name="20% - Accent5 4 2 2 5 2" xfId="14429"/>
    <cellStyle name="20% - Accent5 4 2 2 5 2 2" xfId="27978"/>
    <cellStyle name="20% - Accent5 4 2 2 5 3" xfId="19390"/>
    <cellStyle name="20% - Accent5 4 2 2 6" xfId="2067"/>
    <cellStyle name="20% - Accent5 4 2 2 6 2" xfId="16315"/>
    <cellStyle name="20% - Accent5 4 2 2 6 2 2" xfId="29722"/>
    <cellStyle name="20% - Accent5 4 2 2 6 3" xfId="19391"/>
    <cellStyle name="20% - Accent5 4 2 2 7" xfId="9114"/>
    <cellStyle name="20% - Accent5 4 2 2 7 2" xfId="23589"/>
    <cellStyle name="20% - Accent5 4 2 2 8" xfId="19385"/>
    <cellStyle name="20% - Accent5 4 2 3" xfId="2068"/>
    <cellStyle name="20% - Accent5 4 2 3 2" xfId="2069"/>
    <cellStyle name="20% - Accent5 4 2 3 2 2" xfId="16607"/>
    <cellStyle name="20% - Accent5 4 2 3 2 2 2" xfId="30014"/>
    <cellStyle name="20% - Accent5 4 2 3 2 3" xfId="19393"/>
    <cellStyle name="20% - Accent5 4 2 3 3" xfId="10839"/>
    <cellStyle name="20% - Accent5 4 2 3 3 2" xfId="24781"/>
    <cellStyle name="20% - Accent5 4 2 3 4" xfId="19392"/>
    <cellStyle name="20% - Accent5 4 2 4" xfId="2070"/>
    <cellStyle name="20% - Accent5 4 2 4 2" xfId="11984"/>
    <cellStyle name="20% - Accent5 4 2 4 2 2" xfId="25699"/>
    <cellStyle name="20% - Accent5 4 2 4 3" xfId="19394"/>
    <cellStyle name="20% - Accent5 4 2 5" xfId="2071"/>
    <cellStyle name="20% - Accent5 4 2 5 2" xfId="13559"/>
    <cellStyle name="20% - Accent5 4 2 5 2 2" xfId="27108"/>
    <cellStyle name="20% - Accent5 4 2 5 3" xfId="19395"/>
    <cellStyle name="20% - Accent5 4 2 6" xfId="2072"/>
    <cellStyle name="20% - Accent5 4 2 6 2" xfId="14140"/>
    <cellStyle name="20% - Accent5 4 2 6 2 2" xfId="27689"/>
    <cellStyle name="20% - Accent5 4 2 6 3" xfId="19396"/>
    <cellStyle name="20% - Accent5 4 2 7" xfId="2073"/>
    <cellStyle name="20% - Accent5 4 2 7 2" xfId="16026"/>
    <cellStyle name="20% - Accent5 4 2 7 2 2" xfId="29433"/>
    <cellStyle name="20% - Accent5 4 2 7 3" xfId="19397"/>
    <cellStyle name="20% - Accent5 4 2 8" xfId="9113"/>
    <cellStyle name="20% - Accent5 4 2 8 2" xfId="23588"/>
    <cellStyle name="20% - Accent5 4 2 9" xfId="19384"/>
    <cellStyle name="20% - Accent5 4 3" xfId="2074"/>
    <cellStyle name="20% - Accent5 4 3 2" xfId="2075"/>
    <cellStyle name="20% - Accent5 4 3 2 2" xfId="2076"/>
    <cellStyle name="20% - Accent5 4 3 2 2 2" xfId="16756"/>
    <cellStyle name="20% - Accent5 4 3 2 2 2 2" xfId="30163"/>
    <cellStyle name="20% - Accent5 4 3 2 2 3" xfId="19400"/>
    <cellStyle name="20% - Accent5 4 3 2 3" xfId="10841"/>
    <cellStyle name="20% - Accent5 4 3 2 3 2" xfId="24783"/>
    <cellStyle name="20% - Accent5 4 3 2 4" xfId="19399"/>
    <cellStyle name="20% - Accent5 4 3 3" xfId="2077"/>
    <cellStyle name="20% - Accent5 4 3 3 2" xfId="12144"/>
    <cellStyle name="20% - Accent5 4 3 3 2 2" xfId="25856"/>
    <cellStyle name="20% - Accent5 4 3 3 3" xfId="19401"/>
    <cellStyle name="20% - Accent5 4 3 4" xfId="2078"/>
    <cellStyle name="20% - Accent5 4 3 4 2" xfId="13708"/>
    <cellStyle name="20% - Accent5 4 3 4 2 2" xfId="27257"/>
    <cellStyle name="20% - Accent5 4 3 4 3" xfId="19402"/>
    <cellStyle name="20% - Accent5 4 3 5" xfId="2079"/>
    <cellStyle name="20% - Accent5 4 3 5 2" xfId="14289"/>
    <cellStyle name="20% - Accent5 4 3 5 2 2" xfId="27838"/>
    <cellStyle name="20% - Accent5 4 3 5 3" xfId="19403"/>
    <cellStyle name="20% - Accent5 4 3 6" xfId="2080"/>
    <cellStyle name="20% - Accent5 4 3 6 2" xfId="16175"/>
    <cellStyle name="20% - Accent5 4 3 6 2 2" xfId="29582"/>
    <cellStyle name="20% - Accent5 4 3 6 3" xfId="19404"/>
    <cellStyle name="20% - Accent5 4 3 7" xfId="9115"/>
    <cellStyle name="20% - Accent5 4 3 7 2" xfId="23590"/>
    <cellStyle name="20% - Accent5 4 3 8" xfId="19398"/>
    <cellStyle name="20% - Accent5 4 4" xfId="2081"/>
    <cellStyle name="20% - Accent5 4 4 2" xfId="2082"/>
    <cellStyle name="20% - Accent5 4 4 2 2" xfId="16464"/>
    <cellStyle name="20% - Accent5 4 4 2 2 2" xfId="29871"/>
    <cellStyle name="20% - Accent5 4 4 2 3" xfId="19406"/>
    <cellStyle name="20% - Accent5 4 4 3" xfId="10838"/>
    <cellStyle name="20% - Accent5 4 4 3 2" xfId="24780"/>
    <cellStyle name="20% - Accent5 4 4 4" xfId="19405"/>
    <cellStyle name="20% - Accent5 4 5" xfId="2083"/>
    <cellStyle name="20% - Accent5 4 5 2" xfId="11815"/>
    <cellStyle name="20% - Accent5 4 5 2 2" xfId="25530"/>
    <cellStyle name="20% - Accent5 4 5 3" xfId="19407"/>
    <cellStyle name="20% - Accent5 4 6" xfId="2084"/>
    <cellStyle name="20% - Accent5 4 6 2" xfId="13416"/>
    <cellStyle name="20% - Accent5 4 6 2 2" xfId="26965"/>
    <cellStyle name="20% - Accent5 4 6 3" xfId="19408"/>
    <cellStyle name="20% - Accent5 4 7" xfId="2085"/>
    <cellStyle name="20% - Accent5 4 7 2" xfId="13997"/>
    <cellStyle name="20% - Accent5 4 7 2 2" xfId="27546"/>
    <cellStyle name="20% - Accent5 4 7 3" xfId="19409"/>
    <cellStyle name="20% - Accent5 4 8" xfId="2086"/>
    <cellStyle name="20% - Accent5 4 8 2" xfId="15883"/>
    <cellStyle name="20% - Accent5 4 8 2 2" xfId="29290"/>
    <cellStyle name="20% - Accent5 4 8 3" xfId="19410"/>
    <cellStyle name="20% - Accent5 4 9" xfId="9112"/>
    <cellStyle name="20% - Accent5 4 9 2" xfId="23587"/>
    <cellStyle name="20% - Accent5 5" xfId="2087"/>
    <cellStyle name="20% - Accent5 5 10" xfId="19411"/>
    <cellStyle name="20% - Accent5 5 2" xfId="2088"/>
    <cellStyle name="20% - Accent5 5 2 2" xfId="2089"/>
    <cellStyle name="20% - Accent5 5 2 2 2" xfId="2090"/>
    <cellStyle name="20% - Accent5 5 2 2 2 2" xfId="2091"/>
    <cellStyle name="20% - Accent5 5 2 2 2 2 2" xfId="16879"/>
    <cellStyle name="20% - Accent5 5 2 2 2 2 2 2" xfId="30286"/>
    <cellStyle name="20% - Accent5 5 2 2 2 2 3" xfId="19415"/>
    <cellStyle name="20% - Accent5 5 2 2 2 3" xfId="10844"/>
    <cellStyle name="20% - Accent5 5 2 2 2 3 2" xfId="24786"/>
    <cellStyle name="20% - Accent5 5 2 2 2 4" xfId="19414"/>
    <cellStyle name="20% - Accent5 5 2 2 3" xfId="2092"/>
    <cellStyle name="20% - Accent5 5 2 2 3 2" xfId="12267"/>
    <cellStyle name="20% - Accent5 5 2 2 3 2 2" xfId="25979"/>
    <cellStyle name="20% - Accent5 5 2 2 3 3" xfId="19416"/>
    <cellStyle name="20% - Accent5 5 2 2 4" xfId="2093"/>
    <cellStyle name="20% - Accent5 5 2 2 4 2" xfId="13831"/>
    <cellStyle name="20% - Accent5 5 2 2 4 2 2" xfId="27380"/>
    <cellStyle name="20% - Accent5 5 2 2 4 3" xfId="19417"/>
    <cellStyle name="20% - Accent5 5 2 2 5" xfId="2094"/>
    <cellStyle name="20% - Accent5 5 2 2 5 2" xfId="14412"/>
    <cellStyle name="20% - Accent5 5 2 2 5 2 2" xfId="27961"/>
    <cellStyle name="20% - Accent5 5 2 2 5 3" xfId="19418"/>
    <cellStyle name="20% - Accent5 5 2 2 6" xfId="2095"/>
    <cellStyle name="20% - Accent5 5 2 2 6 2" xfId="16298"/>
    <cellStyle name="20% - Accent5 5 2 2 6 2 2" xfId="29705"/>
    <cellStyle name="20% - Accent5 5 2 2 6 3" xfId="19419"/>
    <cellStyle name="20% - Accent5 5 2 2 7" xfId="9118"/>
    <cellStyle name="20% - Accent5 5 2 2 7 2" xfId="23593"/>
    <cellStyle name="20% - Accent5 5 2 2 8" xfId="19413"/>
    <cellStyle name="20% - Accent5 5 2 3" xfId="2096"/>
    <cellStyle name="20% - Accent5 5 2 3 2" xfId="2097"/>
    <cellStyle name="20% - Accent5 5 2 3 2 2" xfId="16590"/>
    <cellStyle name="20% - Accent5 5 2 3 2 2 2" xfId="29997"/>
    <cellStyle name="20% - Accent5 5 2 3 2 3" xfId="19421"/>
    <cellStyle name="20% - Accent5 5 2 3 3" xfId="10843"/>
    <cellStyle name="20% - Accent5 5 2 3 3 2" xfId="24785"/>
    <cellStyle name="20% - Accent5 5 2 3 4" xfId="19420"/>
    <cellStyle name="20% - Accent5 5 2 4" xfId="2098"/>
    <cellStyle name="20% - Accent5 5 2 4 2" xfId="11967"/>
    <cellStyle name="20% - Accent5 5 2 4 2 2" xfId="25682"/>
    <cellStyle name="20% - Accent5 5 2 4 3" xfId="19422"/>
    <cellStyle name="20% - Accent5 5 2 5" xfId="2099"/>
    <cellStyle name="20% - Accent5 5 2 5 2" xfId="13542"/>
    <cellStyle name="20% - Accent5 5 2 5 2 2" xfId="27091"/>
    <cellStyle name="20% - Accent5 5 2 5 3" xfId="19423"/>
    <cellStyle name="20% - Accent5 5 2 6" xfId="2100"/>
    <cellStyle name="20% - Accent5 5 2 6 2" xfId="14123"/>
    <cellStyle name="20% - Accent5 5 2 6 2 2" xfId="27672"/>
    <cellStyle name="20% - Accent5 5 2 6 3" xfId="19424"/>
    <cellStyle name="20% - Accent5 5 2 7" xfId="2101"/>
    <cellStyle name="20% - Accent5 5 2 7 2" xfId="16009"/>
    <cellStyle name="20% - Accent5 5 2 7 2 2" xfId="29416"/>
    <cellStyle name="20% - Accent5 5 2 7 3" xfId="19425"/>
    <cellStyle name="20% - Accent5 5 2 8" xfId="9117"/>
    <cellStyle name="20% - Accent5 5 2 8 2" xfId="23592"/>
    <cellStyle name="20% - Accent5 5 2 9" xfId="19412"/>
    <cellStyle name="20% - Accent5 5 3" xfId="2102"/>
    <cellStyle name="20% - Accent5 5 3 2" xfId="2103"/>
    <cellStyle name="20% - Accent5 5 3 2 2" xfId="2104"/>
    <cellStyle name="20% - Accent5 5 3 2 2 2" xfId="16739"/>
    <cellStyle name="20% - Accent5 5 3 2 2 2 2" xfId="30146"/>
    <cellStyle name="20% - Accent5 5 3 2 2 3" xfId="19428"/>
    <cellStyle name="20% - Accent5 5 3 2 3" xfId="10845"/>
    <cellStyle name="20% - Accent5 5 3 2 3 2" xfId="24787"/>
    <cellStyle name="20% - Accent5 5 3 2 4" xfId="19427"/>
    <cellStyle name="20% - Accent5 5 3 3" xfId="2105"/>
    <cellStyle name="20% - Accent5 5 3 3 2" xfId="12127"/>
    <cellStyle name="20% - Accent5 5 3 3 2 2" xfId="25839"/>
    <cellStyle name="20% - Accent5 5 3 3 3" xfId="19429"/>
    <cellStyle name="20% - Accent5 5 3 4" xfId="2106"/>
    <cellStyle name="20% - Accent5 5 3 4 2" xfId="13691"/>
    <cellStyle name="20% - Accent5 5 3 4 2 2" xfId="27240"/>
    <cellStyle name="20% - Accent5 5 3 4 3" xfId="19430"/>
    <cellStyle name="20% - Accent5 5 3 5" xfId="2107"/>
    <cellStyle name="20% - Accent5 5 3 5 2" xfId="14272"/>
    <cellStyle name="20% - Accent5 5 3 5 2 2" xfId="27821"/>
    <cellStyle name="20% - Accent5 5 3 5 3" xfId="19431"/>
    <cellStyle name="20% - Accent5 5 3 6" xfId="2108"/>
    <cellStyle name="20% - Accent5 5 3 6 2" xfId="16158"/>
    <cellStyle name="20% - Accent5 5 3 6 2 2" xfId="29565"/>
    <cellStyle name="20% - Accent5 5 3 6 3" xfId="19432"/>
    <cellStyle name="20% - Accent5 5 3 7" xfId="9119"/>
    <cellStyle name="20% - Accent5 5 3 7 2" xfId="23594"/>
    <cellStyle name="20% - Accent5 5 3 8" xfId="19426"/>
    <cellStyle name="20% - Accent5 5 4" xfId="2109"/>
    <cellStyle name="20% - Accent5 5 4 2" xfId="2110"/>
    <cellStyle name="20% - Accent5 5 4 2 2" xfId="16447"/>
    <cellStyle name="20% - Accent5 5 4 2 2 2" xfId="29854"/>
    <cellStyle name="20% - Accent5 5 4 2 3" xfId="19434"/>
    <cellStyle name="20% - Accent5 5 4 3" xfId="10842"/>
    <cellStyle name="20% - Accent5 5 4 3 2" xfId="24784"/>
    <cellStyle name="20% - Accent5 5 4 4" xfId="19433"/>
    <cellStyle name="20% - Accent5 5 5" xfId="2111"/>
    <cellStyle name="20% - Accent5 5 5 2" xfId="11798"/>
    <cellStyle name="20% - Accent5 5 5 2 2" xfId="25513"/>
    <cellStyle name="20% - Accent5 5 5 3" xfId="19435"/>
    <cellStyle name="20% - Accent5 5 6" xfId="2112"/>
    <cellStyle name="20% - Accent5 5 6 2" xfId="13399"/>
    <cellStyle name="20% - Accent5 5 6 2 2" xfId="26948"/>
    <cellStyle name="20% - Accent5 5 6 3" xfId="19436"/>
    <cellStyle name="20% - Accent5 5 7" xfId="2113"/>
    <cellStyle name="20% - Accent5 5 7 2" xfId="13980"/>
    <cellStyle name="20% - Accent5 5 7 2 2" xfId="27529"/>
    <cellStyle name="20% - Accent5 5 7 3" xfId="19437"/>
    <cellStyle name="20% - Accent5 5 8" xfId="2114"/>
    <cellStyle name="20% - Accent5 5 8 2" xfId="15866"/>
    <cellStyle name="20% - Accent5 5 8 2 2" xfId="29273"/>
    <cellStyle name="20% - Accent5 5 8 3" xfId="19438"/>
    <cellStyle name="20% - Accent5 5 9" xfId="9116"/>
    <cellStyle name="20% - Accent5 5 9 2" xfId="23591"/>
    <cellStyle name="20% - Accent5 6" xfId="2115"/>
    <cellStyle name="20% - Accent5 6 10" xfId="19439"/>
    <cellStyle name="20% - Accent5 6 2" xfId="2116"/>
    <cellStyle name="20% - Accent5 6 2 2" xfId="2117"/>
    <cellStyle name="20% - Accent5 6 2 2 2" xfId="2118"/>
    <cellStyle name="20% - Accent5 6 2 2 2 2" xfId="2119"/>
    <cellStyle name="20% - Accent5 6 2 2 2 2 2" xfId="16985"/>
    <cellStyle name="20% - Accent5 6 2 2 2 2 2 2" xfId="30392"/>
    <cellStyle name="20% - Accent5 6 2 2 2 2 3" xfId="19443"/>
    <cellStyle name="20% - Accent5 6 2 2 2 3" xfId="10848"/>
    <cellStyle name="20% - Accent5 6 2 2 2 3 2" xfId="24790"/>
    <cellStyle name="20% - Accent5 6 2 2 2 4" xfId="19442"/>
    <cellStyle name="20% - Accent5 6 2 2 3" xfId="2120"/>
    <cellStyle name="20% - Accent5 6 2 2 3 2" xfId="12373"/>
    <cellStyle name="20% - Accent5 6 2 2 3 2 2" xfId="26085"/>
    <cellStyle name="20% - Accent5 6 2 2 3 3" xfId="19444"/>
    <cellStyle name="20% - Accent5 6 2 2 4" xfId="2121"/>
    <cellStyle name="20% - Accent5 6 2 2 4 2" xfId="13937"/>
    <cellStyle name="20% - Accent5 6 2 2 4 2 2" xfId="27486"/>
    <cellStyle name="20% - Accent5 6 2 2 4 3" xfId="19445"/>
    <cellStyle name="20% - Accent5 6 2 2 5" xfId="2122"/>
    <cellStyle name="20% - Accent5 6 2 2 5 2" xfId="14518"/>
    <cellStyle name="20% - Accent5 6 2 2 5 2 2" xfId="28067"/>
    <cellStyle name="20% - Accent5 6 2 2 5 3" xfId="19446"/>
    <cellStyle name="20% - Accent5 6 2 2 6" xfId="2123"/>
    <cellStyle name="20% - Accent5 6 2 2 6 2" xfId="16404"/>
    <cellStyle name="20% - Accent5 6 2 2 6 2 2" xfId="29811"/>
    <cellStyle name="20% - Accent5 6 2 2 6 3" xfId="19447"/>
    <cellStyle name="20% - Accent5 6 2 2 7" xfId="9122"/>
    <cellStyle name="20% - Accent5 6 2 2 7 2" xfId="23597"/>
    <cellStyle name="20% - Accent5 6 2 2 8" xfId="19441"/>
    <cellStyle name="20% - Accent5 6 2 3" xfId="2124"/>
    <cellStyle name="20% - Accent5 6 2 3 2" xfId="2125"/>
    <cellStyle name="20% - Accent5 6 2 3 2 2" xfId="16696"/>
    <cellStyle name="20% - Accent5 6 2 3 2 2 2" xfId="30103"/>
    <cellStyle name="20% - Accent5 6 2 3 2 3" xfId="19449"/>
    <cellStyle name="20% - Accent5 6 2 3 3" xfId="10847"/>
    <cellStyle name="20% - Accent5 6 2 3 3 2" xfId="24789"/>
    <cellStyle name="20% - Accent5 6 2 3 4" xfId="19448"/>
    <cellStyle name="20% - Accent5 6 2 4" xfId="2126"/>
    <cellStyle name="20% - Accent5 6 2 4 2" xfId="12073"/>
    <cellStyle name="20% - Accent5 6 2 4 2 2" xfId="25788"/>
    <cellStyle name="20% - Accent5 6 2 4 3" xfId="19450"/>
    <cellStyle name="20% - Accent5 6 2 5" xfId="2127"/>
    <cellStyle name="20% - Accent5 6 2 5 2" xfId="13648"/>
    <cellStyle name="20% - Accent5 6 2 5 2 2" xfId="27197"/>
    <cellStyle name="20% - Accent5 6 2 5 3" xfId="19451"/>
    <cellStyle name="20% - Accent5 6 2 6" xfId="2128"/>
    <cellStyle name="20% - Accent5 6 2 6 2" xfId="14229"/>
    <cellStyle name="20% - Accent5 6 2 6 2 2" xfId="27778"/>
    <cellStyle name="20% - Accent5 6 2 6 3" xfId="19452"/>
    <cellStyle name="20% - Accent5 6 2 7" xfId="2129"/>
    <cellStyle name="20% - Accent5 6 2 7 2" xfId="16115"/>
    <cellStyle name="20% - Accent5 6 2 7 2 2" xfId="29522"/>
    <cellStyle name="20% - Accent5 6 2 7 3" xfId="19453"/>
    <cellStyle name="20% - Accent5 6 2 8" xfId="9121"/>
    <cellStyle name="20% - Accent5 6 2 8 2" xfId="23596"/>
    <cellStyle name="20% - Accent5 6 2 9" xfId="19440"/>
    <cellStyle name="20% - Accent5 6 3" xfId="2130"/>
    <cellStyle name="20% - Accent5 6 3 2" xfId="2131"/>
    <cellStyle name="20% - Accent5 6 3 2 2" xfId="2132"/>
    <cellStyle name="20% - Accent5 6 3 2 2 2" xfId="16842"/>
    <cellStyle name="20% - Accent5 6 3 2 2 2 2" xfId="30249"/>
    <cellStyle name="20% - Accent5 6 3 2 2 3" xfId="19456"/>
    <cellStyle name="20% - Accent5 6 3 2 3" xfId="10849"/>
    <cellStyle name="20% - Accent5 6 3 2 3 2" xfId="24791"/>
    <cellStyle name="20% - Accent5 6 3 2 4" xfId="19455"/>
    <cellStyle name="20% - Accent5 6 3 3" xfId="2133"/>
    <cellStyle name="20% - Accent5 6 3 3 2" xfId="12230"/>
    <cellStyle name="20% - Accent5 6 3 3 2 2" xfId="25942"/>
    <cellStyle name="20% - Accent5 6 3 3 3" xfId="19457"/>
    <cellStyle name="20% - Accent5 6 3 4" xfId="2134"/>
    <cellStyle name="20% - Accent5 6 3 4 2" xfId="13794"/>
    <cellStyle name="20% - Accent5 6 3 4 2 2" xfId="27343"/>
    <cellStyle name="20% - Accent5 6 3 4 3" xfId="19458"/>
    <cellStyle name="20% - Accent5 6 3 5" xfId="2135"/>
    <cellStyle name="20% - Accent5 6 3 5 2" xfId="14375"/>
    <cellStyle name="20% - Accent5 6 3 5 2 2" xfId="27924"/>
    <cellStyle name="20% - Accent5 6 3 5 3" xfId="19459"/>
    <cellStyle name="20% - Accent5 6 3 6" xfId="2136"/>
    <cellStyle name="20% - Accent5 6 3 6 2" xfId="16261"/>
    <cellStyle name="20% - Accent5 6 3 6 2 2" xfId="29668"/>
    <cellStyle name="20% - Accent5 6 3 6 3" xfId="19460"/>
    <cellStyle name="20% - Accent5 6 3 7" xfId="9123"/>
    <cellStyle name="20% - Accent5 6 3 7 2" xfId="23598"/>
    <cellStyle name="20% - Accent5 6 3 8" xfId="19454"/>
    <cellStyle name="20% - Accent5 6 4" xfId="2137"/>
    <cellStyle name="20% - Accent5 6 4 2" xfId="2138"/>
    <cellStyle name="20% - Accent5 6 4 2 2" xfId="16553"/>
    <cellStyle name="20% - Accent5 6 4 2 2 2" xfId="29960"/>
    <cellStyle name="20% - Accent5 6 4 2 3" xfId="19462"/>
    <cellStyle name="20% - Accent5 6 4 3" xfId="10846"/>
    <cellStyle name="20% - Accent5 6 4 3 2" xfId="24788"/>
    <cellStyle name="20% - Accent5 6 4 4" xfId="19461"/>
    <cellStyle name="20% - Accent5 6 5" xfId="2139"/>
    <cellStyle name="20% - Accent5 6 5 2" xfId="11928"/>
    <cellStyle name="20% - Accent5 6 5 2 2" xfId="25643"/>
    <cellStyle name="20% - Accent5 6 5 3" xfId="19463"/>
    <cellStyle name="20% - Accent5 6 6" xfId="2140"/>
    <cellStyle name="20% - Accent5 6 6 2" xfId="13505"/>
    <cellStyle name="20% - Accent5 6 6 2 2" xfId="27054"/>
    <cellStyle name="20% - Accent5 6 6 3" xfId="19464"/>
    <cellStyle name="20% - Accent5 6 7" xfId="2141"/>
    <cellStyle name="20% - Accent5 6 7 2" xfId="14086"/>
    <cellStyle name="20% - Accent5 6 7 2 2" xfId="27635"/>
    <cellStyle name="20% - Accent5 6 7 3" xfId="19465"/>
    <cellStyle name="20% - Accent5 6 8" xfId="2142"/>
    <cellStyle name="20% - Accent5 6 8 2" xfId="15972"/>
    <cellStyle name="20% - Accent5 6 8 2 2" xfId="29379"/>
    <cellStyle name="20% - Accent5 6 8 3" xfId="19466"/>
    <cellStyle name="20% - Accent5 6 9" xfId="9120"/>
    <cellStyle name="20% - Accent5 6 9 2" xfId="23595"/>
    <cellStyle name="20% - Accent5 7" xfId="2143"/>
    <cellStyle name="20% - Accent5 7 2" xfId="2144"/>
    <cellStyle name="20% - Accent5 7 2 2" xfId="2145"/>
    <cellStyle name="20% - Accent5 7 2 2 2" xfId="2146"/>
    <cellStyle name="20% - Accent5 7 2 2 2 2" xfId="16866"/>
    <cellStyle name="20% - Accent5 7 2 2 2 2 2" xfId="30273"/>
    <cellStyle name="20% - Accent5 7 2 2 2 3" xfId="19470"/>
    <cellStyle name="20% - Accent5 7 2 2 3" xfId="10851"/>
    <cellStyle name="20% - Accent5 7 2 2 3 2" xfId="24793"/>
    <cellStyle name="20% - Accent5 7 2 2 4" xfId="19469"/>
    <cellStyle name="20% - Accent5 7 2 3" xfId="2147"/>
    <cellStyle name="20% - Accent5 7 2 3 2" xfId="12254"/>
    <cellStyle name="20% - Accent5 7 2 3 2 2" xfId="25966"/>
    <cellStyle name="20% - Accent5 7 2 3 3" xfId="19471"/>
    <cellStyle name="20% - Accent5 7 2 4" xfId="2148"/>
    <cellStyle name="20% - Accent5 7 2 4 2" xfId="13818"/>
    <cellStyle name="20% - Accent5 7 2 4 2 2" xfId="27367"/>
    <cellStyle name="20% - Accent5 7 2 4 3" xfId="19472"/>
    <cellStyle name="20% - Accent5 7 2 5" xfId="2149"/>
    <cellStyle name="20% - Accent5 7 2 5 2" xfId="14399"/>
    <cellStyle name="20% - Accent5 7 2 5 2 2" xfId="27948"/>
    <cellStyle name="20% - Accent5 7 2 5 3" xfId="19473"/>
    <cellStyle name="20% - Accent5 7 2 6" xfId="2150"/>
    <cellStyle name="20% - Accent5 7 2 6 2" xfId="16285"/>
    <cellStyle name="20% - Accent5 7 2 6 2 2" xfId="29692"/>
    <cellStyle name="20% - Accent5 7 2 6 3" xfId="19474"/>
    <cellStyle name="20% - Accent5 7 2 7" xfId="9125"/>
    <cellStyle name="20% - Accent5 7 2 7 2" xfId="23600"/>
    <cellStyle name="20% - Accent5 7 2 8" xfId="19468"/>
    <cellStyle name="20% - Accent5 7 3" xfId="2151"/>
    <cellStyle name="20% - Accent5 7 3 2" xfId="2152"/>
    <cellStyle name="20% - Accent5 7 3 2 2" xfId="16577"/>
    <cellStyle name="20% - Accent5 7 3 2 2 2" xfId="29984"/>
    <cellStyle name="20% - Accent5 7 3 2 3" xfId="19476"/>
    <cellStyle name="20% - Accent5 7 3 3" xfId="10850"/>
    <cellStyle name="20% - Accent5 7 3 3 2" xfId="24792"/>
    <cellStyle name="20% - Accent5 7 3 4" xfId="19475"/>
    <cellStyle name="20% - Accent5 7 4" xfId="2153"/>
    <cellStyle name="20% - Accent5 7 4 2" xfId="11952"/>
    <cellStyle name="20% - Accent5 7 4 2 2" xfId="25667"/>
    <cellStyle name="20% - Accent5 7 4 3" xfId="19477"/>
    <cellStyle name="20% - Accent5 7 5" xfId="2154"/>
    <cellStyle name="20% - Accent5 7 5 2" xfId="13529"/>
    <cellStyle name="20% - Accent5 7 5 2 2" xfId="27078"/>
    <cellStyle name="20% - Accent5 7 5 3" xfId="19478"/>
    <cellStyle name="20% - Accent5 7 6" xfId="2155"/>
    <cellStyle name="20% - Accent5 7 6 2" xfId="14110"/>
    <cellStyle name="20% - Accent5 7 6 2 2" xfId="27659"/>
    <cellStyle name="20% - Accent5 7 6 3" xfId="19479"/>
    <cellStyle name="20% - Accent5 7 7" xfId="2156"/>
    <cellStyle name="20% - Accent5 7 7 2" xfId="15996"/>
    <cellStyle name="20% - Accent5 7 7 2 2" xfId="29403"/>
    <cellStyle name="20% - Accent5 7 7 3" xfId="19480"/>
    <cellStyle name="20% - Accent5 7 8" xfId="9124"/>
    <cellStyle name="20% - Accent5 7 8 2" xfId="23599"/>
    <cellStyle name="20% - Accent5 7 9" xfId="19467"/>
    <cellStyle name="20% - Accent5 8" xfId="2157"/>
    <cellStyle name="20% - Accent5 8 2" xfId="2158"/>
    <cellStyle name="20% - Accent5 8 2 2" xfId="2159"/>
    <cellStyle name="20% - Accent5 8 2 2 2" xfId="16716"/>
    <cellStyle name="20% - Accent5 8 2 2 2 2" xfId="30123"/>
    <cellStyle name="20% - Accent5 8 2 2 3" xfId="19483"/>
    <cellStyle name="20% - Accent5 8 2 3" xfId="10852"/>
    <cellStyle name="20% - Accent5 8 2 3 2" xfId="24794"/>
    <cellStyle name="20% - Accent5 8 2 4" xfId="19482"/>
    <cellStyle name="20% - Accent5 8 3" xfId="2160"/>
    <cellStyle name="20% - Accent5 8 3 2" xfId="12094"/>
    <cellStyle name="20% - Accent5 8 3 2 2" xfId="25808"/>
    <cellStyle name="20% - Accent5 8 3 3" xfId="19484"/>
    <cellStyle name="20% - Accent5 8 4" xfId="2161"/>
    <cellStyle name="20% - Accent5 8 4 2" xfId="13668"/>
    <cellStyle name="20% - Accent5 8 4 2 2" xfId="27217"/>
    <cellStyle name="20% - Accent5 8 4 3" xfId="19485"/>
    <cellStyle name="20% - Accent5 8 5" xfId="2162"/>
    <cellStyle name="20% - Accent5 8 5 2" xfId="14249"/>
    <cellStyle name="20% - Accent5 8 5 2 2" xfId="27798"/>
    <cellStyle name="20% - Accent5 8 5 3" xfId="19486"/>
    <cellStyle name="20% - Accent5 8 6" xfId="2163"/>
    <cellStyle name="20% - Accent5 8 6 2" xfId="16135"/>
    <cellStyle name="20% - Accent5 8 6 2 2" xfId="29542"/>
    <cellStyle name="20% - Accent5 8 6 3" xfId="19487"/>
    <cellStyle name="20% - Accent5 8 7" xfId="9126"/>
    <cellStyle name="20% - Accent5 8 7 2" xfId="23601"/>
    <cellStyle name="20% - Accent5 8 8" xfId="19481"/>
    <cellStyle name="20% - Accent5 9" xfId="2164"/>
    <cellStyle name="20% - Accent5 9 2" xfId="2165"/>
    <cellStyle name="20% - Accent5 9 2 2" xfId="11714"/>
    <cellStyle name="20% - Accent5 9 2 2 2" xfId="25434"/>
    <cellStyle name="20% - Accent5 9 2 3" xfId="19489"/>
    <cellStyle name="20% - Accent5 9 3" xfId="2166"/>
    <cellStyle name="20% - Accent5 9 3 2" xfId="12809"/>
    <cellStyle name="20% - Accent5 9 3 2 2" xfId="26521"/>
    <cellStyle name="20% - Accent5 9 3 3" xfId="19490"/>
    <cellStyle name="20% - Accent5 9 4" xfId="2167"/>
    <cellStyle name="20% - Accent5 9 4 2" xfId="14956"/>
    <cellStyle name="20% - Accent5 9 4 2 2" xfId="28505"/>
    <cellStyle name="20% - Accent5 9 4 3" xfId="19491"/>
    <cellStyle name="20% - Accent5 9 5" xfId="2168"/>
    <cellStyle name="20% - Accent5 9 5 2" xfId="17100"/>
    <cellStyle name="20% - Accent5 9 5 2 2" xfId="30459"/>
    <cellStyle name="20% - Accent5 9 5 3" xfId="19492"/>
    <cellStyle name="20% - Accent5 9 6" xfId="10466"/>
    <cellStyle name="20% - Accent5 9 6 2" xfId="24425"/>
    <cellStyle name="20% - Accent5 9 7" xfId="19488"/>
    <cellStyle name="20% - Accent6" xfId="47" builtinId="50" customBuiltin="1"/>
    <cellStyle name="20% - Accent6 10" xfId="2169"/>
    <cellStyle name="20% - Accent6 10 2" xfId="2170"/>
    <cellStyle name="20% - Accent6 10 2 2" xfId="2171"/>
    <cellStyle name="20% - Accent6 10 2 2 2" xfId="12400"/>
    <cellStyle name="20% - Accent6 10 2 2 2 2" xfId="26112"/>
    <cellStyle name="20% - Accent6 10 2 2 3" xfId="19495"/>
    <cellStyle name="20% - Accent6 10 2 3" xfId="2172"/>
    <cellStyle name="20% - Accent6 10 2 3 2" xfId="14959"/>
    <cellStyle name="20% - Accent6 10 2 3 2 2" xfId="28508"/>
    <cellStyle name="20% - Accent6 10 2 3 3" xfId="19496"/>
    <cellStyle name="20% - Accent6 10 2 4" xfId="10854"/>
    <cellStyle name="20% - Accent6 10 2 4 2" xfId="24796"/>
    <cellStyle name="20% - Accent6 10 2 5" xfId="19494"/>
    <cellStyle name="20% - Accent6 10 3" xfId="2173"/>
    <cellStyle name="20% - Accent6 10 3 2" xfId="12472"/>
    <cellStyle name="20% - Accent6 10 3 2 2" xfId="26184"/>
    <cellStyle name="20% - Accent6 10 3 3" xfId="19497"/>
    <cellStyle name="20% - Accent6 10 4" xfId="2174"/>
    <cellStyle name="20% - Accent6 10 4 2" xfId="14958"/>
    <cellStyle name="20% - Accent6 10 4 2 2" xfId="28507"/>
    <cellStyle name="20% - Accent6 10 4 3" xfId="19498"/>
    <cellStyle name="20% - Accent6 10 5" xfId="2175"/>
    <cellStyle name="20% - Accent6 10 5 2" xfId="17190"/>
    <cellStyle name="20% - Accent6 10 5 2 2" xfId="30549"/>
    <cellStyle name="20% - Accent6 10 5 3" xfId="19499"/>
    <cellStyle name="20% - Accent6 10 6" xfId="9128"/>
    <cellStyle name="20% - Accent6 10 6 2" xfId="23603"/>
    <cellStyle name="20% - Accent6 10 7" xfId="19493"/>
    <cellStyle name="20% - Accent6 11" xfId="2176"/>
    <cellStyle name="20% - Accent6 11 2" xfId="2177"/>
    <cellStyle name="20% - Accent6 11 2 2" xfId="10855"/>
    <cellStyle name="20% - Accent6 11 2 2 2" xfId="24797"/>
    <cellStyle name="20% - Accent6 11 2 3" xfId="19501"/>
    <cellStyle name="20% - Accent6 11 3" xfId="2178"/>
    <cellStyle name="20% - Accent6 11 3 2" xfId="12812"/>
    <cellStyle name="20% - Accent6 11 3 2 2" xfId="26524"/>
    <cellStyle name="20% - Accent6 11 3 3" xfId="19502"/>
    <cellStyle name="20% - Accent6 11 4" xfId="2179"/>
    <cellStyle name="20% - Accent6 11 4 2" xfId="14960"/>
    <cellStyle name="20% - Accent6 11 4 2 2" xfId="28509"/>
    <cellStyle name="20% - Accent6 11 4 3" xfId="19503"/>
    <cellStyle name="20% - Accent6 11 5" xfId="2180"/>
    <cellStyle name="20% - Accent6 11 5 2" xfId="17279"/>
    <cellStyle name="20% - Accent6 11 5 2 2" xfId="30638"/>
    <cellStyle name="20% - Accent6 11 5 3" xfId="19504"/>
    <cellStyle name="20% - Accent6 11 6" xfId="9129"/>
    <cellStyle name="20% - Accent6 11 6 2" xfId="23604"/>
    <cellStyle name="20% - Accent6 11 7" xfId="19500"/>
    <cellStyle name="20% - Accent6 12" xfId="2181"/>
    <cellStyle name="20% - Accent6 12 2" xfId="2182"/>
    <cellStyle name="20% - Accent6 12 2 2" xfId="2183"/>
    <cellStyle name="20% - Accent6 12 2 2 2" xfId="10857"/>
    <cellStyle name="20% - Accent6 12 2 2 2 2" xfId="24799"/>
    <cellStyle name="20% - Accent6 12 2 2 3" xfId="19507"/>
    <cellStyle name="20% - Accent6 12 2 3" xfId="2184"/>
    <cellStyle name="20% - Accent6 12 2 3 2" xfId="12744"/>
    <cellStyle name="20% - Accent6 12 2 3 2 2" xfId="26456"/>
    <cellStyle name="20% - Accent6 12 2 3 3" xfId="19508"/>
    <cellStyle name="20% - Accent6 12 2 4" xfId="2185"/>
    <cellStyle name="20% - Accent6 12 2 4 2" xfId="14962"/>
    <cellStyle name="20% - Accent6 12 2 4 2 2" xfId="28511"/>
    <cellStyle name="20% - Accent6 12 2 4 3" xfId="19509"/>
    <cellStyle name="20% - Accent6 12 2 5" xfId="9131"/>
    <cellStyle name="20% - Accent6 12 2 5 2" xfId="23606"/>
    <cellStyle name="20% - Accent6 12 2 6" xfId="19506"/>
    <cellStyle name="20% - Accent6 12 3" xfId="2186"/>
    <cellStyle name="20% - Accent6 12 3 2" xfId="10856"/>
    <cellStyle name="20% - Accent6 12 3 2 2" xfId="24798"/>
    <cellStyle name="20% - Accent6 12 3 3" xfId="19510"/>
    <cellStyle name="20% - Accent6 12 4" xfId="2187"/>
    <cellStyle name="20% - Accent6 12 4 2" xfId="12548"/>
    <cellStyle name="20% - Accent6 12 4 2 2" xfId="26260"/>
    <cellStyle name="20% - Accent6 12 4 3" xfId="19511"/>
    <cellStyle name="20% - Accent6 12 5" xfId="2188"/>
    <cellStyle name="20% - Accent6 12 5 2" xfId="14961"/>
    <cellStyle name="20% - Accent6 12 5 2 2" xfId="28510"/>
    <cellStyle name="20% - Accent6 12 5 3" xfId="19512"/>
    <cellStyle name="20% - Accent6 12 6" xfId="2189"/>
    <cellStyle name="20% - Accent6 12 6 2" xfId="16431"/>
    <cellStyle name="20% - Accent6 12 6 2 2" xfId="29838"/>
    <cellStyle name="20% - Accent6 12 6 3" xfId="19513"/>
    <cellStyle name="20% - Accent6 12 7" xfId="9130"/>
    <cellStyle name="20% - Accent6 12 7 2" xfId="23605"/>
    <cellStyle name="20% - Accent6 12 8" xfId="19505"/>
    <cellStyle name="20% - Accent6 13" xfId="2190"/>
    <cellStyle name="20% - Accent6 13 2" xfId="2191"/>
    <cellStyle name="20% - Accent6 13 2 2" xfId="10858"/>
    <cellStyle name="20% - Accent6 13 2 2 2" xfId="24800"/>
    <cellStyle name="20% - Accent6 13 2 3" xfId="19515"/>
    <cellStyle name="20% - Accent6 13 3" xfId="2192"/>
    <cellStyle name="20% - Accent6 13 3 2" xfId="12552"/>
    <cellStyle name="20% - Accent6 13 3 2 2" xfId="26264"/>
    <cellStyle name="20% - Accent6 13 3 3" xfId="19516"/>
    <cellStyle name="20% - Accent6 13 4" xfId="2193"/>
    <cellStyle name="20% - Accent6 13 4 2" xfId="14963"/>
    <cellStyle name="20% - Accent6 13 4 2 2" xfId="28512"/>
    <cellStyle name="20% - Accent6 13 4 3" xfId="19517"/>
    <cellStyle name="20% - Accent6 13 5" xfId="9132"/>
    <cellStyle name="20% - Accent6 13 5 2" xfId="23607"/>
    <cellStyle name="20% - Accent6 13 6" xfId="19514"/>
    <cellStyle name="20% - Accent6 14" xfId="2194"/>
    <cellStyle name="20% - Accent6 14 2" xfId="2195"/>
    <cellStyle name="20% - Accent6 14 2 2" xfId="10859"/>
    <cellStyle name="20% - Accent6 14 2 2 2" xfId="24801"/>
    <cellStyle name="20% - Accent6 14 2 3" xfId="19519"/>
    <cellStyle name="20% - Accent6 14 3" xfId="2196"/>
    <cellStyle name="20% - Accent6 14 3 2" xfId="12608"/>
    <cellStyle name="20% - Accent6 14 3 2 2" xfId="26320"/>
    <cellStyle name="20% - Accent6 14 3 3" xfId="19520"/>
    <cellStyle name="20% - Accent6 14 4" xfId="2197"/>
    <cellStyle name="20% - Accent6 14 4 2" xfId="14964"/>
    <cellStyle name="20% - Accent6 14 4 2 2" xfId="28513"/>
    <cellStyle name="20% - Accent6 14 4 3" xfId="19521"/>
    <cellStyle name="20% - Accent6 14 5" xfId="9133"/>
    <cellStyle name="20% - Accent6 14 5 2" xfId="23608"/>
    <cellStyle name="20% - Accent6 14 6" xfId="19518"/>
    <cellStyle name="20% - Accent6 15" xfId="2198"/>
    <cellStyle name="20% - Accent6 15 2" xfId="2199"/>
    <cellStyle name="20% - Accent6 15 2 2" xfId="10860"/>
    <cellStyle name="20% - Accent6 15 2 2 2" xfId="24802"/>
    <cellStyle name="20% - Accent6 15 2 3" xfId="19523"/>
    <cellStyle name="20% - Accent6 15 3" xfId="2200"/>
    <cellStyle name="20% - Accent6 15 3 2" xfId="12669"/>
    <cellStyle name="20% - Accent6 15 3 2 2" xfId="26381"/>
    <cellStyle name="20% - Accent6 15 3 3" xfId="19524"/>
    <cellStyle name="20% - Accent6 15 4" xfId="2201"/>
    <cellStyle name="20% - Accent6 15 4 2" xfId="14965"/>
    <cellStyle name="20% - Accent6 15 4 2 2" xfId="28514"/>
    <cellStyle name="20% - Accent6 15 4 3" xfId="19525"/>
    <cellStyle name="20% - Accent6 15 5" xfId="9134"/>
    <cellStyle name="20% - Accent6 15 5 2" xfId="23609"/>
    <cellStyle name="20% - Accent6 15 6" xfId="19522"/>
    <cellStyle name="20% - Accent6 16" xfId="2202"/>
    <cellStyle name="20% - Accent6 16 2" xfId="2203"/>
    <cellStyle name="20% - Accent6 16 2 2" xfId="10861"/>
    <cellStyle name="20% - Accent6 16 2 2 2" xfId="24803"/>
    <cellStyle name="20% - Accent6 16 2 3" xfId="19527"/>
    <cellStyle name="20% - Accent6 16 3" xfId="2204"/>
    <cellStyle name="20% - Accent6 16 3 2" xfId="12461"/>
    <cellStyle name="20% - Accent6 16 3 2 2" xfId="26173"/>
    <cellStyle name="20% - Accent6 16 3 3" xfId="19528"/>
    <cellStyle name="20% - Accent6 16 4" xfId="2205"/>
    <cellStyle name="20% - Accent6 16 4 2" xfId="14966"/>
    <cellStyle name="20% - Accent6 16 4 2 2" xfId="28515"/>
    <cellStyle name="20% - Accent6 16 4 3" xfId="19529"/>
    <cellStyle name="20% - Accent6 16 5" xfId="9135"/>
    <cellStyle name="20% - Accent6 16 5 2" xfId="23610"/>
    <cellStyle name="20% - Accent6 16 6" xfId="19526"/>
    <cellStyle name="20% - Accent6 17" xfId="2206"/>
    <cellStyle name="20% - Accent6 17 2" xfId="2207"/>
    <cellStyle name="20% - Accent6 17 2 2" xfId="10862"/>
    <cellStyle name="20% - Accent6 17 2 2 2" xfId="24804"/>
    <cellStyle name="20% - Accent6 17 2 3" xfId="19531"/>
    <cellStyle name="20% - Accent6 17 3" xfId="2208"/>
    <cellStyle name="20% - Accent6 17 3 2" xfId="11781"/>
    <cellStyle name="20% - Accent6 17 3 2 2" xfId="25496"/>
    <cellStyle name="20% - Accent6 17 3 3" xfId="19532"/>
    <cellStyle name="20% - Accent6 17 4" xfId="2209"/>
    <cellStyle name="20% - Accent6 17 4 2" xfId="14967"/>
    <cellStyle name="20% - Accent6 17 4 2 2" xfId="28516"/>
    <cellStyle name="20% - Accent6 17 4 3" xfId="19533"/>
    <cellStyle name="20% - Accent6 17 5" xfId="9136"/>
    <cellStyle name="20% - Accent6 17 5 2" xfId="23611"/>
    <cellStyle name="20% - Accent6 17 6" xfId="19530"/>
    <cellStyle name="20% - Accent6 18" xfId="2210"/>
    <cellStyle name="20% - Accent6 18 2" xfId="2211"/>
    <cellStyle name="20% - Accent6 18 2 2" xfId="10863"/>
    <cellStyle name="20% - Accent6 18 2 2 2" xfId="24805"/>
    <cellStyle name="20% - Accent6 18 2 3" xfId="19535"/>
    <cellStyle name="20% - Accent6 18 3" xfId="2212"/>
    <cellStyle name="20% - Accent6 18 3 2" xfId="12729"/>
    <cellStyle name="20% - Accent6 18 3 2 2" xfId="26441"/>
    <cellStyle name="20% - Accent6 18 3 3" xfId="19536"/>
    <cellStyle name="20% - Accent6 18 4" xfId="2213"/>
    <cellStyle name="20% - Accent6 18 4 2" xfId="14968"/>
    <cellStyle name="20% - Accent6 18 4 2 2" xfId="28517"/>
    <cellStyle name="20% - Accent6 18 4 3" xfId="19537"/>
    <cellStyle name="20% - Accent6 18 5" xfId="9137"/>
    <cellStyle name="20% - Accent6 18 5 2" xfId="23612"/>
    <cellStyle name="20% - Accent6 18 6" xfId="19534"/>
    <cellStyle name="20% - Accent6 19" xfId="2214"/>
    <cellStyle name="20% - Accent6 19 2" xfId="2215"/>
    <cellStyle name="20% - Accent6 19 2 2" xfId="11715"/>
    <cellStyle name="20% - Accent6 19 2 2 2" xfId="25435"/>
    <cellStyle name="20% - Accent6 19 2 3" xfId="19539"/>
    <cellStyle name="20% - Accent6 19 3" xfId="2216"/>
    <cellStyle name="20% - Accent6 19 3 2" xfId="12650"/>
    <cellStyle name="20% - Accent6 19 3 2 2" xfId="26362"/>
    <cellStyle name="20% - Accent6 19 3 3" xfId="19540"/>
    <cellStyle name="20% - Accent6 19 4" xfId="2217"/>
    <cellStyle name="20% - Accent6 19 4 2" xfId="14969"/>
    <cellStyle name="20% - Accent6 19 4 2 2" xfId="28518"/>
    <cellStyle name="20% - Accent6 19 4 3" xfId="19541"/>
    <cellStyle name="20% - Accent6 19 5" xfId="10467"/>
    <cellStyle name="20% - Accent6 19 5 2" xfId="24426"/>
    <cellStyle name="20% - Accent6 19 6" xfId="19538"/>
    <cellStyle name="20% - Accent6 2" xfId="2218"/>
    <cellStyle name="20% - Accent6 2 10" xfId="2219"/>
    <cellStyle name="20% - Accent6 2 10 2" xfId="2220"/>
    <cellStyle name="20% - Accent6 2 10 2 2" xfId="14971"/>
    <cellStyle name="20% - Accent6 2 10 2 2 2" xfId="28520"/>
    <cellStyle name="20% - Accent6 2 10 2 3" xfId="19544"/>
    <cellStyle name="20% - Accent6 2 10 3" xfId="11848"/>
    <cellStyle name="20% - Accent6 2 10 3 2" xfId="25563"/>
    <cellStyle name="20% - Accent6 2 10 4" xfId="19543"/>
    <cellStyle name="20% - Accent6 2 11" xfId="2221"/>
    <cellStyle name="20% - Accent6 2 11 2" xfId="11866"/>
    <cellStyle name="20% - Accent6 2 11 2 2" xfId="25581"/>
    <cellStyle name="20% - Accent6 2 11 3" xfId="19545"/>
    <cellStyle name="20% - Accent6 2 12" xfId="2222"/>
    <cellStyle name="20% - Accent6 2 12 2" xfId="13445"/>
    <cellStyle name="20% - Accent6 2 12 2 2" xfId="26994"/>
    <cellStyle name="20% - Accent6 2 12 3" xfId="19546"/>
    <cellStyle name="20% - Accent6 2 13" xfId="2223"/>
    <cellStyle name="20% - Accent6 2 13 2" xfId="14026"/>
    <cellStyle name="20% - Accent6 2 13 2 2" xfId="27575"/>
    <cellStyle name="20% - Accent6 2 13 3" xfId="19547"/>
    <cellStyle name="20% - Accent6 2 14" xfId="2224"/>
    <cellStyle name="20% - Accent6 2 14 2" xfId="14970"/>
    <cellStyle name="20% - Accent6 2 14 2 2" xfId="28519"/>
    <cellStyle name="20% - Accent6 2 14 3" xfId="19548"/>
    <cellStyle name="20% - Accent6 2 15" xfId="2225"/>
    <cellStyle name="20% - Accent6 2 15 2" xfId="15912"/>
    <cellStyle name="20% - Accent6 2 15 2 2" xfId="29319"/>
    <cellStyle name="20% - Accent6 2 15 3" xfId="19549"/>
    <cellStyle name="20% - Accent6 2 16" xfId="9138"/>
    <cellStyle name="20% - Accent6 2 16 2" xfId="23613"/>
    <cellStyle name="20% - Accent6 2 17" xfId="19542"/>
    <cellStyle name="20% - Accent6 2 18" xfId="33082"/>
    <cellStyle name="20% - Accent6 2 2" xfId="2226"/>
    <cellStyle name="20% - Accent6 2 2 10" xfId="2227"/>
    <cellStyle name="20% - Accent6 2 2 10 2" xfId="14972"/>
    <cellStyle name="20% - Accent6 2 2 10 2 2" xfId="28521"/>
    <cellStyle name="20% - Accent6 2 2 10 3" xfId="19551"/>
    <cellStyle name="20% - Accent6 2 2 11" xfId="2228"/>
    <cellStyle name="20% - Accent6 2 2 11 2" xfId="15958"/>
    <cellStyle name="20% - Accent6 2 2 11 2 2" xfId="29365"/>
    <cellStyle name="20% - Accent6 2 2 11 3" xfId="19552"/>
    <cellStyle name="20% - Accent6 2 2 12" xfId="9139"/>
    <cellStyle name="20% - Accent6 2 2 12 2" xfId="23614"/>
    <cellStyle name="20% - Accent6 2 2 13" xfId="19550"/>
    <cellStyle name="20% - Accent6 2 2 2" xfId="2229"/>
    <cellStyle name="20% - Accent6 2 2 2 10" xfId="2230"/>
    <cellStyle name="20% - Accent6 2 2 2 10 2" xfId="16101"/>
    <cellStyle name="20% - Accent6 2 2 2 10 2 2" xfId="29508"/>
    <cellStyle name="20% - Accent6 2 2 2 10 3" xfId="19554"/>
    <cellStyle name="20% - Accent6 2 2 2 11" xfId="9140"/>
    <cellStyle name="20% - Accent6 2 2 2 11 2" xfId="23615"/>
    <cellStyle name="20% - Accent6 2 2 2 12" xfId="19553"/>
    <cellStyle name="20% - Accent6 2 2 2 2" xfId="2231"/>
    <cellStyle name="20% - Accent6 2 2 2 2 10" xfId="9141"/>
    <cellStyle name="20% - Accent6 2 2 2 2 10 2" xfId="23616"/>
    <cellStyle name="20% - Accent6 2 2 2 2 11" xfId="19555"/>
    <cellStyle name="20% - Accent6 2 2 2 2 2" xfId="2232"/>
    <cellStyle name="20% - Accent6 2 2 2 2 2 2" xfId="2233"/>
    <cellStyle name="20% - Accent6 2 2 2 2 2 2 2" xfId="10868"/>
    <cellStyle name="20% - Accent6 2 2 2 2 2 2 2 2" xfId="24810"/>
    <cellStyle name="20% - Accent6 2 2 2 2 2 2 3" xfId="19557"/>
    <cellStyle name="20% - Accent6 2 2 2 2 2 3" xfId="2234"/>
    <cellStyle name="20% - Accent6 2 2 2 2 2 3 2" xfId="12674"/>
    <cellStyle name="20% - Accent6 2 2 2 2 2 3 2 2" xfId="26386"/>
    <cellStyle name="20% - Accent6 2 2 2 2 2 3 3" xfId="19558"/>
    <cellStyle name="20% - Accent6 2 2 2 2 2 4" xfId="2235"/>
    <cellStyle name="20% - Accent6 2 2 2 2 2 4 2" xfId="14975"/>
    <cellStyle name="20% - Accent6 2 2 2 2 2 4 2 2" xfId="28524"/>
    <cellStyle name="20% - Accent6 2 2 2 2 2 4 3" xfId="19559"/>
    <cellStyle name="20% - Accent6 2 2 2 2 2 5" xfId="2236"/>
    <cellStyle name="20% - Accent6 2 2 2 2 2 5 2" xfId="16971"/>
    <cellStyle name="20% - Accent6 2 2 2 2 2 5 2 2" xfId="30378"/>
    <cellStyle name="20% - Accent6 2 2 2 2 2 5 3" xfId="19560"/>
    <cellStyle name="20% - Accent6 2 2 2 2 2 6" xfId="9142"/>
    <cellStyle name="20% - Accent6 2 2 2 2 2 6 2" xfId="23617"/>
    <cellStyle name="20% - Accent6 2 2 2 2 2 7" xfId="19556"/>
    <cellStyle name="20% - Accent6 2 2 2 2 3" xfId="2237"/>
    <cellStyle name="20% - Accent6 2 2 2 2 3 2" xfId="2238"/>
    <cellStyle name="20% - Accent6 2 2 2 2 3 2 2" xfId="14976"/>
    <cellStyle name="20% - Accent6 2 2 2 2 3 2 2 2" xfId="28525"/>
    <cellStyle name="20% - Accent6 2 2 2 2 3 2 3" xfId="19562"/>
    <cellStyle name="20% - Accent6 2 2 2 2 3 3" xfId="10867"/>
    <cellStyle name="20% - Accent6 2 2 2 2 3 3 2" xfId="24809"/>
    <cellStyle name="20% - Accent6 2 2 2 2 3 4" xfId="19561"/>
    <cellStyle name="20% - Accent6 2 2 2 2 4" xfId="2239"/>
    <cellStyle name="20% - Accent6 2 2 2 2 4 2" xfId="12359"/>
    <cellStyle name="20% - Accent6 2 2 2 2 4 2 2" xfId="26071"/>
    <cellStyle name="20% - Accent6 2 2 2 2 4 3" xfId="19563"/>
    <cellStyle name="20% - Accent6 2 2 2 2 5" xfId="2240"/>
    <cellStyle name="20% - Accent6 2 2 2 2 5 2" xfId="11759"/>
    <cellStyle name="20% - Accent6 2 2 2 2 5 2 2" xfId="25474"/>
    <cellStyle name="20% - Accent6 2 2 2 2 5 3" xfId="19564"/>
    <cellStyle name="20% - Accent6 2 2 2 2 6" xfId="2241"/>
    <cellStyle name="20% - Accent6 2 2 2 2 6 2" xfId="13923"/>
    <cellStyle name="20% - Accent6 2 2 2 2 6 2 2" xfId="27472"/>
    <cellStyle name="20% - Accent6 2 2 2 2 6 3" xfId="19565"/>
    <cellStyle name="20% - Accent6 2 2 2 2 7" xfId="2242"/>
    <cellStyle name="20% - Accent6 2 2 2 2 7 2" xfId="14504"/>
    <cellStyle name="20% - Accent6 2 2 2 2 7 2 2" xfId="28053"/>
    <cellStyle name="20% - Accent6 2 2 2 2 7 3" xfId="19566"/>
    <cellStyle name="20% - Accent6 2 2 2 2 8" xfId="2243"/>
    <cellStyle name="20% - Accent6 2 2 2 2 8 2" xfId="14974"/>
    <cellStyle name="20% - Accent6 2 2 2 2 8 2 2" xfId="28523"/>
    <cellStyle name="20% - Accent6 2 2 2 2 8 3" xfId="19567"/>
    <cellStyle name="20% - Accent6 2 2 2 2 9" xfId="2244"/>
    <cellStyle name="20% - Accent6 2 2 2 2 9 2" xfId="16390"/>
    <cellStyle name="20% - Accent6 2 2 2 2 9 2 2" xfId="29797"/>
    <cellStyle name="20% - Accent6 2 2 2 2 9 3" xfId="19568"/>
    <cellStyle name="20% - Accent6 2 2 2 3" xfId="2245"/>
    <cellStyle name="20% - Accent6 2 2 2 3 2" xfId="2246"/>
    <cellStyle name="20% - Accent6 2 2 2 3 2 2" xfId="10869"/>
    <cellStyle name="20% - Accent6 2 2 2 3 2 2 2" xfId="24811"/>
    <cellStyle name="20% - Accent6 2 2 2 3 2 3" xfId="19570"/>
    <cellStyle name="20% - Accent6 2 2 2 3 3" xfId="2247"/>
    <cellStyle name="20% - Accent6 2 2 2 3 3 2" xfId="12448"/>
    <cellStyle name="20% - Accent6 2 2 2 3 3 2 2" xfId="26160"/>
    <cellStyle name="20% - Accent6 2 2 2 3 3 3" xfId="19571"/>
    <cellStyle name="20% - Accent6 2 2 2 3 4" xfId="2248"/>
    <cellStyle name="20% - Accent6 2 2 2 3 4 2" xfId="14977"/>
    <cellStyle name="20% - Accent6 2 2 2 3 4 2 2" xfId="28526"/>
    <cellStyle name="20% - Accent6 2 2 2 3 4 3" xfId="19572"/>
    <cellStyle name="20% - Accent6 2 2 2 3 5" xfId="2249"/>
    <cellStyle name="20% - Accent6 2 2 2 3 5 2" xfId="16682"/>
    <cellStyle name="20% - Accent6 2 2 2 3 5 2 2" xfId="30089"/>
    <cellStyle name="20% - Accent6 2 2 2 3 5 3" xfId="19573"/>
    <cellStyle name="20% - Accent6 2 2 2 3 6" xfId="9143"/>
    <cellStyle name="20% - Accent6 2 2 2 3 6 2" xfId="23618"/>
    <cellStyle name="20% - Accent6 2 2 2 3 7" xfId="19569"/>
    <cellStyle name="20% - Accent6 2 2 2 4" xfId="2250"/>
    <cellStyle name="20% - Accent6 2 2 2 4 2" xfId="2251"/>
    <cellStyle name="20% - Accent6 2 2 2 4 2 2" xfId="14978"/>
    <cellStyle name="20% - Accent6 2 2 2 4 2 2 2" xfId="28527"/>
    <cellStyle name="20% - Accent6 2 2 2 4 2 3" xfId="19575"/>
    <cellStyle name="20% - Accent6 2 2 2 4 3" xfId="10866"/>
    <cellStyle name="20% - Accent6 2 2 2 4 3 2" xfId="24808"/>
    <cellStyle name="20% - Accent6 2 2 2 4 4" xfId="19574"/>
    <cellStyle name="20% - Accent6 2 2 2 5" xfId="2252"/>
    <cellStyle name="20% - Accent6 2 2 2 5 2" xfId="12059"/>
    <cellStyle name="20% - Accent6 2 2 2 5 2 2" xfId="25774"/>
    <cellStyle name="20% - Accent6 2 2 2 5 3" xfId="19576"/>
    <cellStyle name="20% - Accent6 2 2 2 6" xfId="2253"/>
    <cellStyle name="20% - Accent6 2 2 2 6 2" xfId="12451"/>
    <cellStyle name="20% - Accent6 2 2 2 6 2 2" xfId="26163"/>
    <cellStyle name="20% - Accent6 2 2 2 6 3" xfId="19577"/>
    <cellStyle name="20% - Accent6 2 2 2 7" xfId="2254"/>
    <cellStyle name="20% - Accent6 2 2 2 7 2" xfId="13634"/>
    <cellStyle name="20% - Accent6 2 2 2 7 2 2" xfId="27183"/>
    <cellStyle name="20% - Accent6 2 2 2 7 3" xfId="19578"/>
    <cellStyle name="20% - Accent6 2 2 2 8" xfId="2255"/>
    <cellStyle name="20% - Accent6 2 2 2 8 2" xfId="14215"/>
    <cellStyle name="20% - Accent6 2 2 2 8 2 2" xfId="27764"/>
    <cellStyle name="20% - Accent6 2 2 2 8 3" xfId="19579"/>
    <cellStyle name="20% - Accent6 2 2 2 9" xfId="2256"/>
    <cellStyle name="20% - Accent6 2 2 2 9 2" xfId="14973"/>
    <cellStyle name="20% - Accent6 2 2 2 9 2 2" xfId="28522"/>
    <cellStyle name="20% - Accent6 2 2 2 9 3" xfId="19580"/>
    <cellStyle name="20% - Accent6 2 2 3" xfId="2257"/>
    <cellStyle name="20% - Accent6 2 2 3 10" xfId="9144"/>
    <cellStyle name="20% - Accent6 2 2 3 10 2" xfId="23619"/>
    <cellStyle name="20% - Accent6 2 2 3 11" xfId="19581"/>
    <cellStyle name="20% - Accent6 2 2 3 2" xfId="2258"/>
    <cellStyle name="20% - Accent6 2 2 3 2 2" xfId="2259"/>
    <cellStyle name="20% - Accent6 2 2 3 2 2 2" xfId="10871"/>
    <cellStyle name="20% - Accent6 2 2 3 2 2 2 2" xfId="24813"/>
    <cellStyle name="20% - Accent6 2 2 3 2 2 3" xfId="19583"/>
    <cellStyle name="20% - Accent6 2 2 3 2 3" xfId="2260"/>
    <cellStyle name="20% - Accent6 2 2 3 2 3 2" xfId="11957"/>
    <cellStyle name="20% - Accent6 2 2 3 2 3 2 2" xfId="25672"/>
    <cellStyle name="20% - Accent6 2 2 3 2 3 3" xfId="19584"/>
    <cellStyle name="20% - Accent6 2 2 3 2 4" xfId="2261"/>
    <cellStyle name="20% - Accent6 2 2 3 2 4 2" xfId="14980"/>
    <cellStyle name="20% - Accent6 2 2 3 2 4 2 2" xfId="28529"/>
    <cellStyle name="20% - Accent6 2 2 3 2 4 3" xfId="19585"/>
    <cellStyle name="20% - Accent6 2 2 3 2 5" xfId="2262"/>
    <cellStyle name="20% - Accent6 2 2 3 2 5 2" xfId="16828"/>
    <cellStyle name="20% - Accent6 2 2 3 2 5 2 2" xfId="30235"/>
    <cellStyle name="20% - Accent6 2 2 3 2 5 3" xfId="19586"/>
    <cellStyle name="20% - Accent6 2 2 3 2 6" xfId="9145"/>
    <cellStyle name="20% - Accent6 2 2 3 2 6 2" xfId="23620"/>
    <cellStyle name="20% - Accent6 2 2 3 2 7" xfId="19582"/>
    <cellStyle name="20% - Accent6 2 2 3 3" xfId="2263"/>
    <cellStyle name="20% - Accent6 2 2 3 3 2" xfId="2264"/>
    <cellStyle name="20% - Accent6 2 2 3 3 2 2" xfId="14981"/>
    <cellStyle name="20% - Accent6 2 2 3 3 2 2 2" xfId="28530"/>
    <cellStyle name="20% - Accent6 2 2 3 3 2 3" xfId="19588"/>
    <cellStyle name="20% - Accent6 2 2 3 3 3" xfId="10870"/>
    <cellStyle name="20% - Accent6 2 2 3 3 3 2" xfId="24812"/>
    <cellStyle name="20% - Accent6 2 2 3 3 4" xfId="19587"/>
    <cellStyle name="20% - Accent6 2 2 3 4" xfId="2265"/>
    <cellStyle name="20% - Accent6 2 2 3 4 2" xfId="12216"/>
    <cellStyle name="20% - Accent6 2 2 3 4 2 2" xfId="25928"/>
    <cellStyle name="20% - Accent6 2 2 3 4 3" xfId="19589"/>
    <cellStyle name="20% - Accent6 2 2 3 5" xfId="2266"/>
    <cellStyle name="20% - Accent6 2 2 3 5 2" xfId="12614"/>
    <cellStyle name="20% - Accent6 2 2 3 5 2 2" xfId="26326"/>
    <cellStyle name="20% - Accent6 2 2 3 5 3" xfId="19590"/>
    <cellStyle name="20% - Accent6 2 2 3 6" xfId="2267"/>
    <cellStyle name="20% - Accent6 2 2 3 6 2" xfId="13780"/>
    <cellStyle name="20% - Accent6 2 2 3 6 2 2" xfId="27329"/>
    <cellStyle name="20% - Accent6 2 2 3 6 3" xfId="19591"/>
    <cellStyle name="20% - Accent6 2 2 3 7" xfId="2268"/>
    <cellStyle name="20% - Accent6 2 2 3 7 2" xfId="14361"/>
    <cellStyle name="20% - Accent6 2 2 3 7 2 2" xfId="27910"/>
    <cellStyle name="20% - Accent6 2 2 3 7 3" xfId="19592"/>
    <cellStyle name="20% - Accent6 2 2 3 8" xfId="2269"/>
    <cellStyle name="20% - Accent6 2 2 3 8 2" xfId="14979"/>
    <cellStyle name="20% - Accent6 2 2 3 8 2 2" xfId="28528"/>
    <cellStyle name="20% - Accent6 2 2 3 8 3" xfId="19593"/>
    <cellStyle name="20% - Accent6 2 2 3 9" xfId="2270"/>
    <cellStyle name="20% - Accent6 2 2 3 9 2" xfId="16247"/>
    <cellStyle name="20% - Accent6 2 2 3 9 2 2" xfId="29654"/>
    <cellStyle name="20% - Accent6 2 2 3 9 3" xfId="19594"/>
    <cellStyle name="20% - Accent6 2 2 4" xfId="2271"/>
    <cellStyle name="20% - Accent6 2 2 4 2" xfId="2272"/>
    <cellStyle name="20% - Accent6 2 2 4 2 2" xfId="10872"/>
    <cellStyle name="20% - Accent6 2 2 4 2 2 2" xfId="24814"/>
    <cellStyle name="20% - Accent6 2 2 4 2 3" xfId="19596"/>
    <cellStyle name="20% - Accent6 2 2 4 3" xfId="2273"/>
    <cellStyle name="20% - Accent6 2 2 4 3 2" xfId="12551"/>
    <cellStyle name="20% - Accent6 2 2 4 3 2 2" xfId="26263"/>
    <cellStyle name="20% - Accent6 2 2 4 3 3" xfId="19597"/>
    <cellStyle name="20% - Accent6 2 2 4 4" xfId="2274"/>
    <cellStyle name="20% - Accent6 2 2 4 4 2" xfId="14982"/>
    <cellStyle name="20% - Accent6 2 2 4 4 2 2" xfId="28531"/>
    <cellStyle name="20% - Accent6 2 2 4 4 3" xfId="19598"/>
    <cellStyle name="20% - Accent6 2 2 4 5" xfId="2275"/>
    <cellStyle name="20% - Accent6 2 2 4 5 2" xfId="17175"/>
    <cellStyle name="20% - Accent6 2 2 4 5 2 2" xfId="30534"/>
    <cellStyle name="20% - Accent6 2 2 4 5 3" xfId="19599"/>
    <cellStyle name="20% - Accent6 2 2 4 6" xfId="9146"/>
    <cellStyle name="20% - Accent6 2 2 4 6 2" xfId="23621"/>
    <cellStyle name="20% - Accent6 2 2 4 7" xfId="19595"/>
    <cellStyle name="20% - Accent6 2 2 5" xfId="2276"/>
    <cellStyle name="20% - Accent6 2 2 5 2" xfId="2277"/>
    <cellStyle name="20% - Accent6 2 2 5 2 2" xfId="14983"/>
    <cellStyle name="20% - Accent6 2 2 5 2 2 2" xfId="28532"/>
    <cellStyle name="20% - Accent6 2 2 5 2 3" xfId="19601"/>
    <cellStyle name="20% - Accent6 2 2 5 3" xfId="2278"/>
    <cellStyle name="20% - Accent6 2 2 5 3 2" xfId="17264"/>
    <cellStyle name="20% - Accent6 2 2 5 3 2 2" xfId="30623"/>
    <cellStyle name="20% - Accent6 2 2 5 3 3" xfId="19602"/>
    <cellStyle name="20% - Accent6 2 2 5 4" xfId="10865"/>
    <cellStyle name="20% - Accent6 2 2 5 4 2" xfId="24807"/>
    <cellStyle name="20% - Accent6 2 2 5 5" xfId="19600"/>
    <cellStyle name="20% - Accent6 2 2 6" xfId="2279"/>
    <cellStyle name="20% - Accent6 2 2 6 2" xfId="2280"/>
    <cellStyle name="20% - Accent6 2 2 6 2 2" xfId="16539"/>
    <cellStyle name="20% - Accent6 2 2 6 2 2 2" xfId="29946"/>
    <cellStyle name="20% - Accent6 2 2 6 2 3" xfId="19604"/>
    <cellStyle name="20% - Accent6 2 2 6 3" xfId="11914"/>
    <cellStyle name="20% - Accent6 2 2 6 3 2" xfId="25629"/>
    <cellStyle name="20% - Accent6 2 2 6 4" xfId="19603"/>
    <cellStyle name="20% - Accent6 2 2 7" xfId="2281"/>
    <cellStyle name="20% - Accent6 2 2 7 2" xfId="12810"/>
    <cellStyle name="20% - Accent6 2 2 7 2 2" xfId="26522"/>
    <cellStyle name="20% - Accent6 2 2 7 3" xfId="19605"/>
    <cellStyle name="20% - Accent6 2 2 8" xfId="2282"/>
    <cellStyle name="20% - Accent6 2 2 8 2" xfId="13491"/>
    <cellStyle name="20% - Accent6 2 2 8 2 2" xfId="27040"/>
    <cellStyle name="20% - Accent6 2 2 8 3" xfId="19606"/>
    <cellStyle name="20% - Accent6 2 2 9" xfId="2283"/>
    <cellStyle name="20% - Accent6 2 2 9 2" xfId="14072"/>
    <cellStyle name="20% - Accent6 2 2 9 2 2" xfId="27621"/>
    <cellStyle name="20% - Accent6 2 2 9 3" xfId="19607"/>
    <cellStyle name="20% - Accent6 2 3" xfId="2284"/>
    <cellStyle name="20% - Accent6 2 3 10" xfId="2285"/>
    <cellStyle name="20% - Accent6 2 3 10 2" xfId="16055"/>
    <cellStyle name="20% - Accent6 2 3 10 2 2" xfId="29462"/>
    <cellStyle name="20% - Accent6 2 3 10 3" xfId="19609"/>
    <cellStyle name="20% - Accent6 2 3 11" xfId="9147"/>
    <cellStyle name="20% - Accent6 2 3 11 2" xfId="23622"/>
    <cellStyle name="20% - Accent6 2 3 12" xfId="19608"/>
    <cellStyle name="20% - Accent6 2 3 2" xfId="2286"/>
    <cellStyle name="20% - Accent6 2 3 2 10" xfId="9148"/>
    <cellStyle name="20% - Accent6 2 3 2 10 2" xfId="23623"/>
    <cellStyle name="20% - Accent6 2 3 2 11" xfId="19610"/>
    <cellStyle name="20% - Accent6 2 3 2 2" xfId="2287"/>
    <cellStyle name="20% - Accent6 2 3 2 2 2" xfId="2288"/>
    <cellStyle name="20% - Accent6 2 3 2 2 2 2" xfId="10875"/>
    <cellStyle name="20% - Accent6 2 3 2 2 2 2 2" xfId="24817"/>
    <cellStyle name="20% - Accent6 2 3 2 2 2 3" xfId="19612"/>
    <cellStyle name="20% - Accent6 2 3 2 2 3" xfId="2289"/>
    <cellStyle name="20% - Accent6 2 3 2 2 3 2" xfId="12768"/>
    <cellStyle name="20% - Accent6 2 3 2 2 3 2 2" xfId="26480"/>
    <cellStyle name="20% - Accent6 2 3 2 2 3 3" xfId="19613"/>
    <cellStyle name="20% - Accent6 2 3 2 2 4" xfId="2290"/>
    <cellStyle name="20% - Accent6 2 3 2 2 4 2" xfId="14986"/>
    <cellStyle name="20% - Accent6 2 3 2 2 4 2 2" xfId="28535"/>
    <cellStyle name="20% - Accent6 2 3 2 2 4 3" xfId="19614"/>
    <cellStyle name="20% - Accent6 2 3 2 2 5" xfId="2291"/>
    <cellStyle name="20% - Accent6 2 3 2 2 5 2" xfId="16925"/>
    <cellStyle name="20% - Accent6 2 3 2 2 5 2 2" xfId="30332"/>
    <cellStyle name="20% - Accent6 2 3 2 2 5 3" xfId="19615"/>
    <cellStyle name="20% - Accent6 2 3 2 2 6" xfId="9149"/>
    <cellStyle name="20% - Accent6 2 3 2 2 6 2" xfId="23624"/>
    <cellStyle name="20% - Accent6 2 3 2 2 7" xfId="19611"/>
    <cellStyle name="20% - Accent6 2 3 2 3" xfId="2292"/>
    <cellStyle name="20% - Accent6 2 3 2 3 2" xfId="2293"/>
    <cellStyle name="20% - Accent6 2 3 2 3 2 2" xfId="14987"/>
    <cellStyle name="20% - Accent6 2 3 2 3 2 2 2" xfId="28536"/>
    <cellStyle name="20% - Accent6 2 3 2 3 2 3" xfId="19617"/>
    <cellStyle name="20% - Accent6 2 3 2 3 3" xfId="10874"/>
    <cellStyle name="20% - Accent6 2 3 2 3 3 2" xfId="24816"/>
    <cellStyle name="20% - Accent6 2 3 2 3 4" xfId="19616"/>
    <cellStyle name="20% - Accent6 2 3 2 4" xfId="2294"/>
    <cellStyle name="20% - Accent6 2 3 2 4 2" xfId="12313"/>
    <cellStyle name="20% - Accent6 2 3 2 4 2 2" xfId="26025"/>
    <cellStyle name="20% - Accent6 2 3 2 4 3" xfId="19618"/>
    <cellStyle name="20% - Accent6 2 3 2 5" xfId="2295"/>
    <cellStyle name="20% - Accent6 2 3 2 5 2" xfId="12767"/>
    <cellStyle name="20% - Accent6 2 3 2 5 2 2" xfId="26479"/>
    <cellStyle name="20% - Accent6 2 3 2 5 3" xfId="19619"/>
    <cellStyle name="20% - Accent6 2 3 2 6" xfId="2296"/>
    <cellStyle name="20% - Accent6 2 3 2 6 2" xfId="13877"/>
    <cellStyle name="20% - Accent6 2 3 2 6 2 2" xfId="27426"/>
    <cellStyle name="20% - Accent6 2 3 2 6 3" xfId="19620"/>
    <cellStyle name="20% - Accent6 2 3 2 7" xfId="2297"/>
    <cellStyle name="20% - Accent6 2 3 2 7 2" xfId="14458"/>
    <cellStyle name="20% - Accent6 2 3 2 7 2 2" xfId="28007"/>
    <cellStyle name="20% - Accent6 2 3 2 7 3" xfId="19621"/>
    <cellStyle name="20% - Accent6 2 3 2 8" xfId="2298"/>
    <cellStyle name="20% - Accent6 2 3 2 8 2" xfId="14985"/>
    <cellStyle name="20% - Accent6 2 3 2 8 2 2" xfId="28534"/>
    <cellStyle name="20% - Accent6 2 3 2 8 3" xfId="19622"/>
    <cellStyle name="20% - Accent6 2 3 2 9" xfId="2299"/>
    <cellStyle name="20% - Accent6 2 3 2 9 2" xfId="16344"/>
    <cellStyle name="20% - Accent6 2 3 2 9 2 2" xfId="29751"/>
    <cellStyle name="20% - Accent6 2 3 2 9 3" xfId="19623"/>
    <cellStyle name="20% - Accent6 2 3 3" xfId="2300"/>
    <cellStyle name="20% - Accent6 2 3 3 2" xfId="2301"/>
    <cellStyle name="20% - Accent6 2 3 3 2 2" xfId="10876"/>
    <cellStyle name="20% - Accent6 2 3 3 2 2 2" xfId="24818"/>
    <cellStyle name="20% - Accent6 2 3 3 2 3" xfId="19625"/>
    <cellStyle name="20% - Accent6 2 3 3 3" xfId="2302"/>
    <cellStyle name="20% - Accent6 2 3 3 3 2" xfId="12455"/>
    <cellStyle name="20% - Accent6 2 3 3 3 2 2" xfId="26167"/>
    <cellStyle name="20% - Accent6 2 3 3 3 3" xfId="19626"/>
    <cellStyle name="20% - Accent6 2 3 3 4" xfId="2303"/>
    <cellStyle name="20% - Accent6 2 3 3 4 2" xfId="14988"/>
    <cellStyle name="20% - Accent6 2 3 3 4 2 2" xfId="28537"/>
    <cellStyle name="20% - Accent6 2 3 3 4 3" xfId="19627"/>
    <cellStyle name="20% - Accent6 2 3 3 5" xfId="2304"/>
    <cellStyle name="20% - Accent6 2 3 3 5 2" xfId="16636"/>
    <cellStyle name="20% - Accent6 2 3 3 5 2 2" xfId="30043"/>
    <cellStyle name="20% - Accent6 2 3 3 5 3" xfId="19628"/>
    <cellStyle name="20% - Accent6 2 3 3 6" xfId="9150"/>
    <cellStyle name="20% - Accent6 2 3 3 6 2" xfId="23625"/>
    <cellStyle name="20% - Accent6 2 3 3 7" xfId="19624"/>
    <cellStyle name="20% - Accent6 2 3 4" xfId="2305"/>
    <cellStyle name="20% - Accent6 2 3 4 2" xfId="2306"/>
    <cellStyle name="20% - Accent6 2 3 4 2 2" xfId="14989"/>
    <cellStyle name="20% - Accent6 2 3 4 2 2 2" xfId="28538"/>
    <cellStyle name="20% - Accent6 2 3 4 2 3" xfId="19630"/>
    <cellStyle name="20% - Accent6 2 3 4 3" xfId="10873"/>
    <cellStyle name="20% - Accent6 2 3 4 3 2" xfId="24815"/>
    <cellStyle name="20% - Accent6 2 3 4 4" xfId="19629"/>
    <cellStyle name="20% - Accent6 2 3 5" xfId="2307"/>
    <cellStyle name="20% - Accent6 2 3 5 2" xfId="12013"/>
    <cellStyle name="20% - Accent6 2 3 5 2 2" xfId="25728"/>
    <cellStyle name="20% - Accent6 2 3 5 3" xfId="19631"/>
    <cellStyle name="20% - Accent6 2 3 6" xfId="2308"/>
    <cellStyle name="20% - Accent6 2 3 6 2" xfId="11774"/>
    <cellStyle name="20% - Accent6 2 3 6 2 2" xfId="25489"/>
    <cellStyle name="20% - Accent6 2 3 6 3" xfId="19632"/>
    <cellStyle name="20% - Accent6 2 3 7" xfId="2309"/>
    <cellStyle name="20% - Accent6 2 3 7 2" xfId="13588"/>
    <cellStyle name="20% - Accent6 2 3 7 2 2" xfId="27137"/>
    <cellStyle name="20% - Accent6 2 3 7 3" xfId="19633"/>
    <cellStyle name="20% - Accent6 2 3 8" xfId="2310"/>
    <cellStyle name="20% - Accent6 2 3 8 2" xfId="14169"/>
    <cellStyle name="20% - Accent6 2 3 8 2 2" xfId="27718"/>
    <cellStyle name="20% - Accent6 2 3 8 3" xfId="19634"/>
    <cellStyle name="20% - Accent6 2 3 9" xfId="2311"/>
    <cellStyle name="20% - Accent6 2 3 9 2" xfId="14984"/>
    <cellStyle name="20% - Accent6 2 3 9 2 2" xfId="28533"/>
    <cellStyle name="20% - Accent6 2 3 9 3" xfId="19635"/>
    <cellStyle name="20% - Accent6 2 4" xfId="2312"/>
    <cellStyle name="20% - Accent6 2 4 10" xfId="9151"/>
    <cellStyle name="20% - Accent6 2 4 10 2" xfId="23626"/>
    <cellStyle name="20% - Accent6 2 4 11" xfId="19636"/>
    <cellStyle name="20% - Accent6 2 4 2" xfId="2313"/>
    <cellStyle name="20% - Accent6 2 4 2 2" xfId="2314"/>
    <cellStyle name="20% - Accent6 2 4 2 2 2" xfId="10878"/>
    <cellStyle name="20% - Accent6 2 4 2 2 2 2" xfId="24820"/>
    <cellStyle name="20% - Accent6 2 4 2 2 3" xfId="19638"/>
    <cellStyle name="20% - Accent6 2 4 2 3" xfId="2315"/>
    <cellStyle name="20% - Accent6 2 4 2 3 2" xfId="12581"/>
    <cellStyle name="20% - Accent6 2 4 2 3 2 2" xfId="26293"/>
    <cellStyle name="20% - Accent6 2 4 2 3 3" xfId="19639"/>
    <cellStyle name="20% - Accent6 2 4 2 4" xfId="2316"/>
    <cellStyle name="20% - Accent6 2 4 2 4 2" xfId="14991"/>
    <cellStyle name="20% - Accent6 2 4 2 4 2 2" xfId="28540"/>
    <cellStyle name="20% - Accent6 2 4 2 4 3" xfId="19640"/>
    <cellStyle name="20% - Accent6 2 4 2 5" xfId="2317"/>
    <cellStyle name="20% - Accent6 2 4 2 5 2" xfId="16782"/>
    <cellStyle name="20% - Accent6 2 4 2 5 2 2" xfId="30189"/>
    <cellStyle name="20% - Accent6 2 4 2 5 3" xfId="19641"/>
    <cellStyle name="20% - Accent6 2 4 2 6" xfId="9152"/>
    <cellStyle name="20% - Accent6 2 4 2 6 2" xfId="23627"/>
    <cellStyle name="20% - Accent6 2 4 2 7" xfId="19637"/>
    <cellStyle name="20% - Accent6 2 4 3" xfId="2318"/>
    <cellStyle name="20% - Accent6 2 4 3 2" xfId="2319"/>
    <cellStyle name="20% - Accent6 2 4 3 2 2" xfId="14992"/>
    <cellStyle name="20% - Accent6 2 4 3 2 2 2" xfId="28541"/>
    <cellStyle name="20% - Accent6 2 4 3 2 3" xfId="19643"/>
    <cellStyle name="20% - Accent6 2 4 3 3" xfId="10877"/>
    <cellStyle name="20% - Accent6 2 4 3 3 2" xfId="24819"/>
    <cellStyle name="20% - Accent6 2 4 3 4" xfId="19642"/>
    <cellStyle name="20% - Accent6 2 4 4" xfId="2320"/>
    <cellStyle name="20% - Accent6 2 4 4 2" xfId="12170"/>
    <cellStyle name="20% - Accent6 2 4 4 2 2" xfId="25882"/>
    <cellStyle name="20% - Accent6 2 4 4 3" xfId="19644"/>
    <cellStyle name="20% - Accent6 2 4 5" xfId="2321"/>
    <cellStyle name="20% - Accent6 2 4 5 2" xfId="11768"/>
    <cellStyle name="20% - Accent6 2 4 5 2 2" xfId="25483"/>
    <cellStyle name="20% - Accent6 2 4 5 3" xfId="19645"/>
    <cellStyle name="20% - Accent6 2 4 6" xfId="2322"/>
    <cellStyle name="20% - Accent6 2 4 6 2" xfId="13734"/>
    <cellStyle name="20% - Accent6 2 4 6 2 2" xfId="27283"/>
    <cellStyle name="20% - Accent6 2 4 6 3" xfId="19646"/>
    <cellStyle name="20% - Accent6 2 4 7" xfId="2323"/>
    <cellStyle name="20% - Accent6 2 4 7 2" xfId="14315"/>
    <cellStyle name="20% - Accent6 2 4 7 2 2" xfId="27864"/>
    <cellStyle name="20% - Accent6 2 4 7 3" xfId="19647"/>
    <cellStyle name="20% - Accent6 2 4 8" xfId="2324"/>
    <cellStyle name="20% - Accent6 2 4 8 2" xfId="14990"/>
    <cellStyle name="20% - Accent6 2 4 8 2 2" xfId="28539"/>
    <cellStyle name="20% - Accent6 2 4 8 3" xfId="19648"/>
    <cellStyle name="20% - Accent6 2 4 9" xfId="2325"/>
    <cellStyle name="20% - Accent6 2 4 9 2" xfId="16201"/>
    <cellStyle name="20% - Accent6 2 4 9 2 2" xfId="29608"/>
    <cellStyle name="20% - Accent6 2 4 9 3" xfId="19649"/>
    <cellStyle name="20% - Accent6 2 5" xfId="2326"/>
    <cellStyle name="20% - Accent6 2 5 2" xfId="2327"/>
    <cellStyle name="20% - Accent6 2 5 2 2" xfId="2328"/>
    <cellStyle name="20% - Accent6 2 5 2 2 2" xfId="10880"/>
    <cellStyle name="20% - Accent6 2 5 2 2 2 2" xfId="24822"/>
    <cellStyle name="20% - Accent6 2 5 2 2 3" xfId="19652"/>
    <cellStyle name="20% - Accent6 2 5 2 3" xfId="2329"/>
    <cellStyle name="20% - Accent6 2 5 2 3 2" xfId="12518"/>
    <cellStyle name="20% - Accent6 2 5 2 3 2 2" xfId="26230"/>
    <cellStyle name="20% - Accent6 2 5 2 3 3" xfId="19653"/>
    <cellStyle name="20% - Accent6 2 5 2 4" xfId="2330"/>
    <cellStyle name="20% - Accent6 2 5 2 4 2" xfId="14994"/>
    <cellStyle name="20% - Accent6 2 5 2 4 2 2" xfId="28543"/>
    <cellStyle name="20% - Accent6 2 5 2 4 3" xfId="19654"/>
    <cellStyle name="20% - Accent6 2 5 2 5" xfId="9154"/>
    <cellStyle name="20% - Accent6 2 5 2 5 2" xfId="23629"/>
    <cellStyle name="20% - Accent6 2 5 2 6" xfId="19651"/>
    <cellStyle name="20% - Accent6 2 5 3" xfId="2331"/>
    <cellStyle name="20% - Accent6 2 5 3 2" xfId="10879"/>
    <cellStyle name="20% - Accent6 2 5 3 2 2" xfId="24821"/>
    <cellStyle name="20% - Accent6 2 5 3 3" xfId="19655"/>
    <cellStyle name="20% - Accent6 2 5 4" xfId="2332"/>
    <cellStyle name="20% - Accent6 2 5 4 2" xfId="12576"/>
    <cellStyle name="20% - Accent6 2 5 4 2 2" xfId="26288"/>
    <cellStyle name="20% - Accent6 2 5 4 3" xfId="19656"/>
    <cellStyle name="20% - Accent6 2 5 5" xfId="2333"/>
    <cellStyle name="20% - Accent6 2 5 5 2" xfId="14993"/>
    <cellStyle name="20% - Accent6 2 5 5 2 2" xfId="28542"/>
    <cellStyle name="20% - Accent6 2 5 5 3" xfId="19657"/>
    <cellStyle name="20% - Accent6 2 5 6" xfId="2334"/>
    <cellStyle name="20% - Accent6 2 5 6 2" xfId="17012"/>
    <cellStyle name="20% - Accent6 2 5 6 2 2" xfId="30419"/>
    <cellStyle name="20% - Accent6 2 5 6 3" xfId="19658"/>
    <cellStyle name="20% - Accent6 2 5 7" xfId="9153"/>
    <cellStyle name="20% - Accent6 2 5 7 2" xfId="23628"/>
    <cellStyle name="20% - Accent6 2 5 8" xfId="19650"/>
    <cellStyle name="20% - Accent6 2 6" xfId="2335"/>
    <cellStyle name="20% - Accent6 2 6 2" xfId="2336"/>
    <cellStyle name="20% - Accent6 2 6 2 2" xfId="10881"/>
    <cellStyle name="20% - Accent6 2 6 2 2 2" xfId="24823"/>
    <cellStyle name="20% - Accent6 2 6 2 3" xfId="19660"/>
    <cellStyle name="20% - Accent6 2 6 3" xfId="2337"/>
    <cellStyle name="20% - Accent6 2 6 3 2" xfId="12610"/>
    <cellStyle name="20% - Accent6 2 6 3 2 2" xfId="26322"/>
    <cellStyle name="20% - Accent6 2 6 3 3" xfId="19661"/>
    <cellStyle name="20% - Accent6 2 6 4" xfId="2338"/>
    <cellStyle name="20% - Accent6 2 6 4 2" xfId="14995"/>
    <cellStyle name="20% - Accent6 2 6 4 2 2" xfId="28544"/>
    <cellStyle name="20% - Accent6 2 6 4 3" xfId="19662"/>
    <cellStyle name="20% - Accent6 2 6 5" xfId="2339"/>
    <cellStyle name="20% - Accent6 2 6 5 2" xfId="17129"/>
    <cellStyle name="20% - Accent6 2 6 5 2 2" xfId="30488"/>
    <cellStyle name="20% - Accent6 2 6 5 3" xfId="19663"/>
    <cellStyle name="20% - Accent6 2 6 6" xfId="9155"/>
    <cellStyle name="20% - Accent6 2 6 6 2" xfId="23630"/>
    <cellStyle name="20% - Accent6 2 6 7" xfId="19659"/>
    <cellStyle name="20% - Accent6 2 7" xfId="2340"/>
    <cellStyle name="20% - Accent6 2 7 2" xfId="2341"/>
    <cellStyle name="20% - Accent6 2 7 2 2" xfId="10882"/>
    <cellStyle name="20% - Accent6 2 7 2 2 2" xfId="24824"/>
    <cellStyle name="20% - Accent6 2 7 2 3" xfId="19665"/>
    <cellStyle name="20% - Accent6 2 7 3" xfId="2342"/>
    <cellStyle name="20% - Accent6 2 7 3 2" xfId="12651"/>
    <cellStyle name="20% - Accent6 2 7 3 2 2" xfId="26363"/>
    <cellStyle name="20% - Accent6 2 7 3 3" xfId="19666"/>
    <cellStyle name="20% - Accent6 2 7 4" xfId="2343"/>
    <cellStyle name="20% - Accent6 2 7 4 2" xfId="14996"/>
    <cellStyle name="20% - Accent6 2 7 4 2 2" xfId="28545"/>
    <cellStyle name="20% - Accent6 2 7 4 3" xfId="19667"/>
    <cellStyle name="20% - Accent6 2 7 5" xfId="2344"/>
    <cellStyle name="20% - Accent6 2 7 5 2" xfId="17218"/>
    <cellStyle name="20% - Accent6 2 7 5 2 2" xfId="30577"/>
    <cellStyle name="20% - Accent6 2 7 5 3" xfId="19668"/>
    <cellStyle name="20% - Accent6 2 7 6" xfId="9156"/>
    <cellStyle name="20% - Accent6 2 7 6 2" xfId="23631"/>
    <cellStyle name="20% - Accent6 2 7 7" xfId="19664"/>
    <cellStyle name="20% - Accent6 2 8" xfId="2345"/>
    <cellStyle name="20% - Accent6 2 8 2" xfId="2346"/>
    <cellStyle name="20% - Accent6 2 8 2 2" xfId="12438"/>
    <cellStyle name="20% - Accent6 2 8 2 2 2" xfId="26150"/>
    <cellStyle name="20% - Accent6 2 8 2 3" xfId="19670"/>
    <cellStyle name="20% - Accent6 2 8 3" xfId="2347"/>
    <cellStyle name="20% - Accent6 2 8 3 2" xfId="14997"/>
    <cellStyle name="20% - Accent6 2 8 3 2 2" xfId="28546"/>
    <cellStyle name="20% - Accent6 2 8 3 3" xfId="19671"/>
    <cellStyle name="20% - Accent6 2 8 4" xfId="2348"/>
    <cellStyle name="20% - Accent6 2 8 4 2" xfId="16493"/>
    <cellStyle name="20% - Accent6 2 8 4 2 2" xfId="29900"/>
    <cellStyle name="20% - Accent6 2 8 4 3" xfId="19672"/>
    <cellStyle name="20% - Accent6 2 8 5" xfId="10533"/>
    <cellStyle name="20% - Accent6 2 8 5 2" xfId="24475"/>
    <cellStyle name="20% - Accent6 2 8 6" xfId="19669"/>
    <cellStyle name="20% - Accent6 2 9" xfId="2349"/>
    <cellStyle name="20% - Accent6 2 9 2" xfId="2350"/>
    <cellStyle name="20% - Accent6 2 9 2 2" xfId="12658"/>
    <cellStyle name="20% - Accent6 2 9 2 2 2" xfId="26370"/>
    <cellStyle name="20% - Accent6 2 9 2 3" xfId="19674"/>
    <cellStyle name="20% - Accent6 2 9 3" xfId="2351"/>
    <cellStyle name="20% - Accent6 2 9 3 2" xfId="14998"/>
    <cellStyle name="20% - Accent6 2 9 3 2 2" xfId="28547"/>
    <cellStyle name="20% - Accent6 2 9 3 3" xfId="19675"/>
    <cellStyle name="20% - Accent6 2 9 4" xfId="10864"/>
    <cellStyle name="20% - Accent6 2 9 4 2" xfId="24806"/>
    <cellStyle name="20% - Accent6 2 9 5" xfId="19673"/>
    <cellStyle name="20% - Accent6 20" xfId="2352"/>
    <cellStyle name="20% - Accent6 20 2" xfId="2353"/>
    <cellStyle name="20% - Accent6 20 2 2" xfId="12426"/>
    <cellStyle name="20% - Accent6 20 2 2 2" xfId="26138"/>
    <cellStyle name="20% - Accent6 20 2 3" xfId="19677"/>
    <cellStyle name="20% - Accent6 20 3" xfId="2354"/>
    <cellStyle name="20% - Accent6 20 3 2" xfId="14999"/>
    <cellStyle name="20% - Accent6 20 3 2 2" xfId="28548"/>
    <cellStyle name="20% - Accent6 20 3 3" xfId="19678"/>
    <cellStyle name="20% - Accent6 20 4" xfId="10508"/>
    <cellStyle name="20% - Accent6 20 4 2" xfId="24456"/>
    <cellStyle name="20% - Accent6 20 5" xfId="19676"/>
    <cellStyle name="20% - Accent6 21" xfId="2355"/>
    <cellStyle name="20% - Accent6 21 2" xfId="2356"/>
    <cellStyle name="20% - Accent6 21 2 2" xfId="12745"/>
    <cellStyle name="20% - Accent6 21 2 2 2" xfId="26457"/>
    <cellStyle name="20% - Accent6 21 2 3" xfId="19680"/>
    <cellStyle name="20% - Accent6 21 3" xfId="2357"/>
    <cellStyle name="20% - Accent6 21 3 2" xfId="15000"/>
    <cellStyle name="20% - Accent6 21 3 2 2" xfId="28549"/>
    <cellStyle name="20% - Accent6 21 3 3" xfId="19681"/>
    <cellStyle name="20% - Accent6 21 4" xfId="10853"/>
    <cellStyle name="20% - Accent6 21 4 2" xfId="24795"/>
    <cellStyle name="20% - Accent6 21 5" xfId="19679"/>
    <cellStyle name="20% - Accent6 22" xfId="2358"/>
    <cellStyle name="20% - Accent6 22 2" xfId="11744"/>
    <cellStyle name="20% - Accent6 22 2 2" xfId="25459"/>
    <cellStyle name="20% - Accent6 22 3" xfId="19682"/>
    <cellStyle name="20% - Accent6 23" xfId="2359"/>
    <cellStyle name="20% - Accent6 23 2" xfId="12476"/>
    <cellStyle name="20% - Accent6 23 2 2" xfId="26188"/>
    <cellStyle name="20% - Accent6 23 3" xfId="19683"/>
    <cellStyle name="20% - Accent6 24" xfId="2360"/>
    <cellStyle name="20% - Accent6 24 2" xfId="13383"/>
    <cellStyle name="20% - Accent6 24 2 2" xfId="26932"/>
    <cellStyle name="20% - Accent6 24 3" xfId="19684"/>
    <cellStyle name="20% - Accent6 25" xfId="2361"/>
    <cellStyle name="20% - Accent6 25 2" xfId="13964"/>
    <cellStyle name="20% - Accent6 25 2 2" xfId="27513"/>
    <cellStyle name="20% - Accent6 25 3" xfId="19685"/>
    <cellStyle name="20% - Accent6 26" xfId="2362"/>
    <cellStyle name="20% - Accent6 26 2" xfId="14957"/>
    <cellStyle name="20% - Accent6 26 2 2" xfId="28506"/>
    <cellStyle name="20% - Accent6 26 3" xfId="19686"/>
    <cellStyle name="20% - Accent6 27" xfId="2363"/>
    <cellStyle name="20% - Accent6 27 2" xfId="15841"/>
    <cellStyle name="20% - Accent6 27 2 2" xfId="29248"/>
    <cellStyle name="20% - Accent6 27 3" xfId="19687"/>
    <cellStyle name="20% - Accent6 28" xfId="2364"/>
    <cellStyle name="20% - Accent6 28 2" xfId="15850"/>
    <cellStyle name="20% - Accent6 28 2 2" xfId="29257"/>
    <cellStyle name="20% - Accent6 28 3" xfId="19688"/>
    <cellStyle name="20% - Accent6 29" xfId="2365"/>
    <cellStyle name="20% - Accent6 29 2" xfId="9127"/>
    <cellStyle name="20% - Accent6 29 2 2" xfId="23602"/>
    <cellStyle name="20% - Accent6 29 3" xfId="19689"/>
    <cellStyle name="20% - Accent6 3" xfId="2366"/>
    <cellStyle name="20% - Accent6 3 10" xfId="2367"/>
    <cellStyle name="20% - Accent6 3 10 2" xfId="14049"/>
    <cellStyle name="20% - Accent6 3 10 2 2" xfId="27598"/>
    <cellStyle name="20% - Accent6 3 10 3" xfId="19691"/>
    <cellStyle name="20% - Accent6 3 11" xfId="2368"/>
    <cellStyle name="20% - Accent6 3 11 2" xfId="15001"/>
    <cellStyle name="20% - Accent6 3 11 2 2" xfId="28550"/>
    <cellStyle name="20% - Accent6 3 11 3" xfId="19692"/>
    <cellStyle name="20% - Accent6 3 12" xfId="2369"/>
    <cellStyle name="20% - Accent6 3 12 2" xfId="15935"/>
    <cellStyle name="20% - Accent6 3 12 2 2" xfId="29342"/>
    <cellStyle name="20% - Accent6 3 12 3" xfId="19693"/>
    <cellStyle name="20% - Accent6 3 13" xfId="9157"/>
    <cellStyle name="20% - Accent6 3 13 2" xfId="23632"/>
    <cellStyle name="20% - Accent6 3 14" xfId="19690"/>
    <cellStyle name="20% - Accent6 3 2" xfId="2370"/>
    <cellStyle name="20% - Accent6 3 2 10" xfId="2371"/>
    <cellStyle name="20% - Accent6 3 2 10 2" xfId="16078"/>
    <cellStyle name="20% - Accent6 3 2 10 2 2" xfId="29485"/>
    <cellStyle name="20% - Accent6 3 2 10 3" xfId="19695"/>
    <cellStyle name="20% - Accent6 3 2 11" xfId="9158"/>
    <cellStyle name="20% - Accent6 3 2 11 2" xfId="23633"/>
    <cellStyle name="20% - Accent6 3 2 12" xfId="19694"/>
    <cellStyle name="20% - Accent6 3 2 2" xfId="2372"/>
    <cellStyle name="20% - Accent6 3 2 2 10" xfId="9159"/>
    <cellStyle name="20% - Accent6 3 2 2 10 2" xfId="23634"/>
    <cellStyle name="20% - Accent6 3 2 2 11" xfId="19696"/>
    <cellStyle name="20% - Accent6 3 2 2 2" xfId="2373"/>
    <cellStyle name="20% - Accent6 3 2 2 2 2" xfId="2374"/>
    <cellStyle name="20% - Accent6 3 2 2 2 2 2" xfId="10886"/>
    <cellStyle name="20% - Accent6 3 2 2 2 2 2 2" xfId="24828"/>
    <cellStyle name="20% - Accent6 3 2 2 2 2 3" xfId="19698"/>
    <cellStyle name="20% - Accent6 3 2 2 2 3" xfId="2375"/>
    <cellStyle name="20% - Accent6 3 2 2 2 3 2" xfId="12508"/>
    <cellStyle name="20% - Accent6 3 2 2 2 3 2 2" xfId="26220"/>
    <cellStyle name="20% - Accent6 3 2 2 2 3 3" xfId="19699"/>
    <cellStyle name="20% - Accent6 3 2 2 2 4" xfId="2376"/>
    <cellStyle name="20% - Accent6 3 2 2 2 4 2" xfId="15004"/>
    <cellStyle name="20% - Accent6 3 2 2 2 4 2 2" xfId="28553"/>
    <cellStyle name="20% - Accent6 3 2 2 2 4 3" xfId="19700"/>
    <cellStyle name="20% - Accent6 3 2 2 2 5" xfId="2377"/>
    <cellStyle name="20% - Accent6 3 2 2 2 5 2" xfId="16948"/>
    <cellStyle name="20% - Accent6 3 2 2 2 5 2 2" xfId="30355"/>
    <cellStyle name="20% - Accent6 3 2 2 2 5 3" xfId="19701"/>
    <cellStyle name="20% - Accent6 3 2 2 2 6" xfId="9160"/>
    <cellStyle name="20% - Accent6 3 2 2 2 6 2" xfId="23635"/>
    <cellStyle name="20% - Accent6 3 2 2 2 7" xfId="19697"/>
    <cellStyle name="20% - Accent6 3 2 2 3" xfId="2378"/>
    <cellStyle name="20% - Accent6 3 2 2 3 2" xfId="2379"/>
    <cellStyle name="20% - Accent6 3 2 2 3 2 2" xfId="15005"/>
    <cellStyle name="20% - Accent6 3 2 2 3 2 2 2" xfId="28554"/>
    <cellStyle name="20% - Accent6 3 2 2 3 2 3" xfId="19703"/>
    <cellStyle name="20% - Accent6 3 2 2 3 3" xfId="10885"/>
    <cellStyle name="20% - Accent6 3 2 2 3 3 2" xfId="24827"/>
    <cellStyle name="20% - Accent6 3 2 2 3 4" xfId="19702"/>
    <cellStyle name="20% - Accent6 3 2 2 4" xfId="2380"/>
    <cellStyle name="20% - Accent6 3 2 2 4 2" xfId="12336"/>
    <cellStyle name="20% - Accent6 3 2 2 4 2 2" xfId="26048"/>
    <cellStyle name="20% - Accent6 3 2 2 4 3" xfId="19704"/>
    <cellStyle name="20% - Accent6 3 2 2 5" xfId="2381"/>
    <cellStyle name="20% - Accent6 3 2 2 5 2" xfId="11847"/>
    <cellStyle name="20% - Accent6 3 2 2 5 2 2" xfId="25562"/>
    <cellStyle name="20% - Accent6 3 2 2 5 3" xfId="19705"/>
    <cellStyle name="20% - Accent6 3 2 2 6" xfId="2382"/>
    <cellStyle name="20% - Accent6 3 2 2 6 2" xfId="13900"/>
    <cellStyle name="20% - Accent6 3 2 2 6 2 2" xfId="27449"/>
    <cellStyle name="20% - Accent6 3 2 2 6 3" xfId="19706"/>
    <cellStyle name="20% - Accent6 3 2 2 7" xfId="2383"/>
    <cellStyle name="20% - Accent6 3 2 2 7 2" xfId="14481"/>
    <cellStyle name="20% - Accent6 3 2 2 7 2 2" xfId="28030"/>
    <cellStyle name="20% - Accent6 3 2 2 7 3" xfId="19707"/>
    <cellStyle name="20% - Accent6 3 2 2 8" xfId="2384"/>
    <cellStyle name="20% - Accent6 3 2 2 8 2" xfId="15003"/>
    <cellStyle name="20% - Accent6 3 2 2 8 2 2" xfId="28552"/>
    <cellStyle name="20% - Accent6 3 2 2 8 3" xfId="19708"/>
    <cellStyle name="20% - Accent6 3 2 2 9" xfId="2385"/>
    <cellStyle name="20% - Accent6 3 2 2 9 2" xfId="16367"/>
    <cellStyle name="20% - Accent6 3 2 2 9 2 2" xfId="29774"/>
    <cellStyle name="20% - Accent6 3 2 2 9 3" xfId="19709"/>
    <cellStyle name="20% - Accent6 3 2 3" xfId="2386"/>
    <cellStyle name="20% - Accent6 3 2 3 2" xfId="2387"/>
    <cellStyle name="20% - Accent6 3 2 3 2 2" xfId="10887"/>
    <cellStyle name="20% - Accent6 3 2 3 2 2 2" xfId="24829"/>
    <cellStyle name="20% - Accent6 3 2 3 2 3" xfId="19711"/>
    <cellStyle name="20% - Accent6 3 2 3 3" xfId="2388"/>
    <cellStyle name="20% - Accent6 3 2 3 3 2" xfId="11785"/>
    <cellStyle name="20% - Accent6 3 2 3 3 2 2" xfId="25500"/>
    <cellStyle name="20% - Accent6 3 2 3 3 3" xfId="19712"/>
    <cellStyle name="20% - Accent6 3 2 3 4" xfId="2389"/>
    <cellStyle name="20% - Accent6 3 2 3 4 2" xfId="15006"/>
    <cellStyle name="20% - Accent6 3 2 3 4 2 2" xfId="28555"/>
    <cellStyle name="20% - Accent6 3 2 3 4 3" xfId="19713"/>
    <cellStyle name="20% - Accent6 3 2 3 5" xfId="2390"/>
    <cellStyle name="20% - Accent6 3 2 3 5 2" xfId="16659"/>
    <cellStyle name="20% - Accent6 3 2 3 5 2 2" xfId="30066"/>
    <cellStyle name="20% - Accent6 3 2 3 5 3" xfId="19714"/>
    <cellStyle name="20% - Accent6 3 2 3 6" xfId="9161"/>
    <cellStyle name="20% - Accent6 3 2 3 6 2" xfId="23636"/>
    <cellStyle name="20% - Accent6 3 2 3 7" xfId="19710"/>
    <cellStyle name="20% - Accent6 3 2 4" xfId="2391"/>
    <cellStyle name="20% - Accent6 3 2 4 2" xfId="2392"/>
    <cellStyle name="20% - Accent6 3 2 4 2 2" xfId="15007"/>
    <cellStyle name="20% - Accent6 3 2 4 2 2 2" xfId="28556"/>
    <cellStyle name="20% - Accent6 3 2 4 2 3" xfId="19716"/>
    <cellStyle name="20% - Accent6 3 2 4 3" xfId="10884"/>
    <cellStyle name="20% - Accent6 3 2 4 3 2" xfId="24826"/>
    <cellStyle name="20% - Accent6 3 2 4 4" xfId="19715"/>
    <cellStyle name="20% - Accent6 3 2 5" xfId="2393"/>
    <cellStyle name="20% - Accent6 3 2 5 2" xfId="12036"/>
    <cellStyle name="20% - Accent6 3 2 5 2 2" xfId="25751"/>
    <cellStyle name="20% - Accent6 3 2 5 3" xfId="19717"/>
    <cellStyle name="20% - Accent6 3 2 6" xfId="2394"/>
    <cellStyle name="20% - Accent6 3 2 6 2" xfId="11780"/>
    <cellStyle name="20% - Accent6 3 2 6 2 2" xfId="25495"/>
    <cellStyle name="20% - Accent6 3 2 6 3" xfId="19718"/>
    <cellStyle name="20% - Accent6 3 2 7" xfId="2395"/>
    <cellStyle name="20% - Accent6 3 2 7 2" xfId="13611"/>
    <cellStyle name="20% - Accent6 3 2 7 2 2" xfId="27160"/>
    <cellStyle name="20% - Accent6 3 2 7 3" xfId="19719"/>
    <cellStyle name="20% - Accent6 3 2 8" xfId="2396"/>
    <cellStyle name="20% - Accent6 3 2 8 2" xfId="14192"/>
    <cellStyle name="20% - Accent6 3 2 8 2 2" xfId="27741"/>
    <cellStyle name="20% - Accent6 3 2 8 3" xfId="19720"/>
    <cellStyle name="20% - Accent6 3 2 9" xfId="2397"/>
    <cellStyle name="20% - Accent6 3 2 9 2" xfId="15002"/>
    <cellStyle name="20% - Accent6 3 2 9 2 2" xfId="28551"/>
    <cellStyle name="20% - Accent6 3 2 9 3" xfId="19721"/>
    <cellStyle name="20% - Accent6 3 3" xfId="2398"/>
    <cellStyle name="20% - Accent6 3 3 10" xfId="9162"/>
    <cellStyle name="20% - Accent6 3 3 10 2" xfId="23637"/>
    <cellStyle name="20% - Accent6 3 3 11" xfId="19722"/>
    <cellStyle name="20% - Accent6 3 3 2" xfId="2399"/>
    <cellStyle name="20% - Accent6 3 3 2 2" xfId="2400"/>
    <cellStyle name="20% - Accent6 3 3 2 2 2" xfId="10889"/>
    <cellStyle name="20% - Accent6 3 3 2 2 2 2" xfId="24831"/>
    <cellStyle name="20% - Accent6 3 3 2 2 3" xfId="19724"/>
    <cellStyle name="20% - Accent6 3 3 2 3" xfId="2401"/>
    <cellStyle name="20% - Accent6 3 3 2 3 2" xfId="12467"/>
    <cellStyle name="20% - Accent6 3 3 2 3 2 2" xfId="26179"/>
    <cellStyle name="20% - Accent6 3 3 2 3 3" xfId="19725"/>
    <cellStyle name="20% - Accent6 3 3 2 4" xfId="2402"/>
    <cellStyle name="20% - Accent6 3 3 2 4 2" xfId="15009"/>
    <cellStyle name="20% - Accent6 3 3 2 4 2 2" xfId="28558"/>
    <cellStyle name="20% - Accent6 3 3 2 4 3" xfId="19726"/>
    <cellStyle name="20% - Accent6 3 3 2 5" xfId="2403"/>
    <cellStyle name="20% - Accent6 3 3 2 5 2" xfId="16805"/>
    <cellStyle name="20% - Accent6 3 3 2 5 2 2" xfId="30212"/>
    <cellStyle name="20% - Accent6 3 3 2 5 3" xfId="19727"/>
    <cellStyle name="20% - Accent6 3 3 2 6" xfId="9163"/>
    <cellStyle name="20% - Accent6 3 3 2 6 2" xfId="23638"/>
    <cellStyle name="20% - Accent6 3 3 2 7" xfId="19723"/>
    <cellStyle name="20% - Accent6 3 3 3" xfId="2404"/>
    <cellStyle name="20% - Accent6 3 3 3 2" xfId="2405"/>
    <cellStyle name="20% - Accent6 3 3 3 2 2" xfId="15010"/>
    <cellStyle name="20% - Accent6 3 3 3 2 2 2" xfId="28559"/>
    <cellStyle name="20% - Accent6 3 3 3 2 3" xfId="19729"/>
    <cellStyle name="20% - Accent6 3 3 3 3" xfId="10888"/>
    <cellStyle name="20% - Accent6 3 3 3 3 2" xfId="24830"/>
    <cellStyle name="20% - Accent6 3 3 3 4" xfId="19728"/>
    <cellStyle name="20% - Accent6 3 3 4" xfId="2406"/>
    <cellStyle name="20% - Accent6 3 3 4 2" xfId="12193"/>
    <cellStyle name="20% - Accent6 3 3 4 2 2" xfId="25905"/>
    <cellStyle name="20% - Accent6 3 3 4 3" xfId="19730"/>
    <cellStyle name="20% - Accent6 3 3 5" xfId="2407"/>
    <cellStyle name="20% - Accent6 3 3 5 2" xfId="12722"/>
    <cellStyle name="20% - Accent6 3 3 5 2 2" xfId="26434"/>
    <cellStyle name="20% - Accent6 3 3 5 3" xfId="19731"/>
    <cellStyle name="20% - Accent6 3 3 6" xfId="2408"/>
    <cellStyle name="20% - Accent6 3 3 6 2" xfId="13757"/>
    <cellStyle name="20% - Accent6 3 3 6 2 2" xfId="27306"/>
    <cellStyle name="20% - Accent6 3 3 6 3" xfId="19732"/>
    <cellStyle name="20% - Accent6 3 3 7" xfId="2409"/>
    <cellStyle name="20% - Accent6 3 3 7 2" xfId="14338"/>
    <cellStyle name="20% - Accent6 3 3 7 2 2" xfId="27887"/>
    <cellStyle name="20% - Accent6 3 3 7 3" xfId="19733"/>
    <cellStyle name="20% - Accent6 3 3 8" xfId="2410"/>
    <cellStyle name="20% - Accent6 3 3 8 2" xfId="15008"/>
    <cellStyle name="20% - Accent6 3 3 8 2 2" xfId="28557"/>
    <cellStyle name="20% - Accent6 3 3 8 3" xfId="19734"/>
    <cellStyle name="20% - Accent6 3 3 9" xfId="2411"/>
    <cellStyle name="20% - Accent6 3 3 9 2" xfId="16224"/>
    <cellStyle name="20% - Accent6 3 3 9 2 2" xfId="29631"/>
    <cellStyle name="20% - Accent6 3 3 9 3" xfId="19735"/>
    <cellStyle name="20% - Accent6 3 4" xfId="2412"/>
    <cellStyle name="20% - Accent6 3 4 2" xfId="2413"/>
    <cellStyle name="20% - Accent6 3 4 2 2" xfId="10890"/>
    <cellStyle name="20% - Accent6 3 4 2 2 2" xfId="24832"/>
    <cellStyle name="20% - Accent6 3 4 2 3" xfId="19737"/>
    <cellStyle name="20% - Accent6 3 4 3" xfId="2414"/>
    <cellStyle name="20% - Accent6 3 4 3 2" xfId="11837"/>
    <cellStyle name="20% - Accent6 3 4 3 2 2" xfId="25552"/>
    <cellStyle name="20% - Accent6 3 4 3 3" xfId="19738"/>
    <cellStyle name="20% - Accent6 3 4 4" xfId="2415"/>
    <cellStyle name="20% - Accent6 3 4 4 2" xfId="15011"/>
    <cellStyle name="20% - Accent6 3 4 4 2 2" xfId="28560"/>
    <cellStyle name="20% - Accent6 3 4 4 3" xfId="19739"/>
    <cellStyle name="20% - Accent6 3 4 5" xfId="2416"/>
    <cellStyle name="20% - Accent6 3 4 5 2" xfId="17152"/>
    <cellStyle name="20% - Accent6 3 4 5 2 2" xfId="30511"/>
    <cellStyle name="20% - Accent6 3 4 5 3" xfId="19740"/>
    <cellStyle name="20% - Accent6 3 4 6" xfId="9164"/>
    <cellStyle name="20% - Accent6 3 4 6 2" xfId="23639"/>
    <cellStyle name="20% - Accent6 3 4 7" xfId="19736"/>
    <cellStyle name="20% - Accent6 3 5" xfId="2417"/>
    <cellStyle name="20% - Accent6 3 5 2" xfId="2418"/>
    <cellStyle name="20% - Accent6 3 5 2 2" xfId="10891"/>
    <cellStyle name="20% - Accent6 3 5 2 2 2" xfId="24833"/>
    <cellStyle name="20% - Accent6 3 5 2 3" xfId="19742"/>
    <cellStyle name="20% - Accent6 3 5 3" xfId="2419"/>
    <cellStyle name="20% - Accent6 3 5 3 2" xfId="12504"/>
    <cellStyle name="20% - Accent6 3 5 3 2 2" xfId="26216"/>
    <cellStyle name="20% - Accent6 3 5 3 3" xfId="19743"/>
    <cellStyle name="20% - Accent6 3 5 4" xfId="2420"/>
    <cellStyle name="20% - Accent6 3 5 4 2" xfId="15012"/>
    <cellStyle name="20% - Accent6 3 5 4 2 2" xfId="28561"/>
    <cellStyle name="20% - Accent6 3 5 4 3" xfId="19744"/>
    <cellStyle name="20% - Accent6 3 5 5" xfId="2421"/>
    <cellStyle name="20% - Accent6 3 5 5 2" xfId="17241"/>
    <cellStyle name="20% - Accent6 3 5 5 2 2" xfId="30600"/>
    <cellStyle name="20% - Accent6 3 5 5 3" xfId="19745"/>
    <cellStyle name="20% - Accent6 3 5 6" xfId="9165"/>
    <cellStyle name="20% - Accent6 3 5 6 2" xfId="23640"/>
    <cellStyle name="20% - Accent6 3 5 7" xfId="19741"/>
    <cellStyle name="20% - Accent6 3 6" xfId="2422"/>
    <cellStyle name="20% - Accent6 3 6 2" xfId="2423"/>
    <cellStyle name="20% - Accent6 3 6 2 2" xfId="15013"/>
    <cellStyle name="20% - Accent6 3 6 2 2 2" xfId="28562"/>
    <cellStyle name="20% - Accent6 3 6 2 3" xfId="19747"/>
    <cellStyle name="20% - Accent6 3 6 3" xfId="2424"/>
    <cellStyle name="20% - Accent6 3 6 3 2" xfId="16516"/>
    <cellStyle name="20% - Accent6 3 6 3 2 2" xfId="29923"/>
    <cellStyle name="20% - Accent6 3 6 3 3" xfId="19748"/>
    <cellStyle name="20% - Accent6 3 6 4" xfId="10883"/>
    <cellStyle name="20% - Accent6 3 6 4 2" xfId="24825"/>
    <cellStyle name="20% - Accent6 3 6 5" xfId="19746"/>
    <cellStyle name="20% - Accent6 3 7" xfId="2425"/>
    <cellStyle name="20% - Accent6 3 7 2" xfId="11888"/>
    <cellStyle name="20% - Accent6 3 7 2 2" xfId="25603"/>
    <cellStyle name="20% - Accent6 3 7 3" xfId="19749"/>
    <cellStyle name="20% - Accent6 3 8" xfId="2426"/>
    <cellStyle name="20% - Accent6 3 8 2" xfId="12783"/>
    <cellStyle name="20% - Accent6 3 8 2 2" xfId="26495"/>
    <cellStyle name="20% - Accent6 3 8 3" xfId="19750"/>
    <cellStyle name="20% - Accent6 3 9" xfId="2427"/>
    <cellStyle name="20% - Accent6 3 9 2" xfId="13468"/>
    <cellStyle name="20% - Accent6 3 9 2 2" xfId="27017"/>
    <cellStyle name="20% - Accent6 3 9 3" xfId="19751"/>
    <cellStyle name="20% - Accent6 30" xfId="23263"/>
    <cellStyle name="20% - Accent6 4" xfId="2428"/>
    <cellStyle name="20% - Accent6 4 10" xfId="2429"/>
    <cellStyle name="20% - Accent6 4 10 2" xfId="15014"/>
    <cellStyle name="20% - Accent6 4 10 2 2" xfId="28563"/>
    <cellStyle name="20% - Accent6 4 10 3" xfId="19753"/>
    <cellStyle name="20% - Accent6 4 11" xfId="2430"/>
    <cellStyle name="20% - Accent6 4 11 2" xfId="15884"/>
    <cellStyle name="20% - Accent6 4 11 2 2" xfId="29291"/>
    <cellStyle name="20% - Accent6 4 11 3" xfId="19754"/>
    <cellStyle name="20% - Accent6 4 12" xfId="9166"/>
    <cellStyle name="20% - Accent6 4 12 2" xfId="23641"/>
    <cellStyle name="20% - Accent6 4 13" xfId="19752"/>
    <cellStyle name="20% - Accent6 4 2" xfId="2431"/>
    <cellStyle name="20% - Accent6 4 2 10" xfId="2432"/>
    <cellStyle name="20% - Accent6 4 2 10 2" xfId="16027"/>
    <cellStyle name="20% - Accent6 4 2 10 2 2" xfId="29434"/>
    <cellStyle name="20% - Accent6 4 2 10 3" xfId="19756"/>
    <cellStyle name="20% - Accent6 4 2 11" xfId="9167"/>
    <cellStyle name="20% - Accent6 4 2 11 2" xfId="23642"/>
    <cellStyle name="20% - Accent6 4 2 12" xfId="19755"/>
    <cellStyle name="20% - Accent6 4 2 2" xfId="2433"/>
    <cellStyle name="20% - Accent6 4 2 2 10" xfId="9168"/>
    <cellStyle name="20% - Accent6 4 2 2 10 2" xfId="23643"/>
    <cellStyle name="20% - Accent6 4 2 2 11" xfId="19757"/>
    <cellStyle name="20% - Accent6 4 2 2 2" xfId="2434"/>
    <cellStyle name="20% - Accent6 4 2 2 2 2" xfId="2435"/>
    <cellStyle name="20% - Accent6 4 2 2 2 2 2" xfId="10895"/>
    <cellStyle name="20% - Accent6 4 2 2 2 2 2 2" xfId="24837"/>
    <cellStyle name="20% - Accent6 4 2 2 2 2 3" xfId="19759"/>
    <cellStyle name="20% - Accent6 4 2 2 2 3" xfId="2436"/>
    <cellStyle name="20% - Accent6 4 2 2 2 3 2" xfId="12497"/>
    <cellStyle name="20% - Accent6 4 2 2 2 3 2 2" xfId="26209"/>
    <cellStyle name="20% - Accent6 4 2 2 2 3 3" xfId="19760"/>
    <cellStyle name="20% - Accent6 4 2 2 2 4" xfId="2437"/>
    <cellStyle name="20% - Accent6 4 2 2 2 4 2" xfId="15017"/>
    <cellStyle name="20% - Accent6 4 2 2 2 4 2 2" xfId="28566"/>
    <cellStyle name="20% - Accent6 4 2 2 2 4 3" xfId="19761"/>
    <cellStyle name="20% - Accent6 4 2 2 2 5" xfId="2438"/>
    <cellStyle name="20% - Accent6 4 2 2 2 5 2" xfId="16897"/>
    <cellStyle name="20% - Accent6 4 2 2 2 5 2 2" xfId="30304"/>
    <cellStyle name="20% - Accent6 4 2 2 2 5 3" xfId="19762"/>
    <cellStyle name="20% - Accent6 4 2 2 2 6" xfId="9169"/>
    <cellStyle name="20% - Accent6 4 2 2 2 6 2" xfId="23644"/>
    <cellStyle name="20% - Accent6 4 2 2 2 7" xfId="19758"/>
    <cellStyle name="20% - Accent6 4 2 2 3" xfId="2439"/>
    <cellStyle name="20% - Accent6 4 2 2 3 2" xfId="2440"/>
    <cellStyle name="20% - Accent6 4 2 2 3 2 2" xfId="15018"/>
    <cellStyle name="20% - Accent6 4 2 2 3 2 2 2" xfId="28567"/>
    <cellStyle name="20% - Accent6 4 2 2 3 2 3" xfId="19764"/>
    <cellStyle name="20% - Accent6 4 2 2 3 3" xfId="10894"/>
    <cellStyle name="20% - Accent6 4 2 2 3 3 2" xfId="24836"/>
    <cellStyle name="20% - Accent6 4 2 2 3 4" xfId="19763"/>
    <cellStyle name="20% - Accent6 4 2 2 4" xfId="2441"/>
    <cellStyle name="20% - Accent6 4 2 2 4 2" xfId="12285"/>
    <cellStyle name="20% - Accent6 4 2 2 4 2 2" xfId="25997"/>
    <cellStyle name="20% - Accent6 4 2 2 4 3" xfId="19765"/>
    <cellStyle name="20% - Accent6 4 2 2 5" xfId="2442"/>
    <cellStyle name="20% - Accent6 4 2 2 5 2" xfId="12474"/>
    <cellStyle name="20% - Accent6 4 2 2 5 2 2" xfId="26186"/>
    <cellStyle name="20% - Accent6 4 2 2 5 3" xfId="19766"/>
    <cellStyle name="20% - Accent6 4 2 2 6" xfId="2443"/>
    <cellStyle name="20% - Accent6 4 2 2 6 2" xfId="13849"/>
    <cellStyle name="20% - Accent6 4 2 2 6 2 2" xfId="27398"/>
    <cellStyle name="20% - Accent6 4 2 2 6 3" xfId="19767"/>
    <cellStyle name="20% - Accent6 4 2 2 7" xfId="2444"/>
    <cellStyle name="20% - Accent6 4 2 2 7 2" xfId="14430"/>
    <cellStyle name="20% - Accent6 4 2 2 7 2 2" xfId="27979"/>
    <cellStyle name="20% - Accent6 4 2 2 7 3" xfId="19768"/>
    <cellStyle name="20% - Accent6 4 2 2 8" xfId="2445"/>
    <cellStyle name="20% - Accent6 4 2 2 8 2" xfId="15016"/>
    <cellStyle name="20% - Accent6 4 2 2 8 2 2" xfId="28565"/>
    <cellStyle name="20% - Accent6 4 2 2 8 3" xfId="19769"/>
    <cellStyle name="20% - Accent6 4 2 2 9" xfId="2446"/>
    <cellStyle name="20% - Accent6 4 2 2 9 2" xfId="16316"/>
    <cellStyle name="20% - Accent6 4 2 2 9 2 2" xfId="29723"/>
    <cellStyle name="20% - Accent6 4 2 2 9 3" xfId="19770"/>
    <cellStyle name="20% - Accent6 4 2 3" xfId="2447"/>
    <cellStyle name="20% - Accent6 4 2 3 2" xfId="2448"/>
    <cellStyle name="20% - Accent6 4 2 3 2 2" xfId="10896"/>
    <cellStyle name="20% - Accent6 4 2 3 2 2 2" xfId="24838"/>
    <cellStyle name="20% - Accent6 4 2 3 2 3" xfId="19772"/>
    <cellStyle name="20% - Accent6 4 2 3 3" xfId="2449"/>
    <cellStyle name="20% - Accent6 4 2 3 3 2" xfId="12769"/>
    <cellStyle name="20% - Accent6 4 2 3 3 2 2" xfId="26481"/>
    <cellStyle name="20% - Accent6 4 2 3 3 3" xfId="19773"/>
    <cellStyle name="20% - Accent6 4 2 3 4" xfId="2450"/>
    <cellStyle name="20% - Accent6 4 2 3 4 2" xfId="15019"/>
    <cellStyle name="20% - Accent6 4 2 3 4 2 2" xfId="28568"/>
    <cellStyle name="20% - Accent6 4 2 3 4 3" xfId="19774"/>
    <cellStyle name="20% - Accent6 4 2 3 5" xfId="2451"/>
    <cellStyle name="20% - Accent6 4 2 3 5 2" xfId="16608"/>
    <cellStyle name="20% - Accent6 4 2 3 5 2 2" xfId="30015"/>
    <cellStyle name="20% - Accent6 4 2 3 5 3" xfId="19775"/>
    <cellStyle name="20% - Accent6 4 2 3 6" xfId="9170"/>
    <cellStyle name="20% - Accent6 4 2 3 6 2" xfId="23645"/>
    <cellStyle name="20% - Accent6 4 2 3 7" xfId="19771"/>
    <cellStyle name="20% - Accent6 4 2 4" xfId="2452"/>
    <cellStyle name="20% - Accent6 4 2 4 2" xfId="2453"/>
    <cellStyle name="20% - Accent6 4 2 4 2 2" xfId="15020"/>
    <cellStyle name="20% - Accent6 4 2 4 2 2 2" xfId="28569"/>
    <cellStyle name="20% - Accent6 4 2 4 2 3" xfId="19777"/>
    <cellStyle name="20% - Accent6 4 2 4 3" xfId="10893"/>
    <cellStyle name="20% - Accent6 4 2 4 3 2" xfId="24835"/>
    <cellStyle name="20% - Accent6 4 2 4 4" xfId="19776"/>
    <cellStyle name="20% - Accent6 4 2 5" xfId="2454"/>
    <cellStyle name="20% - Accent6 4 2 5 2" xfId="11985"/>
    <cellStyle name="20% - Accent6 4 2 5 2 2" xfId="25700"/>
    <cellStyle name="20% - Accent6 4 2 5 3" xfId="19778"/>
    <cellStyle name="20% - Accent6 4 2 6" xfId="2455"/>
    <cellStyle name="20% - Accent6 4 2 6 2" xfId="11872"/>
    <cellStyle name="20% - Accent6 4 2 6 2 2" xfId="25587"/>
    <cellStyle name="20% - Accent6 4 2 6 3" xfId="19779"/>
    <cellStyle name="20% - Accent6 4 2 7" xfId="2456"/>
    <cellStyle name="20% - Accent6 4 2 7 2" xfId="13560"/>
    <cellStyle name="20% - Accent6 4 2 7 2 2" xfId="27109"/>
    <cellStyle name="20% - Accent6 4 2 7 3" xfId="19780"/>
    <cellStyle name="20% - Accent6 4 2 8" xfId="2457"/>
    <cellStyle name="20% - Accent6 4 2 8 2" xfId="14141"/>
    <cellStyle name="20% - Accent6 4 2 8 2 2" xfId="27690"/>
    <cellStyle name="20% - Accent6 4 2 8 3" xfId="19781"/>
    <cellStyle name="20% - Accent6 4 2 9" xfId="2458"/>
    <cellStyle name="20% - Accent6 4 2 9 2" xfId="15015"/>
    <cellStyle name="20% - Accent6 4 2 9 2 2" xfId="28564"/>
    <cellStyle name="20% - Accent6 4 2 9 3" xfId="19782"/>
    <cellStyle name="20% - Accent6 4 3" xfId="2459"/>
    <cellStyle name="20% - Accent6 4 3 10" xfId="9171"/>
    <cellStyle name="20% - Accent6 4 3 10 2" xfId="23646"/>
    <cellStyle name="20% - Accent6 4 3 11" xfId="19783"/>
    <cellStyle name="20% - Accent6 4 3 2" xfId="2460"/>
    <cellStyle name="20% - Accent6 4 3 2 2" xfId="2461"/>
    <cellStyle name="20% - Accent6 4 3 2 2 2" xfId="10898"/>
    <cellStyle name="20% - Accent6 4 3 2 2 2 2" xfId="24840"/>
    <cellStyle name="20% - Accent6 4 3 2 2 3" xfId="19785"/>
    <cellStyle name="20% - Accent6 4 3 2 3" xfId="2462"/>
    <cellStyle name="20% - Accent6 4 3 2 3 2" xfId="12653"/>
    <cellStyle name="20% - Accent6 4 3 2 3 2 2" xfId="26365"/>
    <cellStyle name="20% - Accent6 4 3 2 3 3" xfId="19786"/>
    <cellStyle name="20% - Accent6 4 3 2 4" xfId="2463"/>
    <cellStyle name="20% - Accent6 4 3 2 4 2" xfId="15022"/>
    <cellStyle name="20% - Accent6 4 3 2 4 2 2" xfId="28571"/>
    <cellStyle name="20% - Accent6 4 3 2 4 3" xfId="19787"/>
    <cellStyle name="20% - Accent6 4 3 2 5" xfId="2464"/>
    <cellStyle name="20% - Accent6 4 3 2 5 2" xfId="16757"/>
    <cellStyle name="20% - Accent6 4 3 2 5 2 2" xfId="30164"/>
    <cellStyle name="20% - Accent6 4 3 2 5 3" xfId="19788"/>
    <cellStyle name="20% - Accent6 4 3 2 6" xfId="9172"/>
    <cellStyle name="20% - Accent6 4 3 2 6 2" xfId="23647"/>
    <cellStyle name="20% - Accent6 4 3 2 7" xfId="19784"/>
    <cellStyle name="20% - Accent6 4 3 3" xfId="2465"/>
    <cellStyle name="20% - Accent6 4 3 3 2" xfId="2466"/>
    <cellStyle name="20% - Accent6 4 3 3 2 2" xfId="15023"/>
    <cellStyle name="20% - Accent6 4 3 3 2 2 2" xfId="28572"/>
    <cellStyle name="20% - Accent6 4 3 3 2 3" xfId="19790"/>
    <cellStyle name="20% - Accent6 4 3 3 3" xfId="10897"/>
    <cellStyle name="20% - Accent6 4 3 3 3 2" xfId="24839"/>
    <cellStyle name="20% - Accent6 4 3 3 4" xfId="19789"/>
    <cellStyle name="20% - Accent6 4 3 4" xfId="2467"/>
    <cellStyle name="20% - Accent6 4 3 4 2" xfId="12145"/>
    <cellStyle name="20% - Accent6 4 3 4 2 2" xfId="25857"/>
    <cellStyle name="20% - Accent6 4 3 4 3" xfId="19791"/>
    <cellStyle name="20% - Accent6 4 3 5" xfId="2468"/>
    <cellStyle name="20% - Accent6 4 3 5 2" xfId="11773"/>
    <cellStyle name="20% - Accent6 4 3 5 2 2" xfId="25488"/>
    <cellStyle name="20% - Accent6 4 3 5 3" xfId="19792"/>
    <cellStyle name="20% - Accent6 4 3 6" xfId="2469"/>
    <cellStyle name="20% - Accent6 4 3 6 2" xfId="13709"/>
    <cellStyle name="20% - Accent6 4 3 6 2 2" xfId="27258"/>
    <cellStyle name="20% - Accent6 4 3 6 3" xfId="19793"/>
    <cellStyle name="20% - Accent6 4 3 7" xfId="2470"/>
    <cellStyle name="20% - Accent6 4 3 7 2" xfId="14290"/>
    <cellStyle name="20% - Accent6 4 3 7 2 2" xfId="27839"/>
    <cellStyle name="20% - Accent6 4 3 7 3" xfId="19794"/>
    <cellStyle name="20% - Accent6 4 3 8" xfId="2471"/>
    <cellStyle name="20% - Accent6 4 3 8 2" xfId="15021"/>
    <cellStyle name="20% - Accent6 4 3 8 2 2" xfId="28570"/>
    <cellStyle name="20% - Accent6 4 3 8 3" xfId="19795"/>
    <cellStyle name="20% - Accent6 4 3 9" xfId="2472"/>
    <cellStyle name="20% - Accent6 4 3 9 2" xfId="16176"/>
    <cellStyle name="20% - Accent6 4 3 9 2 2" xfId="29583"/>
    <cellStyle name="20% - Accent6 4 3 9 3" xfId="19796"/>
    <cellStyle name="20% - Accent6 4 4" xfId="2473"/>
    <cellStyle name="20% - Accent6 4 4 2" xfId="2474"/>
    <cellStyle name="20% - Accent6 4 4 2 2" xfId="10899"/>
    <cellStyle name="20% - Accent6 4 4 2 2 2" xfId="24841"/>
    <cellStyle name="20% - Accent6 4 4 2 3" xfId="19798"/>
    <cellStyle name="20% - Accent6 4 4 3" xfId="2475"/>
    <cellStyle name="20% - Accent6 4 4 3 2" xfId="12654"/>
    <cellStyle name="20% - Accent6 4 4 3 2 2" xfId="26366"/>
    <cellStyle name="20% - Accent6 4 4 3 3" xfId="19799"/>
    <cellStyle name="20% - Accent6 4 4 4" xfId="2476"/>
    <cellStyle name="20% - Accent6 4 4 4 2" xfId="15024"/>
    <cellStyle name="20% - Accent6 4 4 4 2 2" xfId="28573"/>
    <cellStyle name="20% - Accent6 4 4 4 3" xfId="19800"/>
    <cellStyle name="20% - Accent6 4 4 5" xfId="2477"/>
    <cellStyle name="20% - Accent6 4 4 5 2" xfId="16465"/>
    <cellStyle name="20% - Accent6 4 4 5 2 2" xfId="29872"/>
    <cellStyle name="20% - Accent6 4 4 5 3" xfId="19801"/>
    <cellStyle name="20% - Accent6 4 4 6" xfId="9173"/>
    <cellStyle name="20% - Accent6 4 4 6 2" xfId="23648"/>
    <cellStyle name="20% - Accent6 4 4 7" xfId="19797"/>
    <cellStyle name="20% - Accent6 4 5" xfId="2478"/>
    <cellStyle name="20% - Accent6 4 5 2" xfId="2479"/>
    <cellStyle name="20% - Accent6 4 5 2 2" xfId="15025"/>
    <cellStyle name="20% - Accent6 4 5 2 2 2" xfId="28574"/>
    <cellStyle name="20% - Accent6 4 5 2 3" xfId="19803"/>
    <cellStyle name="20% - Accent6 4 5 3" xfId="10892"/>
    <cellStyle name="20% - Accent6 4 5 3 2" xfId="24834"/>
    <cellStyle name="20% - Accent6 4 5 4" xfId="19802"/>
    <cellStyle name="20% - Accent6 4 6" xfId="2480"/>
    <cellStyle name="20% - Accent6 4 6 2" xfId="11816"/>
    <cellStyle name="20% - Accent6 4 6 2 2" xfId="25531"/>
    <cellStyle name="20% - Accent6 4 6 3" xfId="19804"/>
    <cellStyle name="20% - Accent6 4 7" xfId="2481"/>
    <cellStyle name="20% - Accent6 4 7 2" xfId="12685"/>
    <cellStyle name="20% - Accent6 4 7 2 2" xfId="26397"/>
    <cellStyle name="20% - Accent6 4 7 3" xfId="19805"/>
    <cellStyle name="20% - Accent6 4 8" xfId="2482"/>
    <cellStyle name="20% - Accent6 4 8 2" xfId="13417"/>
    <cellStyle name="20% - Accent6 4 8 2 2" xfId="26966"/>
    <cellStyle name="20% - Accent6 4 8 3" xfId="19806"/>
    <cellStyle name="20% - Accent6 4 9" xfId="2483"/>
    <cellStyle name="20% - Accent6 4 9 2" xfId="13998"/>
    <cellStyle name="20% - Accent6 4 9 2 2" xfId="27547"/>
    <cellStyle name="20% - Accent6 4 9 3" xfId="19807"/>
    <cellStyle name="20% - Accent6 5" xfId="2484"/>
    <cellStyle name="20% - Accent6 5 10" xfId="2485"/>
    <cellStyle name="20% - Accent6 5 10 2" xfId="15026"/>
    <cellStyle name="20% - Accent6 5 10 2 2" xfId="28575"/>
    <cellStyle name="20% - Accent6 5 10 3" xfId="19809"/>
    <cellStyle name="20% - Accent6 5 11" xfId="2486"/>
    <cellStyle name="20% - Accent6 5 11 2" xfId="15867"/>
    <cellStyle name="20% - Accent6 5 11 2 2" xfId="29274"/>
    <cellStyle name="20% - Accent6 5 11 3" xfId="19810"/>
    <cellStyle name="20% - Accent6 5 12" xfId="9174"/>
    <cellStyle name="20% - Accent6 5 12 2" xfId="23649"/>
    <cellStyle name="20% - Accent6 5 13" xfId="19808"/>
    <cellStyle name="20% - Accent6 5 2" xfId="2487"/>
    <cellStyle name="20% - Accent6 5 2 10" xfId="2488"/>
    <cellStyle name="20% - Accent6 5 2 10 2" xfId="16010"/>
    <cellStyle name="20% - Accent6 5 2 10 2 2" xfId="29417"/>
    <cellStyle name="20% - Accent6 5 2 10 3" xfId="19812"/>
    <cellStyle name="20% - Accent6 5 2 11" xfId="9175"/>
    <cellStyle name="20% - Accent6 5 2 11 2" xfId="23650"/>
    <cellStyle name="20% - Accent6 5 2 12" xfId="19811"/>
    <cellStyle name="20% - Accent6 5 2 2" xfId="2489"/>
    <cellStyle name="20% - Accent6 5 2 2 10" xfId="9176"/>
    <cellStyle name="20% - Accent6 5 2 2 10 2" xfId="23651"/>
    <cellStyle name="20% - Accent6 5 2 2 11" xfId="19813"/>
    <cellStyle name="20% - Accent6 5 2 2 2" xfId="2490"/>
    <cellStyle name="20% - Accent6 5 2 2 2 2" xfId="2491"/>
    <cellStyle name="20% - Accent6 5 2 2 2 2 2" xfId="10903"/>
    <cellStyle name="20% - Accent6 5 2 2 2 2 2 2" xfId="24845"/>
    <cellStyle name="20% - Accent6 5 2 2 2 2 3" xfId="19815"/>
    <cellStyle name="20% - Accent6 5 2 2 2 3" xfId="2492"/>
    <cellStyle name="20% - Accent6 5 2 2 2 3 2" xfId="12794"/>
    <cellStyle name="20% - Accent6 5 2 2 2 3 2 2" xfId="26506"/>
    <cellStyle name="20% - Accent6 5 2 2 2 3 3" xfId="19816"/>
    <cellStyle name="20% - Accent6 5 2 2 2 4" xfId="2493"/>
    <cellStyle name="20% - Accent6 5 2 2 2 4 2" xfId="15029"/>
    <cellStyle name="20% - Accent6 5 2 2 2 4 2 2" xfId="28578"/>
    <cellStyle name="20% - Accent6 5 2 2 2 4 3" xfId="19817"/>
    <cellStyle name="20% - Accent6 5 2 2 2 5" xfId="2494"/>
    <cellStyle name="20% - Accent6 5 2 2 2 5 2" xfId="16880"/>
    <cellStyle name="20% - Accent6 5 2 2 2 5 2 2" xfId="30287"/>
    <cellStyle name="20% - Accent6 5 2 2 2 5 3" xfId="19818"/>
    <cellStyle name="20% - Accent6 5 2 2 2 6" xfId="9177"/>
    <cellStyle name="20% - Accent6 5 2 2 2 6 2" xfId="23652"/>
    <cellStyle name="20% - Accent6 5 2 2 2 7" xfId="19814"/>
    <cellStyle name="20% - Accent6 5 2 2 3" xfId="2495"/>
    <cellStyle name="20% - Accent6 5 2 2 3 2" xfId="2496"/>
    <cellStyle name="20% - Accent6 5 2 2 3 2 2" xfId="15030"/>
    <cellStyle name="20% - Accent6 5 2 2 3 2 2 2" xfId="28579"/>
    <cellStyle name="20% - Accent6 5 2 2 3 2 3" xfId="19820"/>
    <cellStyle name="20% - Accent6 5 2 2 3 3" xfId="10902"/>
    <cellStyle name="20% - Accent6 5 2 2 3 3 2" xfId="24844"/>
    <cellStyle name="20% - Accent6 5 2 2 3 4" xfId="19819"/>
    <cellStyle name="20% - Accent6 5 2 2 4" xfId="2497"/>
    <cellStyle name="20% - Accent6 5 2 2 4 2" xfId="12268"/>
    <cellStyle name="20% - Accent6 5 2 2 4 2 2" xfId="25980"/>
    <cellStyle name="20% - Accent6 5 2 2 4 3" xfId="19821"/>
    <cellStyle name="20% - Accent6 5 2 2 5" xfId="2498"/>
    <cellStyle name="20% - Accent6 5 2 2 5 2" xfId="12798"/>
    <cellStyle name="20% - Accent6 5 2 2 5 2 2" xfId="26510"/>
    <cellStyle name="20% - Accent6 5 2 2 5 3" xfId="19822"/>
    <cellStyle name="20% - Accent6 5 2 2 6" xfId="2499"/>
    <cellStyle name="20% - Accent6 5 2 2 6 2" xfId="13832"/>
    <cellStyle name="20% - Accent6 5 2 2 6 2 2" xfId="27381"/>
    <cellStyle name="20% - Accent6 5 2 2 6 3" xfId="19823"/>
    <cellStyle name="20% - Accent6 5 2 2 7" xfId="2500"/>
    <cellStyle name="20% - Accent6 5 2 2 7 2" xfId="14413"/>
    <cellStyle name="20% - Accent6 5 2 2 7 2 2" xfId="27962"/>
    <cellStyle name="20% - Accent6 5 2 2 7 3" xfId="19824"/>
    <cellStyle name="20% - Accent6 5 2 2 8" xfId="2501"/>
    <cellStyle name="20% - Accent6 5 2 2 8 2" xfId="15028"/>
    <cellStyle name="20% - Accent6 5 2 2 8 2 2" xfId="28577"/>
    <cellStyle name="20% - Accent6 5 2 2 8 3" xfId="19825"/>
    <cellStyle name="20% - Accent6 5 2 2 9" xfId="2502"/>
    <cellStyle name="20% - Accent6 5 2 2 9 2" xfId="16299"/>
    <cellStyle name="20% - Accent6 5 2 2 9 2 2" xfId="29706"/>
    <cellStyle name="20% - Accent6 5 2 2 9 3" xfId="19826"/>
    <cellStyle name="20% - Accent6 5 2 3" xfId="2503"/>
    <cellStyle name="20% - Accent6 5 2 3 2" xfId="2504"/>
    <cellStyle name="20% - Accent6 5 2 3 2 2" xfId="10904"/>
    <cellStyle name="20% - Accent6 5 2 3 2 2 2" xfId="24846"/>
    <cellStyle name="20% - Accent6 5 2 3 2 3" xfId="19828"/>
    <cellStyle name="20% - Accent6 5 2 3 3" xfId="2505"/>
    <cellStyle name="20% - Accent6 5 2 3 3 2" xfId="12735"/>
    <cellStyle name="20% - Accent6 5 2 3 3 2 2" xfId="26447"/>
    <cellStyle name="20% - Accent6 5 2 3 3 3" xfId="19829"/>
    <cellStyle name="20% - Accent6 5 2 3 4" xfId="2506"/>
    <cellStyle name="20% - Accent6 5 2 3 4 2" xfId="15031"/>
    <cellStyle name="20% - Accent6 5 2 3 4 2 2" xfId="28580"/>
    <cellStyle name="20% - Accent6 5 2 3 4 3" xfId="19830"/>
    <cellStyle name="20% - Accent6 5 2 3 5" xfId="2507"/>
    <cellStyle name="20% - Accent6 5 2 3 5 2" xfId="16591"/>
    <cellStyle name="20% - Accent6 5 2 3 5 2 2" xfId="29998"/>
    <cellStyle name="20% - Accent6 5 2 3 5 3" xfId="19831"/>
    <cellStyle name="20% - Accent6 5 2 3 6" xfId="9178"/>
    <cellStyle name="20% - Accent6 5 2 3 6 2" xfId="23653"/>
    <cellStyle name="20% - Accent6 5 2 3 7" xfId="19827"/>
    <cellStyle name="20% - Accent6 5 2 4" xfId="2508"/>
    <cellStyle name="20% - Accent6 5 2 4 2" xfId="2509"/>
    <cellStyle name="20% - Accent6 5 2 4 2 2" xfId="15032"/>
    <cellStyle name="20% - Accent6 5 2 4 2 2 2" xfId="28581"/>
    <cellStyle name="20% - Accent6 5 2 4 2 3" xfId="19833"/>
    <cellStyle name="20% - Accent6 5 2 4 3" xfId="10901"/>
    <cellStyle name="20% - Accent6 5 2 4 3 2" xfId="24843"/>
    <cellStyle name="20% - Accent6 5 2 4 4" xfId="19832"/>
    <cellStyle name="20% - Accent6 5 2 5" xfId="2510"/>
    <cellStyle name="20% - Accent6 5 2 5 2" xfId="11968"/>
    <cellStyle name="20% - Accent6 5 2 5 2 2" xfId="25683"/>
    <cellStyle name="20% - Accent6 5 2 5 3" xfId="19834"/>
    <cellStyle name="20% - Accent6 5 2 6" xfId="2511"/>
    <cellStyle name="20% - Accent6 5 2 6 2" xfId="11767"/>
    <cellStyle name="20% - Accent6 5 2 6 2 2" xfId="25482"/>
    <cellStyle name="20% - Accent6 5 2 6 3" xfId="19835"/>
    <cellStyle name="20% - Accent6 5 2 7" xfId="2512"/>
    <cellStyle name="20% - Accent6 5 2 7 2" xfId="13543"/>
    <cellStyle name="20% - Accent6 5 2 7 2 2" xfId="27092"/>
    <cellStyle name="20% - Accent6 5 2 7 3" xfId="19836"/>
    <cellStyle name="20% - Accent6 5 2 8" xfId="2513"/>
    <cellStyle name="20% - Accent6 5 2 8 2" xfId="14124"/>
    <cellStyle name="20% - Accent6 5 2 8 2 2" xfId="27673"/>
    <cellStyle name="20% - Accent6 5 2 8 3" xfId="19837"/>
    <cellStyle name="20% - Accent6 5 2 9" xfId="2514"/>
    <cellStyle name="20% - Accent6 5 2 9 2" xfId="15027"/>
    <cellStyle name="20% - Accent6 5 2 9 2 2" xfId="28576"/>
    <cellStyle name="20% - Accent6 5 2 9 3" xfId="19838"/>
    <cellStyle name="20% - Accent6 5 3" xfId="2515"/>
    <cellStyle name="20% - Accent6 5 3 10" xfId="9179"/>
    <cellStyle name="20% - Accent6 5 3 10 2" xfId="23654"/>
    <cellStyle name="20% - Accent6 5 3 11" xfId="19839"/>
    <cellStyle name="20% - Accent6 5 3 2" xfId="2516"/>
    <cellStyle name="20% - Accent6 5 3 2 2" xfId="2517"/>
    <cellStyle name="20% - Accent6 5 3 2 2 2" xfId="10906"/>
    <cellStyle name="20% - Accent6 5 3 2 2 2 2" xfId="24848"/>
    <cellStyle name="20% - Accent6 5 3 2 2 3" xfId="19841"/>
    <cellStyle name="20% - Accent6 5 3 2 3" xfId="2518"/>
    <cellStyle name="20% - Accent6 5 3 2 3 2" xfId="12562"/>
    <cellStyle name="20% - Accent6 5 3 2 3 2 2" xfId="26274"/>
    <cellStyle name="20% - Accent6 5 3 2 3 3" xfId="19842"/>
    <cellStyle name="20% - Accent6 5 3 2 4" xfId="2519"/>
    <cellStyle name="20% - Accent6 5 3 2 4 2" xfId="15034"/>
    <cellStyle name="20% - Accent6 5 3 2 4 2 2" xfId="28583"/>
    <cellStyle name="20% - Accent6 5 3 2 4 3" xfId="19843"/>
    <cellStyle name="20% - Accent6 5 3 2 5" xfId="2520"/>
    <cellStyle name="20% - Accent6 5 3 2 5 2" xfId="16740"/>
    <cellStyle name="20% - Accent6 5 3 2 5 2 2" xfId="30147"/>
    <cellStyle name="20% - Accent6 5 3 2 5 3" xfId="19844"/>
    <cellStyle name="20% - Accent6 5 3 2 6" xfId="9180"/>
    <cellStyle name="20% - Accent6 5 3 2 6 2" xfId="23655"/>
    <cellStyle name="20% - Accent6 5 3 2 7" xfId="19840"/>
    <cellStyle name="20% - Accent6 5 3 3" xfId="2521"/>
    <cellStyle name="20% - Accent6 5 3 3 2" xfId="2522"/>
    <cellStyle name="20% - Accent6 5 3 3 2 2" xfId="15035"/>
    <cellStyle name="20% - Accent6 5 3 3 2 2 2" xfId="28584"/>
    <cellStyle name="20% - Accent6 5 3 3 2 3" xfId="19846"/>
    <cellStyle name="20% - Accent6 5 3 3 3" xfId="10905"/>
    <cellStyle name="20% - Accent6 5 3 3 3 2" xfId="24847"/>
    <cellStyle name="20% - Accent6 5 3 3 4" xfId="19845"/>
    <cellStyle name="20% - Accent6 5 3 4" xfId="2523"/>
    <cellStyle name="20% - Accent6 5 3 4 2" xfId="12128"/>
    <cellStyle name="20% - Accent6 5 3 4 2 2" xfId="25840"/>
    <cellStyle name="20% - Accent6 5 3 4 3" xfId="19847"/>
    <cellStyle name="20% - Accent6 5 3 5" xfId="2524"/>
    <cellStyle name="20% - Accent6 5 3 5 2" xfId="12806"/>
    <cellStyle name="20% - Accent6 5 3 5 2 2" xfId="26518"/>
    <cellStyle name="20% - Accent6 5 3 5 3" xfId="19848"/>
    <cellStyle name="20% - Accent6 5 3 6" xfId="2525"/>
    <cellStyle name="20% - Accent6 5 3 6 2" xfId="13692"/>
    <cellStyle name="20% - Accent6 5 3 6 2 2" xfId="27241"/>
    <cellStyle name="20% - Accent6 5 3 6 3" xfId="19849"/>
    <cellStyle name="20% - Accent6 5 3 7" xfId="2526"/>
    <cellStyle name="20% - Accent6 5 3 7 2" xfId="14273"/>
    <cellStyle name="20% - Accent6 5 3 7 2 2" xfId="27822"/>
    <cellStyle name="20% - Accent6 5 3 7 3" xfId="19850"/>
    <cellStyle name="20% - Accent6 5 3 8" xfId="2527"/>
    <cellStyle name="20% - Accent6 5 3 8 2" xfId="15033"/>
    <cellStyle name="20% - Accent6 5 3 8 2 2" xfId="28582"/>
    <cellStyle name="20% - Accent6 5 3 8 3" xfId="19851"/>
    <cellStyle name="20% - Accent6 5 3 9" xfId="2528"/>
    <cellStyle name="20% - Accent6 5 3 9 2" xfId="16159"/>
    <cellStyle name="20% - Accent6 5 3 9 2 2" xfId="29566"/>
    <cellStyle name="20% - Accent6 5 3 9 3" xfId="19852"/>
    <cellStyle name="20% - Accent6 5 4" xfId="2529"/>
    <cellStyle name="20% - Accent6 5 4 2" xfId="2530"/>
    <cellStyle name="20% - Accent6 5 4 2 2" xfId="10907"/>
    <cellStyle name="20% - Accent6 5 4 2 2 2" xfId="24849"/>
    <cellStyle name="20% - Accent6 5 4 2 3" xfId="19854"/>
    <cellStyle name="20% - Accent6 5 4 3" xfId="2531"/>
    <cellStyle name="20% - Accent6 5 4 3 2" xfId="12116"/>
    <cellStyle name="20% - Accent6 5 4 3 2 2" xfId="25828"/>
    <cellStyle name="20% - Accent6 5 4 3 3" xfId="19855"/>
    <cellStyle name="20% - Accent6 5 4 4" xfId="2532"/>
    <cellStyle name="20% - Accent6 5 4 4 2" xfId="15036"/>
    <cellStyle name="20% - Accent6 5 4 4 2 2" xfId="28585"/>
    <cellStyle name="20% - Accent6 5 4 4 3" xfId="19856"/>
    <cellStyle name="20% - Accent6 5 4 5" xfId="2533"/>
    <cellStyle name="20% - Accent6 5 4 5 2" xfId="16448"/>
    <cellStyle name="20% - Accent6 5 4 5 2 2" xfId="29855"/>
    <cellStyle name="20% - Accent6 5 4 5 3" xfId="19857"/>
    <cellStyle name="20% - Accent6 5 4 6" xfId="9181"/>
    <cellStyle name="20% - Accent6 5 4 6 2" xfId="23656"/>
    <cellStyle name="20% - Accent6 5 4 7" xfId="19853"/>
    <cellStyle name="20% - Accent6 5 5" xfId="2534"/>
    <cellStyle name="20% - Accent6 5 5 2" xfId="2535"/>
    <cellStyle name="20% - Accent6 5 5 2 2" xfId="15037"/>
    <cellStyle name="20% - Accent6 5 5 2 2 2" xfId="28586"/>
    <cellStyle name="20% - Accent6 5 5 2 3" xfId="19859"/>
    <cellStyle name="20% - Accent6 5 5 3" xfId="10900"/>
    <cellStyle name="20% - Accent6 5 5 3 2" xfId="24842"/>
    <cellStyle name="20% - Accent6 5 5 4" xfId="19858"/>
    <cellStyle name="20% - Accent6 5 6" xfId="2536"/>
    <cellStyle name="20% - Accent6 5 6 2" xfId="11799"/>
    <cellStyle name="20% - Accent6 5 6 2 2" xfId="25514"/>
    <cellStyle name="20% - Accent6 5 6 3" xfId="19860"/>
    <cellStyle name="20% - Accent6 5 7" xfId="2537"/>
    <cellStyle name="20% - Accent6 5 7 2" xfId="12559"/>
    <cellStyle name="20% - Accent6 5 7 2 2" xfId="26271"/>
    <cellStyle name="20% - Accent6 5 7 3" xfId="19861"/>
    <cellStyle name="20% - Accent6 5 8" xfId="2538"/>
    <cellStyle name="20% - Accent6 5 8 2" xfId="13400"/>
    <cellStyle name="20% - Accent6 5 8 2 2" xfId="26949"/>
    <cellStyle name="20% - Accent6 5 8 3" xfId="19862"/>
    <cellStyle name="20% - Accent6 5 9" xfId="2539"/>
    <cellStyle name="20% - Accent6 5 9 2" xfId="13981"/>
    <cellStyle name="20% - Accent6 5 9 2 2" xfId="27530"/>
    <cellStyle name="20% - Accent6 5 9 3" xfId="19863"/>
    <cellStyle name="20% - Accent6 6" xfId="2540"/>
    <cellStyle name="20% - Accent6 6 10" xfId="2541"/>
    <cellStyle name="20% - Accent6 6 10 2" xfId="15038"/>
    <cellStyle name="20% - Accent6 6 10 2 2" xfId="28587"/>
    <cellStyle name="20% - Accent6 6 10 3" xfId="19865"/>
    <cellStyle name="20% - Accent6 6 11" xfId="2542"/>
    <cellStyle name="20% - Accent6 6 11 2" xfId="15973"/>
    <cellStyle name="20% - Accent6 6 11 2 2" xfId="29380"/>
    <cellStyle name="20% - Accent6 6 11 3" xfId="19866"/>
    <cellStyle name="20% - Accent6 6 12" xfId="9182"/>
    <cellStyle name="20% - Accent6 6 12 2" xfId="23657"/>
    <cellStyle name="20% - Accent6 6 13" xfId="19864"/>
    <cellStyle name="20% - Accent6 6 2" xfId="2543"/>
    <cellStyle name="20% - Accent6 6 2 10" xfId="2544"/>
    <cellStyle name="20% - Accent6 6 2 10 2" xfId="16116"/>
    <cellStyle name="20% - Accent6 6 2 10 2 2" xfId="29523"/>
    <cellStyle name="20% - Accent6 6 2 10 3" xfId="19868"/>
    <cellStyle name="20% - Accent6 6 2 11" xfId="9183"/>
    <cellStyle name="20% - Accent6 6 2 11 2" xfId="23658"/>
    <cellStyle name="20% - Accent6 6 2 12" xfId="19867"/>
    <cellStyle name="20% - Accent6 6 2 2" xfId="2545"/>
    <cellStyle name="20% - Accent6 6 2 2 10" xfId="9184"/>
    <cellStyle name="20% - Accent6 6 2 2 10 2" xfId="23659"/>
    <cellStyle name="20% - Accent6 6 2 2 11" xfId="19869"/>
    <cellStyle name="20% - Accent6 6 2 2 2" xfId="2546"/>
    <cellStyle name="20% - Accent6 6 2 2 2 2" xfId="2547"/>
    <cellStyle name="20% - Accent6 6 2 2 2 2 2" xfId="10911"/>
    <cellStyle name="20% - Accent6 6 2 2 2 2 2 2" xfId="24853"/>
    <cellStyle name="20% - Accent6 6 2 2 2 2 3" xfId="19871"/>
    <cellStyle name="20% - Accent6 6 2 2 2 3" xfId="2548"/>
    <cellStyle name="20% - Accent6 6 2 2 2 3 2" xfId="12793"/>
    <cellStyle name="20% - Accent6 6 2 2 2 3 2 2" xfId="26505"/>
    <cellStyle name="20% - Accent6 6 2 2 2 3 3" xfId="19872"/>
    <cellStyle name="20% - Accent6 6 2 2 2 4" xfId="2549"/>
    <cellStyle name="20% - Accent6 6 2 2 2 4 2" xfId="15041"/>
    <cellStyle name="20% - Accent6 6 2 2 2 4 2 2" xfId="28590"/>
    <cellStyle name="20% - Accent6 6 2 2 2 4 3" xfId="19873"/>
    <cellStyle name="20% - Accent6 6 2 2 2 5" xfId="2550"/>
    <cellStyle name="20% - Accent6 6 2 2 2 5 2" xfId="16986"/>
    <cellStyle name="20% - Accent6 6 2 2 2 5 2 2" xfId="30393"/>
    <cellStyle name="20% - Accent6 6 2 2 2 5 3" xfId="19874"/>
    <cellStyle name="20% - Accent6 6 2 2 2 6" xfId="9185"/>
    <cellStyle name="20% - Accent6 6 2 2 2 6 2" xfId="23660"/>
    <cellStyle name="20% - Accent6 6 2 2 2 7" xfId="19870"/>
    <cellStyle name="20% - Accent6 6 2 2 3" xfId="2551"/>
    <cellStyle name="20% - Accent6 6 2 2 3 2" xfId="2552"/>
    <cellStyle name="20% - Accent6 6 2 2 3 2 2" xfId="15042"/>
    <cellStyle name="20% - Accent6 6 2 2 3 2 2 2" xfId="28591"/>
    <cellStyle name="20% - Accent6 6 2 2 3 2 3" xfId="19876"/>
    <cellStyle name="20% - Accent6 6 2 2 3 3" xfId="10910"/>
    <cellStyle name="20% - Accent6 6 2 2 3 3 2" xfId="24852"/>
    <cellStyle name="20% - Accent6 6 2 2 3 4" xfId="19875"/>
    <cellStyle name="20% - Accent6 6 2 2 4" xfId="2553"/>
    <cellStyle name="20% - Accent6 6 2 2 4 2" xfId="12374"/>
    <cellStyle name="20% - Accent6 6 2 2 4 2 2" xfId="26086"/>
    <cellStyle name="20% - Accent6 6 2 2 4 3" xfId="19877"/>
    <cellStyle name="20% - Accent6 6 2 2 5" xfId="2554"/>
    <cellStyle name="20% - Accent6 6 2 2 5 2" xfId="12701"/>
    <cellStyle name="20% - Accent6 6 2 2 5 2 2" xfId="26413"/>
    <cellStyle name="20% - Accent6 6 2 2 5 3" xfId="19878"/>
    <cellStyle name="20% - Accent6 6 2 2 6" xfId="2555"/>
    <cellStyle name="20% - Accent6 6 2 2 6 2" xfId="13938"/>
    <cellStyle name="20% - Accent6 6 2 2 6 2 2" xfId="27487"/>
    <cellStyle name="20% - Accent6 6 2 2 6 3" xfId="19879"/>
    <cellStyle name="20% - Accent6 6 2 2 7" xfId="2556"/>
    <cellStyle name="20% - Accent6 6 2 2 7 2" xfId="14519"/>
    <cellStyle name="20% - Accent6 6 2 2 7 2 2" xfId="28068"/>
    <cellStyle name="20% - Accent6 6 2 2 7 3" xfId="19880"/>
    <cellStyle name="20% - Accent6 6 2 2 8" xfId="2557"/>
    <cellStyle name="20% - Accent6 6 2 2 8 2" xfId="15040"/>
    <cellStyle name="20% - Accent6 6 2 2 8 2 2" xfId="28589"/>
    <cellStyle name="20% - Accent6 6 2 2 8 3" xfId="19881"/>
    <cellStyle name="20% - Accent6 6 2 2 9" xfId="2558"/>
    <cellStyle name="20% - Accent6 6 2 2 9 2" xfId="16405"/>
    <cellStyle name="20% - Accent6 6 2 2 9 2 2" xfId="29812"/>
    <cellStyle name="20% - Accent6 6 2 2 9 3" xfId="19882"/>
    <cellStyle name="20% - Accent6 6 2 3" xfId="2559"/>
    <cellStyle name="20% - Accent6 6 2 3 2" xfId="2560"/>
    <cellStyle name="20% - Accent6 6 2 3 2 2" xfId="10912"/>
    <cellStyle name="20% - Accent6 6 2 3 2 2 2" xfId="24854"/>
    <cellStyle name="20% - Accent6 6 2 3 2 3" xfId="19884"/>
    <cellStyle name="20% - Accent6 6 2 3 3" xfId="2561"/>
    <cellStyle name="20% - Accent6 6 2 3 3 2" xfId="12708"/>
    <cellStyle name="20% - Accent6 6 2 3 3 2 2" xfId="26420"/>
    <cellStyle name="20% - Accent6 6 2 3 3 3" xfId="19885"/>
    <cellStyle name="20% - Accent6 6 2 3 4" xfId="2562"/>
    <cellStyle name="20% - Accent6 6 2 3 4 2" xfId="15043"/>
    <cellStyle name="20% - Accent6 6 2 3 4 2 2" xfId="28592"/>
    <cellStyle name="20% - Accent6 6 2 3 4 3" xfId="19886"/>
    <cellStyle name="20% - Accent6 6 2 3 5" xfId="2563"/>
    <cellStyle name="20% - Accent6 6 2 3 5 2" xfId="16697"/>
    <cellStyle name="20% - Accent6 6 2 3 5 2 2" xfId="30104"/>
    <cellStyle name="20% - Accent6 6 2 3 5 3" xfId="19887"/>
    <cellStyle name="20% - Accent6 6 2 3 6" xfId="9186"/>
    <cellStyle name="20% - Accent6 6 2 3 6 2" xfId="23661"/>
    <cellStyle name="20% - Accent6 6 2 3 7" xfId="19883"/>
    <cellStyle name="20% - Accent6 6 2 4" xfId="2564"/>
    <cellStyle name="20% - Accent6 6 2 4 2" xfId="2565"/>
    <cellStyle name="20% - Accent6 6 2 4 2 2" xfId="15044"/>
    <cellStyle name="20% - Accent6 6 2 4 2 2 2" xfId="28593"/>
    <cellStyle name="20% - Accent6 6 2 4 2 3" xfId="19889"/>
    <cellStyle name="20% - Accent6 6 2 4 3" xfId="10909"/>
    <cellStyle name="20% - Accent6 6 2 4 3 2" xfId="24851"/>
    <cellStyle name="20% - Accent6 6 2 4 4" xfId="19888"/>
    <cellStyle name="20% - Accent6 6 2 5" xfId="2566"/>
    <cellStyle name="20% - Accent6 6 2 5 2" xfId="12074"/>
    <cellStyle name="20% - Accent6 6 2 5 2 2" xfId="25789"/>
    <cellStyle name="20% - Accent6 6 2 5 3" xfId="19890"/>
    <cellStyle name="20% - Accent6 6 2 6" xfId="2567"/>
    <cellStyle name="20% - Accent6 6 2 6 2" xfId="12661"/>
    <cellStyle name="20% - Accent6 6 2 6 2 2" xfId="26373"/>
    <cellStyle name="20% - Accent6 6 2 6 3" xfId="19891"/>
    <cellStyle name="20% - Accent6 6 2 7" xfId="2568"/>
    <cellStyle name="20% - Accent6 6 2 7 2" xfId="13649"/>
    <cellStyle name="20% - Accent6 6 2 7 2 2" xfId="27198"/>
    <cellStyle name="20% - Accent6 6 2 7 3" xfId="19892"/>
    <cellStyle name="20% - Accent6 6 2 8" xfId="2569"/>
    <cellStyle name="20% - Accent6 6 2 8 2" xfId="14230"/>
    <cellStyle name="20% - Accent6 6 2 8 2 2" xfId="27779"/>
    <cellStyle name="20% - Accent6 6 2 8 3" xfId="19893"/>
    <cellStyle name="20% - Accent6 6 2 9" xfId="2570"/>
    <cellStyle name="20% - Accent6 6 2 9 2" xfId="15039"/>
    <cellStyle name="20% - Accent6 6 2 9 2 2" xfId="28588"/>
    <cellStyle name="20% - Accent6 6 2 9 3" xfId="19894"/>
    <cellStyle name="20% - Accent6 6 3" xfId="2571"/>
    <cellStyle name="20% - Accent6 6 3 10" xfId="9187"/>
    <cellStyle name="20% - Accent6 6 3 10 2" xfId="23662"/>
    <cellStyle name="20% - Accent6 6 3 11" xfId="19895"/>
    <cellStyle name="20% - Accent6 6 3 2" xfId="2572"/>
    <cellStyle name="20% - Accent6 6 3 2 2" xfId="2573"/>
    <cellStyle name="20% - Accent6 6 3 2 2 2" xfId="10914"/>
    <cellStyle name="20% - Accent6 6 3 2 2 2 2" xfId="24856"/>
    <cellStyle name="20% - Accent6 6 3 2 2 3" xfId="19897"/>
    <cellStyle name="20% - Accent6 6 3 2 3" xfId="2574"/>
    <cellStyle name="20% - Accent6 6 3 2 3 2" xfId="12667"/>
    <cellStyle name="20% - Accent6 6 3 2 3 2 2" xfId="26379"/>
    <cellStyle name="20% - Accent6 6 3 2 3 3" xfId="19898"/>
    <cellStyle name="20% - Accent6 6 3 2 4" xfId="2575"/>
    <cellStyle name="20% - Accent6 6 3 2 4 2" xfId="15046"/>
    <cellStyle name="20% - Accent6 6 3 2 4 2 2" xfId="28595"/>
    <cellStyle name="20% - Accent6 6 3 2 4 3" xfId="19899"/>
    <cellStyle name="20% - Accent6 6 3 2 5" xfId="2576"/>
    <cellStyle name="20% - Accent6 6 3 2 5 2" xfId="16843"/>
    <cellStyle name="20% - Accent6 6 3 2 5 2 2" xfId="30250"/>
    <cellStyle name="20% - Accent6 6 3 2 5 3" xfId="19900"/>
    <cellStyle name="20% - Accent6 6 3 2 6" xfId="9188"/>
    <cellStyle name="20% - Accent6 6 3 2 6 2" xfId="23663"/>
    <cellStyle name="20% - Accent6 6 3 2 7" xfId="19896"/>
    <cellStyle name="20% - Accent6 6 3 3" xfId="2577"/>
    <cellStyle name="20% - Accent6 6 3 3 2" xfId="2578"/>
    <cellStyle name="20% - Accent6 6 3 3 2 2" xfId="15047"/>
    <cellStyle name="20% - Accent6 6 3 3 2 2 2" xfId="28596"/>
    <cellStyle name="20% - Accent6 6 3 3 2 3" xfId="19902"/>
    <cellStyle name="20% - Accent6 6 3 3 3" xfId="10913"/>
    <cellStyle name="20% - Accent6 6 3 3 3 2" xfId="24855"/>
    <cellStyle name="20% - Accent6 6 3 3 4" xfId="19901"/>
    <cellStyle name="20% - Accent6 6 3 4" xfId="2579"/>
    <cellStyle name="20% - Accent6 6 3 4 2" xfId="12231"/>
    <cellStyle name="20% - Accent6 6 3 4 2 2" xfId="25943"/>
    <cellStyle name="20% - Accent6 6 3 4 3" xfId="19903"/>
    <cellStyle name="20% - Accent6 6 3 5" xfId="2580"/>
    <cellStyle name="20% - Accent6 6 3 5 2" xfId="12631"/>
    <cellStyle name="20% - Accent6 6 3 5 2 2" xfId="26343"/>
    <cellStyle name="20% - Accent6 6 3 5 3" xfId="19904"/>
    <cellStyle name="20% - Accent6 6 3 6" xfId="2581"/>
    <cellStyle name="20% - Accent6 6 3 6 2" xfId="13795"/>
    <cellStyle name="20% - Accent6 6 3 6 2 2" xfId="27344"/>
    <cellStyle name="20% - Accent6 6 3 6 3" xfId="19905"/>
    <cellStyle name="20% - Accent6 6 3 7" xfId="2582"/>
    <cellStyle name="20% - Accent6 6 3 7 2" xfId="14376"/>
    <cellStyle name="20% - Accent6 6 3 7 2 2" xfId="27925"/>
    <cellStyle name="20% - Accent6 6 3 7 3" xfId="19906"/>
    <cellStyle name="20% - Accent6 6 3 8" xfId="2583"/>
    <cellStyle name="20% - Accent6 6 3 8 2" xfId="15045"/>
    <cellStyle name="20% - Accent6 6 3 8 2 2" xfId="28594"/>
    <cellStyle name="20% - Accent6 6 3 8 3" xfId="19907"/>
    <cellStyle name="20% - Accent6 6 3 9" xfId="2584"/>
    <cellStyle name="20% - Accent6 6 3 9 2" xfId="16262"/>
    <cellStyle name="20% - Accent6 6 3 9 2 2" xfId="29669"/>
    <cellStyle name="20% - Accent6 6 3 9 3" xfId="19908"/>
    <cellStyle name="20% - Accent6 6 4" xfId="2585"/>
    <cellStyle name="20% - Accent6 6 4 2" xfId="2586"/>
    <cellStyle name="20% - Accent6 6 4 2 2" xfId="10915"/>
    <cellStyle name="20% - Accent6 6 4 2 2 2" xfId="24857"/>
    <cellStyle name="20% - Accent6 6 4 2 3" xfId="19910"/>
    <cellStyle name="20% - Accent6 6 4 3" xfId="2587"/>
    <cellStyle name="20% - Accent6 6 4 3 2" xfId="12707"/>
    <cellStyle name="20% - Accent6 6 4 3 2 2" xfId="26419"/>
    <cellStyle name="20% - Accent6 6 4 3 3" xfId="19911"/>
    <cellStyle name="20% - Accent6 6 4 4" xfId="2588"/>
    <cellStyle name="20% - Accent6 6 4 4 2" xfId="15048"/>
    <cellStyle name="20% - Accent6 6 4 4 2 2" xfId="28597"/>
    <cellStyle name="20% - Accent6 6 4 4 3" xfId="19912"/>
    <cellStyle name="20% - Accent6 6 4 5" xfId="2589"/>
    <cellStyle name="20% - Accent6 6 4 5 2" xfId="16554"/>
    <cellStyle name="20% - Accent6 6 4 5 2 2" xfId="29961"/>
    <cellStyle name="20% - Accent6 6 4 5 3" xfId="19913"/>
    <cellStyle name="20% - Accent6 6 4 6" xfId="9189"/>
    <cellStyle name="20% - Accent6 6 4 6 2" xfId="23664"/>
    <cellStyle name="20% - Accent6 6 4 7" xfId="19909"/>
    <cellStyle name="20% - Accent6 6 5" xfId="2590"/>
    <cellStyle name="20% - Accent6 6 5 2" xfId="2591"/>
    <cellStyle name="20% - Accent6 6 5 2 2" xfId="15049"/>
    <cellStyle name="20% - Accent6 6 5 2 2 2" xfId="28598"/>
    <cellStyle name="20% - Accent6 6 5 2 3" xfId="19915"/>
    <cellStyle name="20% - Accent6 6 5 3" xfId="10908"/>
    <cellStyle name="20% - Accent6 6 5 3 2" xfId="24850"/>
    <cellStyle name="20% - Accent6 6 5 4" xfId="19914"/>
    <cellStyle name="20% - Accent6 6 6" xfId="2592"/>
    <cellStyle name="20% - Accent6 6 6 2" xfId="11929"/>
    <cellStyle name="20% - Accent6 6 6 2 2" xfId="25644"/>
    <cellStyle name="20% - Accent6 6 6 3" xfId="19916"/>
    <cellStyle name="20% - Accent6 6 7" xfId="2593"/>
    <cellStyle name="20% - Accent6 6 7 2" xfId="12568"/>
    <cellStyle name="20% - Accent6 6 7 2 2" xfId="26280"/>
    <cellStyle name="20% - Accent6 6 7 3" xfId="19917"/>
    <cellStyle name="20% - Accent6 6 8" xfId="2594"/>
    <cellStyle name="20% - Accent6 6 8 2" xfId="13506"/>
    <cellStyle name="20% - Accent6 6 8 2 2" xfId="27055"/>
    <cellStyle name="20% - Accent6 6 8 3" xfId="19918"/>
    <cellStyle name="20% - Accent6 6 9" xfId="2595"/>
    <cellStyle name="20% - Accent6 6 9 2" xfId="14087"/>
    <cellStyle name="20% - Accent6 6 9 2 2" xfId="27636"/>
    <cellStyle name="20% - Accent6 6 9 3" xfId="19919"/>
    <cellStyle name="20% - Accent6 7" xfId="2596"/>
    <cellStyle name="20% - Accent6 7 10" xfId="2597"/>
    <cellStyle name="20% - Accent6 7 10 2" xfId="15998"/>
    <cellStyle name="20% - Accent6 7 10 2 2" xfId="29405"/>
    <cellStyle name="20% - Accent6 7 10 3" xfId="19921"/>
    <cellStyle name="20% - Accent6 7 11" xfId="9190"/>
    <cellStyle name="20% - Accent6 7 11 2" xfId="23665"/>
    <cellStyle name="20% - Accent6 7 12" xfId="19920"/>
    <cellStyle name="20% - Accent6 7 2" xfId="2598"/>
    <cellStyle name="20% - Accent6 7 2 10" xfId="9191"/>
    <cellStyle name="20% - Accent6 7 2 10 2" xfId="23666"/>
    <cellStyle name="20% - Accent6 7 2 11" xfId="19922"/>
    <cellStyle name="20% - Accent6 7 2 2" xfId="2599"/>
    <cellStyle name="20% - Accent6 7 2 2 2" xfId="2600"/>
    <cellStyle name="20% - Accent6 7 2 2 2 2" xfId="10918"/>
    <cellStyle name="20% - Accent6 7 2 2 2 2 2" xfId="24860"/>
    <cellStyle name="20% - Accent6 7 2 2 2 3" xfId="19924"/>
    <cellStyle name="20% - Accent6 7 2 2 3" xfId="2601"/>
    <cellStyle name="20% - Accent6 7 2 2 3 2" xfId="11854"/>
    <cellStyle name="20% - Accent6 7 2 2 3 2 2" xfId="25569"/>
    <cellStyle name="20% - Accent6 7 2 2 3 3" xfId="19925"/>
    <cellStyle name="20% - Accent6 7 2 2 4" xfId="2602"/>
    <cellStyle name="20% - Accent6 7 2 2 4 2" xfId="15052"/>
    <cellStyle name="20% - Accent6 7 2 2 4 2 2" xfId="28601"/>
    <cellStyle name="20% - Accent6 7 2 2 4 3" xfId="19926"/>
    <cellStyle name="20% - Accent6 7 2 2 5" xfId="2603"/>
    <cellStyle name="20% - Accent6 7 2 2 5 2" xfId="16868"/>
    <cellStyle name="20% - Accent6 7 2 2 5 2 2" xfId="30275"/>
    <cellStyle name="20% - Accent6 7 2 2 5 3" xfId="19927"/>
    <cellStyle name="20% - Accent6 7 2 2 6" xfId="9192"/>
    <cellStyle name="20% - Accent6 7 2 2 6 2" xfId="23667"/>
    <cellStyle name="20% - Accent6 7 2 2 7" xfId="19923"/>
    <cellStyle name="20% - Accent6 7 2 3" xfId="2604"/>
    <cellStyle name="20% - Accent6 7 2 3 2" xfId="2605"/>
    <cellStyle name="20% - Accent6 7 2 3 2 2" xfId="15053"/>
    <cellStyle name="20% - Accent6 7 2 3 2 2 2" xfId="28602"/>
    <cellStyle name="20% - Accent6 7 2 3 2 3" xfId="19929"/>
    <cellStyle name="20% - Accent6 7 2 3 3" xfId="10917"/>
    <cellStyle name="20% - Accent6 7 2 3 3 2" xfId="24859"/>
    <cellStyle name="20% - Accent6 7 2 3 4" xfId="19928"/>
    <cellStyle name="20% - Accent6 7 2 4" xfId="2606"/>
    <cellStyle name="20% - Accent6 7 2 4 2" xfId="12256"/>
    <cellStyle name="20% - Accent6 7 2 4 2 2" xfId="25968"/>
    <cellStyle name="20% - Accent6 7 2 4 3" xfId="19930"/>
    <cellStyle name="20% - Accent6 7 2 5" xfId="2607"/>
    <cellStyle name="20% - Accent6 7 2 5 2" xfId="12759"/>
    <cellStyle name="20% - Accent6 7 2 5 2 2" xfId="26471"/>
    <cellStyle name="20% - Accent6 7 2 5 3" xfId="19931"/>
    <cellStyle name="20% - Accent6 7 2 6" xfId="2608"/>
    <cellStyle name="20% - Accent6 7 2 6 2" xfId="13820"/>
    <cellStyle name="20% - Accent6 7 2 6 2 2" xfId="27369"/>
    <cellStyle name="20% - Accent6 7 2 6 3" xfId="19932"/>
    <cellStyle name="20% - Accent6 7 2 7" xfId="2609"/>
    <cellStyle name="20% - Accent6 7 2 7 2" xfId="14401"/>
    <cellStyle name="20% - Accent6 7 2 7 2 2" xfId="27950"/>
    <cellStyle name="20% - Accent6 7 2 7 3" xfId="19933"/>
    <cellStyle name="20% - Accent6 7 2 8" xfId="2610"/>
    <cellStyle name="20% - Accent6 7 2 8 2" xfId="15051"/>
    <cellStyle name="20% - Accent6 7 2 8 2 2" xfId="28600"/>
    <cellStyle name="20% - Accent6 7 2 8 3" xfId="19934"/>
    <cellStyle name="20% - Accent6 7 2 9" xfId="2611"/>
    <cellStyle name="20% - Accent6 7 2 9 2" xfId="16287"/>
    <cellStyle name="20% - Accent6 7 2 9 2 2" xfId="29694"/>
    <cellStyle name="20% - Accent6 7 2 9 3" xfId="19935"/>
    <cellStyle name="20% - Accent6 7 3" xfId="2612"/>
    <cellStyle name="20% - Accent6 7 3 2" xfId="2613"/>
    <cellStyle name="20% - Accent6 7 3 2 2" xfId="10919"/>
    <cellStyle name="20% - Accent6 7 3 2 2 2" xfId="24861"/>
    <cellStyle name="20% - Accent6 7 3 2 3" xfId="19937"/>
    <cellStyle name="20% - Accent6 7 3 3" xfId="2614"/>
    <cellStyle name="20% - Accent6 7 3 3 2" xfId="12719"/>
    <cellStyle name="20% - Accent6 7 3 3 2 2" xfId="26431"/>
    <cellStyle name="20% - Accent6 7 3 3 3" xfId="19938"/>
    <cellStyle name="20% - Accent6 7 3 4" xfId="2615"/>
    <cellStyle name="20% - Accent6 7 3 4 2" xfId="15054"/>
    <cellStyle name="20% - Accent6 7 3 4 2 2" xfId="28603"/>
    <cellStyle name="20% - Accent6 7 3 4 3" xfId="19939"/>
    <cellStyle name="20% - Accent6 7 3 5" xfId="2616"/>
    <cellStyle name="20% - Accent6 7 3 5 2" xfId="16579"/>
    <cellStyle name="20% - Accent6 7 3 5 2 2" xfId="29986"/>
    <cellStyle name="20% - Accent6 7 3 5 3" xfId="19940"/>
    <cellStyle name="20% - Accent6 7 3 6" xfId="9193"/>
    <cellStyle name="20% - Accent6 7 3 6 2" xfId="23668"/>
    <cellStyle name="20% - Accent6 7 3 7" xfId="19936"/>
    <cellStyle name="20% - Accent6 7 4" xfId="2617"/>
    <cellStyle name="20% - Accent6 7 4 2" xfId="2618"/>
    <cellStyle name="20% - Accent6 7 4 2 2" xfId="15055"/>
    <cellStyle name="20% - Accent6 7 4 2 2 2" xfId="28604"/>
    <cellStyle name="20% - Accent6 7 4 2 3" xfId="19942"/>
    <cellStyle name="20% - Accent6 7 4 3" xfId="10916"/>
    <cellStyle name="20% - Accent6 7 4 3 2" xfId="24858"/>
    <cellStyle name="20% - Accent6 7 4 4" xfId="19941"/>
    <cellStyle name="20% - Accent6 7 5" xfId="2619"/>
    <cellStyle name="20% - Accent6 7 5 2" xfId="11954"/>
    <cellStyle name="20% - Accent6 7 5 2 2" xfId="25669"/>
    <cellStyle name="20% - Accent6 7 5 3" xfId="19943"/>
    <cellStyle name="20% - Accent6 7 6" xfId="2620"/>
    <cellStyle name="20% - Accent6 7 6 2" xfId="12554"/>
    <cellStyle name="20% - Accent6 7 6 2 2" xfId="26266"/>
    <cellStyle name="20% - Accent6 7 6 3" xfId="19944"/>
    <cellStyle name="20% - Accent6 7 7" xfId="2621"/>
    <cellStyle name="20% - Accent6 7 7 2" xfId="13531"/>
    <cellStyle name="20% - Accent6 7 7 2 2" xfId="27080"/>
    <cellStyle name="20% - Accent6 7 7 3" xfId="19945"/>
    <cellStyle name="20% - Accent6 7 8" xfId="2622"/>
    <cellStyle name="20% - Accent6 7 8 2" xfId="14112"/>
    <cellStyle name="20% - Accent6 7 8 2 2" xfId="27661"/>
    <cellStyle name="20% - Accent6 7 8 3" xfId="19946"/>
    <cellStyle name="20% - Accent6 7 9" xfId="2623"/>
    <cellStyle name="20% - Accent6 7 9 2" xfId="15050"/>
    <cellStyle name="20% - Accent6 7 9 2 2" xfId="28599"/>
    <cellStyle name="20% - Accent6 7 9 3" xfId="19947"/>
    <cellStyle name="20% - Accent6 8" xfId="2624"/>
    <cellStyle name="20% - Accent6 8 10" xfId="9194"/>
    <cellStyle name="20% - Accent6 8 10 2" xfId="23669"/>
    <cellStyle name="20% - Accent6 8 11" xfId="19948"/>
    <cellStyle name="20% - Accent6 8 2" xfId="2625"/>
    <cellStyle name="20% - Accent6 8 2 2" xfId="2626"/>
    <cellStyle name="20% - Accent6 8 2 2 2" xfId="10921"/>
    <cellStyle name="20% - Accent6 8 2 2 2 2" xfId="24863"/>
    <cellStyle name="20% - Accent6 8 2 2 3" xfId="19950"/>
    <cellStyle name="20% - Accent6 8 2 3" xfId="2627"/>
    <cellStyle name="20% - Accent6 8 2 3 2" xfId="11874"/>
    <cellStyle name="20% - Accent6 8 2 3 2 2" xfId="25589"/>
    <cellStyle name="20% - Accent6 8 2 3 3" xfId="19951"/>
    <cellStyle name="20% - Accent6 8 2 4" xfId="2628"/>
    <cellStyle name="20% - Accent6 8 2 4 2" xfId="15057"/>
    <cellStyle name="20% - Accent6 8 2 4 2 2" xfId="28606"/>
    <cellStyle name="20% - Accent6 8 2 4 3" xfId="19952"/>
    <cellStyle name="20% - Accent6 8 2 5" xfId="2629"/>
    <cellStyle name="20% - Accent6 8 2 5 2" xfId="16717"/>
    <cellStyle name="20% - Accent6 8 2 5 2 2" xfId="30124"/>
    <cellStyle name="20% - Accent6 8 2 5 3" xfId="19953"/>
    <cellStyle name="20% - Accent6 8 2 6" xfId="9195"/>
    <cellStyle name="20% - Accent6 8 2 6 2" xfId="23670"/>
    <cellStyle name="20% - Accent6 8 2 7" xfId="19949"/>
    <cellStyle name="20% - Accent6 8 3" xfId="2630"/>
    <cellStyle name="20% - Accent6 8 3 2" xfId="2631"/>
    <cellStyle name="20% - Accent6 8 3 2 2" xfId="15058"/>
    <cellStyle name="20% - Accent6 8 3 2 2 2" xfId="28607"/>
    <cellStyle name="20% - Accent6 8 3 2 3" xfId="19955"/>
    <cellStyle name="20% - Accent6 8 3 3" xfId="10920"/>
    <cellStyle name="20% - Accent6 8 3 3 2" xfId="24862"/>
    <cellStyle name="20% - Accent6 8 3 4" xfId="19954"/>
    <cellStyle name="20% - Accent6 8 4" xfId="2632"/>
    <cellStyle name="20% - Accent6 8 4 2" xfId="12095"/>
    <cellStyle name="20% - Accent6 8 4 2 2" xfId="25809"/>
    <cellStyle name="20% - Accent6 8 4 3" xfId="19956"/>
    <cellStyle name="20% - Accent6 8 5" xfId="2633"/>
    <cellStyle name="20% - Accent6 8 5 2" xfId="12705"/>
    <cellStyle name="20% - Accent6 8 5 2 2" xfId="26417"/>
    <cellStyle name="20% - Accent6 8 5 3" xfId="19957"/>
    <cellStyle name="20% - Accent6 8 6" xfId="2634"/>
    <cellStyle name="20% - Accent6 8 6 2" xfId="13669"/>
    <cellStyle name="20% - Accent6 8 6 2 2" xfId="27218"/>
    <cellStyle name="20% - Accent6 8 6 3" xfId="19958"/>
    <cellStyle name="20% - Accent6 8 7" xfId="2635"/>
    <cellStyle name="20% - Accent6 8 7 2" xfId="14250"/>
    <cellStyle name="20% - Accent6 8 7 2 2" xfId="27799"/>
    <cellStyle name="20% - Accent6 8 7 3" xfId="19959"/>
    <cellStyle name="20% - Accent6 8 8" xfId="2636"/>
    <cellStyle name="20% - Accent6 8 8 2" xfId="15056"/>
    <cellStyle name="20% - Accent6 8 8 2 2" xfId="28605"/>
    <cellStyle name="20% - Accent6 8 8 3" xfId="19960"/>
    <cellStyle name="20% - Accent6 8 9" xfId="2637"/>
    <cellStyle name="20% - Accent6 8 9 2" xfId="16136"/>
    <cellStyle name="20% - Accent6 8 9 2 2" xfId="29543"/>
    <cellStyle name="20% - Accent6 8 9 3" xfId="19961"/>
    <cellStyle name="20% - Accent6 9" xfId="2638"/>
    <cellStyle name="20% - Accent6 9 2" xfId="2639"/>
    <cellStyle name="20% - Accent6 9 2 2" xfId="10922"/>
    <cellStyle name="20% - Accent6 9 2 2 2" xfId="24864"/>
    <cellStyle name="20% - Accent6 9 2 3" xfId="19963"/>
    <cellStyle name="20% - Accent6 9 3" xfId="2640"/>
    <cellStyle name="20% - Accent6 9 3 2" xfId="12578"/>
    <cellStyle name="20% - Accent6 9 3 2 2" xfId="26290"/>
    <cellStyle name="20% - Accent6 9 3 3" xfId="19964"/>
    <cellStyle name="20% - Accent6 9 4" xfId="2641"/>
    <cellStyle name="20% - Accent6 9 4 2" xfId="15059"/>
    <cellStyle name="20% - Accent6 9 4 2 2" xfId="28608"/>
    <cellStyle name="20% - Accent6 9 4 3" xfId="19965"/>
    <cellStyle name="20% - Accent6 9 5" xfId="2642"/>
    <cellStyle name="20% - Accent6 9 5 2" xfId="17101"/>
    <cellStyle name="20% - Accent6 9 5 2 2" xfId="30460"/>
    <cellStyle name="20% - Accent6 9 5 3" xfId="19966"/>
    <cellStyle name="20% - Accent6 9 6" xfId="9196"/>
    <cellStyle name="20% - Accent6 9 6 2" xfId="23671"/>
    <cellStyle name="20% - Accent6 9 7" xfId="19962"/>
    <cellStyle name="40% - Accent1" xfId="29" builtinId="31" customBuiltin="1"/>
    <cellStyle name="40% - Accent1 10" xfId="2643"/>
    <cellStyle name="40% - Accent1 10 2" xfId="2644"/>
    <cellStyle name="40% - Accent1 10 2 2" xfId="2645"/>
    <cellStyle name="40% - Accent1 10 2 2 2" xfId="11856"/>
    <cellStyle name="40% - Accent1 10 2 2 2 2" xfId="25571"/>
    <cellStyle name="40% - Accent1 10 2 2 3" xfId="19969"/>
    <cellStyle name="40% - Accent1 10 2 3" xfId="2646"/>
    <cellStyle name="40% - Accent1 10 2 3 2" xfId="15062"/>
    <cellStyle name="40% - Accent1 10 2 3 2 2" xfId="28611"/>
    <cellStyle name="40% - Accent1 10 2 3 3" xfId="19970"/>
    <cellStyle name="40% - Accent1 10 2 4" xfId="10924"/>
    <cellStyle name="40% - Accent1 10 2 4 2" xfId="24866"/>
    <cellStyle name="40% - Accent1 10 2 5" xfId="19968"/>
    <cellStyle name="40% - Accent1 10 3" xfId="2647"/>
    <cellStyle name="40% - Accent1 10 3 2" xfId="12657"/>
    <cellStyle name="40% - Accent1 10 3 2 2" xfId="26369"/>
    <cellStyle name="40% - Accent1 10 3 3" xfId="19971"/>
    <cellStyle name="40% - Accent1 10 4" xfId="2648"/>
    <cellStyle name="40% - Accent1 10 4 2" xfId="15061"/>
    <cellStyle name="40% - Accent1 10 4 2 2" xfId="28610"/>
    <cellStyle name="40% - Accent1 10 4 3" xfId="19972"/>
    <cellStyle name="40% - Accent1 10 5" xfId="2649"/>
    <cellStyle name="40% - Accent1 10 5 2" xfId="17191"/>
    <cellStyle name="40% - Accent1 10 5 2 2" xfId="30550"/>
    <cellStyle name="40% - Accent1 10 5 3" xfId="19973"/>
    <cellStyle name="40% - Accent1 10 6" xfId="9198"/>
    <cellStyle name="40% - Accent1 10 6 2" xfId="23673"/>
    <cellStyle name="40% - Accent1 10 7" xfId="19967"/>
    <cellStyle name="40% - Accent1 11" xfId="2650"/>
    <cellStyle name="40% - Accent1 11 2" xfId="2651"/>
    <cellStyle name="40% - Accent1 11 2 2" xfId="10925"/>
    <cellStyle name="40% - Accent1 11 2 2 2" xfId="24867"/>
    <cellStyle name="40% - Accent1 11 2 3" xfId="19975"/>
    <cellStyle name="40% - Accent1 11 3" xfId="2652"/>
    <cellStyle name="40% - Accent1 11 3 2" xfId="12396"/>
    <cellStyle name="40% - Accent1 11 3 2 2" xfId="26108"/>
    <cellStyle name="40% - Accent1 11 3 3" xfId="19976"/>
    <cellStyle name="40% - Accent1 11 4" xfId="2653"/>
    <cellStyle name="40% - Accent1 11 4 2" xfId="15063"/>
    <cellStyle name="40% - Accent1 11 4 2 2" xfId="28612"/>
    <cellStyle name="40% - Accent1 11 4 3" xfId="19977"/>
    <cellStyle name="40% - Accent1 11 5" xfId="2654"/>
    <cellStyle name="40% - Accent1 11 5 2" xfId="17280"/>
    <cellStyle name="40% - Accent1 11 5 2 2" xfId="30639"/>
    <cellStyle name="40% - Accent1 11 5 3" xfId="19978"/>
    <cellStyle name="40% - Accent1 11 6" xfId="9199"/>
    <cellStyle name="40% - Accent1 11 6 2" xfId="23674"/>
    <cellStyle name="40% - Accent1 11 7" xfId="19974"/>
    <cellStyle name="40% - Accent1 12" xfId="2655"/>
    <cellStyle name="40% - Accent1 12 2" xfId="2656"/>
    <cellStyle name="40% - Accent1 12 2 2" xfId="2657"/>
    <cellStyle name="40% - Accent1 12 2 2 2" xfId="10927"/>
    <cellStyle name="40% - Accent1 12 2 2 2 2" xfId="24869"/>
    <cellStyle name="40% - Accent1 12 2 2 3" xfId="19981"/>
    <cellStyle name="40% - Accent1 12 2 3" xfId="2658"/>
    <cellStyle name="40% - Accent1 12 2 3 2" xfId="12775"/>
    <cellStyle name="40% - Accent1 12 2 3 2 2" xfId="26487"/>
    <cellStyle name="40% - Accent1 12 2 3 3" xfId="19982"/>
    <cellStyle name="40% - Accent1 12 2 4" xfId="2659"/>
    <cellStyle name="40% - Accent1 12 2 4 2" xfId="15065"/>
    <cellStyle name="40% - Accent1 12 2 4 2 2" xfId="28614"/>
    <cellStyle name="40% - Accent1 12 2 4 3" xfId="19983"/>
    <cellStyle name="40% - Accent1 12 2 5" xfId="9201"/>
    <cellStyle name="40% - Accent1 12 2 5 2" xfId="23676"/>
    <cellStyle name="40% - Accent1 12 2 6" xfId="19980"/>
    <cellStyle name="40% - Accent1 12 3" xfId="2660"/>
    <cellStyle name="40% - Accent1 12 3 2" xfId="10926"/>
    <cellStyle name="40% - Accent1 12 3 2 2" xfId="24868"/>
    <cellStyle name="40% - Accent1 12 3 3" xfId="19984"/>
    <cellStyle name="40% - Accent1 12 4" xfId="2661"/>
    <cellStyle name="40% - Accent1 12 4 2" xfId="11753"/>
    <cellStyle name="40% - Accent1 12 4 2 2" xfId="25468"/>
    <cellStyle name="40% - Accent1 12 4 3" xfId="19985"/>
    <cellStyle name="40% - Accent1 12 5" xfId="2662"/>
    <cellStyle name="40% - Accent1 12 5 2" xfId="15064"/>
    <cellStyle name="40% - Accent1 12 5 2 2" xfId="28613"/>
    <cellStyle name="40% - Accent1 12 5 3" xfId="19986"/>
    <cellStyle name="40% - Accent1 12 6" xfId="2663"/>
    <cellStyle name="40% - Accent1 12 6 2" xfId="16432"/>
    <cellStyle name="40% - Accent1 12 6 2 2" xfId="29839"/>
    <cellStyle name="40% - Accent1 12 6 3" xfId="19987"/>
    <cellStyle name="40% - Accent1 12 7" xfId="9200"/>
    <cellStyle name="40% - Accent1 12 7 2" xfId="23675"/>
    <cellStyle name="40% - Accent1 12 8" xfId="19979"/>
    <cellStyle name="40% - Accent1 13" xfId="2664"/>
    <cellStyle name="40% - Accent1 13 2" xfId="2665"/>
    <cellStyle name="40% - Accent1 13 2 2" xfId="10928"/>
    <cellStyle name="40% - Accent1 13 2 2 2" xfId="24870"/>
    <cellStyle name="40% - Accent1 13 2 3" xfId="19989"/>
    <cellStyle name="40% - Accent1 13 3" xfId="2666"/>
    <cellStyle name="40% - Accent1 13 3 2" xfId="11766"/>
    <cellStyle name="40% - Accent1 13 3 2 2" xfId="25481"/>
    <cellStyle name="40% - Accent1 13 3 3" xfId="19990"/>
    <cellStyle name="40% - Accent1 13 4" xfId="2667"/>
    <cellStyle name="40% - Accent1 13 4 2" xfId="15066"/>
    <cellStyle name="40% - Accent1 13 4 2 2" xfId="28615"/>
    <cellStyle name="40% - Accent1 13 4 3" xfId="19991"/>
    <cellStyle name="40% - Accent1 13 5" xfId="9202"/>
    <cellStyle name="40% - Accent1 13 5 2" xfId="23677"/>
    <cellStyle name="40% - Accent1 13 6" xfId="19988"/>
    <cellStyle name="40% - Accent1 14" xfId="2668"/>
    <cellStyle name="40% - Accent1 14 2" xfId="2669"/>
    <cellStyle name="40% - Accent1 14 2 2" xfId="10929"/>
    <cellStyle name="40% - Accent1 14 2 2 2" xfId="24871"/>
    <cellStyle name="40% - Accent1 14 2 3" xfId="19993"/>
    <cellStyle name="40% - Accent1 14 3" xfId="2670"/>
    <cellStyle name="40% - Accent1 14 3 2" xfId="12689"/>
    <cellStyle name="40% - Accent1 14 3 2 2" xfId="26401"/>
    <cellStyle name="40% - Accent1 14 3 3" xfId="19994"/>
    <cellStyle name="40% - Accent1 14 4" xfId="2671"/>
    <cellStyle name="40% - Accent1 14 4 2" xfId="15067"/>
    <cellStyle name="40% - Accent1 14 4 2 2" xfId="28616"/>
    <cellStyle name="40% - Accent1 14 4 3" xfId="19995"/>
    <cellStyle name="40% - Accent1 14 5" xfId="9203"/>
    <cellStyle name="40% - Accent1 14 5 2" xfId="23678"/>
    <cellStyle name="40% - Accent1 14 6" xfId="19992"/>
    <cellStyle name="40% - Accent1 15" xfId="2672"/>
    <cellStyle name="40% - Accent1 15 2" xfId="2673"/>
    <cellStyle name="40% - Accent1 15 2 2" xfId="10930"/>
    <cellStyle name="40% - Accent1 15 2 2 2" xfId="24872"/>
    <cellStyle name="40% - Accent1 15 2 3" xfId="19997"/>
    <cellStyle name="40% - Accent1 15 3" xfId="2674"/>
    <cellStyle name="40% - Accent1 15 3 2" xfId="12684"/>
    <cellStyle name="40% - Accent1 15 3 2 2" xfId="26396"/>
    <cellStyle name="40% - Accent1 15 3 3" xfId="19998"/>
    <cellStyle name="40% - Accent1 15 4" xfId="2675"/>
    <cellStyle name="40% - Accent1 15 4 2" xfId="15068"/>
    <cellStyle name="40% - Accent1 15 4 2 2" xfId="28617"/>
    <cellStyle name="40% - Accent1 15 4 3" xfId="19999"/>
    <cellStyle name="40% - Accent1 15 5" xfId="9204"/>
    <cellStyle name="40% - Accent1 15 5 2" xfId="23679"/>
    <cellStyle name="40% - Accent1 15 6" xfId="19996"/>
    <cellStyle name="40% - Accent1 16" xfId="2676"/>
    <cellStyle name="40% - Accent1 16 2" xfId="2677"/>
    <cellStyle name="40% - Accent1 16 2 2" xfId="10931"/>
    <cellStyle name="40% - Accent1 16 2 2 2" xfId="24873"/>
    <cellStyle name="40% - Accent1 16 2 3" xfId="20001"/>
    <cellStyle name="40% - Accent1 16 3" xfId="2678"/>
    <cellStyle name="40% - Accent1 16 3 2" xfId="12626"/>
    <cellStyle name="40% - Accent1 16 3 2 2" xfId="26338"/>
    <cellStyle name="40% - Accent1 16 3 3" xfId="20002"/>
    <cellStyle name="40% - Accent1 16 4" xfId="2679"/>
    <cellStyle name="40% - Accent1 16 4 2" xfId="15069"/>
    <cellStyle name="40% - Accent1 16 4 2 2" xfId="28618"/>
    <cellStyle name="40% - Accent1 16 4 3" xfId="20003"/>
    <cellStyle name="40% - Accent1 16 5" xfId="9205"/>
    <cellStyle name="40% - Accent1 16 5 2" xfId="23680"/>
    <cellStyle name="40% - Accent1 16 6" xfId="20000"/>
    <cellStyle name="40% - Accent1 17" xfId="2680"/>
    <cellStyle name="40% - Accent1 17 2" xfId="2681"/>
    <cellStyle name="40% - Accent1 17 2 2" xfId="10932"/>
    <cellStyle name="40% - Accent1 17 2 2 2" xfId="24874"/>
    <cellStyle name="40% - Accent1 17 2 3" xfId="20005"/>
    <cellStyle name="40% - Accent1 17 3" xfId="2682"/>
    <cellStyle name="40% - Accent1 17 3 2" xfId="11959"/>
    <cellStyle name="40% - Accent1 17 3 2 2" xfId="25674"/>
    <cellStyle name="40% - Accent1 17 3 3" xfId="20006"/>
    <cellStyle name="40% - Accent1 17 4" xfId="2683"/>
    <cellStyle name="40% - Accent1 17 4 2" xfId="15070"/>
    <cellStyle name="40% - Accent1 17 4 2 2" xfId="28619"/>
    <cellStyle name="40% - Accent1 17 4 3" xfId="20007"/>
    <cellStyle name="40% - Accent1 17 5" xfId="9206"/>
    <cellStyle name="40% - Accent1 17 5 2" xfId="23681"/>
    <cellStyle name="40% - Accent1 17 6" xfId="20004"/>
    <cellStyle name="40% - Accent1 18" xfId="2684"/>
    <cellStyle name="40% - Accent1 18 2" xfId="2685"/>
    <cellStyle name="40% - Accent1 18 2 2" xfId="10933"/>
    <cellStyle name="40% - Accent1 18 2 2 2" xfId="24875"/>
    <cellStyle name="40% - Accent1 18 2 3" xfId="20009"/>
    <cellStyle name="40% - Accent1 18 3" xfId="2686"/>
    <cellStyle name="40% - Accent1 18 3 2" xfId="12668"/>
    <cellStyle name="40% - Accent1 18 3 2 2" xfId="26380"/>
    <cellStyle name="40% - Accent1 18 3 3" xfId="20010"/>
    <cellStyle name="40% - Accent1 18 4" xfId="2687"/>
    <cellStyle name="40% - Accent1 18 4 2" xfId="15071"/>
    <cellStyle name="40% - Accent1 18 4 2 2" xfId="28620"/>
    <cellStyle name="40% - Accent1 18 4 3" xfId="20011"/>
    <cellStyle name="40% - Accent1 18 5" xfId="9207"/>
    <cellStyle name="40% - Accent1 18 5 2" xfId="23682"/>
    <cellStyle name="40% - Accent1 18 6" xfId="20008"/>
    <cellStyle name="40% - Accent1 19" xfId="2688"/>
    <cellStyle name="40% - Accent1 19 2" xfId="2689"/>
    <cellStyle name="40% - Accent1 19 2 2" xfId="11716"/>
    <cellStyle name="40% - Accent1 19 2 2 2" xfId="25436"/>
    <cellStyle name="40% - Accent1 19 2 3" xfId="20013"/>
    <cellStyle name="40% - Accent1 19 3" xfId="2690"/>
    <cellStyle name="40% - Accent1 19 3 2" xfId="12459"/>
    <cellStyle name="40% - Accent1 19 3 2 2" xfId="26171"/>
    <cellStyle name="40% - Accent1 19 3 3" xfId="20014"/>
    <cellStyle name="40% - Accent1 19 4" xfId="2691"/>
    <cellStyle name="40% - Accent1 19 4 2" xfId="15072"/>
    <cellStyle name="40% - Accent1 19 4 2 2" xfId="28621"/>
    <cellStyle name="40% - Accent1 19 4 3" xfId="20015"/>
    <cellStyle name="40% - Accent1 19 5" xfId="10468"/>
    <cellStyle name="40% - Accent1 19 5 2" xfId="24427"/>
    <cellStyle name="40% - Accent1 19 6" xfId="20012"/>
    <cellStyle name="40% - Accent1 2" xfId="2692"/>
    <cellStyle name="40% - Accent1 2 10" xfId="2693"/>
    <cellStyle name="40% - Accent1 2 10 2" xfId="2694"/>
    <cellStyle name="40% - Accent1 2 10 2 2" xfId="15074"/>
    <cellStyle name="40% - Accent1 2 10 2 2 2" xfId="28623"/>
    <cellStyle name="40% - Accent1 2 10 2 3" xfId="20018"/>
    <cellStyle name="40% - Accent1 2 10 3" xfId="11836"/>
    <cellStyle name="40% - Accent1 2 10 3 2" xfId="25551"/>
    <cellStyle name="40% - Accent1 2 10 4" xfId="20017"/>
    <cellStyle name="40% - Accent1 2 11" xfId="2695"/>
    <cellStyle name="40% - Accent1 2 11 2" xfId="12676"/>
    <cellStyle name="40% - Accent1 2 11 2 2" xfId="26388"/>
    <cellStyle name="40% - Accent1 2 11 3" xfId="20019"/>
    <cellStyle name="40% - Accent1 2 12" xfId="2696"/>
    <cellStyle name="40% - Accent1 2 12 2" xfId="13436"/>
    <cellStyle name="40% - Accent1 2 12 2 2" xfId="26985"/>
    <cellStyle name="40% - Accent1 2 12 3" xfId="20020"/>
    <cellStyle name="40% - Accent1 2 13" xfId="2697"/>
    <cellStyle name="40% - Accent1 2 13 2" xfId="14017"/>
    <cellStyle name="40% - Accent1 2 13 2 2" xfId="27566"/>
    <cellStyle name="40% - Accent1 2 13 3" xfId="20021"/>
    <cellStyle name="40% - Accent1 2 14" xfId="2698"/>
    <cellStyle name="40% - Accent1 2 14 2" xfId="15073"/>
    <cellStyle name="40% - Accent1 2 14 2 2" xfId="28622"/>
    <cellStyle name="40% - Accent1 2 14 3" xfId="20022"/>
    <cellStyle name="40% - Accent1 2 15" xfId="2699"/>
    <cellStyle name="40% - Accent1 2 15 2" xfId="15903"/>
    <cellStyle name="40% - Accent1 2 15 2 2" xfId="29310"/>
    <cellStyle name="40% - Accent1 2 15 3" xfId="20023"/>
    <cellStyle name="40% - Accent1 2 16" xfId="9208"/>
    <cellStyle name="40% - Accent1 2 16 2" xfId="23683"/>
    <cellStyle name="40% - Accent1 2 17" xfId="20016"/>
    <cellStyle name="40% - Accent1 2 18" xfId="33063"/>
    <cellStyle name="40% - Accent1 2 2" xfId="2700"/>
    <cellStyle name="40% - Accent1 2 2 10" xfId="2701"/>
    <cellStyle name="40% - Accent1 2 2 10 2" xfId="15075"/>
    <cellStyle name="40% - Accent1 2 2 10 2 2" xfId="28624"/>
    <cellStyle name="40% - Accent1 2 2 10 3" xfId="20025"/>
    <cellStyle name="40% - Accent1 2 2 11" xfId="2702"/>
    <cellStyle name="40% - Accent1 2 2 11 2" xfId="15949"/>
    <cellStyle name="40% - Accent1 2 2 11 2 2" xfId="29356"/>
    <cellStyle name="40% - Accent1 2 2 11 3" xfId="20026"/>
    <cellStyle name="40% - Accent1 2 2 12" xfId="9209"/>
    <cellStyle name="40% - Accent1 2 2 12 2" xfId="23684"/>
    <cellStyle name="40% - Accent1 2 2 13" xfId="20024"/>
    <cellStyle name="40% - Accent1 2 2 2" xfId="2703"/>
    <cellStyle name="40% - Accent1 2 2 2 10" xfId="2704"/>
    <cellStyle name="40% - Accent1 2 2 2 10 2" xfId="16092"/>
    <cellStyle name="40% - Accent1 2 2 2 10 2 2" xfId="29499"/>
    <cellStyle name="40% - Accent1 2 2 2 10 3" xfId="20028"/>
    <cellStyle name="40% - Accent1 2 2 2 11" xfId="9210"/>
    <cellStyle name="40% - Accent1 2 2 2 11 2" xfId="23685"/>
    <cellStyle name="40% - Accent1 2 2 2 12" xfId="20027"/>
    <cellStyle name="40% - Accent1 2 2 2 2" xfId="2705"/>
    <cellStyle name="40% - Accent1 2 2 2 2 10" xfId="9211"/>
    <cellStyle name="40% - Accent1 2 2 2 2 10 2" xfId="23686"/>
    <cellStyle name="40% - Accent1 2 2 2 2 11" xfId="20029"/>
    <cellStyle name="40% - Accent1 2 2 2 2 2" xfId="2706"/>
    <cellStyle name="40% - Accent1 2 2 2 2 2 2" xfId="2707"/>
    <cellStyle name="40% - Accent1 2 2 2 2 2 2 2" xfId="10938"/>
    <cellStyle name="40% - Accent1 2 2 2 2 2 2 2 2" xfId="24880"/>
    <cellStyle name="40% - Accent1 2 2 2 2 2 2 3" xfId="20031"/>
    <cellStyle name="40% - Accent1 2 2 2 2 2 3" xfId="2708"/>
    <cellStyle name="40% - Accent1 2 2 2 2 2 3 2" xfId="12547"/>
    <cellStyle name="40% - Accent1 2 2 2 2 2 3 2 2" xfId="26259"/>
    <cellStyle name="40% - Accent1 2 2 2 2 2 3 3" xfId="20032"/>
    <cellStyle name="40% - Accent1 2 2 2 2 2 4" xfId="2709"/>
    <cellStyle name="40% - Accent1 2 2 2 2 2 4 2" xfId="15078"/>
    <cellStyle name="40% - Accent1 2 2 2 2 2 4 2 2" xfId="28627"/>
    <cellStyle name="40% - Accent1 2 2 2 2 2 4 3" xfId="20033"/>
    <cellStyle name="40% - Accent1 2 2 2 2 2 5" xfId="2710"/>
    <cellStyle name="40% - Accent1 2 2 2 2 2 5 2" xfId="16962"/>
    <cellStyle name="40% - Accent1 2 2 2 2 2 5 2 2" xfId="30369"/>
    <cellStyle name="40% - Accent1 2 2 2 2 2 5 3" xfId="20034"/>
    <cellStyle name="40% - Accent1 2 2 2 2 2 6" xfId="9212"/>
    <cellStyle name="40% - Accent1 2 2 2 2 2 6 2" xfId="23687"/>
    <cellStyle name="40% - Accent1 2 2 2 2 2 7" xfId="20030"/>
    <cellStyle name="40% - Accent1 2 2 2 2 3" xfId="2711"/>
    <cellStyle name="40% - Accent1 2 2 2 2 3 2" xfId="2712"/>
    <cellStyle name="40% - Accent1 2 2 2 2 3 2 2" xfId="15079"/>
    <cellStyle name="40% - Accent1 2 2 2 2 3 2 2 2" xfId="28628"/>
    <cellStyle name="40% - Accent1 2 2 2 2 3 2 3" xfId="20036"/>
    <cellStyle name="40% - Accent1 2 2 2 2 3 3" xfId="10937"/>
    <cellStyle name="40% - Accent1 2 2 2 2 3 3 2" xfId="24879"/>
    <cellStyle name="40% - Accent1 2 2 2 2 3 4" xfId="20035"/>
    <cellStyle name="40% - Accent1 2 2 2 2 4" xfId="2713"/>
    <cellStyle name="40% - Accent1 2 2 2 2 4 2" xfId="12350"/>
    <cellStyle name="40% - Accent1 2 2 2 2 4 2 2" xfId="26062"/>
    <cellStyle name="40% - Accent1 2 2 2 2 4 3" xfId="20037"/>
    <cellStyle name="40% - Accent1 2 2 2 2 5" xfId="2714"/>
    <cellStyle name="40% - Accent1 2 2 2 2 5 2" xfId="12598"/>
    <cellStyle name="40% - Accent1 2 2 2 2 5 2 2" xfId="26310"/>
    <cellStyle name="40% - Accent1 2 2 2 2 5 3" xfId="20038"/>
    <cellStyle name="40% - Accent1 2 2 2 2 6" xfId="2715"/>
    <cellStyle name="40% - Accent1 2 2 2 2 6 2" xfId="13914"/>
    <cellStyle name="40% - Accent1 2 2 2 2 6 2 2" xfId="27463"/>
    <cellStyle name="40% - Accent1 2 2 2 2 6 3" xfId="20039"/>
    <cellStyle name="40% - Accent1 2 2 2 2 7" xfId="2716"/>
    <cellStyle name="40% - Accent1 2 2 2 2 7 2" xfId="14495"/>
    <cellStyle name="40% - Accent1 2 2 2 2 7 2 2" xfId="28044"/>
    <cellStyle name="40% - Accent1 2 2 2 2 7 3" xfId="20040"/>
    <cellStyle name="40% - Accent1 2 2 2 2 8" xfId="2717"/>
    <cellStyle name="40% - Accent1 2 2 2 2 8 2" xfId="15077"/>
    <cellStyle name="40% - Accent1 2 2 2 2 8 2 2" xfId="28626"/>
    <cellStyle name="40% - Accent1 2 2 2 2 8 3" xfId="20041"/>
    <cellStyle name="40% - Accent1 2 2 2 2 9" xfId="2718"/>
    <cellStyle name="40% - Accent1 2 2 2 2 9 2" xfId="16381"/>
    <cellStyle name="40% - Accent1 2 2 2 2 9 2 2" xfId="29788"/>
    <cellStyle name="40% - Accent1 2 2 2 2 9 3" xfId="20042"/>
    <cellStyle name="40% - Accent1 2 2 2 3" xfId="2719"/>
    <cellStyle name="40% - Accent1 2 2 2 3 2" xfId="2720"/>
    <cellStyle name="40% - Accent1 2 2 2 3 2 2" xfId="10939"/>
    <cellStyle name="40% - Accent1 2 2 2 3 2 2 2" xfId="24881"/>
    <cellStyle name="40% - Accent1 2 2 2 3 2 3" xfId="20044"/>
    <cellStyle name="40% - Accent1 2 2 2 3 3" xfId="2721"/>
    <cellStyle name="40% - Accent1 2 2 2 3 3 2" xfId="12742"/>
    <cellStyle name="40% - Accent1 2 2 2 3 3 2 2" xfId="26454"/>
    <cellStyle name="40% - Accent1 2 2 2 3 3 3" xfId="20045"/>
    <cellStyle name="40% - Accent1 2 2 2 3 4" xfId="2722"/>
    <cellStyle name="40% - Accent1 2 2 2 3 4 2" xfId="15080"/>
    <cellStyle name="40% - Accent1 2 2 2 3 4 2 2" xfId="28629"/>
    <cellStyle name="40% - Accent1 2 2 2 3 4 3" xfId="20046"/>
    <cellStyle name="40% - Accent1 2 2 2 3 5" xfId="2723"/>
    <cellStyle name="40% - Accent1 2 2 2 3 5 2" xfId="16673"/>
    <cellStyle name="40% - Accent1 2 2 2 3 5 2 2" xfId="30080"/>
    <cellStyle name="40% - Accent1 2 2 2 3 5 3" xfId="20047"/>
    <cellStyle name="40% - Accent1 2 2 2 3 6" xfId="9213"/>
    <cellStyle name="40% - Accent1 2 2 2 3 6 2" xfId="23688"/>
    <cellStyle name="40% - Accent1 2 2 2 3 7" xfId="20043"/>
    <cellStyle name="40% - Accent1 2 2 2 4" xfId="2724"/>
    <cellStyle name="40% - Accent1 2 2 2 4 2" xfId="2725"/>
    <cellStyle name="40% - Accent1 2 2 2 4 2 2" xfId="15081"/>
    <cellStyle name="40% - Accent1 2 2 2 4 2 2 2" xfId="28630"/>
    <cellStyle name="40% - Accent1 2 2 2 4 2 3" xfId="20049"/>
    <cellStyle name="40% - Accent1 2 2 2 4 3" xfId="10936"/>
    <cellStyle name="40% - Accent1 2 2 2 4 3 2" xfId="24878"/>
    <cellStyle name="40% - Accent1 2 2 2 4 4" xfId="20048"/>
    <cellStyle name="40% - Accent1 2 2 2 5" xfId="2726"/>
    <cellStyle name="40% - Accent1 2 2 2 5 2" xfId="12050"/>
    <cellStyle name="40% - Accent1 2 2 2 5 2 2" xfId="25765"/>
    <cellStyle name="40% - Accent1 2 2 2 5 3" xfId="20050"/>
    <cellStyle name="40% - Accent1 2 2 2 6" xfId="2727"/>
    <cellStyle name="40% - Accent1 2 2 2 6 2" xfId="12485"/>
    <cellStyle name="40% - Accent1 2 2 2 6 2 2" xfId="26197"/>
    <cellStyle name="40% - Accent1 2 2 2 6 3" xfId="20051"/>
    <cellStyle name="40% - Accent1 2 2 2 7" xfId="2728"/>
    <cellStyle name="40% - Accent1 2 2 2 7 2" xfId="13625"/>
    <cellStyle name="40% - Accent1 2 2 2 7 2 2" xfId="27174"/>
    <cellStyle name="40% - Accent1 2 2 2 7 3" xfId="20052"/>
    <cellStyle name="40% - Accent1 2 2 2 8" xfId="2729"/>
    <cellStyle name="40% - Accent1 2 2 2 8 2" xfId="14206"/>
    <cellStyle name="40% - Accent1 2 2 2 8 2 2" xfId="27755"/>
    <cellStyle name="40% - Accent1 2 2 2 8 3" xfId="20053"/>
    <cellStyle name="40% - Accent1 2 2 2 9" xfId="2730"/>
    <cellStyle name="40% - Accent1 2 2 2 9 2" xfId="15076"/>
    <cellStyle name="40% - Accent1 2 2 2 9 2 2" xfId="28625"/>
    <cellStyle name="40% - Accent1 2 2 2 9 3" xfId="20054"/>
    <cellStyle name="40% - Accent1 2 2 3" xfId="2731"/>
    <cellStyle name="40% - Accent1 2 2 3 10" xfId="9214"/>
    <cellStyle name="40% - Accent1 2 2 3 10 2" xfId="23689"/>
    <cellStyle name="40% - Accent1 2 2 3 11" xfId="20055"/>
    <cellStyle name="40% - Accent1 2 2 3 2" xfId="2732"/>
    <cellStyle name="40% - Accent1 2 2 3 2 2" xfId="2733"/>
    <cellStyle name="40% - Accent1 2 2 3 2 2 2" xfId="10941"/>
    <cellStyle name="40% - Accent1 2 2 3 2 2 2 2" xfId="24883"/>
    <cellStyle name="40% - Accent1 2 2 3 2 2 3" xfId="20057"/>
    <cellStyle name="40% - Accent1 2 2 3 2 3" xfId="2734"/>
    <cellStyle name="40% - Accent1 2 2 3 2 3 2" xfId="12659"/>
    <cellStyle name="40% - Accent1 2 2 3 2 3 2 2" xfId="26371"/>
    <cellStyle name="40% - Accent1 2 2 3 2 3 3" xfId="20058"/>
    <cellStyle name="40% - Accent1 2 2 3 2 4" xfId="2735"/>
    <cellStyle name="40% - Accent1 2 2 3 2 4 2" xfId="15083"/>
    <cellStyle name="40% - Accent1 2 2 3 2 4 2 2" xfId="28632"/>
    <cellStyle name="40% - Accent1 2 2 3 2 4 3" xfId="20059"/>
    <cellStyle name="40% - Accent1 2 2 3 2 5" xfId="2736"/>
    <cellStyle name="40% - Accent1 2 2 3 2 5 2" xfId="16819"/>
    <cellStyle name="40% - Accent1 2 2 3 2 5 2 2" xfId="30226"/>
    <cellStyle name="40% - Accent1 2 2 3 2 5 3" xfId="20060"/>
    <cellStyle name="40% - Accent1 2 2 3 2 6" xfId="9215"/>
    <cellStyle name="40% - Accent1 2 2 3 2 6 2" xfId="23690"/>
    <cellStyle name="40% - Accent1 2 2 3 2 7" xfId="20056"/>
    <cellStyle name="40% - Accent1 2 2 3 3" xfId="2737"/>
    <cellStyle name="40% - Accent1 2 2 3 3 2" xfId="2738"/>
    <cellStyle name="40% - Accent1 2 2 3 3 2 2" xfId="15084"/>
    <cellStyle name="40% - Accent1 2 2 3 3 2 2 2" xfId="28633"/>
    <cellStyle name="40% - Accent1 2 2 3 3 2 3" xfId="20062"/>
    <cellStyle name="40% - Accent1 2 2 3 3 3" xfId="10940"/>
    <cellStyle name="40% - Accent1 2 2 3 3 3 2" xfId="24882"/>
    <cellStyle name="40% - Accent1 2 2 3 3 4" xfId="20061"/>
    <cellStyle name="40% - Accent1 2 2 3 4" xfId="2739"/>
    <cellStyle name="40% - Accent1 2 2 3 4 2" xfId="12207"/>
    <cellStyle name="40% - Accent1 2 2 3 4 2 2" xfId="25919"/>
    <cellStyle name="40% - Accent1 2 2 3 4 3" xfId="20063"/>
    <cellStyle name="40% - Accent1 2 2 3 5" xfId="2740"/>
    <cellStyle name="40% - Accent1 2 2 3 5 2" xfId="11790"/>
    <cellStyle name="40% - Accent1 2 2 3 5 2 2" xfId="25505"/>
    <cellStyle name="40% - Accent1 2 2 3 5 3" xfId="20064"/>
    <cellStyle name="40% - Accent1 2 2 3 6" xfId="2741"/>
    <cellStyle name="40% - Accent1 2 2 3 6 2" xfId="13771"/>
    <cellStyle name="40% - Accent1 2 2 3 6 2 2" xfId="27320"/>
    <cellStyle name="40% - Accent1 2 2 3 6 3" xfId="20065"/>
    <cellStyle name="40% - Accent1 2 2 3 7" xfId="2742"/>
    <cellStyle name="40% - Accent1 2 2 3 7 2" xfId="14352"/>
    <cellStyle name="40% - Accent1 2 2 3 7 2 2" xfId="27901"/>
    <cellStyle name="40% - Accent1 2 2 3 7 3" xfId="20066"/>
    <cellStyle name="40% - Accent1 2 2 3 8" xfId="2743"/>
    <cellStyle name="40% - Accent1 2 2 3 8 2" xfId="15082"/>
    <cellStyle name="40% - Accent1 2 2 3 8 2 2" xfId="28631"/>
    <cellStyle name="40% - Accent1 2 2 3 8 3" xfId="20067"/>
    <cellStyle name="40% - Accent1 2 2 3 9" xfId="2744"/>
    <cellStyle name="40% - Accent1 2 2 3 9 2" xfId="16238"/>
    <cellStyle name="40% - Accent1 2 2 3 9 2 2" xfId="29645"/>
    <cellStyle name="40% - Accent1 2 2 3 9 3" xfId="20068"/>
    <cellStyle name="40% - Accent1 2 2 4" xfId="2745"/>
    <cellStyle name="40% - Accent1 2 2 4 2" xfId="2746"/>
    <cellStyle name="40% - Accent1 2 2 4 2 2" xfId="10942"/>
    <cellStyle name="40% - Accent1 2 2 4 2 2 2" xfId="24884"/>
    <cellStyle name="40% - Accent1 2 2 4 2 3" xfId="20070"/>
    <cellStyle name="40% - Accent1 2 2 4 3" xfId="2747"/>
    <cellStyle name="40% - Accent1 2 2 4 3 2" xfId="11869"/>
    <cellStyle name="40% - Accent1 2 2 4 3 2 2" xfId="25584"/>
    <cellStyle name="40% - Accent1 2 2 4 3 3" xfId="20071"/>
    <cellStyle name="40% - Accent1 2 2 4 4" xfId="2748"/>
    <cellStyle name="40% - Accent1 2 2 4 4 2" xfId="15085"/>
    <cellStyle name="40% - Accent1 2 2 4 4 2 2" xfId="28634"/>
    <cellStyle name="40% - Accent1 2 2 4 4 3" xfId="20072"/>
    <cellStyle name="40% - Accent1 2 2 4 5" xfId="2749"/>
    <cellStyle name="40% - Accent1 2 2 4 5 2" xfId="17166"/>
    <cellStyle name="40% - Accent1 2 2 4 5 2 2" xfId="30525"/>
    <cellStyle name="40% - Accent1 2 2 4 5 3" xfId="20073"/>
    <cellStyle name="40% - Accent1 2 2 4 6" xfId="9216"/>
    <cellStyle name="40% - Accent1 2 2 4 6 2" xfId="23691"/>
    <cellStyle name="40% - Accent1 2 2 4 7" xfId="20069"/>
    <cellStyle name="40% - Accent1 2 2 5" xfId="2750"/>
    <cellStyle name="40% - Accent1 2 2 5 2" xfId="2751"/>
    <cellStyle name="40% - Accent1 2 2 5 2 2" xfId="15086"/>
    <cellStyle name="40% - Accent1 2 2 5 2 2 2" xfId="28635"/>
    <cellStyle name="40% - Accent1 2 2 5 2 3" xfId="20075"/>
    <cellStyle name="40% - Accent1 2 2 5 3" xfId="2752"/>
    <cellStyle name="40% - Accent1 2 2 5 3 2" xfId="17255"/>
    <cellStyle name="40% - Accent1 2 2 5 3 2 2" xfId="30614"/>
    <cellStyle name="40% - Accent1 2 2 5 3 3" xfId="20076"/>
    <cellStyle name="40% - Accent1 2 2 5 4" xfId="10935"/>
    <cellStyle name="40% - Accent1 2 2 5 4 2" xfId="24877"/>
    <cellStyle name="40% - Accent1 2 2 5 5" xfId="20074"/>
    <cellStyle name="40% - Accent1 2 2 6" xfId="2753"/>
    <cellStyle name="40% - Accent1 2 2 6 2" xfId="2754"/>
    <cellStyle name="40% - Accent1 2 2 6 2 2" xfId="16530"/>
    <cellStyle name="40% - Accent1 2 2 6 2 2 2" xfId="29937"/>
    <cellStyle name="40% - Accent1 2 2 6 2 3" xfId="20078"/>
    <cellStyle name="40% - Accent1 2 2 6 3" xfId="11905"/>
    <cellStyle name="40% - Accent1 2 2 6 3 2" xfId="25620"/>
    <cellStyle name="40% - Accent1 2 2 6 4" xfId="20077"/>
    <cellStyle name="40% - Accent1 2 2 7" xfId="2755"/>
    <cellStyle name="40% - Accent1 2 2 7 2" xfId="11870"/>
    <cellStyle name="40% - Accent1 2 2 7 2 2" xfId="25585"/>
    <cellStyle name="40% - Accent1 2 2 7 3" xfId="20079"/>
    <cellStyle name="40% - Accent1 2 2 8" xfId="2756"/>
    <cellStyle name="40% - Accent1 2 2 8 2" xfId="13482"/>
    <cellStyle name="40% - Accent1 2 2 8 2 2" xfId="27031"/>
    <cellStyle name="40% - Accent1 2 2 8 3" xfId="20080"/>
    <cellStyle name="40% - Accent1 2 2 9" xfId="2757"/>
    <cellStyle name="40% - Accent1 2 2 9 2" xfId="14063"/>
    <cellStyle name="40% - Accent1 2 2 9 2 2" xfId="27612"/>
    <cellStyle name="40% - Accent1 2 2 9 3" xfId="20081"/>
    <cellStyle name="40% - Accent1 2 3" xfId="2758"/>
    <cellStyle name="40% - Accent1 2 3 10" xfId="2759"/>
    <cellStyle name="40% - Accent1 2 3 10 2" xfId="16046"/>
    <cellStyle name="40% - Accent1 2 3 10 2 2" xfId="29453"/>
    <cellStyle name="40% - Accent1 2 3 10 3" xfId="20083"/>
    <cellStyle name="40% - Accent1 2 3 11" xfId="9217"/>
    <cellStyle name="40% - Accent1 2 3 11 2" xfId="23692"/>
    <cellStyle name="40% - Accent1 2 3 12" xfId="20082"/>
    <cellStyle name="40% - Accent1 2 3 2" xfId="2760"/>
    <cellStyle name="40% - Accent1 2 3 2 10" xfId="9218"/>
    <cellStyle name="40% - Accent1 2 3 2 10 2" xfId="23693"/>
    <cellStyle name="40% - Accent1 2 3 2 11" xfId="20084"/>
    <cellStyle name="40% - Accent1 2 3 2 2" xfId="2761"/>
    <cellStyle name="40% - Accent1 2 3 2 2 2" xfId="2762"/>
    <cellStyle name="40% - Accent1 2 3 2 2 2 2" xfId="10945"/>
    <cellStyle name="40% - Accent1 2 3 2 2 2 2 2" xfId="24887"/>
    <cellStyle name="40% - Accent1 2 3 2 2 2 3" xfId="20086"/>
    <cellStyle name="40% - Accent1 2 3 2 2 3" xfId="2763"/>
    <cellStyle name="40% - Accent1 2 3 2 2 3 2" xfId="11792"/>
    <cellStyle name="40% - Accent1 2 3 2 2 3 2 2" xfId="25507"/>
    <cellStyle name="40% - Accent1 2 3 2 2 3 3" xfId="20087"/>
    <cellStyle name="40% - Accent1 2 3 2 2 4" xfId="2764"/>
    <cellStyle name="40% - Accent1 2 3 2 2 4 2" xfId="15089"/>
    <cellStyle name="40% - Accent1 2 3 2 2 4 2 2" xfId="28638"/>
    <cellStyle name="40% - Accent1 2 3 2 2 4 3" xfId="20088"/>
    <cellStyle name="40% - Accent1 2 3 2 2 5" xfId="2765"/>
    <cellStyle name="40% - Accent1 2 3 2 2 5 2" xfId="16916"/>
    <cellStyle name="40% - Accent1 2 3 2 2 5 2 2" xfId="30323"/>
    <cellStyle name="40% - Accent1 2 3 2 2 5 3" xfId="20089"/>
    <cellStyle name="40% - Accent1 2 3 2 2 6" xfId="9219"/>
    <cellStyle name="40% - Accent1 2 3 2 2 6 2" xfId="23694"/>
    <cellStyle name="40% - Accent1 2 3 2 2 7" xfId="20085"/>
    <cellStyle name="40% - Accent1 2 3 2 3" xfId="2766"/>
    <cellStyle name="40% - Accent1 2 3 2 3 2" xfId="2767"/>
    <cellStyle name="40% - Accent1 2 3 2 3 2 2" xfId="15090"/>
    <cellStyle name="40% - Accent1 2 3 2 3 2 2 2" xfId="28639"/>
    <cellStyle name="40% - Accent1 2 3 2 3 2 3" xfId="20091"/>
    <cellStyle name="40% - Accent1 2 3 2 3 3" xfId="10944"/>
    <cellStyle name="40% - Accent1 2 3 2 3 3 2" xfId="24886"/>
    <cellStyle name="40% - Accent1 2 3 2 3 4" xfId="20090"/>
    <cellStyle name="40% - Accent1 2 3 2 4" xfId="2768"/>
    <cellStyle name="40% - Accent1 2 3 2 4 2" xfId="12304"/>
    <cellStyle name="40% - Accent1 2 3 2 4 2 2" xfId="26016"/>
    <cellStyle name="40% - Accent1 2 3 2 4 3" xfId="20092"/>
    <cellStyle name="40% - Accent1 2 3 2 5" xfId="2769"/>
    <cellStyle name="40% - Accent1 2 3 2 5 2" xfId="12616"/>
    <cellStyle name="40% - Accent1 2 3 2 5 2 2" xfId="26328"/>
    <cellStyle name="40% - Accent1 2 3 2 5 3" xfId="20093"/>
    <cellStyle name="40% - Accent1 2 3 2 6" xfId="2770"/>
    <cellStyle name="40% - Accent1 2 3 2 6 2" xfId="13868"/>
    <cellStyle name="40% - Accent1 2 3 2 6 2 2" xfId="27417"/>
    <cellStyle name="40% - Accent1 2 3 2 6 3" xfId="20094"/>
    <cellStyle name="40% - Accent1 2 3 2 7" xfId="2771"/>
    <cellStyle name="40% - Accent1 2 3 2 7 2" xfId="14449"/>
    <cellStyle name="40% - Accent1 2 3 2 7 2 2" xfId="27998"/>
    <cellStyle name="40% - Accent1 2 3 2 7 3" xfId="20095"/>
    <cellStyle name="40% - Accent1 2 3 2 8" xfId="2772"/>
    <cellStyle name="40% - Accent1 2 3 2 8 2" xfId="15088"/>
    <cellStyle name="40% - Accent1 2 3 2 8 2 2" xfId="28637"/>
    <cellStyle name="40% - Accent1 2 3 2 8 3" xfId="20096"/>
    <cellStyle name="40% - Accent1 2 3 2 9" xfId="2773"/>
    <cellStyle name="40% - Accent1 2 3 2 9 2" xfId="16335"/>
    <cellStyle name="40% - Accent1 2 3 2 9 2 2" xfId="29742"/>
    <cellStyle name="40% - Accent1 2 3 2 9 3" xfId="20097"/>
    <cellStyle name="40% - Accent1 2 3 3" xfId="2774"/>
    <cellStyle name="40% - Accent1 2 3 3 2" xfId="2775"/>
    <cellStyle name="40% - Accent1 2 3 3 2 2" xfId="10946"/>
    <cellStyle name="40% - Accent1 2 3 3 2 2 2" xfId="24888"/>
    <cellStyle name="40% - Accent1 2 3 3 2 3" xfId="20099"/>
    <cellStyle name="40% - Accent1 2 3 3 3" xfId="2776"/>
    <cellStyle name="40% - Accent1 2 3 3 3 2" xfId="12587"/>
    <cellStyle name="40% - Accent1 2 3 3 3 2 2" xfId="26299"/>
    <cellStyle name="40% - Accent1 2 3 3 3 3" xfId="20100"/>
    <cellStyle name="40% - Accent1 2 3 3 4" xfId="2777"/>
    <cellStyle name="40% - Accent1 2 3 3 4 2" xfId="15091"/>
    <cellStyle name="40% - Accent1 2 3 3 4 2 2" xfId="28640"/>
    <cellStyle name="40% - Accent1 2 3 3 4 3" xfId="20101"/>
    <cellStyle name="40% - Accent1 2 3 3 5" xfId="2778"/>
    <cellStyle name="40% - Accent1 2 3 3 5 2" xfId="16627"/>
    <cellStyle name="40% - Accent1 2 3 3 5 2 2" xfId="30034"/>
    <cellStyle name="40% - Accent1 2 3 3 5 3" xfId="20102"/>
    <cellStyle name="40% - Accent1 2 3 3 6" xfId="9220"/>
    <cellStyle name="40% - Accent1 2 3 3 6 2" xfId="23695"/>
    <cellStyle name="40% - Accent1 2 3 3 7" xfId="20098"/>
    <cellStyle name="40% - Accent1 2 3 4" xfId="2779"/>
    <cellStyle name="40% - Accent1 2 3 4 2" xfId="2780"/>
    <cellStyle name="40% - Accent1 2 3 4 2 2" xfId="15092"/>
    <cellStyle name="40% - Accent1 2 3 4 2 2 2" xfId="28641"/>
    <cellStyle name="40% - Accent1 2 3 4 2 3" xfId="20104"/>
    <cellStyle name="40% - Accent1 2 3 4 3" xfId="10943"/>
    <cellStyle name="40% - Accent1 2 3 4 3 2" xfId="24885"/>
    <cellStyle name="40% - Accent1 2 3 4 4" xfId="20103"/>
    <cellStyle name="40% - Accent1 2 3 5" xfId="2781"/>
    <cellStyle name="40% - Accent1 2 3 5 2" xfId="12004"/>
    <cellStyle name="40% - Accent1 2 3 5 2 2" xfId="25719"/>
    <cellStyle name="40% - Accent1 2 3 5 3" xfId="20105"/>
    <cellStyle name="40% - Accent1 2 3 6" xfId="2782"/>
    <cellStyle name="40% - Accent1 2 3 6 2" xfId="12109"/>
    <cellStyle name="40% - Accent1 2 3 6 2 2" xfId="25821"/>
    <cellStyle name="40% - Accent1 2 3 6 3" xfId="20106"/>
    <cellStyle name="40% - Accent1 2 3 7" xfId="2783"/>
    <cellStyle name="40% - Accent1 2 3 7 2" xfId="13579"/>
    <cellStyle name="40% - Accent1 2 3 7 2 2" xfId="27128"/>
    <cellStyle name="40% - Accent1 2 3 7 3" xfId="20107"/>
    <cellStyle name="40% - Accent1 2 3 8" xfId="2784"/>
    <cellStyle name="40% - Accent1 2 3 8 2" xfId="14160"/>
    <cellStyle name="40% - Accent1 2 3 8 2 2" xfId="27709"/>
    <cellStyle name="40% - Accent1 2 3 8 3" xfId="20108"/>
    <cellStyle name="40% - Accent1 2 3 9" xfId="2785"/>
    <cellStyle name="40% - Accent1 2 3 9 2" xfId="15087"/>
    <cellStyle name="40% - Accent1 2 3 9 2 2" xfId="28636"/>
    <cellStyle name="40% - Accent1 2 3 9 3" xfId="20109"/>
    <cellStyle name="40% - Accent1 2 4" xfId="2786"/>
    <cellStyle name="40% - Accent1 2 4 10" xfId="9221"/>
    <cellStyle name="40% - Accent1 2 4 10 2" xfId="23696"/>
    <cellStyle name="40% - Accent1 2 4 11" xfId="20110"/>
    <cellStyle name="40% - Accent1 2 4 2" xfId="2787"/>
    <cellStyle name="40% - Accent1 2 4 2 2" xfId="2788"/>
    <cellStyle name="40% - Accent1 2 4 2 2 2" xfId="10948"/>
    <cellStyle name="40% - Accent1 2 4 2 2 2 2" xfId="24890"/>
    <cellStyle name="40% - Accent1 2 4 2 2 3" xfId="20112"/>
    <cellStyle name="40% - Accent1 2 4 2 3" xfId="2789"/>
    <cellStyle name="40% - Accent1 2 4 2 3 2" xfId="12599"/>
    <cellStyle name="40% - Accent1 2 4 2 3 2 2" xfId="26311"/>
    <cellStyle name="40% - Accent1 2 4 2 3 3" xfId="20113"/>
    <cellStyle name="40% - Accent1 2 4 2 4" xfId="2790"/>
    <cellStyle name="40% - Accent1 2 4 2 4 2" xfId="15094"/>
    <cellStyle name="40% - Accent1 2 4 2 4 2 2" xfId="28643"/>
    <cellStyle name="40% - Accent1 2 4 2 4 3" xfId="20114"/>
    <cellStyle name="40% - Accent1 2 4 2 5" xfId="2791"/>
    <cellStyle name="40% - Accent1 2 4 2 5 2" xfId="16773"/>
    <cellStyle name="40% - Accent1 2 4 2 5 2 2" xfId="30180"/>
    <cellStyle name="40% - Accent1 2 4 2 5 3" xfId="20115"/>
    <cellStyle name="40% - Accent1 2 4 2 6" xfId="9222"/>
    <cellStyle name="40% - Accent1 2 4 2 6 2" xfId="23697"/>
    <cellStyle name="40% - Accent1 2 4 2 7" xfId="20111"/>
    <cellStyle name="40% - Accent1 2 4 3" xfId="2792"/>
    <cellStyle name="40% - Accent1 2 4 3 2" xfId="2793"/>
    <cellStyle name="40% - Accent1 2 4 3 2 2" xfId="15095"/>
    <cellStyle name="40% - Accent1 2 4 3 2 2 2" xfId="28644"/>
    <cellStyle name="40% - Accent1 2 4 3 2 3" xfId="20117"/>
    <cellStyle name="40% - Accent1 2 4 3 3" xfId="10947"/>
    <cellStyle name="40% - Accent1 2 4 3 3 2" xfId="24889"/>
    <cellStyle name="40% - Accent1 2 4 3 4" xfId="20116"/>
    <cellStyle name="40% - Accent1 2 4 4" xfId="2794"/>
    <cellStyle name="40% - Accent1 2 4 4 2" xfId="12161"/>
    <cellStyle name="40% - Accent1 2 4 4 2 2" xfId="25873"/>
    <cellStyle name="40% - Accent1 2 4 4 3" xfId="20118"/>
    <cellStyle name="40% - Accent1 2 4 5" xfId="2795"/>
    <cellStyle name="40% - Accent1 2 4 5 2" xfId="12796"/>
    <cellStyle name="40% - Accent1 2 4 5 2 2" xfId="26508"/>
    <cellStyle name="40% - Accent1 2 4 5 3" xfId="20119"/>
    <cellStyle name="40% - Accent1 2 4 6" xfId="2796"/>
    <cellStyle name="40% - Accent1 2 4 6 2" xfId="13725"/>
    <cellStyle name="40% - Accent1 2 4 6 2 2" xfId="27274"/>
    <cellStyle name="40% - Accent1 2 4 6 3" xfId="20120"/>
    <cellStyle name="40% - Accent1 2 4 7" xfId="2797"/>
    <cellStyle name="40% - Accent1 2 4 7 2" xfId="14306"/>
    <cellStyle name="40% - Accent1 2 4 7 2 2" xfId="27855"/>
    <cellStyle name="40% - Accent1 2 4 7 3" xfId="20121"/>
    <cellStyle name="40% - Accent1 2 4 8" xfId="2798"/>
    <cellStyle name="40% - Accent1 2 4 8 2" xfId="15093"/>
    <cellStyle name="40% - Accent1 2 4 8 2 2" xfId="28642"/>
    <cellStyle name="40% - Accent1 2 4 8 3" xfId="20122"/>
    <cellStyle name="40% - Accent1 2 4 9" xfId="2799"/>
    <cellStyle name="40% - Accent1 2 4 9 2" xfId="16192"/>
    <cellStyle name="40% - Accent1 2 4 9 2 2" xfId="29599"/>
    <cellStyle name="40% - Accent1 2 4 9 3" xfId="20123"/>
    <cellStyle name="40% - Accent1 2 5" xfId="2800"/>
    <cellStyle name="40% - Accent1 2 5 2" xfId="2801"/>
    <cellStyle name="40% - Accent1 2 5 2 2" xfId="2802"/>
    <cellStyle name="40% - Accent1 2 5 2 2 2" xfId="10950"/>
    <cellStyle name="40% - Accent1 2 5 2 2 2 2" xfId="24892"/>
    <cellStyle name="40% - Accent1 2 5 2 2 3" xfId="20126"/>
    <cellStyle name="40% - Accent1 2 5 2 3" xfId="2803"/>
    <cellStyle name="40% - Accent1 2 5 2 3 2" xfId="11772"/>
    <cellStyle name="40% - Accent1 2 5 2 3 2 2" xfId="25487"/>
    <cellStyle name="40% - Accent1 2 5 2 3 3" xfId="20127"/>
    <cellStyle name="40% - Accent1 2 5 2 4" xfId="2804"/>
    <cellStyle name="40% - Accent1 2 5 2 4 2" xfId="15097"/>
    <cellStyle name="40% - Accent1 2 5 2 4 2 2" xfId="28646"/>
    <cellStyle name="40% - Accent1 2 5 2 4 3" xfId="20128"/>
    <cellStyle name="40% - Accent1 2 5 2 5" xfId="9224"/>
    <cellStyle name="40% - Accent1 2 5 2 5 2" xfId="23699"/>
    <cellStyle name="40% - Accent1 2 5 2 6" xfId="20125"/>
    <cellStyle name="40% - Accent1 2 5 3" xfId="2805"/>
    <cellStyle name="40% - Accent1 2 5 3 2" xfId="10949"/>
    <cellStyle name="40% - Accent1 2 5 3 2 2" xfId="24891"/>
    <cellStyle name="40% - Accent1 2 5 3 3" xfId="20129"/>
    <cellStyle name="40% - Accent1 2 5 4" xfId="2806"/>
    <cellStyle name="40% - Accent1 2 5 4 2" xfId="12398"/>
    <cellStyle name="40% - Accent1 2 5 4 2 2" xfId="26110"/>
    <cellStyle name="40% - Accent1 2 5 4 3" xfId="20130"/>
    <cellStyle name="40% - Accent1 2 5 5" xfId="2807"/>
    <cellStyle name="40% - Accent1 2 5 5 2" xfId="15096"/>
    <cellStyle name="40% - Accent1 2 5 5 2 2" xfId="28645"/>
    <cellStyle name="40% - Accent1 2 5 5 3" xfId="20131"/>
    <cellStyle name="40% - Accent1 2 5 6" xfId="2808"/>
    <cellStyle name="40% - Accent1 2 5 6 2" xfId="17013"/>
    <cellStyle name="40% - Accent1 2 5 6 2 2" xfId="30420"/>
    <cellStyle name="40% - Accent1 2 5 6 3" xfId="20132"/>
    <cellStyle name="40% - Accent1 2 5 7" xfId="9223"/>
    <cellStyle name="40% - Accent1 2 5 7 2" xfId="23698"/>
    <cellStyle name="40% - Accent1 2 5 8" xfId="20124"/>
    <cellStyle name="40% - Accent1 2 6" xfId="2809"/>
    <cellStyle name="40% - Accent1 2 6 2" xfId="2810"/>
    <cellStyle name="40% - Accent1 2 6 2 2" xfId="10951"/>
    <cellStyle name="40% - Accent1 2 6 2 2 2" xfId="24893"/>
    <cellStyle name="40% - Accent1 2 6 2 3" xfId="20134"/>
    <cellStyle name="40% - Accent1 2 6 3" xfId="2811"/>
    <cellStyle name="40% - Accent1 2 6 3 2" xfId="12515"/>
    <cellStyle name="40% - Accent1 2 6 3 2 2" xfId="26227"/>
    <cellStyle name="40% - Accent1 2 6 3 3" xfId="20135"/>
    <cellStyle name="40% - Accent1 2 6 4" xfId="2812"/>
    <cellStyle name="40% - Accent1 2 6 4 2" xfId="15098"/>
    <cellStyle name="40% - Accent1 2 6 4 2 2" xfId="28647"/>
    <cellStyle name="40% - Accent1 2 6 4 3" xfId="20136"/>
    <cellStyle name="40% - Accent1 2 6 5" xfId="2813"/>
    <cellStyle name="40% - Accent1 2 6 5 2" xfId="17120"/>
    <cellStyle name="40% - Accent1 2 6 5 2 2" xfId="30479"/>
    <cellStyle name="40% - Accent1 2 6 5 3" xfId="20137"/>
    <cellStyle name="40% - Accent1 2 6 6" xfId="9225"/>
    <cellStyle name="40% - Accent1 2 6 6 2" xfId="23700"/>
    <cellStyle name="40% - Accent1 2 6 7" xfId="20133"/>
    <cellStyle name="40% - Accent1 2 7" xfId="2814"/>
    <cellStyle name="40% - Accent1 2 7 2" xfId="2815"/>
    <cellStyle name="40% - Accent1 2 7 2 2" xfId="10952"/>
    <cellStyle name="40% - Accent1 2 7 2 2 2" xfId="24894"/>
    <cellStyle name="40% - Accent1 2 7 2 3" xfId="20139"/>
    <cellStyle name="40% - Accent1 2 7 3" xfId="2816"/>
    <cellStyle name="40% - Accent1 2 7 3 2" xfId="12511"/>
    <cellStyle name="40% - Accent1 2 7 3 2 2" xfId="26223"/>
    <cellStyle name="40% - Accent1 2 7 3 3" xfId="20140"/>
    <cellStyle name="40% - Accent1 2 7 4" xfId="2817"/>
    <cellStyle name="40% - Accent1 2 7 4 2" xfId="15099"/>
    <cellStyle name="40% - Accent1 2 7 4 2 2" xfId="28648"/>
    <cellStyle name="40% - Accent1 2 7 4 3" xfId="20141"/>
    <cellStyle name="40% - Accent1 2 7 5" xfId="2818"/>
    <cellStyle name="40% - Accent1 2 7 5 2" xfId="17209"/>
    <cellStyle name="40% - Accent1 2 7 5 2 2" xfId="30568"/>
    <cellStyle name="40% - Accent1 2 7 5 3" xfId="20142"/>
    <cellStyle name="40% - Accent1 2 7 6" xfId="9226"/>
    <cellStyle name="40% - Accent1 2 7 6 2" xfId="23701"/>
    <cellStyle name="40% - Accent1 2 7 7" xfId="20138"/>
    <cellStyle name="40% - Accent1 2 8" xfId="2819"/>
    <cellStyle name="40% - Accent1 2 8 2" xfId="2820"/>
    <cellStyle name="40% - Accent1 2 8 2 2" xfId="12664"/>
    <cellStyle name="40% - Accent1 2 8 2 2 2" xfId="26376"/>
    <cellStyle name="40% - Accent1 2 8 2 3" xfId="20144"/>
    <cellStyle name="40% - Accent1 2 8 3" xfId="2821"/>
    <cellStyle name="40% - Accent1 2 8 3 2" xfId="15100"/>
    <cellStyle name="40% - Accent1 2 8 3 2 2" xfId="28649"/>
    <cellStyle name="40% - Accent1 2 8 3 3" xfId="20145"/>
    <cellStyle name="40% - Accent1 2 8 4" xfId="2822"/>
    <cellStyle name="40% - Accent1 2 8 4 2" xfId="16484"/>
    <cellStyle name="40% - Accent1 2 8 4 2 2" xfId="29891"/>
    <cellStyle name="40% - Accent1 2 8 4 3" xfId="20146"/>
    <cellStyle name="40% - Accent1 2 8 5" xfId="10534"/>
    <cellStyle name="40% - Accent1 2 8 5 2" xfId="24476"/>
    <cellStyle name="40% - Accent1 2 8 6" xfId="20143"/>
    <cellStyle name="40% - Accent1 2 9" xfId="2823"/>
    <cellStyle name="40% - Accent1 2 9 2" xfId="2824"/>
    <cellStyle name="40% - Accent1 2 9 2 2" xfId="11765"/>
    <cellStyle name="40% - Accent1 2 9 2 2 2" xfId="25480"/>
    <cellStyle name="40% - Accent1 2 9 2 3" xfId="20148"/>
    <cellStyle name="40% - Accent1 2 9 3" xfId="2825"/>
    <cellStyle name="40% - Accent1 2 9 3 2" xfId="15101"/>
    <cellStyle name="40% - Accent1 2 9 3 2 2" xfId="28650"/>
    <cellStyle name="40% - Accent1 2 9 3 3" xfId="20149"/>
    <cellStyle name="40% - Accent1 2 9 4" xfId="10934"/>
    <cellStyle name="40% - Accent1 2 9 4 2" xfId="24876"/>
    <cellStyle name="40% - Accent1 2 9 5" xfId="20147"/>
    <cellStyle name="40% - Accent1 20" xfId="2826"/>
    <cellStyle name="40% - Accent1 20 2" xfId="2827"/>
    <cellStyle name="40% - Accent1 20 2 2" xfId="12486"/>
    <cellStyle name="40% - Accent1 20 2 2 2" xfId="26198"/>
    <cellStyle name="40% - Accent1 20 2 3" xfId="20151"/>
    <cellStyle name="40% - Accent1 20 3" xfId="2828"/>
    <cellStyle name="40% - Accent1 20 3 2" xfId="15102"/>
    <cellStyle name="40% - Accent1 20 3 2 2" xfId="28651"/>
    <cellStyle name="40% - Accent1 20 3 3" xfId="20152"/>
    <cellStyle name="40% - Accent1 20 4" xfId="10509"/>
    <cellStyle name="40% - Accent1 20 4 2" xfId="24457"/>
    <cellStyle name="40% - Accent1 20 5" xfId="20150"/>
    <cellStyle name="40% - Accent1 21" xfId="2829"/>
    <cellStyle name="40% - Accent1 21 2" xfId="2830"/>
    <cellStyle name="40% - Accent1 21 2 2" xfId="12487"/>
    <cellStyle name="40% - Accent1 21 2 2 2" xfId="26199"/>
    <cellStyle name="40% - Accent1 21 2 3" xfId="20154"/>
    <cellStyle name="40% - Accent1 21 3" xfId="2831"/>
    <cellStyle name="40% - Accent1 21 3 2" xfId="15103"/>
    <cellStyle name="40% - Accent1 21 3 2 2" xfId="28652"/>
    <cellStyle name="40% - Accent1 21 3 3" xfId="20155"/>
    <cellStyle name="40% - Accent1 21 4" xfId="10923"/>
    <cellStyle name="40% - Accent1 21 4 2" xfId="24865"/>
    <cellStyle name="40% - Accent1 21 5" xfId="20153"/>
    <cellStyle name="40% - Accent1 22" xfId="2832"/>
    <cellStyle name="40% - Accent1 22 2" xfId="11745"/>
    <cellStyle name="40% - Accent1 22 2 2" xfId="25460"/>
    <cellStyle name="40% - Accent1 22 3" xfId="20156"/>
    <cellStyle name="40% - Accent1 23" xfId="2833"/>
    <cellStyle name="40% - Accent1 23 2" xfId="12712"/>
    <cellStyle name="40% - Accent1 23 2 2" xfId="26424"/>
    <cellStyle name="40% - Accent1 23 3" xfId="20157"/>
    <cellStyle name="40% - Accent1 24" xfId="2834"/>
    <cellStyle name="40% - Accent1 24 2" xfId="13384"/>
    <cellStyle name="40% - Accent1 24 2 2" xfId="26933"/>
    <cellStyle name="40% - Accent1 24 3" xfId="20158"/>
    <cellStyle name="40% - Accent1 25" xfId="2835"/>
    <cellStyle name="40% - Accent1 25 2" xfId="13965"/>
    <cellStyle name="40% - Accent1 25 2 2" xfId="27514"/>
    <cellStyle name="40% - Accent1 25 3" xfId="20159"/>
    <cellStyle name="40% - Accent1 26" xfId="2836"/>
    <cellStyle name="40% - Accent1 26 2" xfId="15060"/>
    <cellStyle name="40% - Accent1 26 2 2" xfId="28609"/>
    <cellStyle name="40% - Accent1 26 3" xfId="20160"/>
    <cellStyle name="40% - Accent1 27" xfId="2837"/>
    <cellStyle name="40% - Accent1 27 2" xfId="15835"/>
    <cellStyle name="40% - Accent1 27 2 2" xfId="29242"/>
    <cellStyle name="40% - Accent1 27 3" xfId="20161"/>
    <cellStyle name="40% - Accent1 28" xfId="2838"/>
    <cellStyle name="40% - Accent1 28 2" xfId="15851"/>
    <cellStyle name="40% - Accent1 28 2 2" xfId="29258"/>
    <cellStyle name="40% - Accent1 28 3" xfId="20162"/>
    <cellStyle name="40% - Accent1 29" xfId="2839"/>
    <cellStyle name="40% - Accent1 29 2" xfId="9197"/>
    <cellStyle name="40% - Accent1 29 2 2" xfId="23672"/>
    <cellStyle name="40% - Accent1 29 3" xfId="20163"/>
    <cellStyle name="40% - Accent1 3" xfId="2840"/>
    <cellStyle name="40% - Accent1 3 10" xfId="2841"/>
    <cellStyle name="40% - Accent1 3 10 2" xfId="14040"/>
    <cellStyle name="40% - Accent1 3 10 2 2" xfId="27589"/>
    <cellStyle name="40% - Accent1 3 10 3" xfId="20165"/>
    <cellStyle name="40% - Accent1 3 11" xfId="2842"/>
    <cellStyle name="40% - Accent1 3 11 2" xfId="15104"/>
    <cellStyle name="40% - Accent1 3 11 2 2" xfId="28653"/>
    <cellStyle name="40% - Accent1 3 11 3" xfId="20166"/>
    <cellStyle name="40% - Accent1 3 12" xfId="2843"/>
    <cellStyle name="40% - Accent1 3 12 2" xfId="15926"/>
    <cellStyle name="40% - Accent1 3 12 2 2" xfId="29333"/>
    <cellStyle name="40% - Accent1 3 12 3" xfId="20167"/>
    <cellStyle name="40% - Accent1 3 13" xfId="9227"/>
    <cellStyle name="40% - Accent1 3 13 2" xfId="23702"/>
    <cellStyle name="40% - Accent1 3 14" xfId="20164"/>
    <cellStyle name="40% - Accent1 3 2" xfId="2844"/>
    <cellStyle name="40% - Accent1 3 2 10" xfId="2845"/>
    <cellStyle name="40% - Accent1 3 2 10 2" xfId="16069"/>
    <cellStyle name="40% - Accent1 3 2 10 2 2" xfId="29476"/>
    <cellStyle name="40% - Accent1 3 2 10 3" xfId="20169"/>
    <cellStyle name="40% - Accent1 3 2 11" xfId="9228"/>
    <cellStyle name="40% - Accent1 3 2 11 2" xfId="23703"/>
    <cellStyle name="40% - Accent1 3 2 12" xfId="20168"/>
    <cellStyle name="40% - Accent1 3 2 2" xfId="2846"/>
    <cellStyle name="40% - Accent1 3 2 2 10" xfId="9229"/>
    <cellStyle name="40% - Accent1 3 2 2 10 2" xfId="23704"/>
    <cellStyle name="40% - Accent1 3 2 2 11" xfId="20170"/>
    <cellStyle name="40% - Accent1 3 2 2 2" xfId="2847"/>
    <cellStyle name="40% - Accent1 3 2 2 2 2" xfId="2848"/>
    <cellStyle name="40% - Accent1 3 2 2 2 2 2" xfId="10956"/>
    <cellStyle name="40% - Accent1 3 2 2 2 2 2 2" xfId="24898"/>
    <cellStyle name="40% - Accent1 3 2 2 2 2 3" xfId="20172"/>
    <cellStyle name="40% - Accent1 3 2 2 2 3" xfId="2849"/>
    <cellStyle name="40% - Accent1 3 2 2 2 3 2" xfId="12781"/>
    <cellStyle name="40% - Accent1 3 2 2 2 3 2 2" xfId="26493"/>
    <cellStyle name="40% - Accent1 3 2 2 2 3 3" xfId="20173"/>
    <cellStyle name="40% - Accent1 3 2 2 2 4" xfId="2850"/>
    <cellStyle name="40% - Accent1 3 2 2 2 4 2" xfId="15107"/>
    <cellStyle name="40% - Accent1 3 2 2 2 4 2 2" xfId="28656"/>
    <cellStyle name="40% - Accent1 3 2 2 2 4 3" xfId="20174"/>
    <cellStyle name="40% - Accent1 3 2 2 2 5" xfId="2851"/>
    <cellStyle name="40% - Accent1 3 2 2 2 5 2" xfId="16939"/>
    <cellStyle name="40% - Accent1 3 2 2 2 5 2 2" xfId="30346"/>
    <cellStyle name="40% - Accent1 3 2 2 2 5 3" xfId="20175"/>
    <cellStyle name="40% - Accent1 3 2 2 2 6" xfId="9230"/>
    <cellStyle name="40% - Accent1 3 2 2 2 6 2" xfId="23705"/>
    <cellStyle name="40% - Accent1 3 2 2 2 7" xfId="20171"/>
    <cellStyle name="40% - Accent1 3 2 2 3" xfId="2852"/>
    <cellStyle name="40% - Accent1 3 2 2 3 2" xfId="2853"/>
    <cellStyle name="40% - Accent1 3 2 2 3 2 2" xfId="15108"/>
    <cellStyle name="40% - Accent1 3 2 2 3 2 2 2" xfId="28657"/>
    <cellStyle name="40% - Accent1 3 2 2 3 2 3" xfId="20177"/>
    <cellStyle name="40% - Accent1 3 2 2 3 3" xfId="10955"/>
    <cellStyle name="40% - Accent1 3 2 2 3 3 2" xfId="24897"/>
    <cellStyle name="40% - Accent1 3 2 2 3 4" xfId="20176"/>
    <cellStyle name="40% - Accent1 3 2 2 4" xfId="2854"/>
    <cellStyle name="40% - Accent1 3 2 2 4 2" xfId="12327"/>
    <cellStyle name="40% - Accent1 3 2 2 4 2 2" xfId="26039"/>
    <cellStyle name="40% - Accent1 3 2 2 4 3" xfId="20178"/>
    <cellStyle name="40% - Accent1 3 2 2 5" xfId="2855"/>
    <cellStyle name="40% - Accent1 3 2 2 5 2" xfId="12743"/>
    <cellStyle name="40% - Accent1 3 2 2 5 2 2" xfId="26455"/>
    <cellStyle name="40% - Accent1 3 2 2 5 3" xfId="20179"/>
    <cellStyle name="40% - Accent1 3 2 2 6" xfId="2856"/>
    <cellStyle name="40% - Accent1 3 2 2 6 2" xfId="13891"/>
    <cellStyle name="40% - Accent1 3 2 2 6 2 2" xfId="27440"/>
    <cellStyle name="40% - Accent1 3 2 2 6 3" xfId="20180"/>
    <cellStyle name="40% - Accent1 3 2 2 7" xfId="2857"/>
    <cellStyle name="40% - Accent1 3 2 2 7 2" xfId="14472"/>
    <cellStyle name="40% - Accent1 3 2 2 7 2 2" xfId="28021"/>
    <cellStyle name="40% - Accent1 3 2 2 7 3" xfId="20181"/>
    <cellStyle name="40% - Accent1 3 2 2 8" xfId="2858"/>
    <cellStyle name="40% - Accent1 3 2 2 8 2" xfId="15106"/>
    <cellStyle name="40% - Accent1 3 2 2 8 2 2" xfId="28655"/>
    <cellStyle name="40% - Accent1 3 2 2 8 3" xfId="20182"/>
    <cellStyle name="40% - Accent1 3 2 2 9" xfId="2859"/>
    <cellStyle name="40% - Accent1 3 2 2 9 2" xfId="16358"/>
    <cellStyle name="40% - Accent1 3 2 2 9 2 2" xfId="29765"/>
    <cellStyle name="40% - Accent1 3 2 2 9 3" xfId="20183"/>
    <cellStyle name="40% - Accent1 3 2 3" xfId="2860"/>
    <cellStyle name="40% - Accent1 3 2 3 2" xfId="2861"/>
    <cellStyle name="40% - Accent1 3 2 3 2 2" xfId="10957"/>
    <cellStyle name="40% - Accent1 3 2 3 2 2 2" xfId="24899"/>
    <cellStyle name="40% - Accent1 3 2 3 2 3" xfId="20185"/>
    <cellStyle name="40% - Accent1 3 2 3 3" xfId="2862"/>
    <cellStyle name="40% - Accent1 3 2 3 3 2" xfId="12752"/>
    <cellStyle name="40% - Accent1 3 2 3 3 2 2" xfId="26464"/>
    <cellStyle name="40% - Accent1 3 2 3 3 3" xfId="20186"/>
    <cellStyle name="40% - Accent1 3 2 3 4" xfId="2863"/>
    <cellStyle name="40% - Accent1 3 2 3 4 2" xfId="15109"/>
    <cellStyle name="40% - Accent1 3 2 3 4 2 2" xfId="28658"/>
    <cellStyle name="40% - Accent1 3 2 3 4 3" xfId="20187"/>
    <cellStyle name="40% - Accent1 3 2 3 5" xfId="2864"/>
    <cellStyle name="40% - Accent1 3 2 3 5 2" xfId="16650"/>
    <cellStyle name="40% - Accent1 3 2 3 5 2 2" xfId="30057"/>
    <cellStyle name="40% - Accent1 3 2 3 5 3" xfId="20188"/>
    <cellStyle name="40% - Accent1 3 2 3 6" xfId="9231"/>
    <cellStyle name="40% - Accent1 3 2 3 6 2" xfId="23706"/>
    <cellStyle name="40% - Accent1 3 2 3 7" xfId="20184"/>
    <cellStyle name="40% - Accent1 3 2 4" xfId="2865"/>
    <cellStyle name="40% - Accent1 3 2 4 2" xfId="2866"/>
    <cellStyle name="40% - Accent1 3 2 4 2 2" xfId="15110"/>
    <cellStyle name="40% - Accent1 3 2 4 2 2 2" xfId="28659"/>
    <cellStyle name="40% - Accent1 3 2 4 2 3" xfId="20190"/>
    <cellStyle name="40% - Accent1 3 2 4 3" xfId="10954"/>
    <cellStyle name="40% - Accent1 3 2 4 3 2" xfId="24896"/>
    <cellStyle name="40% - Accent1 3 2 4 4" xfId="20189"/>
    <cellStyle name="40% - Accent1 3 2 5" xfId="2867"/>
    <cellStyle name="40% - Accent1 3 2 5 2" xfId="12027"/>
    <cellStyle name="40% - Accent1 3 2 5 2 2" xfId="25742"/>
    <cellStyle name="40% - Accent1 3 2 5 3" xfId="20191"/>
    <cellStyle name="40% - Accent1 3 2 6" xfId="2868"/>
    <cellStyle name="40% - Accent1 3 2 6 2" xfId="11893"/>
    <cellStyle name="40% - Accent1 3 2 6 2 2" xfId="25608"/>
    <cellStyle name="40% - Accent1 3 2 6 3" xfId="20192"/>
    <cellStyle name="40% - Accent1 3 2 7" xfId="2869"/>
    <cellStyle name="40% - Accent1 3 2 7 2" xfId="13602"/>
    <cellStyle name="40% - Accent1 3 2 7 2 2" xfId="27151"/>
    <cellStyle name="40% - Accent1 3 2 7 3" xfId="20193"/>
    <cellStyle name="40% - Accent1 3 2 8" xfId="2870"/>
    <cellStyle name="40% - Accent1 3 2 8 2" xfId="14183"/>
    <cellStyle name="40% - Accent1 3 2 8 2 2" xfId="27732"/>
    <cellStyle name="40% - Accent1 3 2 8 3" xfId="20194"/>
    <cellStyle name="40% - Accent1 3 2 9" xfId="2871"/>
    <cellStyle name="40% - Accent1 3 2 9 2" xfId="15105"/>
    <cellStyle name="40% - Accent1 3 2 9 2 2" xfId="28654"/>
    <cellStyle name="40% - Accent1 3 2 9 3" xfId="20195"/>
    <cellStyle name="40% - Accent1 3 3" xfId="2872"/>
    <cellStyle name="40% - Accent1 3 3 10" xfId="9232"/>
    <cellStyle name="40% - Accent1 3 3 10 2" xfId="23707"/>
    <cellStyle name="40% - Accent1 3 3 11" xfId="20196"/>
    <cellStyle name="40% - Accent1 3 3 2" xfId="2873"/>
    <cellStyle name="40% - Accent1 3 3 2 2" xfId="2874"/>
    <cellStyle name="40% - Accent1 3 3 2 2 2" xfId="10959"/>
    <cellStyle name="40% - Accent1 3 3 2 2 2 2" xfId="24901"/>
    <cellStyle name="40% - Accent1 3 3 2 2 3" xfId="20198"/>
    <cellStyle name="40% - Accent1 3 3 2 3" xfId="2875"/>
    <cellStyle name="40% - Accent1 3 3 2 3 2" xfId="12460"/>
    <cellStyle name="40% - Accent1 3 3 2 3 2 2" xfId="26172"/>
    <cellStyle name="40% - Accent1 3 3 2 3 3" xfId="20199"/>
    <cellStyle name="40% - Accent1 3 3 2 4" xfId="2876"/>
    <cellStyle name="40% - Accent1 3 3 2 4 2" xfId="15112"/>
    <cellStyle name="40% - Accent1 3 3 2 4 2 2" xfId="28661"/>
    <cellStyle name="40% - Accent1 3 3 2 4 3" xfId="20200"/>
    <cellStyle name="40% - Accent1 3 3 2 5" xfId="2877"/>
    <cellStyle name="40% - Accent1 3 3 2 5 2" xfId="16796"/>
    <cellStyle name="40% - Accent1 3 3 2 5 2 2" xfId="30203"/>
    <cellStyle name="40% - Accent1 3 3 2 5 3" xfId="20201"/>
    <cellStyle name="40% - Accent1 3 3 2 6" xfId="9233"/>
    <cellStyle name="40% - Accent1 3 3 2 6 2" xfId="23708"/>
    <cellStyle name="40% - Accent1 3 3 2 7" xfId="20197"/>
    <cellStyle name="40% - Accent1 3 3 3" xfId="2878"/>
    <cellStyle name="40% - Accent1 3 3 3 2" xfId="2879"/>
    <cellStyle name="40% - Accent1 3 3 3 2 2" xfId="15113"/>
    <cellStyle name="40% - Accent1 3 3 3 2 2 2" xfId="28662"/>
    <cellStyle name="40% - Accent1 3 3 3 2 3" xfId="20203"/>
    <cellStyle name="40% - Accent1 3 3 3 3" xfId="10958"/>
    <cellStyle name="40% - Accent1 3 3 3 3 2" xfId="24900"/>
    <cellStyle name="40% - Accent1 3 3 3 4" xfId="20202"/>
    <cellStyle name="40% - Accent1 3 3 4" xfId="2880"/>
    <cellStyle name="40% - Accent1 3 3 4 2" xfId="12184"/>
    <cellStyle name="40% - Accent1 3 3 4 2 2" xfId="25896"/>
    <cellStyle name="40% - Accent1 3 3 4 3" xfId="20204"/>
    <cellStyle name="40% - Accent1 3 3 5" xfId="2881"/>
    <cellStyle name="40% - Accent1 3 3 5 2" xfId="12696"/>
    <cellStyle name="40% - Accent1 3 3 5 2 2" xfId="26408"/>
    <cellStyle name="40% - Accent1 3 3 5 3" xfId="20205"/>
    <cellStyle name="40% - Accent1 3 3 6" xfId="2882"/>
    <cellStyle name="40% - Accent1 3 3 6 2" xfId="13748"/>
    <cellStyle name="40% - Accent1 3 3 6 2 2" xfId="27297"/>
    <cellStyle name="40% - Accent1 3 3 6 3" xfId="20206"/>
    <cellStyle name="40% - Accent1 3 3 7" xfId="2883"/>
    <cellStyle name="40% - Accent1 3 3 7 2" xfId="14329"/>
    <cellStyle name="40% - Accent1 3 3 7 2 2" xfId="27878"/>
    <cellStyle name="40% - Accent1 3 3 7 3" xfId="20207"/>
    <cellStyle name="40% - Accent1 3 3 8" xfId="2884"/>
    <cellStyle name="40% - Accent1 3 3 8 2" xfId="15111"/>
    <cellStyle name="40% - Accent1 3 3 8 2 2" xfId="28660"/>
    <cellStyle name="40% - Accent1 3 3 8 3" xfId="20208"/>
    <cellStyle name="40% - Accent1 3 3 9" xfId="2885"/>
    <cellStyle name="40% - Accent1 3 3 9 2" xfId="16215"/>
    <cellStyle name="40% - Accent1 3 3 9 2 2" xfId="29622"/>
    <cellStyle name="40% - Accent1 3 3 9 3" xfId="20209"/>
    <cellStyle name="40% - Accent1 3 4" xfId="2886"/>
    <cellStyle name="40% - Accent1 3 4 2" xfId="2887"/>
    <cellStyle name="40% - Accent1 3 4 2 2" xfId="10960"/>
    <cellStyle name="40% - Accent1 3 4 2 2 2" xfId="24902"/>
    <cellStyle name="40% - Accent1 3 4 2 3" xfId="20211"/>
    <cellStyle name="40% - Accent1 3 4 3" xfId="2888"/>
    <cellStyle name="40% - Accent1 3 4 3 2" xfId="12589"/>
    <cellStyle name="40% - Accent1 3 4 3 2 2" xfId="26301"/>
    <cellStyle name="40% - Accent1 3 4 3 3" xfId="20212"/>
    <cellStyle name="40% - Accent1 3 4 4" xfId="2889"/>
    <cellStyle name="40% - Accent1 3 4 4 2" xfId="15114"/>
    <cellStyle name="40% - Accent1 3 4 4 2 2" xfId="28663"/>
    <cellStyle name="40% - Accent1 3 4 4 3" xfId="20213"/>
    <cellStyle name="40% - Accent1 3 4 5" xfId="2890"/>
    <cellStyle name="40% - Accent1 3 4 5 2" xfId="17143"/>
    <cellStyle name="40% - Accent1 3 4 5 2 2" xfId="30502"/>
    <cellStyle name="40% - Accent1 3 4 5 3" xfId="20214"/>
    <cellStyle name="40% - Accent1 3 4 6" xfId="9234"/>
    <cellStyle name="40% - Accent1 3 4 6 2" xfId="23709"/>
    <cellStyle name="40% - Accent1 3 4 7" xfId="20210"/>
    <cellStyle name="40% - Accent1 3 5" xfId="2891"/>
    <cellStyle name="40% - Accent1 3 5 2" xfId="2892"/>
    <cellStyle name="40% - Accent1 3 5 2 2" xfId="10961"/>
    <cellStyle name="40% - Accent1 3 5 2 2 2" xfId="24903"/>
    <cellStyle name="40% - Accent1 3 5 2 3" xfId="20216"/>
    <cellStyle name="40% - Accent1 3 5 3" xfId="2893"/>
    <cellStyle name="40% - Accent1 3 5 3 2" xfId="12410"/>
    <cellStyle name="40% - Accent1 3 5 3 2 2" xfId="26122"/>
    <cellStyle name="40% - Accent1 3 5 3 3" xfId="20217"/>
    <cellStyle name="40% - Accent1 3 5 4" xfId="2894"/>
    <cellStyle name="40% - Accent1 3 5 4 2" xfId="15115"/>
    <cellStyle name="40% - Accent1 3 5 4 2 2" xfId="28664"/>
    <cellStyle name="40% - Accent1 3 5 4 3" xfId="20218"/>
    <cellStyle name="40% - Accent1 3 5 5" xfId="2895"/>
    <cellStyle name="40% - Accent1 3 5 5 2" xfId="17232"/>
    <cellStyle name="40% - Accent1 3 5 5 2 2" xfId="30591"/>
    <cellStyle name="40% - Accent1 3 5 5 3" xfId="20219"/>
    <cellStyle name="40% - Accent1 3 5 6" xfId="9235"/>
    <cellStyle name="40% - Accent1 3 5 6 2" xfId="23710"/>
    <cellStyle name="40% - Accent1 3 5 7" xfId="20215"/>
    <cellStyle name="40% - Accent1 3 6" xfId="2896"/>
    <cellStyle name="40% - Accent1 3 6 2" xfId="2897"/>
    <cellStyle name="40% - Accent1 3 6 2 2" xfId="15116"/>
    <cellStyle name="40% - Accent1 3 6 2 2 2" xfId="28665"/>
    <cellStyle name="40% - Accent1 3 6 2 3" xfId="20221"/>
    <cellStyle name="40% - Accent1 3 6 3" xfId="2898"/>
    <cellStyle name="40% - Accent1 3 6 3 2" xfId="16507"/>
    <cellStyle name="40% - Accent1 3 6 3 2 2" xfId="29914"/>
    <cellStyle name="40% - Accent1 3 6 3 3" xfId="20222"/>
    <cellStyle name="40% - Accent1 3 6 4" xfId="10953"/>
    <cellStyle name="40% - Accent1 3 6 4 2" xfId="24895"/>
    <cellStyle name="40% - Accent1 3 6 5" xfId="20220"/>
    <cellStyle name="40% - Accent1 3 7" xfId="2899"/>
    <cellStyle name="40% - Accent1 3 7 2" xfId="11879"/>
    <cellStyle name="40% - Accent1 3 7 2 2" xfId="25594"/>
    <cellStyle name="40% - Accent1 3 7 3" xfId="20223"/>
    <cellStyle name="40% - Accent1 3 8" xfId="2900"/>
    <cellStyle name="40% - Accent1 3 8 2" xfId="11756"/>
    <cellStyle name="40% - Accent1 3 8 2 2" xfId="25471"/>
    <cellStyle name="40% - Accent1 3 8 3" xfId="20224"/>
    <cellStyle name="40% - Accent1 3 9" xfId="2901"/>
    <cellStyle name="40% - Accent1 3 9 2" xfId="13459"/>
    <cellStyle name="40% - Accent1 3 9 2 2" xfId="27008"/>
    <cellStyle name="40% - Accent1 3 9 3" xfId="20225"/>
    <cellStyle name="40% - Accent1 30" xfId="23247"/>
    <cellStyle name="40% - Accent1 4" xfId="2902"/>
    <cellStyle name="40% - Accent1 4 10" xfId="2903"/>
    <cellStyle name="40% - Accent1 4 10 2" xfId="15117"/>
    <cellStyle name="40% - Accent1 4 10 2 2" xfId="28666"/>
    <cellStyle name="40% - Accent1 4 10 3" xfId="20227"/>
    <cellStyle name="40% - Accent1 4 11" xfId="2904"/>
    <cellStyle name="40% - Accent1 4 11 2" xfId="15885"/>
    <cellStyle name="40% - Accent1 4 11 2 2" xfId="29292"/>
    <cellStyle name="40% - Accent1 4 11 3" xfId="20228"/>
    <cellStyle name="40% - Accent1 4 12" xfId="9236"/>
    <cellStyle name="40% - Accent1 4 12 2" xfId="23711"/>
    <cellStyle name="40% - Accent1 4 13" xfId="20226"/>
    <cellStyle name="40% - Accent1 4 2" xfId="2905"/>
    <cellStyle name="40% - Accent1 4 2 10" xfId="2906"/>
    <cellStyle name="40% - Accent1 4 2 10 2" xfId="16028"/>
    <cellStyle name="40% - Accent1 4 2 10 2 2" xfId="29435"/>
    <cellStyle name="40% - Accent1 4 2 10 3" xfId="20230"/>
    <cellStyle name="40% - Accent1 4 2 11" xfId="9237"/>
    <cellStyle name="40% - Accent1 4 2 11 2" xfId="23712"/>
    <cellStyle name="40% - Accent1 4 2 12" xfId="20229"/>
    <cellStyle name="40% - Accent1 4 2 2" xfId="2907"/>
    <cellStyle name="40% - Accent1 4 2 2 10" xfId="9238"/>
    <cellStyle name="40% - Accent1 4 2 2 10 2" xfId="23713"/>
    <cellStyle name="40% - Accent1 4 2 2 11" xfId="20231"/>
    <cellStyle name="40% - Accent1 4 2 2 2" xfId="2908"/>
    <cellStyle name="40% - Accent1 4 2 2 2 2" xfId="2909"/>
    <cellStyle name="40% - Accent1 4 2 2 2 2 2" xfId="10965"/>
    <cellStyle name="40% - Accent1 4 2 2 2 2 2 2" xfId="24907"/>
    <cellStyle name="40% - Accent1 4 2 2 2 2 3" xfId="20233"/>
    <cellStyle name="40% - Accent1 4 2 2 2 3" xfId="2910"/>
    <cellStyle name="40% - Accent1 4 2 2 2 3 2" xfId="12519"/>
    <cellStyle name="40% - Accent1 4 2 2 2 3 2 2" xfId="26231"/>
    <cellStyle name="40% - Accent1 4 2 2 2 3 3" xfId="20234"/>
    <cellStyle name="40% - Accent1 4 2 2 2 4" xfId="2911"/>
    <cellStyle name="40% - Accent1 4 2 2 2 4 2" xfId="15120"/>
    <cellStyle name="40% - Accent1 4 2 2 2 4 2 2" xfId="28669"/>
    <cellStyle name="40% - Accent1 4 2 2 2 4 3" xfId="20235"/>
    <cellStyle name="40% - Accent1 4 2 2 2 5" xfId="2912"/>
    <cellStyle name="40% - Accent1 4 2 2 2 5 2" xfId="16898"/>
    <cellStyle name="40% - Accent1 4 2 2 2 5 2 2" xfId="30305"/>
    <cellStyle name="40% - Accent1 4 2 2 2 5 3" xfId="20236"/>
    <cellStyle name="40% - Accent1 4 2 2 2 6" xfId="9239"/>
    <cellStyle name="40% - Accent1 4 2 2 2 6 2" xfId="23714"/>
    <cellStyle name="40% - Accent1 4 2 2 2 7" xfId="20232"/>
    <cellStyle name="40% - Accent1 4 2 2 3" xfId="2913"/>
    <cellStyle name="40% - Accent1 4 2 2 3 2" xfId="2914"/>
    <cellStyle name="40% - Accent1 4 2 2 3 2 2" xfId="15121"/>
    <cellStyle name="40% - Accent1 4 2 2 3 2 2 2" xfId="28670"/>
    <cellStyle name="40% - Accent1 4 2 2 3 2 3" xfId="20238"/>
    <cellStyle name="40% - Accent1 4 2 2 3 3" xfId="10964"/>
    <cellStyle name="40% - Accent1 4 2 2 3 3 2" xfId="24906"/>
    <cellStyle name="40% - Accent1 4 2 2 3 4" xfId="20237"/>
    <cellStyle name="40% - Accent1 4 2 2 4" xfId="2915"/>
    <cellStyle name="40% - Accent1 4 2 2 4 2" xfId="12286"/>
    <cellStyle name="40% - Accent1 4 2 2 4 2 2" xfId="25998"/>
    <cellStyle name="40% - Accent1 4 2 2 4 3" xfId="20239"/>
    <cellStyle name="40% - Accent1 4 2 2 5" xfId="2916"/>
    <cellStyle name="40% - Accent1 4 2 2 5 2" xfId="11787"/>
    <cellStyle name="40% - Accent1 4 2 2 5 2 2" xfId="25502"/>
    <cellStyle name="40% - Accent1 4 2 2 5 3" xfId="20240"/>
    <cellStyle name="40% - Accent1 4 2 2 6" xfId="2917"/>
    <cellStyle name="40% - Accent1 4 2 2 6 2" xfId="13850"/>
    <cellStyle name="40% - Accent1 4 2 2 6 2 2" xfId="27399"/>
    <cellStyle name="40% - Accent1 4 2 2 6 3" xfId="20241"/>
    <cellStyle name="40% - Accent1 4 2 2 7" xfId="2918"/>
    <cellStyle name="40% - Accent1 4 2 2 7 2" xfId="14431"/>
    <cellStyle name="40% - Accent1 4 2 2 7 2 2" xfId="27980"/>
    <cellStyle name="40% - Accent1 4 2 2 7 3" xfId="20242"/>
    <cellStyle name="40% - Accent1 4 2 2 8" xfId="2919"/>
    <cellStyle name="40% - Accent1 4 2 2 8 2" xfId="15119"/>
    <cellStyle name="40% - Accent1 4 2 2 8 2 2" xfId="28668"/>
    <cellStyle name="40% - Accent1 4 2 2 8 3" xfId="20243"/>
    <cellStyle name="40% - Accent1 4 2 2 9" xfId="2920"/>
    <cellStyle name="40% - Accent1 4 2 2 9 2" xfId="16317"/>
    <cellStyle name="40% - Accent1 4 2 2 9 2 2" xfId="29724"/>
    <cellStyle name="40% - Accent1 4 2 2 9 3" xfId="20244"/>
    <cellStyle name="40% - Accent1 4 2 3" xfId="2921"/>
    <cellStyle name="40% - Accent1 4 2 3 2" xfId="2922"/>
    <cellStyle name="40% - Accent1 4 2 3 2 2" xfId="10966"/>
    <cellStyle name="40% - Accent1 4 2 3 2 2 2" xfId="24908"/>
    <cellStyle name="40% - Accent1 4 2 3 2 3" xfId="20246"/>
    <cellStyle name="40% - Accent1 4 2 3 3" xfId="2923"/>
    <cellStyle name="40% - Accent1 4 2 3 3 2" xfId="12443"/>
    <cellStyle name="40% - Accent1 4 2 3 3 2 2" xfId="26155"/>
    <cellStyle name="40% - Accent1 4 2 3 3 3" xfId="20247"/>
    <cellStyle name="40% - Accent1 4 2 3 4" xfId="2924"/>
    <cellStyle name="40% - Accent1 4 2 3 4 2" xfId="15122"/>
    <cellStyle name="40% - Accent1 4 2 3 4 2 2" xfId="28671"/>
    <cellStyle name="40% - Accent1 4 2 3 4 3" xfId="20248"/>
    <cellStyle name="40% - Accent1 4 2 3 5" xfId="2925"/>
    <cellStyle name="40% - Accent1 4 2 3 5 2" xfId="16609"/>
    <cellStyle name="40% - Accent1 4 2 3 5 2 2" xfId="30016"/>
    <cellStyle name="40% - Accent1 4 2 3 5 3" xfId="20249"/>
    <cellStyle name="40% - Accent1 4 2 3 6" xfId="9240"/>
    <cellStyle name="40% - Accent1 4 2 3 6 2" xfId="23715"/>
    <cellStyle name="40% - Accent1 4 2 3 7" xfId="20245"/>
    <cellStyle name="40% - Accent1 4 2 4" xfId="2926"/>
    <cellStyle name="40% - Accent1 4 2 4 2" xfId="2927"/>
    <cellStyle name="40% - Accent1 4 2 4 2 2" xfId="15123"/>
    <cellStyle name="40% - Accent1 4 2 4 2 2 2" xfId="28672"/>
    <cellStyle name="40% - Accent1 4 2 4 2 3" xfId="20251"/>
    <cellStyle name="40% - Accent1 4 2 4 3" xfId="10963"/>
    <cellStyle name="40% - Accent1 4 2 4 3 2" xfId="24905"/>
    <cellStyle name="40% - Accent1 4 2 4 4" xfId="20250"/>
    <cellStyle name="40% - Accent1 4 2 5" xfId="2928"/>
    <cellStyle name="40% - Accent1 4 2 5 2" xfId="11986"/>
    <cellStyle name="40% - Accent1 4 2 5 2 2" xfId="25701"/>
    <cellStyle name="40% - Accent1 4 2 5 3" xfId="20252"/>
    <cellStyle name="40% - Accent1 4 2 6" xfId="2929"/>
    <cellStyle name="40% - Accent1 4 2 6 2" xfId="12436"/>
    <cellStyle name="40% - Accent1 4 2 6 2 2" xfId="26148"/>
    <cellStyle name="40% - Accent1 4 2 6 3" xfId="20253"/>
    <cellStyle name="40% - Accent1 4 2 7" xfId="2930"/>
    <cellStyle name="40% - Accent1 4 2 7 2" xfId="13561"/>
    <cellStyle name="40% - Accent1 4 2 7 2 2" xfId="27110"/>
    <cellStyle name="40% - Accent1 4 2 7 3" xfId="20254"/>
    <cellStyle name="40% - Accent1 4 2 8" xfId="2931"/>
    <cellStyle name="40% - Accent1 4 2 8 2" xfId="14142"/>
    <cellStyle name="40% - Accent1 4 2 8 2 2" xfId="27691"/>
    <cellStyle name="40% - Accent1 4 2 8 3" xfId="20255"/>
    <cellStyle name="40% - Accent1 4 2 9" xfId="2932"/>
    <cellStyle name="40% - Accent1 4 2 9 2" xfId="15118"/>
    <cellStyle name="40% - Accent1 4 2 9 2 2" xfId="28667"/>
    <cellStyle name="40% - Accent1 4 2 9 3" xfId="20256"/>
    <cellStyle name="40% - Accent1 4 3" xfId="2933"/>
    <cellStyle name="40% - Accent1 4 3 10" xfId="9241"/>
    <cellStyle name="40% - Accent1 4 3 10 2" xfId="23716"/>
    <cellStyle name="40% - Accent1 4 3 11" xfId="20257"/>
    <cellStyle name="40% - Accent1 4 3 2" xfId="2934"/>
    <cellStyle name="40% - Accent1 4 3 2 2" xfId="2935"/>
    <cellStyle name="40% - Accent1 4 3 2 2 2" xfId="10968"/>
    <cellStyle name="40% - Accent1 4 3 2 2 2 2" xfId="24910"/>
    <cellStyle name="40% - Accent1 4 3 2 2 3" xfId="20259"/>
    <cellStyle name="40% - Accent1 4 3 2 3" xfId="2936"/>
    <cellStyle name="40% - Accent1 4 3 2 3 2" xfId="12478"/>
    <cellStyle name="40% - Accent1 4 3 2 3 2 2" xfId="26190"/>
    <cellStyle name="40% - Accent1 4 3 2 3 3" xfId="20260"/>
    <cellStyle name="40% - Accent1 4 3 2 4" xfId="2937"/>
    <cellStyle name="40% - Accent1 4 3 2 4 2" xfId="15125"/>
    <cellStyle name="40% - Accent1 4 3 2 4 2 2" xfId="28674"/>
    <cellStyle name="40% - Accent1 4 3 2 4 3" xfId="20261"/>
    <cellStyle name="40% - Accent1 4 3 2 5" xfId="2938"/>
    <cellStyle name="40% - Accent1 4 3 2 5 2" xfId="16758"/>
    <cellStyle name="40% - Accent1 4 3 2 5 2 2" xfId="30165"/>
    <cellStyle name="40% - Accent1 4 3 2 5 3" xfId="20262"/>
    <cellStyle name="40% - Accent1 4 3 2 6" xfId="9242"/>
    <cellStyle name="40% - Accent1 4 3 2 6 2" xfId="23717"/>
    <cellStyle name="40% - Accent1 4 3 2 7" xfId="20258"/>
    <cellStyle name="40% - Accent1 4 3 3" xfId="2939"/>
    <cellStyle name="40% - Accent1 4 3 3 2" xfId="2940"/>
    <cellStyle name="40% - Accent1 4 3 3 2 2" xfId="15126"/>
    <cellStyle name="40% - Accent1 4 3 3 2 2 2" xfId="28675"/>
    <cellStyle name="40% - Accent1 4 3 3 2 3" xfId="20264"/>
    <cellStyle name="40% - Accent1 4 3 3 3" xfId="10967"/>
    <cellStyle name="40% - Accent1 4 3 3 3 2" xfId="24909"/>
    <cellStyle name="40% - Accent1 4 3 3 4" xfId="20263"/>
    <cellStyle name="40% - Accent1 4 3 4" xfId="2941"/>
    <cellStyle name="40% - Accent1 4 3 4 2" xfId="12146"/>
    <cellStyle name="40% - Accent1 4 3 4 2 2" xfId="25858"/>
    <cellStyle name="40% - Accent1 4 3 4 3" xfId="20265"/>
    <cellStyle name="40% - Accent1 4 3 5" xfId="2942"/>
    <cellStyle name="40% - Accent1 4 3 5 2" xfId="12596"/>
    <cellStyle name="40% - Accent1 4 3 5 2 2" xfId="26308"/>
    <cellStyle name="40% - Accent1 4 3 5 3" xfId="20266"/>
    <cellStyle name="40% - Accent1 4 3 6" xfId="2943"/>
    <cellStyle name="40% - Accent1 4 3 6 2" xfId="13710"/>
    <cellStyle name="40% - Accent1 4 3 6 2 2" xfId="27259"/>
    <cellStyle name="40% - Accent1 4 3 6 3" xfId="20267"/>
    <cellStyle name="40% - Accent1 4 3 7" xfId="2944"/>
    <cellStyle name="40% - Accent1 4 3 7 2" xfId="14291"/>
    <cellStyle name="40% - Accent1 4 3 7 2 2" xfId="27840"/>
    <cellStyle name="40% - Accent1 4 3 7 3" xfId="20268"/>
    <cellStyle name="40% - Accent1 4 3 8" xfId="2945"/>
    <cellStyle name="40% - Accent1 4 3 8 2" xfId="15124"/>
    <cellStyle name="40% - Accent1 4 3 8 2 2" xfId="28673"/>
    <cellStyle name="40% - Accent1 4 3 8 3" xfId="20269"/>
    <cellStyle name="40% - Accent1 4 3 9" xfId="2946"/>
    <cellStyle name="40% - Accent1 4 3 9 2" xfId="16177"/>
    <cellStyle name="40% - Accent1 4 3 9 2 2" xfId="29584"/>
    <cellStyle name="40% - Accent1 4 3 9 3" xfId="20270"/>
    <cellStyle name="40% - Accent1 4 4" xfId="2947"/>
    <cellStyle name="40% - Accent1 4 4 2" xfId="2948"/>
    <cellStyle name="40% - Accent1 4 4 2 2" xfId="10969"/>
    <cellStyle name="40% - Accent1 4 4 2 2 2" xfId="24911"/>
    <cellStyle name="40% - Accent1 4 4 2 3" xfId="20272"/>
    <cellStyle name="40% - Accent1 4 4 3" xfId="2949"/>
    <cellStyle name="40% - Accent1 4 4 3 2" xfId="12463"/>
    <cellStyle name="40% - Accent1 4 4 3 2 2" xfId="26175"/>
    <cellStyle name="40% - Accent1 4 4 3 3" xfId="20273"/>
    <cellStyle name="40% - Accent1 4 4 4" xfId="2950"/>
    <cellStyle name="40% - Accent1 4 4 4 2" xfId="15127"/>
    <cellStyle name="40% - Accent1 4 4 4 2 2" xfId="28676"/>
    <cellStyle name="40% - Accent1 4 4 4 3" xfId="20274"/>
    <cellStyle name="40% - Accent1 4 4 5" xfId="2951"/>
    <cellStyle name="40% - Accent1 4 4 5 2" xfId="16466"/>
    <cellStyle name="40% - Accent1 4 4 5 2 2" xfId="29873"/>
    <cellStyle name="40% - Accent1 4 4 5 3" xfId="20275"/>
    <cellStyle name="40% - Accent1 4 4 6" xfId="9243"/>
    <cellStyle name="40% - Accent1 4 4 6 2" xfId="23718"/>
    <cellStyle name="40% - Accent1 4 4 7" xfId="20271"/>
    <cellStyle name="40% - Accent1 4 5" xfId="2952"/>
    <cellStyle name="40% - Accent1 4 5 2" xfId="2953"/>
    <cellStyle name="40% - Accent1 4 5 2 2" xfId="15128"/>
    <cellStyle name="40% - Accent1 4 5 2 2 2" xfId="28677"/>
    <cellStyle name="40% - Accent1 4 5 2 3" xfId="20277"/>
    <cellStyle name="40% - Accent1 4 5 3" xfId="10962"/>
    <cellStyle name="40% - Accent1 4 5 3 2" xfId="24904"/>
    <cellStyle name="40% - Accent1 4 5 4" xfId="20276"/>
    <cellStyle name="40% - Accent1 4 6" xfId="2954"/>
    <cellStyle name="40% - Accent1 4 6 2" xfId="11817"/>
    <cellStyle name="40% - Accent1 4 6 2 2" xfId="25532"/>
    <cellStyle name="40% - Accent1 4 6 3" xfId="20278"/>
    <cellStyle name="40% - Accent1 4 7" xfId="2955"/>
    <cellStyle name="40% - Accent1 4 7 2" xfId="12649"/>
    <cellStyle name="40% - Accent1 4 7 2 2" xfId="26361"/>
    <cellStyle name="40% - Accent1 4 7 3" xfId="20279"/>
    <cellStyle name="40% - Accent1 4 8" xfId="2956"/>
    <cellStyle name="40% - Accent1 4 8 2" xfId="13418"/>
    <cellStyle name="40% - Accent1 4 8 2 2" xfId="26967"/>
    <cellStyle name="40% - Accent1 4 8 3" xfId="20280"/>
    <cellStyle name="40% - Accent1 4 9" xfId="2957"/>
    <cellStyle name="40% - Accent1 4 9 2" xfId="13999"/>
    <cellStyle name="40% - Accent1 4 9 2 2" xfId="27548"/>
    <cellStyle name="40% - Accent1 4 9 3" xfId="20281"/>
    <cellStyle name="40% - Accent1 5" xfId="2958"/>
    <cellStyle name="40% - Accent1 5 10" xfId="2959"/>
    <cellStyle name="40% - Accent1 5 10 2" xfId="15129"/>
    <cellStyle name="40% - Accent1 5 10 2 2" xfId="28678"/>
    <cellStyle name="40% - Accent1 5 10 3" xfId="20283"/>
    <cellStyle name="40% - Accent1 5 11" xfId="2960"/>
    <cellStyle name="40% - Accent1 5 11 2" xfId="15868"/>
    <cellStyle name="40% - Accent1 5 11 2 2" xfId="29275"/>
    <cellStyle name="40% - Accent1 5 11 3" xfId="20284"/>
    <cellStyle name="40% - Accent1 5 12" xfId="9244"/>
    <cellStyle name="40% - Accent1 5 12 2" xfId="23719"/>
    <cellStyle name="40% - Accent1 5 13" xfId="20282"/>
    <cellStyle name="40% - Accent1 5 2" xfId="2961"/>
    <cellStyle name="40% - Accent1 5 2 10" xfId="2962"/>
    <cellStyle name="40% - Accent1 5 2 10 2" xfId="16011"/>
    <cellStyle name="40% - Accent1 5 2 10 2 2" xfId="29418"/>
    <cellStyle name="40% - Accent1 5 2 10 3" xfId="20286"/>
    <cellStyle name="40% - Accent1 5 2 11" xfId="9245"/>
    <cellStyle name="40% - Accent1 5 2 11 2" xfId="23720"/>
    <cellStyle name="40% - Accent1 5 2 12" xfId="20285"/>
    <cellStyle name="40% - Accent1 5 2 2" xfId="2963"/>
    <cellStyle name="40% - Accent1 5 2 2 10" xfId="9246"/>
    <cellStyle name="40% - Accent1 5 2 2 10 2" xfId="23721"/>
    <cellStyle name="40% - Accent1 5 2 2 11" xfId="20287"/>
    <cellStyle name="40% - Accent1 5 2 2 2" xfId="2964"/>
    <cellStyle name="40% - Accent1 5 2 2 2 2" xfId="2965"/>
    <cellStyle name="40% - Accent1 5 2 2 2 2 2" xfId="10973"/>
    <cellStyle name="40% - Accent1 5 2 2 2 2 2 2" xfId="24915"/>
    <cellStyle name="40% - Accent1 5 2 2 2 2 3" xfId="20289"/>
    <cellStyle name="40% - Accent1 5 2 2 2 3" xfId="2966"/>
    <cellStyle name="40% - Accent1 5 2 2 2 3 2" xfId="12517"/>
    <cellStyle name="40% - Accent1 5 2 2 2 3 2 2" xfId="26229"/>
    <cellStyle name="40% - Accent1 5 2 2 2 3 3" xfId="20290"/>
    <cellStyle name="40% - Accent1 5 2 2 2 4" xfId="2967"/>
    <cellStyle name="40% - Accent1 5 2 2 2 4 2" xfId="15132"/>
    <cellStyle name="40% - Accent1 5 2 2 2 4 2 2" xfId="28681"/>
    <cellStyle name="40% - Accent1 5 2 2 2 4 3" xfId="20291"/>
    <cellStyle name="40% - Accent1 5 2 2 2 5" xfId="2968"/>
    <cellStyle name="40% - Accent1 5 2 2 2 5 2" xfId="16881"/>
    <cellStyle name="40% - Accent1 5 2 2 2 5 2 2" xfId="30288"/>
    <cellStyle name="40% - Accent1 5 2 2 2 5 3" xfId="20292"/>
    <cellStyle name="40% - Accent1 5 2 2 2 6" xfId="9247"/>
    <cellStyle name="40% - Accent1 5 2 2 2 6 2" xfId="23722"/>
    <cellStyle name="40% - Accent1 5 2 2 2 7" xfId="20288"/>
    <cellStyle name="40% - Accent1 5 2 2 3" xfId="2969"/>
    <cellStyle name="40% - Accent1 5 2 2 3 2" xfId="2970"/>
    <cellStyle name="40% - Accent1 5 2 2 3 2 2" xfId="15133"/>
    <cellStyle name="40% - Accent1 5 2 2 3 2 2 2" xfId="28682"/>
    <cellStyle name="40% - Accent1 5 2 2 3 2 3" xfId="20294"/>
    <cellStyle name="40% - Accent1 5 2 2 3 3" xfId="10972"/>
    <cellStyle name="40% - Accent1 5 2 2 3 3 2" xfId="24914"/>
    <cellStyle name="40% - Accent1 5 2 2 3 4" xfId="20293"/>
    <cellStyle name="40% - Accent1 5 2 2 4" xfId="2971"/>
    <cellStyle name="40% - Accent1 5 2 2 4 2" xfId="12269"/>
    <cellStyle name="40% - Accent1 5 2 2 4 2 2" xfId="25981"/>
    <cellStyle name="40% - Accent1 5 2 2 4 3" xfId="20295"/>
    <cellStyle name="40% - Accent1 5 2 2 5" xfId="2972"/>
    <cellStyle name="40% - Accent1 5 2 2 5 2" xfId="12469"/>
    <cellStyle name="40% - Accent1 5 2 2 5 2 2" xfId="26181"/>
    <cellStyle name="40% - Accent1 5 2 2 5 3" xfId="20296"/>
    <cellStyle name="40% - Accent1 5 2 2 6" xfId="2973"/>
    <cellStyle name="40% - Accent1 5 2 2 6 2" xfId="13833"/>
    <cellStyle name="40% - Accent1 5 2 2 6 2 2" xfId="27382"/>
    <cellStyle name="40% - Accent1 5 2 2 6 3" xfId="20297"/>
    <cellStyle name="40% - Accent1 5 2 2 7" xfId="2974"/>
    <cellStyle name="40% - Accent1 5 2 2 7 2" xfId="14414"/>
    <cellStyle name="40% - Accent1 5 2 2 7 2 2" xfId="27963"/>
    <cellStyle name="40% - Accent1 5 2 2 7 3" xfId="20298"/>
    <cellStyle name="40% - Accent1 5 2 2 8" xfId="2975"/>
    <cellStyle name="40% - Accent1 5 2 2 8 2" xfId="15131"/>
    <cellStyle name="40% - Accent1 5 2 2 8 2 2" xfId="28680"/>
    <cellStyle name="40% - Accent1 5 2 2 8 3" xfId="20299"/>
    <cellStyle name="40% - Accent1 5 2 2 9" xfId="2976"/>
    <cellStyle name="40% - Accent1 5 2 2 9 2" xfId="16300"/>
    <cellStyle name="40% - Accent1 5 2 2 9 2 2" xfId="29707"/>
    <cellStyle name="40% - Accent1 5 2 2 9 3" xfId="20300"/>
    <cellStyle name="40% - Accent1 5 2 3" xfId="2977"/>
    <cellStyle name="40% - Accent1 5 2 3 2" xfId="2978"/>
    <cellStyle name="40% - Accent1 5 2 3 2 2" xfId="10974"/>
    <cellStyle name="40% - Accent1 5 2 3 2 2 2" xfId="24916"/>
    <cellStyle name="40% - Accent1 5 2 3 2 3" xfId="20302"/>
    <cellStyle name="40% - Accent1 5 2 3 3" xfId="2979"/>
    <cellStyle name="40% - Accent1 5 2 3 3 2" xfId="11771"/>
    <cellStyle name="40% - Accent1 5 2 3 3 2 2" xfId="25486"/>
    <cellStyle name="40% - Accent1 5 2 3 3 3" xfId="20303"/>
    <cellStyle name="40% - Accent1 5 2 3 4" xfId="2980"/>
    <cellStyle name="40% - Accent1 5 2 3 4 2" xfId="15134"/>
    <cellStyle name="40% - Accent1 5 2 3 4 2 2" xfId="28683"/>
    <cellStyle name="40% - Accent1 5 2 3 4 3" xfId="20304"/>
    <cellStyle name="40% - Accent1 5 2 3 5" xfId="2981"/>
    <cellStyle name="40% - Accent1 5 2 3 5 2" xfId="16592"/>
    <cellStyle name="40% - Accent1 5 2 3 5 2 2" xfId="29999"/>
    <cellStyle name="40% - Accent1 5 2 3 5 3" xfId="20305"/>
    <cellStyle name="40% - Accent1 5 2 3 6" xfId="9248"/>
    <cellStyle name="40% - Accent1 5 2 3 6 2" xfId="23723"/>
    <cellStyle name="40% - Accent1 5 2 3 7" xfId="20301"/>
    <cellStyle name="40% - Accent1 5 2 4" xfId="2982"/>
    <cellStyle name="40% - Accent1 5 2 4 2" xfId="2983"/>
    <cellStyle name="40% - Accent1 5 2 4 2 2" xfId="15135"/>
    <cellStyle name="40% - Accent1 5 2 4 2 2 2" xfId="28684"/>
    <cellStyle name="40% - Accent1 5 2 4 2 3" xfId="20307"/>
    <cellStyle name="40% - Accent1 5 2 4 3" xfId="10971"/>
    <cellStyle name="40% - Accent1 5 2 4 3 2" xfId="24913"/>
    <cellStyle name="40% - Accent1 5 2 4 4" xfId="20306"/>
    <cellStyle name="40% - Accent1 5 2 5" xfId="2984"/>
    <cellStyle name="40% - Accent1 5 2 5 2" xfId="11969"/>
    <cellStyle name="40% - Accent1 5 2 5 2 2" xfId="25684"/>
    <cellStyle name="40% - Accent1 5 2 5 3" xfId="20308"/>
    <cellStyle name="40% - Accent1 5 2 6" xfId="2985"/>
    <cellStyle name="40% - Accent1 5 2 6 2" xfId="12686"/>
    <cellStyle name="40% - Accent1 5 2 6 2 2" xfId="26398"/>
    <cellStyle name="40% - Accent1 5 2 6 3" xfId="20309"/>
    <cellStyle name="40% - Accent1 5 2 7" xfId="2986"/>
    <cellStyle name="40% - Accent1 5 2 7 2" xfId="13544"/>
    <cellStyle name="40% - Accent1 5 2 7 2 2" xfId="27093"/>
    <cellStyle name="40% - Accent1 5 2 7 3" xfId="20310"/>
    <cellStyle name="40% - Accent1 5 2 8" xfId="2987"/>
    <cellStyle name="40% - Accent1 5 2 8 2" xfId="14125"/>
    <cellStyle name="40% - Accent1 5 2 8 2 2" xfId="27674"/>
    <cellStyle name="40% - Accent1 5 2 8 3" xfId="20311"/>
    <cellStyle name="40% - Accent1 5 2 9" xfId="2988"/>
    <cellStyle name="40% - Accent1 5 2 9 2" xfId="15130"/>
    <cellStyle name="40% - Accent1 5 2 9 2 2" xfId="28679"/>
    <cellStyle name="40% - Accent1 5 2 9 3" xfId="20312"/>
    <cellStyle name="40% - Accent1 5 3" xfId="2989"/>
    <cellStyle name="40% - Accent1 5 3 10" xfId="9249"/>
    <cellStyle name="40% - Accent1 5 3 10 2" xfId="23724"/>
    <cellStyle name="40% - Accent1 5 3 11" xfId="20313"/>
    <cellStyle name="40% - Accent1 5 3 2" xfId="2990"/>
    <cellStyle name="40% - Accent1 5 3 2 2" xfId="2991"/>
    <cellStyle name="40% - Accent1 5 3 2 2 2" xfId="10976"/>
    <cellStyle name="40% - Accent1 5 3 2 2 2 2" xfId="24918"/>
    <cellStyle name="40% - Accent1 5 3 2 2 3" xfId="20315"/>
    <cellStyle name="40% - Accent1 5 3 2 3" xfId="2992"/>
    <cellStyle name="40% - Accent1 5 3 2 3 2" xfId="12727"/>
    <cellStyle name="40% - Accent1 5 3 2 3 2 2" xfId="26439"/>
    <cellStyle name="40% - Accent1 5 3 2 3 3" xfId="20316"/>
    <cellStyle name="40% - Accent1 5 3 2 4" xfId="2993"/>
    <cellStyle name="40% - Accent1 5 3 2 4 2" xfId="15137"/>
    <cellStyle name="40% - Accent1 5 3 2 4 2 2" xfId="28686"/>
    <cellStyle name="40% - Accent1 5 3 2 4 3" xfId="20317"/>
    <cellStyle name="40% - Accent1 5 3 2 5" xfId="2994"/>
    <cellStyle name="40% - Accent1 5 3 2 5 2" xfId="16741"/>
    <cellStyle name="40% - Accent1 5 3 2 5 2 2" xfId="30148"/>
    <cellStyle name="40% - Accent1 5 3 2 5 3" xfId="20318"/>
    <cellStyle name="40% - Accent1 5 3 2 6" xfId="9250"/>
    <cellStyle name="40% - Accent1 5 3 2 6 2" xfId="23725"/>
    <cellStyle name="40% - Accent1 5 3 2 7" xfId="20314"/>
    <cellStyle name="40% - Accent1 5 3 3" xfId="2995"/>
    <cellStyle name="40% - Accent1 5 3 3 2" xfId="2996"/>
    <cellStyle name="40% - Accent1 5 3 3 2 2" xfId="15138"/>
    <cellStyle name="40% - Accent1 5 3 3 2 2 2" xfId="28687"/>
    <cellStyle name="40% - Accent1 5 3 3 2 3" xfId="20320"/>
    <cellStyle name="40% - Accent1 5 3 3 3" xfId="10975"/>
    <cellStyle name="40% - Accent1 5 3 3 3 2" xfId="24917"/>
    <cellStyle name="40% - Accent1 5 3 3 4" xfId="20319"/>
    <cellStyle name="40% - Accent1 5 3 4" xfId="2997"/>
    <cellStyle name="40% - Accent1 5 3 4 2" xfId="12129"/>
    <cellStyle name="40% - Accent1 5 3 4 2 2" xfId="25841"/>
    <cellStyle name="40% - Accent1 5 3 4 3" xfId="20321"/>
    <cellStyle name="40% - Accent1 5 3 5" xfId="2998"/>
    <cellStyle name="40% - Accent1 5 3 5 2" xfId="12732"/>
    <cellStyle name="40% - Accent1 5 3 5 2 2" xfId="26444"/>
    <cellStyle name="40% - Accent1 5 3 5 3" xfId="20322"/>
    <cellStyle name="40% - Accent1 5 3 6" xfId="2999"/>
    <cellStyle name="40% - Accent1 5 3 6 2" xfId="13693"/>
    <cellStyle name="40% - Accent1 5 3 6 2 2" xfId="27242"/>
    <cellStyle name="40% - Accent1 5 3 6 3" xfId="20323"/>
    <cellStyle name="40% - Accent1 5 3 7" xfId="3000"/>
    <cellStyle name="40% - Accent1 5 3 7 2" xfId="14274"/>
    <cellStyle name="40% - Accent1 5 3 7 2 2" xfId="27823"/>
    <cellStyle name="40% - Accent1 5 3 7 3" xfId="20324"/>
    <cellStyle name="40% - Accent1 5 3 8" xfId="3001"/>
    <cellStyle name="40% - Accent1 5 3 8 2" xfId="15136"/>
    <cellStyle name="40% - Accent1 5 3 8 2 2" xfId="28685"/>
    <cellStyle name="40% - Accent1 5 3 8 3" xfId="20325"/>
    <cellStyle name="40% - Accent1 5 3 9" xfId="3002"/>
    <cellStyle name="40% - Accent1 5 3 9 2" xfId="16160"/>
    <cellStyle name="40% - Accent1 5 3 9 2 2" xfId="29567"/>
    <cellStyle name="40% - Accent1 5 3 9 3" xfId="20326"/>
    <cellStyle name="40% - Accent1 5 4" xfId="3003"/>
    <cellStyle name="40% - Accent1 5 4 2" xfId="3004"/>
    <cellStyle name="40% - Accent1 5 4 2 2" xfId="10977"/>
    <cellStyle name="40% - Accent1 5 4 2 2 2" xfId="24919"/>
    <cellStyle name="40% - Accent1 5 4 2 3" xfId="20328"/>
    <cellStyle name="40% - Accent1 5 4 3" xfId="3005"/>
    <cellStyle name="40% - Accent1 5 4 3 2" xfId="12524"/>
    <cellStyle name="40% - Accent1 5 4 3 2 2" xfId="26236"/>
    <cellStyle name="40% - Accent1 5 4 3 3" xfId="20329"/>
    <cellStyle name="40% - Accent1 5 4 4" xfId="3006"/>
    <cellStyle name="40% - Accent1 5 4 4 2" xfId="15139"/>
    <cellStyle name="40% - Accent1 5 4 4 2 2" xfId="28688"/>
    <cellStyle name="40% - Accent1 5 4 4 3" xfId="20330"/>
    <cellStyle name="40% - Accent1 5 4 5" xfId="3007"/>
    <cellStyle name="40% - Accent1 5 4 5 2" xfId="16449"/>
    <cellStyle name="40% - Accent1 5 4 5 2 2" xfId="29856"/>
    <cellStyle name="40% - Accent1 5 4 5 3" xfId="20331"/>
    <cellStyle name="40% - Accent1 5 4 6" xfId="9251"/>
    <cellStyle name="40% - Accent1 5 4 6 2" xfId="23726"/>
    <cellStyle name="40% - Accent1 5 4 7" xfId="20327"/>
    <cellStyle name="40% - Accent1 5 5" xfId="3008"/>
    <cellStyle name="40% - Accent1 5 5 2" xfId="3009"/>
    <cellStyle name="40% - Accent1 5 5 2 2" xfId="15140"/>
    <cellStyle name="40% - Accent1 5 5 2 2 2" xfId="28689"/>
    <cellStyle name="40% - Accent1 5 5 2 3" xfId="20333"/>
    <cellStyle name="40% - Accent1 5 5 3" xfId="10970"/>
    <cellStyle name="40% - Accent1 5 5 3 2" xfId="24912"/>
    <cellStyle name="40% - Accent1 5 5 4" xfId="20332"/>
    <cellStyle name="40% - Accent1 5 6" xfId="3010"/>
    <cellStyle name="40% - Accent1 5 6 2" xfId="11800"/>
    <cellStyle name="40% - Accent1 5 6 2 2" xfId="25515"/>
    <cellStyle name="40% - Accent1 5 6 3" xfId="20334"/>
    <cellStyle name="40% - Accent1 5 7" xfId="3011"/>
    <cellStyle name="40% - Accent1 5 7 2" xfId="12418"/>
    <cellStyle name="40% - Accent1 5 7 2 2" xfId="26130"/>
    <cellStyle name="40% - Accent1 5 7 3" xfId="20335"/>
    <cellStyle name="40% - Accent1 5 8" xfId="3012"/>
    <cellStyle name="40% - Accent1 5 8 2" xfId="13401"/>
    <cellStyle name="40% - Accent1 5 8 2 2" xfId="26950"/>
    <cellStyle name="40% - Accent1 5 8 3" xfId="20336"/>
    <cellStyle name="40% - Accent1 5 9" xfId="3013"/>
    <cellStyle name="40% - Accent1 5 9 2" xfId="13982"/>
    <cellStyle name="40% - Accent1 5 9 2 2" xfId="27531"/>
    <cellStyle name="40% - Accent1 5 9 3" xfId="20337"/>
    <cellStyle name="40% - Accent1 6" xfId="3014"/>
    <cellStyle name="40% - Accent1 6 10" xfId="3015"/>
    <cellStyle name="40% - Accent1 6 10 2" xfId="15141"/>
    <cellStyle name="40% - Accent1 6 10 2 2" xfId="28690"/>
    <cellStyle name="40% - Accent1 6 10 3" xfId="20339"/>
    <cellStyle name="40% - Accent1 6 11" xfId="3016"/>
    <cellStyle name="40% - Accent1 6 11 2" xfId="15974"/>
    <cellStyle name="40% - Accent1 6 11 2 2" xfId="29381"/>
    <cellStyle name="40% - Accent1 6 11 3" xfId="20340"/>
    <cellStyle name="40% - Accent1 6 12" xfId="9252"/>
    <cellStyle name="40% - Accent1 6 12 2" xfId="23727"/>
    <cellStyle name="40% - Accent1 6 13" xfId="20338"/>
    <cellStyle name="40% - Accent1 6 2" xfId="3017"/>
    <cellStyle name="40% - Accent1 6 2 10" xfId="3018"/>
    <cellStyle name="40% - Accent1 6 2 10 2" xfId="16117"/>
    <cellStyle name="40% - Accent1 6 2 10 2 2" xfId="29524"/>
    <cellStyle name="40% - Accent1 6 2 10 3" xfId="20342"/>
    <cellStyle name="40% - Accent1 6 2 11" xfId="9253"/>
    <cellStyle name="40% - Accent1 6 2 11 2" xfId="23728"/>
    <cellStyle name="40% - Accent1 6 2 12" xfId="20341"/>
    <cellStyle name="40% - Accent1 6 2 2" xfId="3019"/>
    <cellStyle name="40% - Accent1 6 2 2 10" xfId="9254"/>
    <cellStyle name="40% - Accent1 6 2 2 10 2" xfId="23729"/>
    <cellStyle name="40% - Accent1 6 2 2 11" xfId="20343"/>
    <cellStyle name="40% - Accent1 6 2 2 2" xfId="3020"/>
    <cellStyle name="40% - Accent1 6 2 2 2 2" xfId="3021"/>
    <cellStyle name="40% - Accent1 6 2 2 2 2 2" xfId="10981"/>
    <cellStyle name="40% - Accent1 6 2 2 2 2 2 2" xfId="24923"/>
    <cellStyle name="40% - Accent1 6 2 2 2 2 3" xfId="20345"/>
    <cellStyle name="40% - Accent1 6 2 2 2 3" xfId="3022"/>
    <cellStyle name="40% - Accent1 6 2 2 2 3 2" xfId="12505"/>
    <cellStyle name="40% - Accent1 6 2 2 2 3 2 2" xfId="26217"/>
    <cellStyle name="40% - Accent1 6 2 2 2 3 3" xfId="20346"/>
    <cellStyle name="40% - Accent1 6 2 2 2 4" xfId="3023"/>
    <cellStyle name="40% - Accent1 6 2 2 2 4 2" xfId="15144"/>
    <cellStyle name="40% - Accent1 6 2 2 2 4 2 2" xfId="28693"/>
    <cellStyle name="40% - Accent1 6 2 2 2 4 3" xfId="20347"/>
    <cellStyle name="40% - Accent1 6 2 2 2 5" xfId="3024"/>
    <cellStyle name="40% - Accent1 6 2 2 2 5 2" xfId="16987"/>
    <cellStyle name="40% - Accent1 6 2 2 2 5 2 2" xfId="30394"/>
    <cellStyle name="40% - Accent1 6 2 2 2 5 3" xfId="20348"/>
    <cellStyle name="40% - Accent1 6 2 2 2 6" xfId="9255"/>
    <cellStyle name="40% - Accent1 6 2 2 2 6 2" xfId="23730"/>
    <cellStyle name="40% - Accent1 6 2 2 2 7" xfId="20344"/>
    <cellStyle name="40% - Accent1 6 2 2 3" xfId="3025"/>
    <cellStyle name="40% - Accent1 6 2 2 3 2" xfId="3026"/>
    <cellStyle name="40% - Accent1 6 2 2 3 2 2" xfId="15145"/>
    <cellStyle name="40% - Accent1 6 2 2 3 2 2 2" xfId="28694"/>
    <cellStyle name="40% - Accent1 6 2 2 3 2 3" xfId="20350"/>
    <cellStyle name="40% - Accent1 6 2 2 3 3" xfId="10980"/>
    <cellStyle name="40% - Accent1 6 2 2 3 3 2" xfId="24922"/>
    <cellStyle name="40% - Accent1 6 2 2 3 4" xfId="20349"/>
    <cellStyle name="40% - Accent1 6 2 2 4" xfId="3027"/>
    <cellStyle name="40% - Accent1 6 2 2 4 2" xfId="12375"/>
    <cellStyle name="40% - Accent1 6 2 2 4 2 2" xfId="26087"/>
    <cellStyle name="40% - Accent1 6 2 2 4 3" xfId="20351"/>
    <cellStyle name="40% - Accent1 6 2 2 5" xfId="3028"/>
    <cellStyle name="40% - Accent1 6 2 2 5 2" xfId="12704"/>
    <cellStyle name="40% - Accent1 6 2 2 5 2 2" xfId="26416"/>
    <cellStyle name="40% - Accent1 6 2 2 5 3" xfId="20352"/>
    <cellStyle name="40% - Accent1 6 2 2 6" xfId="3029"/>
    <cellStyle name="40% - Accent1 6 2 2 6 2" xfId="13939"/>
    <cellStyle name="40% - Accent1 6 2 2 6 2 2" xfId="27488"/>
    <cellStyle name="40% - Accent1 6 2 2 6 3" xfId="20353"/>
    <cellStyle name="40% - Accent1 6 2 2 7" xfId="3030"/>
    <cellStyle name="40% - Accent1 6 2 2 7 2" xfId="14520"/>
    <cellStyle name="40% - Accent1 6 2 2 7 2 2" xfId="28069"/>
    <cellStyle name="40% - Accent1 6 2 2 7 3" xfId="20354"/>
    <cellStyle name="40% - Accent1 6 2 2 8" xfId="3031"/>
    <cellStyle name="40% - Accent1 6 2 2 8 2" xfId="15143"/>
    <cellStyle name="40% - Accent1 6 2 2 8 2 2" xfId="28692"/>
    <cellStyle name="40% - Accent1 6 2 2 8 3" xfId="20355"/>
    <cellStyle name="40% - Accent1 6 2 2 9" xfId="3032"/>
    <cellStyle name="40% - Accent1 6 2 2 9 2" xfId="16406"/>
    <cellStyle name="40% - Accent1 6 2 2 9 2 2" xfId="29813"/>
    <cellStyle name="40% - Accent1 6 2 2 9 3" xfId="20356"/>
    <cellStyle name="40% - Accent1 6 2 3" xfId="3033"/>
    <cellStyle name="40% - Accent1 6 2 3 2" xfId="3034"/>
    <cellStyle name="40% - Accent1 6 2 3 2 2" xfId="10982"/>
    <cellStyle name="40% - Accent1 6 2 3 2 2 2" xfId="24924"/>
    <cellStyle name="40% - Accent1 6 2 3 2 3" xfId="20358"/>
    <cellStyle name="40% - Accent1 6 2 3 3" xfId="3035"/>
    <cellStyle name="40% - Accent1 6 2 3 3 2" xfId="11833"/>
    <cellStyle name="40% - Accent1 6 2 3 3 2 2" xfId="25548"/>
    <cellStyle name="40% - Accent1 6 2 3 3 3" xfId="20359"/>
    <cellStyle name="40% - Accent1 6 2 3 4" xfId="3036"/>
    <cellStyle name="40% - Accent1 6 2 3 4 2" xfId="15146"/>
    <cellStyle name="40% - Accent1 6 2 3 4 2 2" xfId="28695"/>
    <cellStyle name="40% - Accent1 6 2 3 4 3" xfId="20360"/>
    <cellStyle name="40% - Accent1 6 2 3 5" xfId="3037"/>
    <cellStyle name="40% - Accent1 6 2 3 5 2" xfId="16698"/>
    <cellStyle name="40% - Accent1 6 2 3 5 2 2" xfId="30105"/>
    <cellStyle name="40% - Accent1 6 2 3 5 3" xfId="20361"/>
    <cellStyle name="40% - Accent1 6 2 3 6" xfId="9256"/>
    <cellStyle name="40% - Accent1 6 2 3 6 2" xfId="23731"/>
    <cellStyle name="40% - Accent1 6 2 3 7" xfId="20357"/>
    <cellStyle name="40% - Accent1 6 2 4" xfId="3038"/>
    <cellStyle name="40% - Accent1 6 2 4 2" xfId="3039"/>
    <cellStyle name="40% - Accent1 6 2 4 2 2" xfId="15147"/>
    <cellStyle name="40% - Accent1 6 2 4 2 2 2" xfId="28696"/>
    <cellStyle name="40% - Accent1 6 2 4 2 3" xfId="20363"/>
    <cellStyle name="40% - Accent1 6 2 4 3" xfId="10979"/>
    <cellStyle name="40% - Accent1 6 2 4 3 2" xfId="24921"/>
    <cellStyle name="40% - Accent1 6 2 4 4" xfId="20362"/>
    <cellStyle name="40% - Accent1 6 2 5" xfId="3040"/>
    <cellStyle name="40% - Accent1 6 2 5 2" xfId="12075"/>
    <cellStyle name="40% - Accent1 6 2 5 2 2" xfId="25790"/>
    <cellStyle name="40% - Accent1 6 2 5 3" xfId="20364"/>
    <cellStyle name="40% - Accent1 6 2 6" xfId="3041"/>
    <cellStyle name="40% - Accent1 6 2 6 2" xfId="12703"/>
    <cellStyle name="40% - Accent1 6 2 6 2 2" xfId="26415"/>
    <cellStyle name="40% - Accent1 6 2 6 3" xfId="20365"/>
    <cellStyle name="40% - Accent1 6 2 7" xfId="3042"/>
    <cellStyle name="40% - Accent1 6 2 7 2" xfId="13650"/>
    <cellStyle name="40% - Accent1 6 2 7 2 2" xfId="27199"/>
    <cellStyle name="40% - Accent1 6 2 7 3" xfId="20366"/>
    <cellStyle name="40% - Accent1 6 2 8" xfId="3043"/>
    <cellStyle name="40% - Accent1 6 2 8 2" xfId="14231"/>
    <cellStyle name="40% - Accent1 6 2 8 2 2" xfId="27780"/>
    <cellStyle name="40% - Accent1 6 2 8 3" xfId="20367"/>
    <cellStyle name="40% - Accent1 6 2 9" xfId="3044"/>
    <cellStyle name="40% - Accent1 6 2 9 2" xfId="15142"/>
    <cellStyle name="40% - Accent1 6 2 9 2 2" xfId="28691"/>
    <cellStyle name="40% - Accent1 6 2 9 3" xfId="20368"/>
    <cellStyle name="40% - Accent1 6 3" xfId="3045"/>
    <cellStyle name="40% - Accent1 6 3 10" xfId="9257"/>
    <cellStyle name="40% - Accent1 6 3 10 2" xfId="23732"/>
    <cellStyle name="40% - Accent1 6 3 11" xfId="20369"/>
    <cellStyle name="40% - Accent1 6 3 2" xfId="3046"/>
    <cellStyle name="40% - Accent1 6 3 2 2" xfId="3047"/>
    <cellStyle name="40% - Accent1 6 3 2 2 2" xfId="10984"/>
    <cellStyle name="40% - Accent1 6 3 2 2 2 2" xfId="24926"/>
    <cellStyle name="40% - Accent1 6 3 2 2 3" xfId="20371"/>
    <cellStyle name="40% - Accent1 6 3 2 3" xfId="3048"/>
    <cellStyle name="40% - Accent1 6 3 2 3 2" xfId="12530"/>
    <cellStyle name="40% - Accent1 6 3 2 3 2 2" xfId="26242"/>
    <cellStyle name="40% - Accent1 6 3 2 3 3" xfId="20372"/>
    <cellStyle name="40% - Accent1 6 3 2 4" xfId="3049"/>
    <cellStyle name="40% - Accent1 6 3 2 4 2" xfId="15149"/>
    <cellStyle name="40% - Accent1 6 3 2 4 2 2" xfId="28698"/>
    <cellStyle name="40% - Accent1 6 3 2 4 3" xfId="20373"/>
    <cellStyle name="40% - Accent1 6 3 2 5" xfId="3050"/>
    <cellStyle name="40% - Accent1 6 3 2 5 2" xfId="16844"/>
    <cellStyle name="40% - Accent1 6 3 2 5 2 2" xfId="30251"/>
    <cellStyle name="40% - Accent1 6 3 2 5 3" xfId="20374"/>
    <cellStyle name="40% - Accent1 6 3 2 6" xfId="9258"/>
    <cellStyle name="40% - Accent1 6 3 2 6 2" xfId="23733"/>
    <cellStyle name="40% - Accent1 6 3 2 7" xfId="20370"/>
    <cellStyle name="40% - Accent1 6 3 3" xfId="3051"/>
    <cellStyle name="40% - Accent1 6 3 3 2" xfId="3052"/>
    <cellStyle name="40% - Accent1 6 3 3 2 2" xfId="15150"/>
    <cellStyle name="40% - Accent1 6 3 3 2 2 2" xfId="28699"/>
    <cellStyle name="40% - Accent1 6 3 3 2 3" xfId="20376"/>
    <cellStyle name="40% - Accent1 6 3 3 3" xfId="10983"/>
    <cellStyle name="40% - Accent1 6 3 3 3 2" xfId="24925"/>
    <cellStyle name="40% - Accent1 6 3 3 4" xfId="20375"/>
    <cellStyle name="40% - Accent1 6 3 4" xfId="3053"/>
    <cellStyle name="40% - Accent1 6 3 4 2" xfId="12232"/>
    <cellStyle name="40% - Accent1 6 3 4 2 2" xfId="25944"/>
    <cellStyle name="40% - Accent1 6 3 4 3" xfId="20377"/>
    <cellStyle name="40% - Accent1 6 3 5" xfId="3054"/>
    <cellStyle name="40% - Accent1 6 3 5 2" xfId="12437"/>
    <cellStyle name="40% - Accent1 6 3 5 2 2" xfId="26149"/>
    <cellStyle name="40% - Accent1 6 3 5 3" xfId="20378"/>
    <cellStyle name="40% - Accent1 6 3 6" xfId="3055"/>
    <cellStyle name="40% - Accent1 6 3 6 2" xfId="13796"/>
    <cellStyle name="40% - Accent1 6 3 6 2 2" xfId="27345"/>
    <cellStyle name="40% - Accent1 6 3 6 3" xfId="20379"/>
    <cellStyle name="40% - Accent1 6 3 7" xfId="3056"/>
    <cellStyle name="40% - Accent1 6 3 7 2" xfId="14377"/>
    <cellStyle name="40% - Accent1 6 3 7 2 2" xfId="27926"/>
    <cellStyle name="40% - Accent1 6 3 7 3" xfId="20380"/>
    <cellStyle name="40% - Accent1 6 3 8" xfId="3057"/>
    <cellStyle name="40% - Accent1 6 3 8 2" xfId="15148"/>
    <cellStyle name="40% - Accent1 6 3 8 2 2" xfId="28697"/>
    <cellStyle name="40% - Accent1 6 3 8 3" xfId="20381"/>
    <cellStyle name="40% - Accent1 6 3 9" xfId="3058"/>
    <cellStyle name="40% - Accent1 6 3 9 2" xfId="16263"/>
    <cellStyle name="40% - Accent1 6 3 9 2 2" xfId="29670"/>
    <cellStyle name="40% - Accent1 6 3 9 3" xfId="20382"/>
    <cellStyle name="40% - Accent1 6 4" xfId="3059"/>
    <cellStyle name="40% - Accent1 6 4 2" xfId="3060"/>
    <cellStyle name="40% - Accent1 6 4 2 2" xfId="10985"/>
    <cellStyle name="40% - Accent1 6 4 2 2 2" xfId="24927"/>
    <cellStyle name="40% - Accent1 6 4 2 3" xfId="20384"/>
    <cellStyle name="40% - Accent1 6 4 3" xfId="3061"/>
    <cellStyle name="40% - Accent1 6 4 3 2" xfId="12445"/>
    <cellStyle name="40% - Accent1 6 4 3 2 2" xfId="26157"/>
    <cellStyle name="40% - Accent1 6 4 3 3" xfId="20385"/>
    <cellStyle name="40% - Accent1 6 4 4" xfId="3062"/>
    <cellStyle name="40% - Accent1 6 4 4 2" xfId="15151"/>
    <cellStyle name="40% - Accent1 6 4 4 2 2" xfId="28700"/>
    <cellStyle name="40% - Accent1 6 4 4 3" xfId="20386"/>
    <cellStyle name="40% - Accent1 6 4 5" xfId="3063"/>
    <cellStyle name="40% - Accent1 6 4 5 2" xfId="16555"/>
    <cellStyle name="40% - Accent1 6 4 5 2 2" xfId="29962"/>
    <cellStyle name="40% - Accent1 6 4 5 3" xfId="20387"/>
    <cellStyle name="40% - Accent1 6 4 6" xfId="9259"/>
    <cellStyle name="40% - Accent1 6 4 6 2" xfId="23734"/>
    <cellStyle name="40% - Accent1 6 4 7" xfId="20383"/>
    <cellStyle name="40% - Accent1 6 5" xfId="3064"/>
    <cellStyle name="40% - Accent1 6 5 2" xfId="3065"/>
    <cellStyle name="40% - Accent1 6 5 2 2" xfId="15152"/>
    <cellStyle name="40% - Accent1 6 5 2 2 2" xfId="28701"/>
    <cellStyle name="40% - Accent1 6 5 2 3" xfId="20389"/>
    <cellStyle name="40% - Accent1 6 5 3" xfId="10978"/>
    <cellStyle name="40% - Accent1 6 5 3 2" xfId="24920"/>
    <cellStyle name="40% - Accent1 6 5 4" xfId="20388"/>
    <cellStyle name="40% - Accent1 6 6" xfId="3066"/>
    <cellStyle name="40% - Accent1 6 6 2" xfId="11930"/>
    <cellStyle name="40% - Accent1 6 6 2 2" xfId="25645"/>
    <cellStyle name="40% - Accent1 6 6 3" xfId="20390"/>
    <cellStyle name="40% - Accent1 6 7" xfId="3067"/>
    <cellStyle name="40% - Accent1 6 7 2" xfId="12421"/>
    <cellStyle name="40% - Accent1 6 7 2 2" xfId="26133"/>
    <cellStyle name="40% - Accent1 6 7 3" xfId="20391"/>
    <cellStyle name="40% - Accent1 6 8" xfId="3068"/>
    <cellStyle name="40% - Accent1 6 8 2" xfId="13507"/>
    <cellStyle name="40% - Accent1 6 8 2 2" xfId="27056"/>
    <cellStyle name="40% - Accent1 6 8 3" xfId="20392"/>
    <cellStyle name="40% - Accent1 6 9" xfId="3069"/>
    <cellStyle name="40% - Accent1 6 9 2" xfId="14088"/>
    <cellStyle name="40% - Accent1 6 9 2 2" xfId="27637"/>
    <cellStyle name="40% - Accent1 6 9 3" xfId="20393"/>
    <cellStyle name="40% - Accent1 7" xfId="3070"/>
    <cellStyle name="40% - Accent1 7 10" xfId="3071"/>
    <cellStyle name="40% - Accent1 7 10 2" xfId="15989"/>
    <cellStyle name="40% - Accent1 7 10 2 2" xfId="29396"/>
    <cellStyle name="40% - Accent1 7 10 3" xfId="20395"/>
    <cellStyle name="40% - Accent1 7 11" xfId="9260"/>
    <cellStyle name="40% - Accent1 7 11 2" xfId="23735"/>
    <cellStyle name="40% - Accent1 7 12" xfId="20394"/>
    <cellStyle name="40% - Accent1 7 2" xfId="3072"/>
    <cellStyle name="40% - Accent1 7 2 10" xfId="9261"/>
    <cellStyle name="40% - Accent1 7 2 10 2" xfId="23736"/>
    <cellStyle name="40% - Accent1 7 2 11" xfId="20396"/>
    <cellStyle name="40% - Accent1 7 2 2" xfId="3073"/>
    <cellStyle name="40% - Accent1 7 2 2 2" xfId="3074"/>
    <cellStyle name="40% - Accent1 7 2 2 2 2" xfId="10988"/>
    <cellStyle name="40% - Accent1 7 2 2 2 2 2" xfId="24930"/>
    <cellStyle name="40% - Accent1 7 2 2 2 3" xfId="20398"/>
    <cellStyle name="40% - Accent1 7 2 2 3" xfId="3075"/>
    <cellStyle name="40% - Accent1 7 2 2 3 2" xfId="12408"/>
    <cellStyle name="40% - Accent1 7 2 2 3 2 2" xfId="26120"/>
    <cellStyle name="40% - Accent1 7 2 2 3 3" xfId="20399"/>
    <cellStyle name="40% - Accent1 7 2 2 4" xfId="3076"/>
    <cellStyle name="40% - Accent1 7 2 2 4 2" xfId="15155"/>
    <cellStyle name="40% - Accent1 7 2 2 4 2 2" xfId="28704"/>
    <cellStyle name="40% - Accent1 7 2 2 4 3" xfId="20400"/>
    <cellStyle name="40% - Accent1 7 2 2 5" xfId="3077"/>
    <cellStyle name="40% - Accent1 7 2 2 5 2" xfId="16859"/>
    <cellStyle name="40% - Accent1 7 2 2 5 2 2" xfId="30266"/>
    <cellStyle name="40% - Accent1 7 2 2 5 3" xfId="20401"/>
    <cellStyle name="40% - Accent1 7 2 2 6" xfId="9262"/>
    <cellStyle name="40% - Accent1 7 2 2 6 2" xfId="23737"/>
    <cellStyle name="40% - Accent1 7 2 2 7" xfId="20397"/>
    <cellStyle name="40% - Accent1 7 2 3" xfId="3078"/>
    <cellStyle name="40% - Accent1 7 2 3 2" xfId="3079"/>
    <cellStyle name="40% - Accent1 7 2 3 2 2" xfId="15156"/>
    <cellStyle name="40% - Accent1 7 2 3 2 2 2" xfId="28705"/>
    <cellStyle name="40% - Accent1 7 2 3 2 3" xfId="20403"/>
    <cellStyle name="40% - Accent1 7 2 3 3" xfId="10987"/>
    <cellStyle name="40% - Accent1 7 2 3 3 2" xfId="24929"/>
    <cellStyle name="40% - Accent1 7 2 3 4" xfId="20402"/>
    <cellStyle name="40% - Accent1 7 2 4" xfId="3080"/>
    <cellStyle name="40% - Accent1 7 2 4 2" xfId="12247"/>
    <cellStyle name="40% - Accent1 7 2 4 2 2" xfId="25959"/>
    <cellStyle name="40% - Accent1 7 2 4 3" xfId="20404"/>
    <cellStyle name="40% - Accent1 7 2 5" xfId="3081"/>
    <cellStyle name="40% - Accent1 7 2 5 2" xfId="12782"/>
    <cellStyle name="40% - Accent1 7 2 5 2 2" xfId="26494"/>
    <cellStyle name="40% - Accent1 7 2 5 3" xfId="20405"/>
    <cellStyle name="40% - Accent1 7 2 6" xfId="3082"/>
    <cellStyle name="40% - Accent1 7 2 6 2" xfId="13811"/>
    <cellStyle name="40% - Accent1 7 2 6 2 2" xfId="27360"/>
    <cellStyle name="40% - Accent1 7 2 6 3" xfId="20406"/>
    <cellStyle name="40% - Accent1 7 2 7" xfId="3083"/>
    <cellStyle name="40% - Accent1 7 2 7 2" xfId="14392"/>
    <cellStyle name="40% - Accent1 7 2 7 2 2" xfId="27941"/>
    <cellStyle name="40% - Accent1 7 2 7 3" xfId="20407"/>
    <cellStyle name="40% - Accent1 7 2 8" xfId="3084"/>
    <cellStyle name="40% - Accent1 7 2 8 2" xfId="15154"/>
    <cellStyle name="40% - Accent1 7 2 8 2 2" xfId="28703"/>
    <cellStyle name="40% - Accent1 7 2 8 3" xfId="20408"/>
    <cellStyle name="40% - Accent1 7 2 9" xfId="3085"/>
    <cellStyle name="40% - Accent1 7 2 9 2" xfId="16278"/>
    <cellStyle name="40% - Accent1 7 2 9 2 2" xfId="29685"/>
    <cellStyle name="40% - Accent1 7 2 9 3" xfId="20409"/>
    <cellStyle name="40% - Accent1 7 3" xfId="3086"/>
    <cellStyle name="40% - Accent1 7 3 2" xfId="3087"/>
    <cellStyle name="40% - Accent1 7 3 2 2" xfId="10989"/>
    <cellStyle name="40% - Accent1 7 3 2 2 2" xfId="24931"/>
    <cellStyle name="40% - Accent1 7 3 2 3" xfId="20411"/>
    <cellStyle name="40% - Accent1 7 3 3" xfId="3088"/>
    <cellStyle name="40% - Accent1 7 3 3 2" xfId="12444"/>
    <cellStyle name="40% - Accent1 7 3 3 2 2" xfId="26156"/>
    <cellStyle name="40% - Accent1 7 3 3 3" xfId="20412"/>
    <cellStyle name="40% - Accent1 7 3 4" xfId="3089"/>
    <cellStyle name="40% - Accent1 7 3 4 2" xfId="15157"/>
    <cellStyle name="40% - Accent1 7 3 4 2 2" xfId="28706"/>
    <cellStyle name="40% - Accent1 7 3 4 3" xfId="20413"/>
    <cellStyle name="40% - Accent1 7 3 5" xfId="3090"/>
    <cellStyle name="40% - Accent1 7 3 5 2" xfId="16570"/>
    <cellStyle name="40% - Accent1 7 3 5 2 2" xfId="29977"/>
    <cellStyle name="40% - Accent1 7 3 5 3" xfId="20414"/>
    <cellStyle name="40% - Accent1 7 3 6" xfId="9263"/>
    <cellStyle name="40% - Accent1 7 3 6 2" xfId="23738"/>
    <cellStyle name="40% - Accent1 7 3 7" xfId="20410"/>
    <cellStyle name="40% - Accent1 7 4" xfId="3091"/>
    <cellStyle name="40% - Accent1 7 4 2" xfId="3092"/>
    <cellStyle name="40% - Accent1 7 4 2 2" xfId="15158"/>
    <cellStyle name="40% - Accent1 7 4 2 2 2" xfId="28707"/>
    <cellStyle name="40% - Accent1 7 4 2 3" xfId="20416"/>
    <cellStyle name="40% - Accent1 7 4 3" xfId="10986"/>
    <cellStyle name="40% - Accent1 7 4 3 2" xfId="24928"/>
    <cellStyle name="40% - Accent1 7 4 4" xfId="20415"/>
    <cellStyle name="40% - Accent1 7 5" xfId="3093"/>
    <cellStyle name="40% - Accent1 7 5 2" xfId="11945"/>
    <cellStyle name="40% - Accent1 7 5 2 2" xfId="25660"/>
    <cellStyle name="40% - Accent1 7 5 3" xfId="20417"/>
    <cellStyle name="40% - Accent1 7 6" xfId="3094"/>
    <cellStyle name="40% - Accent1 7 6 2" xfId="12737"/>
    <cellStyle name="40% - Accent1 7 6 2 2" xfId="26449"/>
    <cellStyle name="40% - Accent1 7 6 3" xfId="20418"/>
    <cellStyle name="40% - Accent1 7 7" xfId="3095"/>
    <cellStyle name="40% - Accent1 7 7 2" xfId="13522"/>
    <cellStyle name="40% - Accent1 7 7 2 2" xfId="27071"/>
    <cellStyle name="40% - Accent1 7 7 3" xfId="20419"/>
    <cellStyle name="40% - Accent1 7 8" xfId="3096"/>
    <cellStyle name="40% - Accent1 7 8 2" xfId="14103"/>
    <cellStyle name="40% - Accent1 7 8 2 2" xfId="27652"/>
    <cellStyle name="40% - Accent1 7 8 3" xfId="20420"/>
    <cellStyle name="40% - Accent1 7 9" xfId="3097"/>
    <cellStyle name="40% - Accent1 7 9 2" xfId="15153"/>
    <cellStyle name="40% - Accent1 7 9 2 2" xfId="28702"/>
    <cellStyle name="40% - Accent1 7 9 3" xfId="20421"/>
    <cellStyle name="40% - Accent1 8" xfId="3098"/>
    <cellStyle name="40% - Accent1 8 10" xfId="9264"/>
    <cellStyle name="40% - Accent1 8 10 2" xfId="23739"/>
    <cellStyle name="40% - Accent1 8 11" xfId="20422"/>
    <cellStyle name="40% - Accent1 8 2" xfId="3099"/>
    <cellStyle name="40% - Accent1 8 2 2" xfId="3100"/>
    <cellStyle name="40% - Accent1 8 2 2 2" xfId="10991"/>
    <cellStyle name="40% - Accent1 8 2 2 2 2" xfId="24933"/>
    <cellStyle name="40% - Accent1 8 2 2 3" xfId="20424"/>
    <cellStyle name="40% - Accent1 8 2 3" xfId="3101"/>
    <cellStyle name="40% - Accent1 8 2 3 2" xfId="12764"/>
    <cellStyle name="40% - Accent1 8 2 3 2 2" xfId="26476"/>
    <cellStyle name="40% - Accent1 8 2 3 3" xfId="20425"/>
    <cellStyle name="40% - Accent1 8 2 4" xfId="3102"/>
    <cellStyle name="40% - Accent1 8 2 4 2" xfId="15160"/>
    <cellStyle name="40% - Accent1 8 2 4 2 2" xfId="28709"/>
    <cellStyle name="40% - Accent1 8 2 4 3" xfId="20426"/>
    <cellStyle name="40% - Accent1 8 2 5" xfId="3103"/>
    <cellStyle name="40% - Accent1 8 2 5 2" xfId="16718"/>
    <cellStyle name="40% - Accent1 8 2 5 2 2" xfId="30125"/>
    <cellStyle name="40% - Accent1 8 2 5 3" xfId="20427"/>
    <cellStyle name="40% - Accent1 8 2 6" xfId="9265"/>
    <cellStyle name="40% - Accent1 8 2 6 2" xfId="23740"/>
    <cellStyle name="40% - Accent1 8 2 7" xfId="20423"/>
    <cellStyle name="40% - Accent1 8 3" xfId="3104"/>
    <cellStyle name="40% - Accent1 8 3 2" xfId="3105"/>
    <cellStyle name="40% - Accent1 8 3 2 2" xfId="15161"/>
    <cellStyle name="40% - Accent1 8 3 2 2 2" xfId="28710"/>
    <cellStyle name="40% - Accent1 8 3 2 3" xfId="20429"/>
    <cellStyle name="40% - Accent1 8 3 3" xfId="10990"/>
    <cellStyle name="40% - Accent1 8 3 3 2" xfId="24932"/>
    <cellStyle name="40% - Accent1 8 3 4" xfId="20428"/>
    <cellStyle name="40% - Accent1 8 4" xfId="3106"/>
    <cellStyle name="40% - Accent1 8 4 2" xfId="12096"/>
    <cellStyle name="40% - Accent1 8 4 2 2" xfId="25810"/>
    <cellStyle name="40% - Accent1 8 4 3" xfId="20430"/>
    <cellStyle name="40% - Accent1 8 5" xfId="3107"/>
    <cellStyle name="40% - Accent1 8 5 2" xfId="12513"/>
    <cellStyle name="40% - Accent1 8 5 2 2" xfId="26225"/>
    <cellStyle name="40% - Accent1 8 5 3" xfId="20431"/>
    <cellStyle name="40% - Accent1 8 6" xfId="3108"/>
    <cellStyle name="40% - Accent1 8 6 2" xfId="13670"/>
    <cellStyle name="40% - Accent1 8 6 2 2" xfId="27219"/>
    <cellStyle name="40% - Accent1 8 6 3" xfId="20432"/>
    <cellStyle name="40% - Accent1 8 7" xfId="3109"/>
    <cellStyle name="40% - Accent1 8 7 2" xfId="14251"/>
    <cellStyle name="40% - Accent1 8 7 2 2" xfId="27800"/>
    <cellStyle name="40% - Accent1 8 7 3" xfId="20433"/>
    <cellStyle name="40% - Accent1 8 8" xfId="3110"/>
    <cellStyle name="40% - Accent1 8 8 2" xfId="15159"/>
    <cellStyle name="40% - Accent1 8 8 2 2" xfId="28708"/>
    <cellStyle name="40% - Accent1 8 8 3" xfId="20434"/>
    <cellStyle name="40% - Accent1 8 9" xfId="3111"/>
    <cellStyle name="40% - Accent1 8 9 2" xfId="16137"/>
    <cellStyle name="40% - Accent1 8 9 2 2" xfId="29544"/>
    <cellStyle name="40% - Accent1 8 9 3" xfId="20435"/>
    <cellStyle name="40% - Accent1 9" xfId="3112"/>
    <cellStyle name="40% - Accent1 9 2" xfId="3113"/>
    <cellStyle name="40% - Accent1 9 2 2" xfId="10992"/>
    <cellStyle name="40% - Accent1 9 2 2 2" xfId="24934"/>
    <cellStyle name="40% - Accent1 9 2 3" xfId="20437"/>
    <cellStyle name="40% - Accent1 9 3" xfId="3114"/>
    <cellStyle name="40% - Accent1 9 3 2" xfId="11786"/>
    <cellStyle name="40% - Accent1 9 3 2 2" xfId="25501"/>
    <cellStyle name="40% - Accent1 9 3 3" xfId="20438"/>
    <cellStyle name="40% - Accent1 9 4" xfId="3115"/>
    <cellStyle name="40% - Accent1 9 4 2" xfId="15162"/>
    <cellStyle name="40% - Accent1 9 4 2 2" xfId="28711"/>
    <cellStyle name="40% - Accent1 9 4 3" xfId="20439"/>
    <cellStyle name="40% - Accent1 9 5" xfId="3116"/>
    <cellStyle name="40% - Accent1 9 5 2" xfId="17102"/>
    <cellStyle name="40% - Accent1 9 5 2 2" xfId="30461"/>
    <cellStyle name="40% - Accent1 9 5 3" xfId="20440"/>
    <cellStyle name="40% - Accent1 9 6" xfId="9266"/>
    <cellStyle name="40% - Accent1 9 6 2" xfId="23741"/>
    <cellStyle name="40% - Accent1 9 7" xfId="20436"/>
    <cellStyle name="40% - Accent2" xfId="33" builtinId="35" customBuiltin="1"/>
    <cellStyle name="40% - Accent2 10" xfId="3117"/>
    <cellStyle name="40% - Accent2 10 2" xfId="3118"/>
    <cellStyle name="40% - Accent2 10 2 2" xfId="11770"/>
    <cellStyle name="40% - Accent2 10 2 2 2" xfId="25485"/>
    <cellStyle name="40% - Accent2 10 2 3" xfId="20443"/>
    <cellStyle name="40% - Accent2 10 3" xfId="3119"/>
    <cellStyle name="40% - Accent2 10 3 2" xfId="15163"/>
    <cellStyle name="40% - Accent2 10 3 2 2" xfId="28712"/>
    <cellStyle name="40% - Accent2 10 3 3" xfId="20444"/>
    <cellStyle name="40% - Accent2 10 4" xfId="3120"/>
    <cellStyle name="40% - Accent2 10 4 2" xfId="17192"/>
    <cellStyle name="40% - Accent2 10 4 2 2" xfId="30551"/>
    <cellStyle name="40% - Accent2 10 4 3" xfId="20445"/>
    <cellStyle name="40% - Accent2 10 5" xfId="10510"/>
    <cellStyle name="40% - Accent2 10 5 2" xfId="24458"/>
    <cellStyle name="40% - Accent2 10 6" xfId="20442"/>
    <cellStyle name="40% - Accent2 11" xfId="3121"/>
    <cellStyle name="40% - Accent2 11 2" xfId="3122"/>
    <cellStyle name="40% - Accent2 11 2 2" xfId="12606"/>
    <cellStyle name="40% - Accent2 11 2 2 2" xfId="26318"/>
    <cellStyle name="40% - Accent2 11 2 3" xfId="20447"/>
    <cellStyle name="40% - Accent2 11 3" xfId="3123"/>
    <cellStyle name="40% - Accent2 11 3 2" xfId="15164"/>
    <cellStyle name="40% - Accent2 11 3 2 2" xfId="28713"/>
    <cellStyle name="40% - Accent2 11 3 3" xfId="20448"/>
    <cellStyle name="40% - Accent2 11 4" xfId="3124"/>
    <cellStyle name="40% - Accent2 11 4 2" xfId="17281"/>
    <cellStyle name="40% - Accent2 11 4 2 2" xfId="30640"/>
    <cellStyle name="40% - Accent2 11 4 3" xfId="20449"/>
    <cellStyle name="40% - Accent2 11 5" xfId="10993"/>
    <cellStyle name="40% - Accent2 11 5 2" xfId="24935"/>
    <cellStyle name="40% - Accent2 11 6" xfId="20446"/>
    <cellStyle name="40% - Accent2 12" xfId="3125"/>
    <cellStyle name="40% - Accent2 12 2" xfId="3126"/>
    <cellStyle name="40% - Accent2 12 2 2" xfId="16433"/>
    <cellStyle name="40% - Accent2 12 2 2 2" xfId="29840"/>
    <cellStyle name="40% - Accent2 12 2 3" xfId="20451"/>
    <cellStyle name="40% - Accent2 12 3" xfId="11746"/>
    <cellStyle name="40% - Accent2 12 3 2" xfId="25461"/>
    <cellStyle name="40% - Accent2 12 4" xfId="20450"/>
    <cellStyle name="40% - Accent2 13" xfId="3127"/>
    <cellStyle name="40% - Accent2 13 2" xfId="13385"/>
    <cellStyle name="40% - Accent2 13 2 2" xfId="26934"/>
    <cellStyle name="40% - Accent2 13 3" xfId="20452"/>
    <cellStyle name="40% - Accent2 14" xfId="3128"/>
    <cellStyle name="40% - Accent2 14 2" xfId="13966"/>
    <cellStyle name="40% - Accent2 14 2 2" xfId="27515"/>
    <cellStyle name="40% - Accent2 14 3" xfId="20453"/>
    <cellStyle name="40% - Accent2 15" xfId="3129"/>
    <cellStyle name="40% - Accent2 15 2" xfId="15834"/>
    <cellStyle name="40% - Accent2 15 2 2" xfId="29241"/>
    <cellStyle name="40% - Accent2 15 3" xfId="20454"/>
    <cellStyle name="40% - Accent2 16" xfId="3130"/>
    <cellStyle name="40% - Accent2 16 2" xfId="15852"/>
    <cellStyle name="40% - Accent2 16 2 2" xfId="29259"/>
    <cellStyle name="40% - Accent2 16 3" xfId="20455"/>
    <cellStyle name="40% - Accent2 17" xfId="8816"/>
    <cellStyle name="40% - Accent2 17 2" xfId="23292"/>
    <cellStyle name="40% - Accent2 18" xfId="20441"/>
    <cellStyle name="40% - Accent2 2" xfId="3131"/>
    <cellStyle name="40% - Accent2 2 10" xfId="3132"/>
    <cellStyle name="40% - Accent2 2 10 2" xfId="15905"/>
    <cellStyle name="40% - Accent2 2 10 2 2" xfId="29312"/>
    <cellStyle name="40% - Accent2 2 10 3" xfId="20457"/>
    <cellStyle name="40% - Accent2 2 11" xfId="9267"/>
    <cellStyle name="40% - Accent2 2 11 2" xfId="23742"/>
    <cellStyle name="40% - Accent2 2 12" xfId="20456"/>
    <cellStyle name="40% - Accent2 2 13" xfId="33067"/>
    <cellStyle name="40% - Accent2 2 2" xfId="3133"/>
    <cellStyle name="40% - Accent2 2 2 10" xfId="20458"/>
    <cellStyle name="40% - Accent2 2 2 2" xfId="3134"/>
    <cellStyle name="40% - Accent2 2 2 2 2" xfId="3135"/>
    <cellStyle name="40% - Accent2 2 2 2 2 2" xfId="3136"/>
    <cellStyle name="40% - Accent2 2 2 2 2 2 2" xfId="3137"/>
    <cellStyle name="40% - Accent2 2 2 2 2 2 2 2" xfId="16964"/>
    <cellStyle name="40% - Accent2 2 2 2 2 2 2 2 2" xfId="30371"/>
    <cellStyle name="40% - Accent2 2 2 2 2 2 2 3" xfId="20462"/>
    <cellStyle name="40% - Accent2 2 2 2 2 2 3" xfId="10997"/>
    <cellStyle name="40% - Accent2 2 2 2 2 2 3 2" xfId="24939"/>
    <cellStyle name="40% - Accent2 2 2 2 2 2 4" xfId="20461"/>
    <cellStyle name="40% - Accent2 2 2 2 2 3" xfId="3138"/>
    <cellStyle name="40% - Accent2 2 2 2 2 3 2" xfId="12352"/>
    <cellStyle name="40% - Accent2 2 2 2 2 3 2 2" xfId="26064"/>
    <cellStyle name="40% - Accent2 2 2 2 2 3 3" xfId="20463"/>
    <cellStyle name="40% - Accent2 2 2 2 2 4" xfId="3139"/>
    <cellStyle name="40% - Accent2 2 2 2 2 4 2" xfId="13916"/>
    <cellStyle name="40% - Accent2 2 2 2 2 4 2 2" xfId="27465"/>
    <cellStyle name="40% - Accent2 2 2 2 2 4 3" xfId="20464"/>
    <cellStyle name="40% - Accent2 2 2 2 2 5" xfId="3140"/>
    <cellStyle name="40% - Accent2 2 2 2 2 5 2" xfId="14497"/>
    <cellStyle name="40% - Accent2 2 2 2 2 5 2 2" xfId="28046"/>
    <cellStyle name="40% - Accent2 2 2 2 2 5 3" xfId="20465"/>
    <cellStyle name="40% - Accent2 2 2 2 2 6" xfId="3141"/>
    <cellStyle name="40% - Accent2 2 2 2 2 6 2" xfId="16383"/>
    <cellStyle name="40% - Accent2 2 2 2 2 6 2 2" xfId="29790"/>
    <cellStyle name="40% - Accent2 2 2 2 2 6 3" xfId="20466"/>
    <cellStyle name="40% - Accent2 2 2 2 2 7" xfId="9270"/>
    <cellStyle name="40% - Accent2 2 2 2 2 7 2" xfId="23745"/>
    <cellStyle name="40% - Accent2 2 2 2 2 8" xfId="20460"/>
    <cellStyle name="40% - Accent2 2 2 2 3" xfId="3142"/>
    <cellStyle name="40% - Accent2 2 2 2 3 2" xfId="3143"/>
    <cellStyle name="40% - Accent2 2 2 2 3 2 2" xfId="16675"/>
    <cellStyle name="40% - Accent2 2 2 2 3 2 2 2" xfId="30082"/>
    <cellStyle name="40% - Accent2 2 2 2 3 2 3" xfId="20468"/>
    <cellStyle name="40% - Accent2 2 2 2 3 3" xfId="10996"/>
    <cellStyle name="40% - Accent2 2 2 2 3 3 2" xfId="24938"/>
    <cellStyle name="40% - Accent2 2 2 2 3 4" xfId="20467"/>
    <cellStyle name="40% - Accent2 2 2 2 4" xfId="3144"/>
    <cellStyle name="40% - Accent2 2 2 2 4 2" xfId="12052"/>
    <cellStyle name="40% - Accent2 2 2 2 4 2 2" xfId="25767"/>
    <cellStyle name="40% - Accent2 2 2 2 4 3" xfId="20469"/>
    <cellStyle name="40% - Accent2 2 2 2 5" xfId="3145"/>
    <cellStyle name="40% - Accent2 2 2 2 5 2" xfId="13627"/>
    <cellStyle name="40% - Accent2 2 2 2 5 2 2" xfId="27176"/>
    <cellStyle name="40% - Accent2 2 2 2 5 3" xfId="20470"/>
    <cellStyle name="40% - Accent2 2 2 2 6" xfId="3146"/>
    <cellStyle name="40% - Accent2 2 2 2 6 2" xfId="14208"/>
    <cellStyle name="40% - Accent2 2 2 2 6 2 2" xfId="27757"/>
    <cellStyle name="40% - Accent2 2 2 2 6 3" xfId="20471"/>
    <cellStyle name="40% - Accent2 2 2 2 7" xfId="3147"/>
    <cellStyle name="40% - Accent2 2 2 2 7 2" xfId="16094"/>
    <cellStyle name="40% - Accent2 2 2 2 7 2 2" xfId="29501"/>
    <cellStyle name="40% - Accent2 2 2 2 7 3" xfId="20472"/>
    <cellStyle name="40% - Accent2 2 2 2 8" xfId="9269"/>
    <cellStyle name="40% - Accent2 2 2 2 8 2" xfId="23744"/>
    <cellStyle name="40% - Accent2 2 2 2 9" xfId="20459"/>
    <cellStyle name="40% - Accent2 2 2 3" xfId="3148"/>
    <cellStyle name="40% - Accent2 2 2 3 2" xfId="3149"/>
    <cellStyle name="40% - Accent2 2 2 3 2 2" xfId="3150"/>
    <cellStyle name="40% - Accent2 2 2 3 2 2 2" xfId="16821"/>
    <cellStyle name="40% - Accent2 2 2 3 2 2 2 2" xfId="30228"/>
    <cellStyle name="40% - Accent2 2 2 3 2 2 3" xfId="20475"/>
    <cellStyle name="40% - Accent2 2 2 3 2 3" xfId="10998"/>
    <cellStyle name="40% - Accent2 2 2 3 2 3 2" xfId="24940"/>
    <cellStyle name="40% - Accent2 2 2 3 2 4" xfId="20474"/>
    <cellStyle name="40% - Accent2 2 2 3 3" xfId="3151"/>
    <cellStyle name="40% - Accent2 2 2 3 3 2" xfId="12209"/>
    <cellStyle name="40% - Accent2 2 2 3 3 2 2" xfId="25921"/>
    <cellStyle name="40% - Accent2 2 2 3 3 3" xfId="20476"/>
    <cellStyle name="40% - Accent2 2 2 3 4" xfId="3152"/>
    <cellStyle name="40% - Accent2 2 2 3 4 2" xfId="13773"/>
    <cellStyle name="40% - Accent2 2 2 3 4 2 2" xfId="27322"/>
    <cellStyle name="40% - Accent2 2 2 3 4 3" xfId="20477"/>
    <cellStyle name="40% - Accent2 2 2 3 5" xfId="3153"/>
    <cellStyle name="40% - Accent2 2 2 3 5 2" xfId="14354"/>
    <cellStyle name="40% - Accent2 2 2 3 5 2 2" xfId="27903"/>
    <cellStyle name="40% - Accent2 2 2 3 5 3" xfId="20478"/>
    <cellStyle name="40% - Accent2 2 2 3 6" xfId="3154"/>
    <cellStyle name="40% - Accent2 2 2 3 6 2" xfId="16240"/>
    <cellStyle name="40% - Accent2 2 2 3 6 2 2" xfId="29647"/>
    <cellStyle name="40% - Accent2 2 2 3 6 3" xfId="20479"/>
    <cellStyle name="40% - Accent2 2 2 3 7" xfId="9271"/>
    <cellStyle name="40% - Accent2 2 2 3 7 2" xfId="23746"/>
    <cellStyle name="40% - Accent2 2 2 3 8" xfId="20473"/>
    <cellStyle name="40% - Accent2 2 2 4" xfId="3155"/>
    <cellStyle name="40% - Accent2 2 2 4 2" xfId="3156"/>
    <cellStyle name="40% - Accent2 2 2 4 2 2" xfId="17168"/>
    <cellStyle name="40% - Accent2 2 2 4 2 2 2" xfId="30527"/>
    <cellStyle name="40% - Accent2 2 2 4 2 3" xfId="20481"/>
    <cellStyle name="40% - Accent2 2 2 4 3" xfId="10995"/>
    <cellStyle name="40% - Accent2 2 2 4 3 2" xfId="24937"/>
    <cellStyle name="40% - Accent2 2 2 4 4" xfId="20480"/>
    <cellStyle name="40% - Accent2 2 2 5" xfId="3157"/>
    <cellStyle name="40% - Accent2 2 2 5 2" xfId="3158"/>
    <cellStyle name="40% - Accent2 2 2 5 2 2" xfId="17257"/>
    <cellStyle name="40% - Accent2 2 2 5 2 2 2" xfId="30616"/>
    <cellStyle name="40% - Accent2 2 2 5 2 3" xfId="20483"/>
    <cellStyle name="40% - Accent2 2 2 5 3" xfId="11907"/>
    <cellStyle name="40% - Accent2 2 2 5 3 2" xfId="25622"/>
    <cellStyle name="40% - Accent2 2 2 5 4" xfId="20482"/>
    <cellStyle name="40% - Accent2 2 2 6" xfId="3159"/>
    <cellStyle name="40% - Accent2 2 2 6 2" xfId="3160"/>
    <cellStyle name="40% - Accent2 2 2 6 2 2" xfId="16532"/>
    <cellStyle name="40% - Accent2 2 2 6 2 2 2" xfId="29939"/>
    <cellStyle name="40% - Accent2 2 2 6 2 3" xfId="20485"/>
    <cellStyle name="40% - Accent2 2 2 6 3" xfId="13484"/>
    <cellStyle name="40% - Accent2 2 2 6 3 2" xfId="27033"/>
    <cellStyle name="40% - Accent2 2 2 6 4" xfId="20484"/>
    <cellStyle name="40% - Accent2 2 2 7" xfId="3161"/>
    <cellStyle name="40% - Accent2 2 2 7 2" xfId="14065"/>
    <cellStyle name="40% - Accent2 2 2 7 2 2" xfId="27614"/>
    <cellStyle name="40% - Accent2 2 2 7 3" xfId="20486"/>
    <cellStyle name="40% - Accent2 2 2 8" xfId="3162"/>
    <cellStyle name="40% - Accent2 2 2 8 2" xfId="15951"/>
    <cellStyle name="40% - Accent2 2 2 8 2 2" xfId="29358"/>
    <cellStyle name="40% - Accent2 2 2 8 3" xfId="20487"/>
    <cellStyle name="40% - Accent2 2 2 9" xfId="9268"/>
    <cellStyle name="40% - Accent2 2 2 9 2" xfId="23743"/>
    <cellStyle name="40% - Accent2 2 3" xfId="3163"/>
    <cellStyle name="40% - Accent2 2 3 2" xfId="3164"/>
    <cellStyle name="40% - Accent2 2 3 2 2" xfId="3165"/>
    <cellStyle name="40% - Accent2 2 3 2 2 2" xfId="3166"/>
    <cellStyle name="40% - Accent2 2 3 2 2 2 2" xfId="16918"/>
    <cellStyle name="40% - Accent2 2 3 2 2 2 2 2" xfId="30325"/>
    <cellStyle name="40% - Accent2 2 3 2 2 2 3" xfId="20491"/>
    <cellStyle name="40% - Accent2 2 3 2 2 3" xfId="11000"/>
    <cellStyle name="40% - Accent2 2 3 2 2 3 2" xfId="24942"/>
    <cellStyle name="40% - Accent2 2 3 2 2 4" xfId="20490"/>
    <cellStyle name="40% - Accent2 2 3 2 3" xfId="3167"/>
    <cellStyle name="40% - Accent2 2 3 2 3 2" xfId="12306"/>
    <cellStyle name="40% - Accent2 2 3 2 3 2 2" xfId="26018"/>
    <cellStyle name="40% - Accent2 2 3 2 3 3" xfId="20492"/>
    <cellStyle name="40% - Accent2 2 3 2 4" xfId="3168"/>
    <cellStyle name="40% - Accent2 2 3 2 4 2" xfId="13870"/>
    <cellStyle name="40% - Accent2 2 3 2 4 2 2" xfId="27419"/>
    <cellStyle name="40% - Accent2 2 3 2 4 3" xfId="20493"/>
    <cellStyle name="40% - Accent2 2 3 2 5" xfId="3169"/>
    <cellStyle name="40% - Accent2 2 3 2 5 2" xfId="14451"/>
    <cellStyle name="40% - Accent2 2 3 2 5 2 2" xfId="28000"/>
    <cellStyle name="40% - Accent2 2 3 2 5 3" xfId="20494"/>
    <cellStyle name="40% - Accent2 2 3 2 6" xfId="3170"/>
    <cellStyle name="40% - Accent2 2 3 2 6 2" xfId="16337"/>
    <cellStyle name="40% - Accent2 2 3 2 6 2 2" xfId="29744"/>
    <cellStyle name="40% - Accent2 2 3 2 6 3" xfId="20495"/>
    <cellStyle name="40% - Accent2 2 3 2 7" xfId="9273"/>
    <cellStyle name="40% - Accent2 2 3 2 7 2" xfId="23748"/>
    <cellStyle name="40% - Accent2 2 3 2 8" xfId="20489"/>
    <cellStyle name="40% - Accent2 2 3 3" xfId="3171"/>
    <cellStyle name="40% - Accent2 2 3 3 2" xfId="3172"/>
    <cellStyle name="40% - Accent2 2 3 3 2 2" xfId="16629"/>
    <cellStyle name="40% - Accent2 2 3 3 2 2 2" xfId="30036"/>
    <cellStyle name="40% - Accent2 2 3 3 2 3" xfId="20497"/>
    <cellStyle name="40% - Accent2 2 3 3 3" xfId="10999"/>
    <cellStyle name="40% - Accent2 2 3 3 3 2" xfId="24941"/>
    <cellStyle name="40% - Accent2 2 3 3 4" xfId="20496"/>
    <cellStyle name="40% - Accent2 2 3 4" xfId="3173"/>
    <cellStyle name="40% - Accent2 2 3 4 2" xfId="12006"/>
    <cellStyle name="40% - Accent2 2 3 4 2 2" xfId="25721"/>
    <cellStyle name="40% - Accent2 2 3 4 3" xfId="20498"/>
    <cellStyle name="40% - Accent2 2 3 5" xfId="3174"/>
    <cellStyle name="40% - Accent2 2 3 5 2" xfId="13581"/>
    <cellStyle name="40% - Accent2 2 3 5 2 2" xfId="27130"/>
    <cellStyle name="40% - Accent2 2 3 5 3" xfId="20499"/>
    <cellStyle name="40% - Accent2 2 3 6" xfId="3175"/>
    <cellStyle name="40% - Accent2 2 3 6 2" xfId="14162"/>
    <cellStyle name="40% - Accent2 2 3 6 2 2" xfId="27711"/>
    <cellStyle name="40% - Accent2 2 3 6 3" xfId="20500"/>
    <cellStyle name="40% - Accent2 2 3 7" xfId="3176"/>
    <cellStyle name="40% - Accent2 2 3 7 2" xfId="16048"/>
    <cellStyle name="40% - Accent2 2 3 7 2 2" xfId="29455"/>
    <cellStyle name="40% - Accent2 2 3 7 3" xfId="20501"/>
    <cellStyle name="40% - Accent2 2 3 8" xfId="9272"/>
    <cellStyle name="40% - Accent2 2 3 8 2" xfId="23747"/>
    <cellStyle name="40% - Accent2 2 3 9" xfId="20488"/>
    <cellStyle name="40% - Accent2 2 4" xfId="3177"/>
    <cellStyle name="40% - Accent2 2 4 2" xfId="3178"/>
    <cellStyle name="40% - Accent2 2 4 2 2" xfId="3179"/>
    <cellStyle name="40% - Accent2 2 4 2 2 2" xfId="16775"/>
    <cellStyle name="40% - Accent2 2 4 2 2 2 2" xfId="30182"/>
    <cellStyle name="40% - Accent2 2 4 2 2 3" xfId="20504"/>
    <cellStyle name="40% - Accent2 2 4 2 3" xfId="11001"/>
    <cellStyle name="40% - Accent2 2 4 2 3 2" xfId="24943"/>
    <cellStyle name="40% - Accent2 2 4 2 4" xfId="20503"/>
    <cellStyle name="40% - Accent2 2 4 3" xfId="3180"/>
    <cellStyle name="40% - Accent2 2 4 3 2" xfId="12163"/>
    <cellStyle name="40% - Accent2 2 4 3 2 2" xfId="25875"/>
    <cellStyle name="40% - Accent2 2 4 3 3" xfId="20505"/>
    <cellStyle name="40% - Accent2 2 4 4" xfId="3181"/>
    <cellStyle name="40% - Accent2 2 4 4 2" xfId="13727"/>
    <cellStyle name="40% - Accent2 2 4 4 2 2" xfId="27276"/>
    <cellStyle name="40% - Accent2 2 4 4 3" xfId="20506"/>
    <cellStyle name="40% - Accent2 2 4 5" xfId="3182"/>
    <cellStyle name="40% - Accent2 2 4 5 2" xfId="14308"/>
    <cellStyle name="40% - Accent2 2 4 5 2 2" xfId="27857"/>
    <cellStyle name="40% - Accent2 2 4 5 3" xfId="20507"/>
    <cellStyle name="40% - Accent2 2 4 6" xfId="3183"/>
    <cellStyle name="40% - Accent2 2 4 6 2" xfId="16194"/>
    <cellStyle name="40% - Accent2 2 4 6 2 2" xfId="29601"/>
    <cellStyle name="40% - Accent2 2 4 6 3" xfId="20508"/>
    <cellStyle name="40% - Accent2 2 4 7" xfId="9274"/>
    <cellStyle name="40% - Accent2 2 4 7 2" xfId="23749"/>
    <cellStyle name="40% - Accent2 2 4 8" xfId="20502"/>
    <cellStyle name="40% - Accent2 2 5" xfId="3184"/>
    <cellStyle name="40% - Accent2 2 5 2" xfId="3185"/>
    <cellStyle name="40% - Accent2 2 5 2 2" xfId="12622"/>
    <cellStyle name="40% - Accent2 2 5 2 2 2" xfId="26334"/>
    <cellStyle name="40% - Accent2 2 5 2 3" xfId="20510"/>
    <cellStyle name="40% - Accent2 2 5 3" xfId="3186"/>
    <cellStyle name="40% - Accent2 2 5 3 2" xfId="15165"/>
    <cellStyle name="40% - Accent2 2 5 3 2 2" xfId="28714"/>
    <cellStyle name="40% - Accent2 2 5 3 3" xfId="20511"/>
    <cellStyle name="40% - Accent2 2 5 4" xfId="3187"/>
    <cellStyle name="40% - Accent2 2 5 4 2" xfId="17014"/>
    <cellStyle name="40% - Accent2 2 5 4 2 2" xfId="30421"/>
    <cellStyle name="40% - Accent2 2 5 4 3" xfId="20512"/>
    <cellStyle name="40% - Accent2 2 5 5" xfId="10535"/>
    <cellStyle name="40% - Accent2 2 5 5 2" xfId="24477"/>
    <cellStyle name="40% - Accent2 2 5 6" xfId="20509"/>
    <cellStyle name="40% - Accent2 2 6" xfId="3188"/>
    <cellStyle name="40% - Accent2 2 6 2" xfId="3189"/>
    <cellStyle name="40% - Accent2 2 6 2 2" xfId="12739"/>
    <cellStyle name="40% - Accent2 2 6 2 2 2" xfId="26451"/>
    <cellStyle name="40% - Accent2 2 6 2 3" xfId="20514"/>
    <cellStyle name="40% - Accent2 2 6 3" xfId="3190"/>
    <cellStyle name="40% - Accent2 2 6 3 2" xfId="15166"/>
    <cellStyle name="40% - Accent2 2 6 3 2 2" xfId="28715"/>
    <cellStyle name="40% - Accent2 2 6 3 3" xfId="20515"/>
    <cellStyle name="40% - Accent2 2 6 4" xfId="3191"/>
    <cellStyle name="40% - Accent2 2 6 4 2" xfId="17122"/>
    <cellStyle name="40% - Accent2 2 6 4 2 2" xfId="30481"/>
    <cellStyle name="40% - Accent2 2 6 4 3" xfId="20516"/>
    <cellStyle name="40% - Accent2 2 6 5" xfId="10994"/>
    <cellStyle name="40% - Accent2 2 6 5 2" xfId="24936"/>
    <cellStyle name="40% - Accent2 2 6 6" xfId="20513"/>
    <cellStyle name="40% - Accent2 2 7" xfId="3192"/>
    <cellStyle name="40% - Accent2 2 7 2" xfId="3193"/>
    <cellStyle name="40% - Accent2 2 7 2 2" xfId="17211"/>
    <cellStyle name="40% - Accent2 2 7 2 2 2" xfId="30570"/>
    <cellStyle name="40% - Accent2 2 7 2 3" xfId="20518"/>
    <cellStyle name="40% - Accent2 2 7 3" xfId="11839"/>
    <cellStyle name="40% - Accent2 2 7 3 2" xfId="25554"/>
    <cellStyle name="40% - Accent2 2 7 4" xfId="20517"/>
    <cellStyle name="40% - Accent2 2 8" xfId="3194"/>
    <cellStyle name="40% - Accent2 2 8 2" xfId="3195"/>
    <cellStyle name="40% - Accent2 2 8 2 2" xfId="16486"/>
    <cellStyle name="40% - Accent2 2 8 2 2 2" xfId="29893"/>
    <cellStyle name="40% - Accent2 2 8 2 3" xfId="20520"/>
    <cellStyle name="40% - Accent2 2 8 3" xfId="13438"/>
    <cellStyle name="40% - Accent2 2 8 3 2" xfId="26987"/>
    <cellStyle name="40% - Accent2 2 8 4" xfId="20519"/>
    <cellStyle name="40% - Accent2 2 9" xfId="3196"/>
    <cellStyle name="40% - Accent2 2 9 2" xfId="14019"/>
    <cellStyle name="40% - Accent2 2 9 2 2" xfId="27568"/>
    <cellStyle name="40% - Accent2 2 9 3" xfId="20521"/>
    <cellStyle name="40% - Accent2 3" xfId="3197"/>
    <cellStyle name="40% - Accent2 3 10" xfId="20522"/>
    <cellStyle name="40% - Accent2 3 2" xfId="3198"/>
    <cellStyle name="40% - Accent2 3 2 2" xfId="3199"/>
    <cellStyle name="40% - Accent2 3 2 2 2" xfId="3200"/>
    <cellStyle name="40% - Accent2 3 2 2 2 2" xfId="3201"/>
    <cellStyle name="40% - Accent2 3 2 2 2 2 2" xfId="16941"/>
    <cellStyle name="40% - Accent2 3 2 2 2 2 2 2" xfId="30348"/>
    <cellStyle name="40% - Accent2 3 2 2 2 2 3" xfId="20526"/>
    <cellStyle name="40% - Accent2 3 2 2 2 3" xfId="11004"/>
    <cellStyle name="40% - Accent2 3 2 2 2 3 2" xfId="24946"/>
    <cellStyle name="40% - Accent2 3 2 2 2 4" xfId="20525"/>
    <cellStyle name="40% - Accent2 3 2 2 3" xfId="3202"/>
    <cellStyle name="40% - Accent2 3 2 2 3 2" xfId="12329"/>
    <cellStyle name="40% - Accent2 3 2 2 3 2 2" xfId="26041"/>
    <cellStyle name="40% - Accent2 3 2 2 3 3" xfId="20527"/>
    <cellStyle name="40% - Accent2 3 2 2 4" xfId="3203"/>
    <cellStyle name="40% - Accent2 3 2 2 4 2" xfId="13893"/>
    <cellStyle name="40% - Accent2 3 2 2 4 2 2" xfId="27442"/>
    <cellStyle name="40% - Accent2 3 2 2 4 3" xfId="20528"/>
    <cellStyle name="40% - Accent2 3 2 2 5" xfId="3204"/>
    <cellStyle name="40% - Accent2 3 2 2 5 2" xfId="14474"/>
    <cellStyle name="40% - Accent2 3 2 2 5 2 2" xfId="28023"/>
    <cellStyle name="40% - Accent2 3 2 2 5 3" xfId="20529"/>
    <cellStyle name="40% - Accent2 3 2 2 6" xfId="3205"/>
    <cellStyle name="40% - Accent2 3 2 2 6 2" xfId="16360"/>
    <cellStyle name="40% - Accent2 3 2 2 6 2 2" xfId="29767"/>
    <cellStyle name="40% - Accent2 3 2 2 6 3" xfId="20530"/>
    <cellStyle name="40% - Accent2 3 2 2 7" xfId="9277"/>
    <cellStyle name="40% - Accent2 3 2 2 7 2" xfId="23752"/>
    <cellStyle name="40% - Accent2 3 2 2 8" xfId="20524"/>
    <cellStyle name="40% - Accent2 3 2 3" xfId="3206"/>
    <cellStyle name="40% - Accent2 3 2 3 2" xfId="3207"/>
    <cellStyle name="40% - Accent2 3 2 3 2 2" xfId="16652"/>
    <cellStyle name="40% - Accent2 3 2 3 2 2 2" xfId="30059"/>
    <cellStyle name="40% - Accent2 3 2 3 2 3" xfId="20532"/>
    <cellStyle name="40% - Accent2 3 2 3 3" xfId="11003"/>
    <cellStyle name="40% - Accent2 3 2 3 3 2" xfId="24945"/>
    <cellStyle name="40% - Accent2 3 2 3 4" xfId="20531"/>
    <cellStyle name="40% - Accent2 3 2 4" xfId="3208"/>
    <cellStyle name="40% - Accent2 3 2 4 2" xfId="12029"/>
    <cellStyle name="40% - Accent2 3 2 4 2 2" xfId="25744"/>
    <cellStyle name="40% - Accent2 3 2 4 3" xfId="20533"/>
    <cellStyle name="40% - Accent2 3 2 5" xfId="3209"/>
    <cellStyle name="40% - Accent2 3 2 5 2" xfId="13604"/>
    <cellStyle name="40% - Accent2 3 2 5 2 2" xfId="27153"/>
    <cellStyle name="40% - Accent2 3 2 5 3" xfId="20534"/>
    <cellStyle name="40% - Accent2 3 2 6" xfId="3210"/>
    <cellStyle name="40% - Accent2 3 2 6 2" xfId="14185"/>
    <cellStyle name="40% - Accent2 3 2 6 2 2" xfId="27734"/>
    <cellStyle name="40% - Accent2 3 2 6 3" xfId="20535"/>
    <cellStyle name="40% - Accent2 3 2 7" xfId="3211"/>
    <cellStyle name="40% - Accent2 3 2 7 2" xfId="16071"/>
    <cellStyle name="40% - Accent2 3 2 7 2 2" xfId="29478"/>
    <cellStyle name="40% - Accent2 3 2 7 3" xfId="20536"/>
    <cellStyle name="40% - Accent2 3 2 8" xfId="9276"/>
    <cellStyle name="40% - Accent2 3 2 8 2" xfId="23751"/>
    <cellStyle name="40% - Accent2 3 2 9" xfId="20523"/>
    <cellStyle name="40% - Accent2 3 3" xfId="3212"/>
    <cellStyle name="40% - Accent2 3 3 2" xfId="3213"/>
    <cellStyle name="40% - Accent2 3 3 2 2" xfId="3214"/>
    <cellStyle name="40% - Accent2 3 3 2 2 2" xfId="16798"/>
    <cellStyle name="40% - Accent2 3 3 2 2 2 2" xfId="30205"/>
    <cellStyle name="40% - Accent2 3 3 2 2 3" xfId="20539"/>
    <cellStyle name="40% - Accent2 3 3 2 3" xfId="11005"/>
    <cellStyle name="40% - Accent2 3 3 2 3 2" xfId="24947"/>
    <cellStyle name="40% - Accent2 3 3 2 4" xfId="20538"/>
    <cellStyle name="40% - Accent2 3 3 3" xfId="3215"/>
    <cellStyle name="40% - Accent2 3 3 3 2" xfId="12186"/>
    <cellStyle name="40% - Accent2 3 3 3 2 2" xfId="25898"/>
    <cellStyle name="40% - Accent2 3 3 3 3" xfId="20540"/>
    <cellStyle name="40% - Accent2 3 3 4" xfId="3216"/>
    <cellStyle name="40% - Accent2 3 3 4 2" xfId="13750"/>
    <cellStyle name="40% - Accent2 3 3 4 2 2" xfId="27299"/>
    <cellStyle name="40% - Accent2 3 3 4 3" xfId="20541"/>
    <cellStyle name="40% - Accent2 3 3 5" xfId="3217"/>
    <cellStyle name="40% - Accent2 3 3 5 2" xfId="14331"/>
    <cellStyle name="40% - Accent2 3 3 5 2 2" xfId="27880"/>
    <cellStyle name="40% - Accent2 3 3 5 3" xfId="20542"/>
    <cellStyle name="40% - Accent2 3 3 6" xfId="3218"/>
    <cellStyle name="40% - Accent2 3 3 6 2" xfId="16217"/>
    <cellStyle name="40% - Accent2 3 3 6 2 2" xfId="29624"/>
    <cellStyle name="40% - Accent2 3 3 6 3" xfId="20543"/>
    <cellStyle name="40% - Accent2 3 3 7" xfId="9278"/>
    <cellStyle name="40% - Accent2 3 3 7 2" xfId="23753"/>
    <cellStyle name="40% - Accent2 3 3 8" xfId="20537"/>
    <cellStyle name="40% - Accent2 3 4" xfId="3219"/>
    <cellStyle name="40% - Accent2 3 4 2" xfId="3220"/>
    <cellStyle name="40% - Accent2 3 4 2 2" xfId="17145"/>
    <cellStyle name="40% - Accent2 3 4 2 2 2" xfId="30504"/>
    <cellStyle name="40% - Accent2 3 4 2 3" xfId="20545"/>
    <cellStyle name="40% - Accent2 3 4 3" xfId="11002"/>
    <cellStyle name="40% - Accent2 3 4 3 2" xfId="24944"/>
    <cellStyle name="40% - Accent2 3 4 4" xfId="20544"/>
    <cellStyle name="40% - Accent2 3 5" xfId="3221"/>
    <cellStyle name="40% - Accent2 3 5 2" xfId="3222"/>
    <cellStyle name="40% - Accent2 3 5 2 2" xfId="17234"/>
    <cellStyle name="40% - Accent2 3 5 2 2 2" xfId="30593"/>
    <cellStyle name="40% - Accent2 3 5 2 3" xfId="20547"/>
    <cellStyle name="40% - Accent2 3 5 3" xfId="11881"/>
    <cellStyle name="40% - Accent2 3 5 3 2" xfId="25596"/>
    <cellStyle name="40% - Accent2 3 5 4" xfId="20546"/>
    <cellStyle name="40% - Accent2 3 6" xfId="3223"/>
    <cellStyle name="40% - Accent2 3 6 2" xfId="3224"/>
    <cellStyle name="40% - Accent2 3 6 2 2" xfId="16509"/>
    <cellStyle name="40% - Accent2 3 6 2 2 2" xfId="29916"/>
    <cellStyle name="40% - Accent2 3 6 2 3" xfId="20549"/>
    <cellStyle name="40% - Accent2 3 6 3" xfId="13461"/>
    <cellStyle name="40% - Accent2 3 6 3 2" xfId="27010"/>
    <cellStyle name="40% - Accent2 3 6 4" xfId="20548"/>
    <cellStyle name="40% - Accent2 3 7" xfId="3225"/>
    <cellStyle name="40% - Accent2 3 7 2" xfId="14042"/>
    <cellStyle name="40% - Accent2 3 7 2 2" xfId="27591"/>
    <cellStyle name="40% - Accent2 3 7 3" xfId="20550"/>
    <cellStyle name="40% - Accent2 3 8" xfId="3226"/>
    <cellStyle name="40% - Accent2 3 8 2" xfId="15928"/>
    <cellStyle name="40% - Accent2 3 8 2 2" xfId="29335"/>
    <cellStyle name="40% - Accent2 3 8 3" xfId="20551"/>
    <cellStyle name="40% - Accent2 3 9" xfId="9275"/>
    <cellStyle name="40% - Accent2 3 9 2" xfId="23750"/>
    <cellStyle name="40% - Accent2 4" xfId="3227"/>
    <cellStyle name="40% - Accent2 4 10" xfId="20552"/>
    <cellStyle name="40% - Accent2 4 2" xfId="3228"/>
    <cellStyle name="40% - Accent2 4 2 2" xfId="3229"/>
    <cellStyle name="40% - Accent2 4 2 2 2" xfId="3230"/>
    <cellStyle name="40% - Accent2 4 2 2 2 2" xfId="3231"/>
    <cellStyle name="40% - Accent2 4 2 2 2 2 2" xfId="16899"/>
    <cellStyle name="40% - Accent2 4 2 2 2 2 2 2" xfId="30306"/>
    <cellStyle name="40% - Accent2 4 2 2 2 2 3" xfId="20556"/>
    <cellStyle name="40% - Accent2 4 2 2 2 3" xfId="11008"/>
    <cellStyle name="40% - Accent2 4 2 2 2 3 2" xfId="24950"/>
    <cellStyle name="40% - Accent2 4 2 2 2 4" xfId="20555"/>
    <cellStyle name="40% - Accent2 4 2 2 3" xfId="3232"/>
    <cellStyle name="40% - Accent2 4 2 2 3 2" xfId="12287"/>
    <cellStyle name="40% - Accent2 4 2 2 3 2 2" xfId="25999"/>
    <cellStyle name="40% - Accent2 4 2 2 3 3" xfId="20557"/>
    <cellStyle name="40% - Accent2 4 2 2 4" xfId="3233"/>
    <cellStyle name="40% - Accent2 4 2 2 4 2" xfId="13851"/>
    <cellStyle name="40% - Accent2 4 2 2 4 2 2" xfId="27400"/>
    <cellStyle name="40% - Accent2 4 2 2 4 3" xfId="20558"/>
    <cellStyle name="40% - Accent2 4 2 2 5" xfId="3234"/>
    <cellStyle name="40% - Accent2 4 2 2 5 2" xfId="14432"/>
    <cellStyle name="40% - Accent2 4 2 2 5 2 2" xfId="27981"/>
    <cellStyle name="40% - Accent2 4 2 2 5 3" xfId="20559"/>
    <cellStyle name="40% - Accent2 4 2 2 6" xfId="3235"/>
    <cellStyle name="40% - Accent2 4 2 2 6 2" xfId="16318"/>
    <cellStyle name="40% - Accent2 4 2 2 6 2 2" xfId="29725"/>
    <cellStyle name="40% - Accent2 4 2 2 6 3" xfId="20560"/>
    <cellStyle name="40% - Accent2 4 2 2 7" xfId="9281"/>
    <cellStyle name="40% - Accent2 4 2 2 7 2" xfId="23756"/>
    <cellStyle name="40% - Accent2 4 2 2 8" xfId="20554"/>
    <cellStyle name="40% - Accent2 4 2 3" xfId="3236"/>
    <cellStyle name="40% - Accent2 4 2 3 2" xfId="3237"/>
    <cellStyle name="40% - Accent2 4 2 3 2 2" xfId="16610"/>
    <cellStyle name="40% - Accent2 4 2 3 2 2 2" xfId="30017"/>
    <cellStyle name="40% - Accent2 4 2 3 2 3" xfId="20562"/>
    <cellStyle name="40% - Accent2 4 2 3 3" xfId="11007"/>
    <cellStyle name="40% - Accent2 4 2 3 3 2" xfId="24949"/>
    <cellStyle name="40% - Accent2 4 2 3 4" xfId="20561"/>
    <cellStyle name="40% - Accent2 4 2 4" xfId="3238"/>
    <cellStyle name="40% - Accent2 4 2 4 2" xfId="11987"/>
    <cellStyle name="40% - Accent2 4 2 4 2 2" xfId="25702"/>
    <cellStyle name="40% - Accent2 4 2 4 3" xfId="20563"/>
    <cellStyle name="40% - Accent2 4 2 5" xfId="3239"/>
    <cellStyle name="40% - Accent2 4 2 5 2" xfId="13562"/>
    <cellStyle name="40% - Accent2 4 2 5 2 2" xfId="27111"/>
    <cellStyle name="40% - Accent2 4 2 5 3" xfId="20564"/>
    <cellStyle name="40% - Accent2 4 2 6" xfId="3240"/>
    <cellStyle name="40% - Accent2 4 2 6 2" xfId="14143"/>
    <cellStyle name="40% - Accent2 4 2 6 2 2" xfId="27692"/>
    <cellStyle name="40% - Accent2 4 2 6 3" xfId="20565"/>
    <cellStyle name="40% - Accent2 4 2 7" xfId="3241"/>
    <cellStyle name="40% - Accent2 4 2 7 2" xfId="16029"/>
    <cellStyle name="40% - Accent2 4 2 7 2 2" xfId="29436"/>
    <cellStyle name="40% - Accent2 4 2 7 3" xfId="20566"/>
    <cellStyle name="40% - Accent2 4 2 8" xfId="9280"/>
    <cellStyle name="40% - Accent2 4 2 8 2" xfId="23755"/>
    <cellStyle name="40% - Accent2 4 2 9" xfId="20553"/>
    <cellStyle name="40% - Accent2 4 3" xfId="3242"/>
    <cellStyle name="40% - Accent2 4 3 2" xfId="3243"/>
    <cellStyle name="40% - Accent2 4 3 2 2" xfId="3244"/>
    <cellStyle name="40% - Accent2 4 3 2 2 2" xfId="16759"/>
    <cellStyle name="40% - Accent2 4 3 2 2 2 2" xfId="30166"/>
    <cellStyle name="40% - Accent2 4 3 2 2 3" xfId="20569"/>
    <cellStyle name="40% - Accent2 4 3 2 3" xfId="11009"/>
    <cellStyle name="40% - Accent2 4 3 2 3 2" xfId="24951"/>
    <cellStyle name="40% - Accent2 4 3 2 4" xfId="20568"/>
    <cellStyle name="40% - Accent2 4 3 3" xfId="3245"/>
    <cellStyle name="40% - Accent2 4 3 3 2" xfId="12147"/>
    <cellStyle name="40% - Accent2 4 3 3 2 2" xfId="25859"/>
    <cellStyle name="40% - Accent2 4 3 3 3" xfId="20570"/>
    <cellStyle name="40% - Accent2 4 3 4" xfId="3246"/>
    <cellStyle name="40% - Accent2 4 3 4 2" xfId="13711"/>
    <cellStyle name="40% - Accent2 4 3 4 2 2" xfId="27260"/>
    <cellStyle name="40% - Accent2 4 3 4 3" xfId="20571"/>
    <cellStyle name="40% - Accent2 4 3 5" xfId="3247"/>
    <cellStyle name="40% - Accent2 4 3 5 2" xfId="14292"/>
    <cellStyle name="40% - Accent2 4 3 5 2 2" xfId="27841"/>
    <cellStyle name="40% - Accent2 4 3 5 3" xfId="20572"/>
    <cellStyle name="40% - Accent2 4 3 6" xfId="3248"/>
    <cellStyle name="40% - Accent2 4 3 6 2" xfId="16178"/>
    <cellStyle name="40% - Accent2 4 3 6 2 2" xfId="29585"/>
    <cellStyle name="40% - Accent2 4 3 6 3" xfId="20573"/>
    <cellStyle name="40% - Accent2 4 3 7" xfId="9282"/>
    <cellStyle name="40% - Accent2 4 3 7 2" xfId="23757"/>
    <cellStyle name="40% - Accent2 4 3 8" xfId="20567"/>
    <cellStyle name="40% - Accent2 4 4" xfId="3249"/>
    <cellStyle name="40% - Accent2 4 4 2" xfId="3250"/>
    <cellStyle name="40% - Accent2 4 4 2 2" xfId="16467"/>
    <cellStyle name="40% - Accent2 4 4 2 2 2" xfId="29874"/>
    <cellStyle name="40% - Accent2 4 4 2 3" xfId="20575"/>
    <cellStyle name="40% - Accent2 4 4 3" xfId="11006"/>
    <cellStyle name="40% - Accent2 4 4 3 2" xfId="24948"/>
    <cellStyle name="40% - Accent2 4 4 4" xfId="20574"/>
    <cellStyle name="40% - Accent2 4 5" xfId="3251"/>
    <cellStyle name="40% - Accent2 4 5 2" xfId="11818"/>
    <cellStyle name="40% - Accent2 4 5 2 2" xfId="25533"/>
    <cellStyle name="40% - Accent2 4 5 3" xfId="20576"/>
    <cellStyle name="40% - Accent2 4 6" xfId="3252"/>
    <cellStyle name="40% - Accent2 4 6 2" xfId="13419"/>
    <cellStyle name="40% - Accent2 4 6 2 2" xfId="26968"/>
    <cellStyle name="40% - Accent2 4 6 3" xfId="20577"/>
    <cellStyle name="40% - Accent2 4 7" xfId="3253"/>
    <cellStyle name="40% - Accent2 4 7 2" xfId="14000"/>
    <cellStyle name="40% - Accent2 4 7 2 2" xfId="27549"/>
    <cellStyle name="40% - Accent2 4 7 3" xfId="20578"/>
    <cellStyle name="40% - Accent2 4 8" xfId="3254"/>
    <cellStyle name="40% - Accent2 4 8 2" xfId="15886"/>
    <cellStyle name="40% - Accent2 4 8 2 2" xfId="29293"/>
    <cellStyle name="40% - Accent2 4 8 3" xfId="20579"/>
    <cellStyle name="40% - Accent2 4 9" xfId="9279"/>
    <cellStyle name="40% - Accent2 4 9 2" xfId="23754"/>
    <cellStyle name="40% - Accent2 5" xfId="3255"/>
    <cellStyle name="40% - Accent2 5 10" xfId="20580"/>
    <cellStyle name="40% - Accent2 5 2" xfId="3256"/>
    <cellStyle name="40% - Accent2 5 2 2" xfId="3257"/>
    <cellStyle name="40% - Accent2 5 2 2 2" xfId="3258"/>
    <cellStyle name="40% - Accent2 5 2 2 2 2" xfId="3259"/>
    <cellStyle name="40% - Accent2 5 2 2 2 2 2" xfId="16882"/>
    <cellStyle name="40% - Accent2 5 2 2 2 2 2 2" xfId="30289"/>
    <cellStyle name="40% - Accent2 5 2 2 2 2 3" xfId="20584"/>
    <cellStyle name="40% - Accent2 5 2 2 2 3" xfId="11012"/>
    <cellStyle name="40% - Accent2 5 2 2 2 3 2" xfId="24954"/>
    <cellStyle name="40% - Accent2 5 2 2 2 4" xfId="20583"/>
    <cellStyle name="40% - Accent2 5 2 2 3" xfId="3260"/>
    <cellStyle name="40% - Accent2 5 2 2 3 2" xfId="12270"/>
    <cellStyle name="40% - Accent2 5 2 2 3 2 2" xfId="25982"/>
    <cellStyle name="40% - Accent2 5 2 2 3 3" xfId="20585"/>
    <cellStyle name="40% - Accent2 5 2 2 4" xfId="3261"/>
    <cellStyle name="40% - Accent2 5 2 2 4 2" xfId="13834"/>
    <cellStyle name="40% - Accent2 5 2 2 4 2 2" xfId="27383"/>
    <cellStyle name="40% - Accent2 5 2 2 4 3" xfId="20586"/>
    <cellStyle name="40% - Accent2 5 2 2 5" xfId="3262"/>
    <cellStyle name="40% - Accent2 5 2 2 5 2" xfId="14415"/>
    <cellStyle name="40% - Accent2 5 2 2 5 2 2" xfId="27964"/>
    <cellStyle name="40% - Accent2 5 2 2 5 3" xfId="20587"/>
    <cellStyle name="40% - Accent2 5 2 2 6" xfId="3263"/>
    <cellStyle name="40% - Accent2 5 2 2 6 2" xfId="16301"/>
    <cellStyle name="40% - Accent2 5 2 2 6 2 2" xfId="29708"/>
    <cellStyle name="40% - Accent2 5 2 2 6 3" xfId="20588"/>
    <cellStyle name="40% - Accent2 5 2 2 7" xfId="9285"/>
    <cellStyle name="40% - Accent2 5 2 2 7 2" xfId="23760"/>
    <cellStyle name="40% - Accent2 5 2 2 8" xfId="20582"/>
    <cellStyle name="40% - Accent2 5 2 3" xfId="3264"/>
    <cellStyle name="40% - Accent2 5 2 3 2" xfId="3265"/>
    <cellStyle name="40% - Accent2 5 2 3 2 2" xfId="16593"/>
    <cellStyle name="40% - Accent2 5 2 3 2 2 2" xfId="30000"/>
    <cellStyle name="40% - Accent2 5 2 3 2 3" xfId="20590"/>
    <cellStyle name="40% - Accent2 5 2 3 3" xfId="11011"/>
    <cellStyle name="40% - Accent2 5 2 3 3 2" xfId="24953"/>
    <cellStyle name="40% - Accent2 5 2 3 4" xfId="20589"/>
    <cellStyle name="40% - Accent2 5 2 4" xfId="3266"/>
    <cellStyle name="40% - Accent2 5 2 4 2" xfId="11970"/>
    <cellStyle name="40% - Accent2 5 2 4 2 2" xfId="25685"/>
    <cellStyle name="40% - Accent2 5 2 4 3" xfId="20591"/>
    <cellStyle name="40% - Accent2 5 2 5" xfId="3267"/>
    <cellStyle name="40% - Accent2 5 2 5 2" xfId="13545"/>
    <cellStyle name="40% - Accent2 5 2 5 2 2" xfId="27094"/>
    <cellStyle name="40% - Accent2 5 2 5 3" xfId="20592"/>
    <cellStyle name="40% - Accent2 5 2 6" xfId="3268"/>
    <cellStyle name="40% - Accent2 5 2 6 2" xfId="14126"/>
    <cellStyle name="40% - Accent2 5 2 6 2 2" xfId="27675"/>
    <cellStyle name="40% - Accent2 5 2 6 3" xfId="20593"/>
    <cellStyle name="40% - Accent2 5 2 7" xfId="3269"/>
    <cellStyle name="40% - Accent2 5 2 7 2" xfId="16012"/>
    <cellStyle name="40% - Accent2 5 2 7 2 2" xfId="29419"/>
    <cellStyle name="40% - Accent2 5 2 7 3" xfId="20594"/>
    <cellStyle name="40% - Accent2 5 2 8" xfId="9284"/>
    <cellStyle name="40% - Accent2 5 2 8 2" xfId="23759"/>
    <cellStyle name="40% - Accent2 5 2 9" xfId="20581"/>
    <cellStyle name="40% - Accent2 5 3" xfId="3270"/>
    <cellStyle name="40% - Accent2 5 3 2" xfId="3271"/>
    <cellStyle name="40% - Accent2 5 3 2 2" xfId="3272"/>
    <cellStyle name="40% - Accent2 5 3 2 2 2" xfId="16742"/>
    <cellStyle name="40% - Accent2 5 3 2 2 2 2" xfId="30149"/>
    <cellStyle name="40% - Accent2 5 3 2 2 3" xfId="20597"/>
    <cellStyle name="40% - Accent2 5 3 2 3" xfId="11013"/>
    <cellStyle name="40% - Accent2 5 3 2 3 2" xfId="24955"/>
    <cellStyle name="40% - Accent2 5 3 2 4" xfId="20596"/>
    <cellStyle name="40% - Accent2 5 3 3" xfId="3273"/>
    <cellStyle name="40% - Accent2 5 3 3 2" xfId="12130"/>
    <cellStyle name="40% - Accent2 5 3 3 2 2" xfId="25842"/>
    <cellStyle name="40% - Accent2 5 3 3 3" xfId="20598"/>
    <cellStyle name="40% - Accent2 5 3 4" xfId="3274"/>
    <cellStyle name="40% - Accent2 5 3 4 2" xfId="13694"/>
    <cellStyle name="40% - Accent2 5 3 4 2 2" xfId="27243"/>
    <cellStyle name="40% - Accent2 5 3 4 3" xfId="20599"/>
    <cellStyle name="40% - Accent2 5 3 5" xfId="3275"/>
    <cellStyle name="40% - Accent2 5 3 5 2" xfId="14275"/>
    <cellStyle name="40% - Accent2 5 3 5 2 2" xfId="27824"/>
    <cellStyle name="40% - Accent2 5 3 5 3" xfId="20600"/>
    <cellStyle name="40% - Accent2 5 3 6" xfId="3276"/>
    <cellStyle name="40% - Accent2 5 3 6 2" xfId="16161"/>
    <cellStyle name="40% - Accent2 5 3 6 2 2" xfId="29568"/>
    <cellStyle name="40% - Accent2 5 3 6 3" xfId="20601"/>
    <cellStyle name="40% - Accent2 5 3 7" xfId="9286"/>
    <cellStyle name="40% - Accent2 5 3 7 2" xfId="23761"/>
    <cellStyle name="40% - Accent2 5 3 8" xfId="20595"/>
    <cellStyle name="40% - Accent2 5 4" xfId="3277"/>
    <cellStyle name="40% - Accent2 5 4 2" xfId="3278"/>
    <cellStyle name="40% - Accent2 5 4 2 2" xfId="16450"/>
    <cellStyle name="40% - Accent2 5 4 2 2 2" xfId="29857"/>
    <cellStyle name="40% - Accent2 5 4 2 3" xfId="20603"/>
    <cellStyle name="40% - Accent2 5 4 3" xfId="11010"/>
    <cellStyle name="40% - Accent2 5 4 3 2" xfId="24952"/>
    <cellStyle name="40% - Accent2 5 4 4" xfId="20602"/>
    <cellStyle name="40% - Accent2 5 5" xfId="3279"/>
    <cellStyle name="40% - Accent2 5 5 2" xfId="11801"/>
    <cellStyle name="40% - Accent2 5 5 2 2" xfId="25516"/>
    <cellStyle name="40% - Accent2 5 5 3" xfId="20604"/>
    <cellStyle name="40% - Accent2 5 6" xfId="3280"/>
    <cellStyle name="40% - Accent2 5 6 2" xfId="13402"/>
    <cellStyle name="40% - Accent2 5 6 2 2" xfId="26951"/>
    <cellStyle name="40% - Accent2 5 6 3" xfId="20605"/>
    <cellStyle name="40% - Accent2 5 7" xfId="3281"/>
    <cellStyle name="40% - Accent2 5 7 2" xfId="13983"/>
    <cellStyle name="40% - Accent2 5 7 2 2" xfId="27532"/>
    <cellStyle name="40% - Accent2 5 7 3" xfId="20606"/>
    <cellStyle name="40% - Accent2 5 8" xfId="3282"/>
    <cellStyle name="40% - Accent2 5 8 2" xfId="15869"/>
    <cellStyle name="40% - Accent2 5 8 2 2" xfId="29276"/>
    <cellStyle name="40% - Accent2 5 8 3" xfId="20607"/>
    <cellStyle name="40% - Accent2 5 9" xfId="9283"/>
    <cellStyle name="40% - Accent2 5 9 2" xfId="23758"/>
    <cellStyle name="40% - Accent2 6" xfId="3283"/>
    <cellStyle name="40% - Accent2 6 10" xfId="20608"/>
    <cellStyle name="40% - Accent2 6 2" xfId="3284"/>
    <cellStyle name="40% - Accent2 6 2 2" xfId="3285"/>
    <cellStyle name="40% - Accent2 6 2 2 2" xfId="3286"/>
    <cellStyle name="40% - Accent2 6 2 2 2 2" xfId="3287"/>
    <cellStyle name="40% - Accent2 6 2 2 2 2 2" xfId="16988"/>
    <cellStyle name="40% - Accent2 6 2 2 2 2 2 2" xfId="30395"/>
    <cellStyle name="40% - Accent2 6 2 2 2 2 3" xfId="20612"/>
    <cellStyle name="40% - Accent2 6 2 2 2 3" xfId="11016"/>
    <cellStyle name="40% - Accent2 6 2 2 2 3 2" xfId="24958"/>
    <cellStyle name="40% - Accent2 6 2 2 2 4" xfId="20611"/>
    <cellStyle name="40% - Accent2 6 2 2 3" xfId="3288"/>
    <cellStyle name="40% - Accent2 6 2 2 3 2" xfId="12376"/>
    <cellStyle name="40% - Accent2 6 2 2 3 2 2" xfId="26088"/>
    <cellStyle name="40% - Accent2 6 2 2 3 3" xfId="20613"/>
    <cellStyle name="40% - Accent2 6 2 2 4" xfId="3289"/>
    <cellStyle name="40% - Accent2 6 2 2 4 2" xfId="13940"/>
    <cellStyle name="40% - Accent2 6 2 2 4 2 2" xfId="27489"/>
    <cellStyle name="40% - Accent2 6 2 2 4 3" xfId="20614"/>
    <cellStyle name="40% - Accent2 6 2 2 5" xfId="3290"/>
    <cellStyle name="40% - Accent2 6 2 2 5 2" xfId="14521"/>
    <cellStyle name="40% - Accent2 6 2 2 5 2 2" xfId="28070"/>
    <cellStyle name="40% - Accent2 6 2 2 5 3" xfId="20615"/>
    <cellStyle name="40% - Accent2 6 2 2 6" xfId="3291"/>
    <cellStyle name="40% - Accent2 6 2 2 6 2" xfId="16407"/>
    <cellStyle name="40% - Accent2 6 2 2 6 2 2" xfId="29814"/>
    <cellStyle name="40% - Accent2 6 2 2 6 3" xfId="20616"/>
    <cellStyle name="40% - Accent2 6 2 2 7" xfId="9289"/>
    <cellStyle name="40% - Accent2 6 2 2 7 2" xfId="23764"/>
    <cellStyle name="40% - Accent2 6 2 2 8" xfId="20610"/>
    <cellStyle name="40% - Accent2 6 2 3" xfId="3292"/>
    <cellStyle name="40% - Accent2 6 2 3 2" xfId="3293"/>
    <cellStyle name="40% - Accent2 6 2 3 2 2" xfId="16699"/>
    <cellStyle name="40% - Accent2 6 2 3 2 2 2" xfId="30106"/>
    <cellStyle name="40% - Accent2 6 2 3 2 3" xfId="20618"/>
    <cellStyle name="40% - Accent2 6 2 3 3" xfId="11015"/>
    <cellStyle name="40% - Accent2 6 2 3 3 2" xfId="24957"/>
    <cellStyle name="40% - Accent2 6 2 3 4" xfId="20617"/>
    <cellStyle name="40% - Accent2 6 2 4" xfId="3294"/>
    <cellStyle name="40% - Accent2 6 2 4 2" xfId="12076"/>
    <cellStyle name="40% - Accent2 6 2 4 2 2" xfId="25791"/>
    <cellStyle name="40% - Accent2 6 2 4 3" xfId="20619"/>
    <cellStyle name="40% - Accent2 6 2 5" xfId="3295"/>
    <cellStyle name="40% - Accent2 6 2 5 2" xfId="13651"/>
    <cellStyle name="40% - Accent2 6 2 5 2 2" xfId="27200"/>
    <cellStyle name="40% - Accent2 6 2 5 3" xfId="20620"/>
    <cellStyle name="40% - Accent2 6 2 6" xfId="3296"/>
    <cellStyle name="40% - Accent2 6 2 6 2" xfId="14232"/>
    <cellStyle name="40% - Accent2 6 2 6 2 2" xfId="27781"/>
    <cellStyle name="40% - Accent2 6 2 6 3" xfId="20621"/>
    <cellStyle name="40% - Accent2 6 2 7" xfId="3297"/>
    <cellStyle name="40% - Accent2 6 2 7 2" xfId="16118"/>
    <cellStyle name="40% - Accent2 6 2 7 2 2" xfId="29525"/>
    <cellStyle name="40% - Accent2 6 2 7 3" xfId="20622"/>
    <cellStyle name="40% - Accent2 6 2 8" xfId="9288"/>
    <cellStyle name="40% - Accent2 6 2 8 2" xfId="23763"/>
    <cellStyle name="40% - Accent2 6 2 9" xfId="20609"/>
    <cellStyle name="40% - Accent2 6 3" xfId="3298"/>
    <cellStyle name="40% - Accent2 6 3 2" xfId="3299"/>
    <cellStyle name="40% - Accent2 6 3 2 2" xfId="3300"/>
    <cellStyle name="40% - Accent2 6 3 2 2 2" xfId="16845"/>
    <cellStyle name="40% - Accent2 6 3 2 2 2 2" xfId="30252"/>
    <cellStyle name="40% - Accent2 6 3 2 2 3" xfId="20625"/>
    <cellStyle name="40% - Accent2 6 3 2 3" xfId="11017"/>
    <cellStyle name="40% - Accent2 6 3 2 3 2" xfId="24959"/>
    <cellStyle name="40% - Accent2 6 3 2 4" xfId="20624"/>
    <cellStyle name="40% - Accent2 6 3 3" xfId="3301"/>
    <cellStyle name="40% - Accent2 6 3 3 2" xfId="12233"/>
    <cellStyle name="40% - Accent2 6 3 3 2 2" xfId="25945"/>
    <cellStyle name="40% - Accent2 6 3 3 3" xfId="20626"/>
    <cellStyle name="40% - Accent2 6 3 4" xfId="3302"/>
    <cellStyle name="40% - Accent2 6 3 4 2" xfId="13797"/>
    <cellStyle name="40% - Accent2 6 3 4 2 2" xfId="27346"/>
    <cellStyle name="40% - Accent2 6 3 4 3" xfId="20627"/>
    <cellStyle name="40% - Accent2 6 3 5" xfId="3303"/>
    <cellStyle name="40% - Accent2 6 3 5 2" xfId="14378"/>
    <cellStyle name="40% - Accent2 6 3 5 2 2" xfId="27927"/>
    <cellStyle name="40% - Accent2 6 3 5 3" xfId="20628"/>
    <cellStyle name="40% - Accent2 6 3 6" xfId="3304"/>
    <cellStyle name="40% - Accent2 6 3 6 2" xfId="16264"/>
    <cellStyle name="40% - Accent2 6 3 6 2 2" xfId="29671"/>
    <cellStyle name="40% - Accent2 6 3 6 3" xfId="20629"/>
    <cellStyle name="40% - Accent2 6 3 7" xfId="9290"/>
    <cellStyle name="40% - Accent2 6 3 7 2" xfId="23765"/>
    <cellStyle name="40% - Accent2 6 3 8" xfId="20623"/>
    <cellStyle name="40% - Accent2 6 4" xfId="3305"/>
    <cellStyle name="40% - Accent2 6 4 2" xfId="3306"/>
    <cellStyle name="40% - Accent2 6 4 2 2" xfId="16556"/>
    <cellStyle name="40% - Accent2 6 4 2 2 2" xfId="29963"/>
    <cellStyle name="40% - Accent2 6 4 2 3" xfId="20631"/>
    <cellStyle name="40% - Accent2 6 4 3" xfId="11014"/>
    <cellStyle name="40% - Accent2 6 4 3 2" xfId="24956"/>
    <cellStyle name="40% - Accent2 6 4 4" xfId="20630"/>
    <cellStyle name="40% - Accent2 6 5" xfId="3307"/>
    <cellStyle name="40% - Accent2 6 5 2" xfId="11931"/>
    <cellStyle name="40% - Accent2 6 5 2 2" xfId="25646"/>
    <cellStyle name="40% - Accent2 6 5 3" xfId="20632"/>
    <cellStyle name="40% - Accent2 6 6" xfId="3308"/>
    <cellStyle name="40% - Accent2 6 6 2" xfId="13508"/>
    <cellStyle name="40% - Accent2 6 6 2 2" xfId="27057"/>
    <cellStyle name="40% - Accent2 6 6 3" xfId="20633"/>
    <cellStyle name="40% - Accent2 6 7" xfId="3309"/>
    <cellStyle name="40% - Accent2 6 7 2" xfId="14089"/>
    <cellStyle name="40% - Accent2 6 7 2 2" xfId="27638"/>
    <cellStyle name="40% - Accent2 6 7 3" xfId="20634"/>
    <cellStyle name="40% - Accent2 6 8" xfId="3310"/>
    <cellStyle name="40% - Accent2 6 8 2" xfId="15975"/>
    <cellStyle name="40% - Accent2 6 8 2 2" xfId="29382"/>
    <cellStyle name="40% - Accent2 6 8 3" xfId="20635"/>
    <cellStyle name="40% - Accent2 6 9" xfId="9287"/>
    <cellStyle name="40% - Accent2 6 9 2" xfId="23762"/>
    <cellStyle name="40% - Accent2 7" xfId="3311"/>
    <cellStyle name="40% - Accent2 7 2" xfId="3312"/>
    <cellStyle name="40% - Accent2 7 2 2" xfId="3313"/>
    <cellStyle name="40% - Accent2 7 2 2 2" xfId="3314"/>
    <cellStyle name="40% - Accent2 7 2 2 2 2" xfId="16861"/>
    <cellStyle name="40% - Accent2 7 2 2 2 2 2" xfId="30268"/>
    <cellStyle name="40% - Accent2 7 2 2 2 3" xfId="20639"/>
    <cellStyle name="40% - Accent2 7 2 2 3" xfId="11019"/>
    <cellStyle name="40% - Accent2 7 2 2 3 2" xfId="24961"/>
    <cellStyle name="40% - Accent2 7 2 2 4" xfId="20638"/>
    <cellStyle name="40% - Accent2 7 2 3" xfId="3315"/>
    <cellStyle name="40% - Accent2 7 2 3 2" xfId="12249"/>
    <cellStyle name="40% - Accent2 7 2 3 2 2" xfId="25961"/>
    <cellStyle name="40% - Accent2 7 2 3 3" xfId="20640"/>
    <cellStyle name="40% - Accent2 7 2 4" xfId="3316"/>
    <cellStyle name="40% - Accent2 7 2 4 2" xfId="13813"/>
    <cellStyle name="40% - Accent2 7 2 4 2 2" xfId="27362"/>
    <cellStyle name="40% - Accent2 7 2 4 3" xfId="20641"/>
    <cellStyle name="40% - Accent2 7 2 5" xfId="3317"/>
    <cellStyle name="40% - Accent2 7 2 5 2" xfId="14394"/>
    <cellStyle name="40% - Accent2 7 2 5 2 2" xfId="27943"/>
    <cellStyle name="40% - Accent2 7 2 5 3" xfId="20642"/>
    <cellStyle name="40% - Accent2 7 2 6" xfId="3318"/>
    <cellStyle name="40% - Accent2 7 2 6 2" xfId="16280"/>
    <cellStyle name="40% - Accent2 7 2 6 2 2" xfId="29687"/>
    <cellStyle name="40% - Accent2 7 2 6 3" xfId="20643"/>
    <cellStyle name="40% - Accent2 7 2 7" xfId="9292"/>
    <cellStyle name="40% - Accent2 7 2 7 2" xfId="23767"/>
    <cellStyle name="40% - Accent2 7 2 8" xfId="20637"/>
    <cellStyle name="40% - Accent2 7 3" xfId="3319"/>
    <cellStyle name="40% - Accent2 7 3 2" xfId="3320"/>
    <cellStyle name="40% - Accent2 7 3 2 2" xfId="16572"/>
    <cellStyle name="40% - Accent2 7 3 2 2 2" xfId="29979"/>
    <cellStyle name="40% - Accent2 7 3 2 3" xfId="20645"/>
    <cellStyle name="40% - Accent2 7 3 3" xfId="11018"/>
    <cellStyle name="40% - Accent2 7 3 3 2" xfId="24960"/>
    <cellStyle name="40% - Accent2 7 3 4" xfId="20644"/>
    <cellStyle name="40% - Accent2 7 4" xfId="3321"/>
    <cellStyle name="40% - Accent2 7 4 2" xfId="11947"/>
    <cellStyle name="40% - Accent2 7 4 2 2" xfId="25662"/>
    <cellStyle name="40% - Accent2 7 4 3" xfId="20646"/>
    <cellStyle name="40% - Accent2 7 5" xfId="3322"/>
    <cellStyle name="40% - Accent2 7 5 2" xfId="13524"/>
    <cellStyle name="40% - Accent2 7 5 2 2" xfId="27073"/>
    <cellStyle name="40% - Accent2 7 5 3" xfId="20647"/>
    <cellStyle name="40% - Accent2 7 6" xfId="3323"/>
    <cellStyle name="40% - Accent2 7 6 2" xfId="14105"/>
    <cellStyle name="40% - Accent2 7 6 2 2" xfId="27654"/>
    <cellStyle name="40% - Accent2 7 6 3" xfId="20648"/>
    <cellStyle name="40% - Accent2 7 7" xfId="3324"/>
    <cellStyle name="40% - Accent2 7 7 2" xfId="15991"/>
    <cellStyle name="40% - Accent2 7 7 2 2" xfId="29398"/>
    <cellStyle name="40% - Accent2 7 7 3" xfId="20649"/>
    <cellStyle name="40% - Accent2 7 8" xfId="9291"/>
    <cellStyle name="40% - Accent2 7 8 2" xfId="23766"/>
    <cellStyle name="40% - Accent2 7 9" xfId="20636"/>
    <cellStyle name="40% - Accent2 8" xfId="3325"/>
    <cellStyle name="40% - Accent2 8 2" xfId="3326"/>
    <cellStyle name="40% - Accent2 8 2 2" xfId="3327"/>
    <cellStyle name="40% - Accent2 8 2 2 2" xfId="16719"/>
    <cellStyle name="40% - Accent2 8 2 2 2 2" xfId="30126"/>
    <cellStyle name="40% - Accent2 8 2 2 3" xfId="20652"/>
    <cellStyle name="40% - Accent2 8 2 3" xfId="11020"/>
    <cellStyle name="40% - Accent2 8 2 3 2" xfId="24962"/>
    <cellStyle name="40% - Accent2 8 2 4" xfId="20651"/>
    <cellStyle name="40% - Accent2 8 3" xfId="3328"/>
    <cellStyle name="40% - Accent2 8 3 2" xfId="12097"/>
    <cellStyle name="40% - Accent2 8 3 2 2" xfId="25811"/>
    <cellStyle name="40% - Accent2 8 3 3" xfId="20653"/>
    <cellStyle name="40% - Accent2 8 4" xfId="3329"/>
    <cellStyle name="40% - Accent2 8 4 2" xfId="13671"/>
    <cellStyle name="40% - Accent2 8 4 2 2" xfId="27220"/>
    <cellStyle name="40% - Accent2 8 4 3" xfId="20654"/>
    <cellStyle name="40% - Accent2 8 5" xfId="3330"/>
    <cellStyle name="40% - Accent2 8 5 2" xfId="14252"/>
    <cellStyle name="40% - Accent2 8 5 2 2" xfId="27801"/>
    <cellStyle name="40% - Accent2 8 5 3" xfId="20655"/>
    <cellStyle name="40% - Accent2 8 6" xfId="3331"/>
    <cellStyle name="40% - Accent2 8 6 2" xfId="16138"/>
    <cellStyle name="40% - Accent2 8 6 2 2" xfId="29545"/>
    <cellStyle name="40% - Accent2 8 6 3" xfId="20656"/>
    <cellStyle name="40% - Accent2 8 7" xfId="9293"/>
    <cellStyle name="40% - Accent2 8 7 2" xfId="23768"/>
    <cellStyle name="40% - Accent2 8 8" xfId="20650"/>
    <cellStyle name="40% - Accent2 9" xfId="3332"/>
    <cellStyle name="40% - Accent2 9 2" xfId="3333"/>
    <cellStyle name="40% - Accent2 9 2 2" xfId="11717"/>
    <cellStyle name="40% - Accent2 9 2 2 2" xfId="25437"/>
    <cellStyle name="40% - Accent2 9 2 3" xfId="20658"/>
    <cellStyle name="40% - Accent2 9 3" xfId="3334"/>
    <cellStyle name="40% - Accent2 9 3 2" xfId="12534"/>
    <cellStyle name="40% - Accent2 9 3 2 2" xfId="26246"/>
    <cellStyle name="40% - Accent2 9 3 3" xfId="20659"/>
    <cellStyle name="40% - Accent2 9 4" xfId="3335"/>
    <cellStyle name="40% - Accent2 9 4 2" xfId="15167"/>
    <cellStyle name="40% - Accent2 9 4 2 2" xfId="28716"/>
    <cellStyle name="40% - Accent2 9 4 3" xfId="20660"/>
    <cellStyle name="40% - Accent2 9 5" xfId="3336"/>
    <cellStyle name="40% - Accent2 9 5 2" xfId="17103"/>
    <cellStyle name="40% - Accent2 9 5 2 2" xfId="30462"/>
    <cellStyle name="40% - Accent2 9 5 3" xfId="20661"/>
    <cellStyle name="40% - Accent2 9 6" xfId="10469"/>
    <cellStyle name="40% - Accent2 9 6 2" xfId="24428"/>
    <cellStyle name="40% - Accent2 9 7" xfId="20657"/>
    <cellStyle name="40% - Accent3" xfId="37" builtinId="39" customBuiltin="1"/>
    <cellStyle name="40% - Accent3 10" xfId="3337"/>
    <cellStyle name="40% - Accent3 10 2" xfId="3338"/>
    <cellStyle name="40% - Accent3 10 2 2" xfId="3339"/>
    <cellStyle name="40% - Accent3 10 2 2 2" xfId="12792"/>
    <cellStyle name="40% - Accent3 10 2 2 2 2" xfId="26504"/>
    <cellStyle name="40% - Accent3 10 2 2 3" xfId="20664"/>
    <cellStyle name="40% - Accent3 10 2 3" xfId="3340"/>
    <cellStyle name="40% - Accent3 10 2 3 2" xfId="15170"/>
    <cellStyle name="40% - Accent3 10 2 3 2 2" xfId="28719"/>
    <cellStyle name="40% - Accent3 10 2 3 3" xfId="20665"/>
    <cellStyle name="40% - Accent3 10 2 4" xfId="11022"/>
    <cellStyle name="40% - Accent3 10 2 4 2" xfId="24964"/>
    <cellStyle name="40% - Accent3 10 2 5" xfId="20663"/>
    <cellStyle name="40% - Accent3 10 3" xfId="3341"/>
    <cellStyle name="40% - Accent3 10 3 2" xfId="12706"/>
    <cellStyle name="40% - Accent3 10 3 2 2" xfId="26418"/>
    <cellStyle name="40% - Accent3 10 3 3" xfId="20666"/>
    <cellStyle name="40% - Accent3 10 4" xfId="3342"/>
    <cellStyle name="40% - Accent3 10 4 2" xfId="15169"/>
    <cellStyle name="40% - Accent3 10 4 2 2" xfId="28718"/>
    <cellStyle name="40% - Accent3 10 4 3" xfId="20667"/>
    <cellStyle name="40% - Accent3 10 5" xfId="3343"/>
    <cellStyle name="40% - Accent3 10 5 2" xfId="17193"/>
    <cellStyle name="40% - Accent3 10 5 2 2" xfId="30552"/>
    <cellStyle name="40% - Accent3 10 5 3" xfId="20668"/>
    <cellStyle name="40% - Accent3 10 6" xfId="9295"/>
    <cellStyle name="40% - Accent3 10 6 2" xfId="23770"/>
    <cellStyle name="40% - Accent3 10 7" xfId="20662"/>
    <cellStyle name="40% - Accent3 11" xfId="3344"/>
    <cellStyle name="40% - Accent3 11 2" xfId="3345"/>
    <cellStyle name="40% - Accent3 11 2 2" xfId="11023"/>
    <cellStyle name="40% - Accent3 11 2 2 2" xfId="24965"/>
    <cellStyle name="40% - Accent3 11 2 3" xfId="20670"/>
    <cellStyle name="40% - Accent3 11 3" xfId="3346"/>
    <cellStyle name="40% - Accent3 11 3 2" xfId="12625"/>
    <cellStyle name="40% - Accent3 11 3 2 2" xfId="26337"/>
    <cellStyle name="40% - Accent3 11 3 3" xfId="20671"/>
    <cellStyle name="40% - Accent3 11 4" xfId="3347"/>
    <cellStyle name="40% - Accent3 11 4 2" xfId="15171"/>
    <cellStyle name="40% - Accent3 11 4 2 2" xfId="28720"/>
    <cellStyle name="40% - Accent3 11 4 3" xfId="20672"/>
    <cellStyle name="40% - Accent3 11 5" xfId="3348"/>
    <cellStyle name="40% - Accent3 11 5 2" xfId="17282"/>
    <cellStyle name="40% - Accent3 11 5 2 2" xfId="30641"/>
    <cellStyle name="40% - Accent3 11 5 3" xfId="20673"/>
    <cellStyle name="40% - Accent3 11 6" xfId="9296"/>
    <cellStyle name="40% - Accent3 11 6 2" xfId="23771"/>
    <cellStyle name="40% - Accent3 11 7" xfId="20669"/>
    <cellStyle name="40% - Accent3 12" xfId="3349"/>
    <cellStyle name="40% - Accent3 12 2" xfId="3350"/>
    <cellStyle name="40% - Accent3 12 2 2" xfId="3351"/>
    <cellStyle name="40% - Accent3 12 2 2 2" xfId="11025"/>
    <cellStyle name="40% - Accent3 12 2 2 2 2" xfId="24967"/>
    <cellStyle name="40% - Accent3 12 2 2 3" xfId="20676"/>
    <cellStyle name="40% - Accent3 12 2 3" xfId="3352"/>
    <cellStyle name="40% - Accent3 12 2 3 2" xfId="12637"/>
    <cellStyle name="40% - Accent3 12 2 3 2 2" xfId="26349"/>
    <cellStyle name="40% - Accent3 12 2 3 3" xfId="20677"/>
    <cellStyle name="40% - Accent3 12 2 4" xfId="3353"/>
    <cellStyle name="40% - Accent3 12 2 4 2" xfId="15173"/>
    <cellStyle name="40% - Accent3 12 2 4 2 2" xfId="28722"/>
    <cellStyle name="40% - Accent3 12 2 4 3" xfId="20678"/>
    <cellStyle name="40% - Accent3 12 2 5" xfId="9298"/>
    <cellStyle name="40% - Accent3 12 2 5 2" xfId="23773"/>
    <cellStyle name="40% - Accent3 12 2 6" xfId="20675"/>
    <cellStyle name="40% - Accent3 12 3" xfId="3354"/>
    <cellStyle name="40% - Accent3 12 3 2" xfId="11024"/>
    <cellStyle name="40% - Accent3 12 3 2 2" xfId="24966"/>
    <cellStyle name="40% - Accent3 12 3 3" xfId="20679"/>
    <cellStyle name="40% - Accent3 12 4" xfId="3355"/>
    <cellStyle name="40% - Accent3 12 4 2" xfId="11894"/>
    <cellStyle name="40% - Accent3 12 4 2 2" xfId="25609"/>
    <cellStyle name="40% - Accent3 12 4 3" xfId="20680"/>
    <cellStyle name="40% - Accent3 12 5" xfId="3356"/>
    <cellStyle name="40% - Accent3 12 5 2" xfId="15172"/>
    <cellStyle name="40% - Accent3 12 5 2 2" xfId="28721"/>
    <cellStyle name="40% - Accent3 12 5 3" xfId="20681"/>
    <cellStyle name="40% - Accent3 12 6" xfId="3357"/>
    <cellStyle name="40% - Accent3 12 6 2" xfId="16434"/>
    <cellStyle name="40% - Accent3 12 6 2 2" xfId="29841"/>
    <cellStyle name="40% - Accent3 12 6 3" xfId="20682"/>
    <cellStyle name="40% - Accent3 12 7" xfId="9297"/>
    <cellStyle name="40% - Accent3 12 7 2" xfId="23772"/>
    <cellStyle name="40% - Accent3 12 8" xfId="20674"/>
    <cellStyle name="40% - Accent3 13" xfId="3358"/>
    <cellStyle name="40% - Accent3 13 2" xfId="3359"/>
    <cellStyle name="40% - Accent3 13 2 2" xfId="11026"/>
    <cellStyle name="40% - Accent3 13 2 2 2" xfId="24968"/>
    <cellStyle name="40% - Accent3 13 2 3" xfId="20684"/>
    <cellStyle name="40% - Accent3 13 3" xfId="3360"/>
    <cellStyle name="40% - Accent3 13 3 2" xfId="11890"/>
    <cellStyle name="40% - Accent3 13 3 2 2" xfId="25605"/>
    <cellStyle name="40% - Accent3 13 3 3" xfId="20685"/>
    <cellStyle name="40% - Accent3 13 4" xfId="3361"/>
    <cellStyle name="40% - Accent3 13 4 2" xfId="15174"/>
    <cellStyle name="40% - Accent3 13 4 2 2" xfId="28723"/>
    <cellStyle name="40% - Accent3 13 4 3" xfId="20686"/>
    <cellStyle name="40% - Accent3 13 5" xfId="9299"/>
    <cellStyle name="40% - Accent3 13 5 2" xfId="23774"/>
    <cellStyle name="40% - Accent3 13 6" xfId="20683"/>
    <cellStyle name="40% - Accent3 14" xfId="3362"/>
    <cellStyle name="40% - Accent3 14 2" xfId="3363"/>
    <cellStyle name="40% - Accent3 14 2 2" xfId="11027"/>
    <cellStyle name="40% - Accent3 14 2 2 2" xfId="24969"/>
    <cellStyle name="40% - Accent3 14 2 3" xfId="20688"/>
    <cellStyle name="40% - Accent3 14 3" xfId="3364"/>
    <cellStyle name="40% - Accent3 14 3 2" xfId="12629"/>
    <cellStyle name="40% - Accent3 14 3 2 2" xfId="26341"/>
    <cellStyle name="40% - Accent3 14 3 3" xfId="20689"/>
    <cellStyle name="40% - Accent3 14 4" xfId="3365"/>
    <cellStyle name="40% - Accent3 14 4 2" xfId="15175"/>
    <cellStyle name="40% - Accent3 14 4 2 2" xfId="28724"/>
    <cellStyle name="40% - Accent3 14 4 3" xfId="20690"/>
    <cellStyle name="40% - Accent3 14 5" xfId="9300"/>
    <cellStyle name="40% - Accent3 14 5 2" xfId="23775"/>
    <cellStyle name="40% - Accent3 14 6" xfId="20687"/>
    <cellStyle name="40% - Accent3 15" xfId="3366"/>
    <cellStyle name="40% - Accent3 15 2" xfId="3367"/>
    <cellStyle name="40% - Accent3 15 2 2" xfId="11028"/>
    <cellStyle name="40% - Accent3 15 2 2 2" xfId="24970"/>
    <cellStyle name="40% - Accent3 15 2 3" xfId="20692"/>
    <cellStyle name="40% - Accent3 15 3" xfId="3368"/>
    <cellStyle name="40% - Accent3 15 3 2" xfId="12571"/>
    <cellStyle name="40% - Accent3 15 3 2 2" xfId="26283"/>
    <cellStyle name="40% - Accent3 15 3 3" xfId="20693"/>
    <cellStyle name="40% - Accent3 15 4" xfId="3369"/>
    <cellStyle name="40% - Accent3 15 4 2" xfId="15176"/>
    <cellStyle name="40% - Accent3 15 4 2 2" xfId="28725"/>
    <cellStyle name="40% - Accent3 15 4 3" xfId="20694"/>
    <cellStyle name="40% - Accent3 15 5" xfId="9301"/>
    <cellStyle name="40% - Accent3 15 5 2" xfId="23776"/>
    <cellStyle name="40% - Accent3 15 6" xfId="20691"/>
    <cellStyle name="40% - Accent3 16" xfId="3370"/>
    <cellStyle name="40% - Accent3 16 2" xfId="3371"/>
    <cellStyle name="40% - Accent3 16 2 2" xfId="11029"/>
    <cellStyle name="40% - Accent3 16 2 2 2" xfId="24971"/>
    <cellStyle name="40% - Accent3 16 2 3" xfId="20696"/>
    <cellStyle name="40% - Accent3 16 3" xfId="3372"/>
    <cellStyle name="40% - Accent3 16 3 2" xfId="11862"/>
    <cellStyle name="40% - Accent3 16 3 2 2" xfId="25577"/>
    <cellStyle name="40% - Accent3 16 3 3" xfId="20697"/>
    <cellStyle name="40% - Accent3 16 4" xfId="3373"/>
    <cellStyle name="40% - Accent3 16 4 2" xfId="15177"/>
    <cellStyle name="40% - Accent3 16 4 2 2" xfId="28726"/>
    <cellStyle name="40% - Accent3 16 4 3" xfId="20698"/>
    <cellStyle name="40% - Accent3 16 5" xfId="9302"/>
    <cellStyle name="40% - Accent3 16 5 2" xfId="23777"/>
    <cellStyle name="40% - Accent3 16 6" xfId="20695"/>
    <cellStyle name="40% - Accent3 17" xfId="3374"/>
    <cellStyle name="40% - Accent3 17 2" xfId="3375"/>
    <cellStyle name="40% - Accent3 17 2 2" xfId="11030"/>
    <cellStyle name="40% - Accent3 17 2 2 2" xfId="24972"/>
    <cellStyle name="40% - Accent3 17 2 3" xfId="20700"/>
    <cellStyle name="40% - Accent3 17 3" xfId="3376"/>
    <cellStyle name="40% - Accent3 17 3 2" xfId="11793"/>
    <cellStyle name="40% - Accent3 17 3 2 2" xfId="25508"/>
    <cellStyle name="40% - Accent3 17 3 3" xfId="20701"/>
    <cellStyle name="40% - Accent3 17 4" xfId="3377"/>
    <cellStyle name="40% - Accent3 17 4 2" xfId="15178"/>
    <cellStyle name="40% - Accent3 17 4 2 2" xfId="28727"/>
    <cellStyle name="40% - Accent3 17 4 3" xfId="20702"/>
    <cellStyle name="40% - Accent3 17 5" xfId="9303"/>
    <cellStyle name="40% - Accent3 17 5 2" xfId="23778"/>
    <cellStyle name="40% - Accent3 17 6" xfId="20699"/>
    <cellStyle name="40% - Accent3 18" xfId="3378"/>
    <cellStyle name="40% - Accent3 18 2" xfId="3379"/>
    <cellStyle name="40% - Accent3 18 2 2" xfId="11031"/>
    <cellStyle name="40% - Accent3 18 2 2 2" xfId="24973"/>
    <cellStyle name="40% - Accent3 18 2 3" xfId="20704"/>
    <cellStyle name="40% - Accent3 18 3" xfId="3380"/>
    <cellStyle name="40% - Accent3 18 3 2" xfId="12617"/>
    <cellStyle name="40% - Accent3 18 3 2 2" xfId="26329"/>
    <cellStyle name="40% - Accent3 18 3 3" xfId="20705"/>
    <cellStyle name="40% - Accent3 18 4" xfId="3381"/>
    <cellStyle name="40% - Accent3 18 4 2" xfId="15179"/>
    <cellStyle name="40% - Accent3 18 4 2 2" xfId="28728"/>
    <cellStyle name="40% - Accent3 18 4 3" xfId="20706"/>
    <cellStyle name="40% - Accent3 18 5" xfId="9304"/>
    <cellStyle name="40% - Accent3 18 5 2" xfId="23779"/>
    <cellStyle name="40% - Accent3 18 6" xfId="20703"/>
    <cellStyle name="40% - Accent3 19" xfId="3382"/>
    <cellStyle name="40% - Accent3 19 2" xfId="3383"/>
    <cellStyle name="40% - Accent3 19 2 2" xfId="11718"/>
    <cellStyle name="40% - Accent3 19 2 2 2" xfId="25438"/>
    <cellStyle name="40% - Accent3 19 2 3" xfId="20708"/>
    <cellStyle name="40% - Accent3 19 3" xfId="3384"/>
    <cellStyle name="40% - Accent3 19 3 2" xfId="12807"/>
    <cellStyle name="40% - Accent3 19 3 2 2" xfId="26519"/>
    <cellStyle name="40% - Accent3 19 3 3" xfId="20709"/>
    <cellStyle name="40% - Accent3 19 4" xfId="3385"/>
    <cellStyle name="40% - Accent3 19 4 2" xfId="15180"/>
    <cellStyle name="40% - Accent3 19 4 2 2" xfId="28729"/>
    <cellStyle name="40% - Accent3 19 4 3" xfId="20710"/>
    <cellStyle name="40% - Accent3 19 5" xfId="10470"/>
    <cellStyle name="40% - Accent3 19 5 2" xfId="24429"/>
    <cellStyle name="40% - Accent3 19 6" xfId="20707"/>
    <cellStyle name="40% - Accent3 2" xfId="3386"/>
    <cellStyle name="40% - Accent3 2 10" xfId="3387"/>
    <cellStyle name="40% - Accent3 2 10 2" xfId="3388"/>
    <cellStyle name="40% - Accent3 2 10 2 2" xfId="15182"/>
    <cellStyle name="40% - Accent3 2 10 2 2 2" xfId="28731"/>
    <cellStyle name="40% - Accent3 2 10 2 3" xfId="20713"/>
    <cellStyle name="40% - Accent3 2 10 3" xfId="11841"/>
    <cellStyle name="40% - Accent3 2 10 3 2" xfId="25556"/>
    <cellStyle name="40% - Accent3 2 10 4" xfId="20712"/>
    <cellStyle name="40% - Accent3 2 11" xfId="3389"/>
    <cellStyle name="40% - Accent3 2 11 2" xfId="11751"/>
    <cellStyle name="40% - Accent3 2 11 2 2" xfId="25466"/>
    <cellStyle name="40% - Accent3 2 11 3" xfId="20714"/>
    <cellStyle name="40% - Accent3 2 12" xfId="3390"/>
    <cellStyle name="40% - Accent3 2 12 2" xfId="13440"/>
    <cellStyle name="40% - Accent3 2 12 2 2" xfId="26989"/>
    <cellStyle name="40% - Accent3 2 12 3" xfId="20715"/>
    <cellStyle name="40% - Accent3 2 13" xfId="3391"/>
    <cellStyle name="40% - Accent3 2 13 2" xfId="14021"/>
    <cellStyle name="40% - Accent3 2 13 2 2" xfId="27570"/>
    <cellStyle name="40% - Accent3 2 13 3" xfId="20716"/>
    <cellStyle name="40% - Accent3 2 14" xfId="3392"/>
    <cellStyle name="40% - Accent3 2 14 2" xfId="15181"/>
    <cellStyle name="40% - Accent3 2 14 2 2" xfId="28730"/>
    <cellStyle name="40% - Accent3 2 14 3" xfId="20717"/>
    <cellStyle name="40% - Accent3 2 15" xfId="3393"/>
    <cellStyle name="40% - Accent3 2 15 2" xfId="15907"/>
    <cellStyle name="40% - Accent3 2 15 2 2" xfId="29314"/>
    <cellStyle name="40% - Accent3 2 15 3" xfId="20718"/>
    <cellStyle name="40% - Accent3 2 16" xfId="9305"/>
    <cellStyle name="40% - Accent3 2 16 2" xfId="23780"/>
    <cellStyle name="40% - Accent3 2 17" xfId="20711"/>
    <cellStyle name="40% - Accent3 2 18" xfId="33071"/>
    <cellStyle name="40% - Accent3 2 2" xfId="3394"/>
    <cellStyle name="40% - Accent3 2 2 10" xfId="3395"/>
    <cellStyle name="40% - Accent3 2 2 10 2" xfId="15183"/>
    <cellStyle name="40% - Accent3 2 2 10 2 2" xfId="28732"/>
    <cellStyle name="40% - Accent3 2 2 10 3" xfId="20720"/>
    <cellStyle name="40% - Accent3 2 2 11" xfId="3396"/>
    <cellStyle name="40% - Accent3 2 2 11 2" xfId="15953"/>
    <cellStyle name="40% - Accent3 2 2 11 2 2" xfId="29360"/>
    <cellStyle name="40% - Accent3 2 2 11 3" xfId="20721"/>
    <cellStyle name="40% - Accent3 2 2 12" xfId="9306"/>
    <cellStyle name="40% - Accent3 2 2 12 2" xfId="23781"/>
    <cellStyle name="40% - Accent3 2 2 13" xfId="20719"/>
    <cellStyle name="40% - Accent3 2 2 2" xfId="3397"/>
    <cellStyle name="40% - Accent3 2 2 2 10" xfId="3398"/>
    <cellStyle name="40% - Accent3 2 2 2 10 2" xfId="16096"/>
    <cellStyle name="40% - Accent3 2 2 2 10 2 2" xfId="29503"/>
    <cellStyle name="40% - Accent3 2 2 2 10 3" xfId="20723"/>
    <cellStyle name="40% - Accent3 2 2 2 11" xfId="9307"/>
    <cellStyle name="40% - Accent3 2 2 2 11 2" xfId="23782"/>
    <cellStyle name="40% - Accent3 2 2 2 12" xfId="20722"/>
    <cellStyle name="40% - Accent3 2 2 2 2" xfId="3399"/>
    <cellStyle name="40% - Accent3 2 2 2 2 10" xfId="9308"/>
    <cellStyle name="40% - Accent3 2 2 2 2 10 2" xfId="23783"/>
    <cellStyle name="40% - Accent3 2 2 2 2 11" xfId="20724"/>
    <cellStyle name="40% - Accent3 2 2 2 2 2" xfId="3400"/>
    <cellStyle name="40% - Accent3 2 2 2 2 2 2" xfId="3401"/>
    <cellStyle name="40% - Accent3 2 2 2 2 2 2 2" xfId="11036"/>
    <cellStyle name="40% - Accent3 2 2 2 2 2 2 2 2" xfId="24978"/>
    <cellStyle name="40% - Accent3 2 2 2 2 2 2 3" xfId="20726"/>
    <cellStyle name="40% - Accent3 2 2 2 2 2 3" xfId="3402"/>
    <cellStyle name="40% - Accent3 2 2 2 2 2 3 2" xfId="12670"/>
    <cellStyle name="40% - Accent3 2 2 2 2 2 3 2 2" xfId="26382"/>
    <cellStyle name="40% - Accent3 2 2 2 2 2 3 3" xfId="20727"/>
    <cellStyle name="40% - Accent3 2 2 2 2 2 4" xfId="3403"/>
    <cellStyle name="40% - Accent3 2 2 2 2 2 4 2" xfId="15186"/>
    <cellStyle name="40% - Accent3 2 2 2 2 2 4 2 2" xfId="28735"/>
    <cellStyle name="40% - Accent3 2 2 2 2 2 4 3" xfId="20728"/>
    <cellStyle name="40% - Accent3 2 2 2 2 2 5" xfId="3404"/>
    <cellStyle name="40% - Accent3 2 2 2 2 2 5 2" xfId="16966"/>
    <cellStyle name="40% - Accent3 2 2 2 2 2 5 2 2" xfId="30373"/>
    <cellStyle name="40% - Accent3 2 2 2 2 2 5 3" xfId="20729"/>
    <cellStyle name="40% - Accent3 2 2 2 2 2 6" xfId="9309"/>
    <cellStyle name="40% - Accent3 2 2 2 2 2 6 2" xfId="23784"/>
    <cellStyle name="40% - Accent3 2 2 2 2 2 7" xfId="20725"/>
    <cellStyle name="40% - Accent3 2 2 2 2 3" xfId="3405"/>
    <cellStyle name="40% - Accent3 2 2 2 2 3 2" xfId="3406"/>
    <cellStyle name="40% - Accent3 2 2 2 2 3 2 2" xfId="15187"/>
    <cellStyle name="40% - Accent3 2 2 2 2 3 2 2 2" xfId="28736"/>
    <cellStyle name="40% - Accent3 2 2 2 2 3 2 3" xfId="20731"/>
    <cellStyle name="40% - Accent3 2 2 2 2 3 3" xfId="11035"/>
    <cellStyle name="40% - Accent3 2 2 2 2 3 3 2" xfId="24977"/>
    <cellStyle name="40% - Accent3 2 2 2 2 3 4" xfId="20730"/>
    <cellStyle name="40% - Accent3 2 2 2 2 4" xfId="3407"/>
    <cellStyle name="40% - Accent3 2 2 2 2 4 2" xfId="12354"/>
    <cellStyle name="40% - Accent3 2 2 2 2 4 2 2" xfId="26066"/>
    <cellStyle name="40% - Accent3 2 2 2 2 4 3" xfId="20732"/>
    <cellStyle name="40% - Accent3 2 2 2 2 5" xfId="3408"/>
    <cellStyle name="40% - Accent3 2 2 2 2 5 2" xfId="12633"/>
    <cellStyle name="40% - Accent3 2 2 2 2 5 2 2" xfId="26345"/>
    <cellStyle name="40% - Accent3 2 2 2 2 5 3" xfId="20733"/>
    <cellStyle name="40% - Accent3 2 2 2 2 6" xfId="3409"/>
    <cellStyle name="40% - Accent3 2 2 2 2 6 2" xfId="13918"/>
    <cellStyle name="40% - Accent3 2 2 2 2 6 2 2" xfId="27467"/>
    <cellStyle name="40% - Accent3 2 2 2 2 6 3" xfId="20734"/>
    <cellStyle name="40% - Accent3 2 2 2 2 7" xfId="3410"/>
    <cellStyle name="40% - Accent3 2 2 2 2 7 2" xfId="14499"/>
    <cellStyle name="40% - Accent3 2 2 2 2 7 2 2" xfId="28048"/>
    <cellStyle name="40% - Accent3 2 2 2 2 7 3" xfId="20735"/>
    <cellStyle name="40% - Accent3 2 2 2 2 8" xfId="3411"/>
    <cellStyle name="40% - Accent3 2 2 2 2 8 2" xfId="15185"/>
    <cellStyle name="40% - Accent3 2 2 2 2 8 2 2" xfId="28734"/>
    <cellStyle name="40% - Accent3 2 2 2 2 8 3" xfId="20736"/>
    <cellStyle name="40% - Accent3 2 2 2 2 9" xfId="3412"/>
    <cellStyle name="40% - Accent3 2 2 2 2 9 2" xfId="16385"/>
    <cellStyle name="40% - Accent3 2 2 2 2 9 2 2" xfId="29792"/>
    <cellStyle name="40% - Accent3 2 2 2 2 9 3" xfId="20737"/>
    <cellStyle name="40% - Accent3 2 2 2 3" xfId="3413"/>
    <cellStyle name="40% - Accent3 2 2 2 3 2" xfId="3414"/>
    <cellStyle name="40% - Accent3 2 2 2 3 2 2" xfId="11037"/>
    <cellStyle name="40% - Accent3 2 2 2 3 2 2 2" xfId="24979"/>
    <cellStyle name="40% - Accent3 2 2 2 3 2 3" xfId="20739"/>
    <cellStyle name="40% - Accent3 2 2 2 3 3" xfId="3415"/>
    <cellStyle name="40% - Accent3 2 2 2 3 3 2" xfId="12492"/>
    <cellStyle name="40% - Accent3 2 2 2 3 3 2 2" xfId="26204"/>
    <cellStyle name="40% - Accent3 2 2 2 3 3 3" xfId="20740"/>
    <cellStyle name="40% - Accent3 2 2 2 3 4" xfId="3416"/>
    <cellStyle name="40% - Accent3 2 2 2 3 4 2" xfId="15188"/>
    <cellStyle name="40% - Accent3 2 2 2 3 4 2 2" xfId="28737"/>
    <cellStyle name="40% - Accent3 2 2 2 3 4 3" xfId="20741"/>
    <cellStyle name="40% - Accent3 2 2 2 3 5" xfId="3417"/>
    <cellStyle name="40% - Accent3 2 2 2 3 5 2" xfId="16677"/>
    <cellStyle name="40% - Accent3 2 2 2 3 5 2 2" xfId="30084"/>
    <cellStyle name="40% - Accent3 2 2 2 3 5 3" xfId="20742"/>
    <cellStyle name="40% - Accent3 2 2 2 3 6" xfId="9310"/>
    <cellStyle name="40% - Accent3 2 2 2 3 6 2" xfId="23785"/>
    <cellStyle name="40% - Accent3 2 2 2 3 7" xfId="20738"/>
    <cellStyle name="40% - Accent3 2 2 2 4" xfId="3418"/>
    <cellStyle name="40% - Accent3 2 2 2 4 2" xfId="3419"/>
    <cellStyle name="40% - Accent3 2 2 2 4 2 2" xfId="15189"/>
    <cellStyle name="40% - Accent3 2 2 2 4 2 2 2" xfId="28738"/>
    <cellStyle name="40% - Accent3 2 2 2 4 2 3" xfId="20744"/>
    <cellStyle name="40% - Accent3 2 2 2 4 3" xfId="11034"/>
    <cellStyle name="40% - Accent3 2 2 2 4 3 2" xfId="24976"/>
    <cellStyle name="40% - Accent3 2 2 2 4 4" xfId="20743"/>
    <cellStyle name="40% - Accent3 2 2 2 5" xfId="3420"/>
    <cellStyle name="40% - Accent3 2 2 2 5 2" xfId="12054"/>
    <cellStyle name="40% - Accent3 2 2 2 5 2 2" xfId="25769"/>
    <cellStyle name="40% - Accent3 2 2 2 5 3" xfId="20745"/>
    <cellStyle name="40% - Accent3 2 2 2 6" xfId="3421"/>
    <cellStyle name="40% - Accent3 2 2 2 6 2" xfId="12468"/>
    <cellStyle name="40% - Accent3 2 2 2 6 2 2" xfId="26180"/>
    <cellStyle name="40% - Accent3 2 2 2 6 3" xfId="20746"/>
    <cellStyle name="40% - Accent3 2 2 2 7" xfId="3422"/>
    <cellStyle name="40% - Accent3 2 2 2 7 2" xfId="13629"/>
    <cellStyle name="40% - Accent3 2 2 2 7 2 2" xfId="27178"/>
    <cellStyle name="40% - Accent3 2 2 2 7 3" xfId="20747"/>
    <cellStyle name="40% - Accent3 2 2 2 8" xfId="3423"/>
    <cellStyle name="40% - Accent3 2 2 2 8 2" xfId="14210"/>
    <cellStyle name="40% - Accent3 2 2 2 8 2 2" xfId="27759"/>
    <cellStyle name="40% - Accent3 2 2 2 8 3" xfId="20748"/>
    <cellStyle name="40% - Accent3 2 2 2 9" xfId="3424"/>
    <cellStyle name="40% - Accent3 2 2 2 9 2" xfId="15184"/>
    <cellStyle name="40% - Accent3 2 2 2 9 2 2" xfId="28733"/>
    <cellStyle name="40% - Accent3 2 2 2 9 3" xfId="20749"/>
    <cellStyle name="40% - Accent3 2 2 3" xfId="3425"/>
    <cellStyle name="40% - Accent3 2 2 3 10" xfId="9311"/>
    <cellStyle name="40% - Accent3 2 2 3 10 2" xfId="23786"/>
    <cellStyle name="40% - Accent3 2 2 3 11" xfId="20750"/>
    <cellStyle name="40% - Accent3 2 2 3 2" xfId="3426"/>
    <cellStyle name="40% - Accent3 2 2 3 2 2" xfId="3427"/>
    <cellStyle name="40% - Accent3 2 2 3 2 2 2" xfId="11039"/>
    <cellStyle name="40% - Accent3 2 2 3 2 2 2 2" xfId="24981"/>
    <cellStyle name="40% - Accent3 2 2 3 2 2 3" xfId="20752"/>
    <cellStyle name="40% - Accent3 2 2 3 2 3" xfId="3428"/>
    <cellStyle name="40% - Accent3 2 2 3 2 3 2" xfId="12725"/>
    <cellStyle name="40% - Accent3 2 2 3 2 3 2 2" xfId="26437"/>
    <cellStyle name="40% - Accent3 2 2 3 2 3 3" xfId="20753"/>
    <cellStyle name="40% - Accent3 2 2 3 2 4" xfId="3429"/>
    <cellStyle name="40% - Accent3 2 2 3 2 4 2" xfId="15191"/>
    <cellStyle name="40% - Accent3 2 2 3 2 4 2 2" xfId="28740"/>
    <cellStyle name="40% - Accent3 2 2 3 2 4 3" xfId="20754"/>
    <cellStyle name="40% - Accent3 2 2 3 2 5" xfId="3430"/>
    <cellStyle name="40% - Accent3 2 2 3 2 5 2" xfId="16823"/>
    <cellStyle name="40% - Accent3 2 2 3 2 5 2 2" xfId="30230"/>
    <cellStyle name="40% - Accent3 2 2 3 2 5 3" xfId="20755"/>
    <cellStyle name="40% - Accent3 2 2 3 2 6" xfId="9312"/>
    <cellStyle name="40% - Accent3 2 2 3 2 6 2" xfId="23787"/>
    <cellStyle name="40% - Accent3 2 2 3 2 7" xfId="20751"/>
    <cellStyle name="40% - Accent3 2 2 3 3" xfId="3431"/>
    <cellStyle name="40% - Accent3 2 2 3 3 2" xfId="3432"/>
    <cellStyle name="40% - Accent3 2 2 3 3 2 2" xfId="15192"/>
    <cellStyle name="40% - Accent3 2 2 3 3 2 2 2" xfId="28741"/>
    <cellStyle name="40% - Accent3 2 2 3 3 2 3" xfId="20757"/>
    <cellStyle name="40% - Accent3 2 2 3 3 3" xfId="11038"/>
    <cellStyle name="40% - Accent3 2 2 3 3 3 2" xfId="24980"/>
    <cellStyle name="40% - Accent3 2 2 3 3 4" xfId="20756"/>
    <cellStyle name="40% - Accent3 2 2 3 4" xfId="3433"/>
    <cellStyle name="40% - Accent3 2 2 3 4 2" xfId="12211"/>
    <cellStyle name="40% - Accent3 2 2 3 4 2 2" xfId="25923"/>
    <cellStyle name="40% - Accent3 2 2 3 4 3" xfId="20758"/>
    <cellStyle name="40% - Accent3 2 2 3 5" xfId="3434"/>
    <cellStyle name="40% - Accent3 2 2 3 5 2" xfId="12501"/>
    <cellStyle name="40% - Accent3 2 2 3 5 2 2" xfId="26213"/>
    <cellStyle name="40% - Accent3 2 2 3 5 3" xfId="20759"/>
    <cellStyle name="40% - Accent3 2 2 3 6" xfId="3435"/>
    <cellStyle name="40% - Accent3 2 2 3 6 2" xfId="13775"/>
    <cellStyle name="40% - Accent3 2 2 3 6 2 2" xfId="27324"/>
    <cellStyle name="40% - Accent3 2 2 3 6 3" xfId="20760"/>
    <cellStyle name="40% - Accent3 2 2 3 7" xfId="3436"/>
    <cellStyle name="40% - Accent3 2 2 3 7 2" xfId="14356"/>
    <cellStyle name="40% - Accent3 2 2 3 7 2 2" xfId="27905"/>
    <cellStyle name="40% - Accent3 2 2 3 7 3" xfId="20761"/>
    <cellStyle name="40% - Accent3 2 2 3 8" xfId="3437"/>
    <cellStyle name="40% - Accent3 2 2 3 8 2" xfId="15190"/>
    <cellStyle name="40% - Accent3 2 2 3 8 2 2" xfId="28739"/>
    <cellStyle name="40% - Accent3 2 2 3 8 3" xfId="20762"/>
    <cellStyle name="40% - Accent3 2 2 3 9" xfId="3438"/>
    <cellStyle name="40% - Accent3 2 2 3 9 2" xfId="16242"/>
    <cellStyle name="40% - Accent3 2 2 3 9 2 2" xfId="29649"/>
    <cellStyle name="40% - Accent3 2 2 3 9 3" xfId="20763"/>
    <cellStyle name="40% - Accent3 2 2 4" xfId="3439"/>
    <cellStyle name="40% - Accent3 2 2 4 2" xfId="3440"/>
    <cellStyle name="40% - Accent3 2 2 4 2 2" xfId="11040"/>
    <cellStyle name="40% - Accent3 2 2 4 2 2 2" xfId="24982"/>
    <cellStyle name="40% - Accent3 2 2 4 2 3" xfId="20765"/>
    <cellStyle name="40% - Accent3 2 2 4 3" xfId="3441"/>
    <cellStyle name="40% - Accent3 2 2 4 3 2" xfId="12391"/>
    <cellStyle name="40% - Accent3 2 2 4 3 2 2" xfId="26103"/>
    <cellStyle name="40% - Accent3 2 2 4 3 3" xfId="20766"/>
    <cellStyle name="40% - Accent3 2 2 4 4" xfId="3442"/>
    <cellStyle name="40% - Accent3 2 2 4 4 2" xfId="15193"/>
    <cellStyle name="40% - Accent3 2 2 4 4 2 2" xfId="28742"/>
    <cellStyle name="40% - Accent3 2 2 4 4 3" xfId="20767"/>
    <cellStyle name="40% - Accent3 2 2 4 5" xfId="3443"/>
    <cellStyle name="40% - Accent3 2 2 4 5 2" xfId="17170"/>
    <cellStyle name="40% - Accent3 2 2 4 5 2 2" xfId="30529"/>
    <cellStyle name="40% - Accent3 2 2 4 5 3" xfId="20768"/>
    <cellStyle name="40% - Accent3 2 2 4 6" xfId="9313"/>
    <cellStyle name="40% - Accent3 2 2 4 6 2" xfId="23788"/>
    <cellStyle name="40% - Accent3 2 2 4 7" xfId="20764"/>
    <cellStyle name="40% - Accent3 2 2 5" xfId="3444"/>
    <cellStyle name="40% - Accent3 2 2 5 2" xfId="3445"/>
    <cellStyle name="40% - Accent3 2 2 5 2 2" xfId="15194"/>
    <cellStyle name="40% - Accent3 2 2 5 2 2 2" xfId="28743"/>
    <cellStyle name="40% - Accent3 2 2 5 2 3" xfId="20770"/>
    <cellStyle name="40% - Accent3 2 2 5 3" xfId="3446"/>
    <cellStyle name="40% - Accent3 2 2 5 3 2" xfId="17259"/>
    <cellStyle name="40% - Accent3 2 2 5 3 2 2" xfId="30618"/>
    <cellStyle name="40% - Accent3 2 2 5 3 3" xfId="20771"/>
    <cellStyle name="40% - Accent3 2 2 5 4" xfId="11033"/>
    <cellStyle name="40% - Accent3 2 2 5 4 2" xfId="24975"/>
    <cellStyle name="40% - Accent3 2 2 5 5" xfId="20769"/>
    <cellStyle name="40% - Accent3 2 2 6" xfId="3447"/>
    <cellStyle name="40% - Accent3 2 2 6 2" xfId="3448"/>
    <cellStyle name="40% - Accent3 2 2 6 2 2" xfId="16534"/>
    <cellStyle name="40% - Accent3 2 2 6 2 2 2" xfId="29941"/>
    <cellStyle name="40% - Accent3 2 2 6 2 3" xfId="20773"/>
    <cellStyle name="40% - Accent3 2 2 6 3" xfId="11909"/>
    <cellStyle name="40% - Accent3 2 2 6 3 2" xfId="25624"/>
    <cellStyle name="40% - Accent3 2 2 6 4" xfId="20772"/>
    <cellStyle name="40% - Accent3 2 2 7" xfId="3449"/>
    <cellStyle name="40% - Accent3 2 2 7 2" xfId="12399"/>
    <cellStyle name="40% - Accent3 2 2 7 2 2" xfId="26111"/>
    <cellStyle name="40% - Accent3 2 2 7 3" xfId="20774"/>
    <cellStyle name="40% - Accent3 2 2 8" xfId="3450"/>
    <cellStyle name="40% - Accent3 2 2 8 2" xfId="13486"/>
    <cellStyle name="40% - Accent3 2 2 8 2 2" xfId="27035"/>
    <cellStyle name="40% - Accent3 2 2 8 3" xfId="20775"/>
    <cellStyle name="40% - Accent3 2 2 9" xfId="3451"/>
    <cellStyle name="40% - Accent3 2 2 9 2" xfId="14067"/>
    <cellStyle name="40% - Accent3 2 2 9 2 2" xfId="27616"/>
    <cellStyle name="40% - Accent3 2 2 9 3" xfId="20776"/>
    <cellStyle name="40% - Accent3 2 3" xfId="3452"/>
    <cellStyle name="40% - Accent3 2 3 10" xfId="3453"/>
    <cellStyle name="40% - Accent3 2 3 10 2" xfId="16050"/>
    <cellStyle name="40% - Accent3 2 3 10 2 2" xfId="29457"/>
    <cellStyle name="40% - Accent3 2 3 10 3" xfId="20778"/>
    <cellStyle name="40% - Accent3 2 3 11" xfId="9314"/>
    <cellStyle name="40% - Accent3 2 3 11 2" xfId="23789"/>
    <cellStyle name="40% - Accent3 2 3 12" xfId="20777"/>
    <cellStyle name="40% - Accent3 2 3 2" xfId="3454"/>
    <cellStyle name="40% - Accent3 2 3 2 10" xfId="9315"/>
    <cellStyle name="40% - Accent3 2 3 2 10 2" xfId="23790"/>
    <cellStyle name="40% - Accent3 2 3 2 11" xfId="20779"/>
    <cellStyle name="40% - Accent3 2 3 2 2" xfId="3455"/>
    <cellStyle name="40% - Accent3 2 3 2 2 2" xfId="3456"/>
    <cellStyle name="40% - Accent3 2 3 2 2 2 2" xfId="11043"/>
    <cellStyle name="40% - Accent3 2 3 2 2 2 2 2" xfId="24985"/>
    <cellStyle name="40% - Accent3 2 3 2 2 2 3" xfId="20781"/>
    <cellStyle name="40% - Accent3 2 3 2 2 3" xfId="3457"/>
    <cellStyle name="40% - Accent3 2 3 2 2 3 2" xfId="12430"/>
    <cellStyle name="40% - Accent3 2 3 2 2 3 2 2" xfId="26142"/>
    <cellStyle name="40% - Accent3 2 3 2 2 3 3" xfId="20782"/>
    <cellStyle name="40% - Accent3 2 3 2 2 4" xfId="3458"/>
    <cellStyle name="40% - Accent3 2 3 2 2 4 2" xfId="15197"/>
    <cellStyle name="40% - Accent3 2 3 2 2 4 2 2" xfId="28746"/>
    <cellStyle name="40% - Accent3 2 3 2 2 4 3" xfId="20783"/>
    <cellStyle name="40% - Accent3 2 3 2 2 5" xfId="3459"/>
    <cellStyle name="40% - Accent3 2 3 2 2 5 2" xfId="16920"/>
    <cellStyle name="40% - Accent3 2 3 2 2 5 2 2" xfId="30327"/>
    <cellStyle name="40% - Accent3 2 3 2 2 5 3" xfId="20784"/>
    <cellStyle name="40% - Accent3 2 3 2 2 6" xfId="9316"/>
    <cellStyle name="40% - Accent3 2 3 2 2 6 2" xfId="23791"/>
    <cellStyle name="40% - Accent3 2 3 2 2 7" xfId="20780"/>
    <cellStyle name="40% - Accent3 2 3 2 3" xfId="3460"/>
    <cellStyle name="40% - Accent3 2 3 2 3 2" xfId="3461"/>
    <cellStyle name="40% - Accent3 2 3 2 3 2 2" xfId="15198"/>
    <cellStyle name="40% - Accent3 2 3 2 3 2 2 2" xfId="28747"/>
    <cellStyle name="40% - Accent3 2 3 2 3 2 3" xfId="20786"/>
    <cellStyle name="40% - Accent3 2 3 2 3 3" xfId="11042"/>
    <cellStyle name="40% - Accent3 2 3 2 3 3 2" xfId="24984"/>
    <cellStyle name="40% - Accent3 2 3 2 3 4" xfId="20785"/>
    <cellStyle name="40% - Accent3 2 3 2 4" xfId="3462"/>
    <cellStyle name="40% - Accent3 2 3 2 4 2" xfId="12308"/>
    <cellStyle name="40% - Accent3 2 3 2 4 2 2" xfId="26020"/>
    <cellStyle name="40% - Accent3 2 3 2 4 3" xfId="20787"/>
    <cellStyle name="40% - Accent3 2 3 2 5" xfId="3463"/>
    <cellStyle name="40% - Accent3 2 3 2 5 2" xfId="12574"/>
    <cellStyle name="40% - Accent3 2 3 2 5 2 2" xfId="26286"/>
    <cellStyle name="40% - Accent3 2 3 2 5 3" xfId="20788"/>
    <cellStyle name="40% - Accent3 2 3 2 6" xfId="3464"/>
    <cellStyle name="40% - Accent3 2 3 2 6 2" xfId="13872"/>
    <cellStyle name="40% - Accent3 2 3 2 6 2 2" xfId="27421"/>
    <cellStyle name="40% - Accent3 2 3 2 6 3" xfId="20789"/>
    <cellStyle name="40% - Accent3 2 3 2 7" xfId="3465"/>
    <cellStyle name="40% - Accent3 2 3 2 7 2" xfId="14453"/>
    <cellStyle name="40% - Accent3 2 3 2 7 2 2" xfId="28002"/>
    <cellStyle name="40% - Accent3 2 3 2 7 3" xfId="20790"/>
    <cellStyle name="40% - Accent3 2 3 2 8" xfId="3466"/>
    <cellStyle name="40% - Accent3 2 3 2 8 2" xfId="15196"/>
    <cellStyle name="40% - Accent3 2 3 2 8 2 2" xfId="28745"/>
    <cellStyle name="40% - Accent3 2 3 2 8 3" xfId="20791"/>
    <cellStyle name="40% - Accent3 2 3 2 9" xfId="3467"/>
    <cellStyle name="40% - Accent3 2 3 2 9 2" xfId="16339"/>
    <cellStyle name="40% - Accent3 2 3 2 9 2 2" xfId="29746"/>
    <cellStyle name="40% - Accent3 2 3 2 9 3" xfId="20792"/>
    <cellStyle name="40% - Accent3 2 3 3" xfId="3468"/>
    <cellStyle name="40% - Accent3 2 3 3 2" xfId="3469"/>
    <cellStyle name="40% - Accent3 2 3 3 2 2" xfId="11044"/>
    <cellStyle name="40% - Accent3 2 3 3 2 2 2" xfId="24986"/>
    <cellStyle name="40% - Accent3 2 3 3 2 3" xfId="20794"/>
    <cellStyle name="40% - Accent3 2 3 3 3" xfId="3470"/>
    <cellStyle name="40% - Accent3 2 3 3 3 2" xfId="12813"/>
    <cellStyle name="40% - Accent3 2 3 3 3 2 2" xfId="26525"/>
    <cellStyle name="40% - Accent3 2 3 3 3 3" xfId="20795"/>
    <cellStyle name="40% - Accent3 2 3 3 4" xfId="3471"/>
    <cellStyle name="40% - Accent3 2 3 3 4 2" xfId="15199"/>
    <cellStyle name="40% - Accent3 2 3 3 4 2 2" xfId="28748"/>
    <cellStyle name="40% - Accent3 2 3 3 4 3" xfId="20796"/>
    <cellStyle name="40% - Accent3 2 3 3 5" xfId="3472"/>
    <cellStyle name="40% - Accent3 2 3 3 5 2" xfId="16631"/>
    <cellStyle name="40% - Accent3 2 3 3 5 2 2" xfId="30038"/>
    <cellStyle name="40% - Accent3 2 3 3 5 3" xfId="20797"/>
    <cellStyle name="40% - Accent3 2 3 3 6" xfId="9317"/>
    <cellStyle name="40% - Accent3 2 3 3 6 2" xfId="23792"/>
    <cellStyle name="40% - Accent3 2 3 3 7" xfId="20793"/>
    <cellStyle name="40% - Accent3 2 3 4" xfId="3473"/>
    <cellStyle name="40% - Accent3 2 3 4 2" xfId="3474"/>
    <cellStyle name="40% - Accent3 2 3 4 2 2" xfId="15200"/>
    <cellStyle name="40% - Accent3 2 3 4 2 2 2" xfId="28749"/>
    <cellStyle name="40% - Accent3 2 3 4 2 3" xfId="20799"/>
    <cellStyle name="40% - Accent3 2 3 4 3" xfId="11041"/>
    <cellStyle name="40% - Accent3 2 3 4 3 2" xfId="24983"/>
    <cellStyle name="40% - Accent3 2 3 4 4" xfId="20798"/>
    <cellStyle name="40% - Accent3 2 3 5" xfId="3475"/>
    <cellStyle name="40% - Accent3 2 3 5 2" xfId="12008"/>
    <cellStyle name="40% - Accent3 2 3 5 2 2" xfId="25723"/>
    <cellStyle name="40% - Accent3 2 3 5 3" xfId="20800"/>
    <cellStyle name="40% - Accent3 2 3 6" xfId="3476"/>
    <cellStyle name="40% - Accent3 2 3 6 2" xfId="12618"/>
    <cellStyle name="40% - Accent3 2 3 6 2 2" xfId="26330"/>
    <cellStyle name="40% - Accent3 2 3 6 3" xfId="20801"/>
    <cellStyle name="40% - Accent3 2 3 7" xfId="3477"/>
    <cellStyle name="40% - Accent3 2 3 7 2" xfId="13583"/>
    <cellStyle name="40% - Accent3 2 3 7 2 2" xfId="27132"/>
    <cellStyle name="40% - Accent3 2 3 7 3" xfId="20802"/>
    <cellStyle name="40% - Accent3 2 3 8" xfId="3478"/>
    <cellStyle name="40% - Accent3 2 3 8 2" xfId="14164"/>
    <cellStyle name="40% - Accent3 2 3 8 2 2" xfId="27713"/>
    <cellStyle name="40% - Accent3 2 3 8 3" xfId="20803"/>
    <cellStyle name="40% - Accent3 2 3 9" xfId="3479"/>
    <cellStyle name="40% - Accent3 2 3 9 2" xfId="15195"/>
    <cellStyle name="40% - Accent3 2 3 9 2 2" xfId="28744"/>
    <cellStyle name="40% - Accent3 2 3 9 3" xfId="20804"/>
    <cellStyle name="40% - Accent3 2 4" xfId="3480"/>
    <cellStyle name="40% - Accent3 2 4 10" xfId="9318"/>
    <cellStyle name="40% - Accent3 2 4 10 2" xfId="23793"/>
    <cellStyle name="40% - Accent3 2 4 11" xfId="20805"/>
    <cellStyle name="40% - Accent3 2 4 2" xfId="3481"/>
    <cellStyle name="40% - Accent3 2 4 2 2" xfId="3482"/>
    <cellStyle name="40% - Accent3 2 4 2 2 2" xfId="11046"/>
    <cellStyle name="40% - Accent3 2 4 2 2 2 2" xfId="24988"/>
    <cellStyle name="40% - Accent3 2 4 2 2 3" xfId="20807"/>
    <cellStyle name="40% - Accent3 2 4 2 3" xfId="3483"/>
    <cellStyle name="40% - Accent3 2 4 2 3 2" xfId="12815"/>
    <cellStyle name="40% - Accent3 2 4 2 3 2 2" xfId="26527"/>
    <cellStyle name="40% - Accent3 2 4 2 3 3" xfId="20808"/>
    <cellStyle name="40% - Accent3 2 4 2 4" xfId="3484"/>
    <cellStyle name="40% - Accent3 2 4 2 4 2" xfId="15202"/>
    <cellStyle name="40% - Accent3 2 4 2 4 2 2" xfId="28751"/>
    <cellStyle name="40% - Accent3 2 4 2 4 3" xfId="20809"/>
    <cellStyle name="40% - Accent3 2 4 2 5" xfId="3485"/>
    <cellStyle name="40% - Accent3 2 4 2 5 2" xfId="16777"/>
    <cellStyle name="40% - Accent3 2 4 2 5 2 2" xfId="30184"/>
    <cellStyle name="40% - Accent3 2 4 2 5 3" xfId="20810"/>
    <cellStyle name="40% - Accent3 2 4 2 6" xfId="9319"/>
    <cellStyle name="40% - Accent3 2 4 2 6 2" xfId="23794"/>
    <cellStyle name="40% - Accent3 2 4 2 7" xfId="20806"/>
    <cellStyle name="40% - Accent3 2 4 3" xfId="3486"/>
    <cellStyle name="40% - Accent3 2 4 3 2" xfId="3487"/>
    <cellStyle name="40% - Accent3 2 4 3 2 2" xfId="15203"/>
    <cellStyle name="40% - Accent3 2 4 3 2 2 2" xfId="28752"/>
    <cellStyle name="40% - Accent3 2 4 3 2 3" xfId="20812"/>
    <cellStyle name="40% - Accent3 2 4 3 3" xfId="11045"/>
    <cellStyle name="40% - Accent3 2 4 3 3 2" xfId="24987"/>
    <cellStyle name="40% - Accent3 2 4 3 4" xfId="20811"/>
    <cellStyle name="40% - Accent3 2 4 4" xfId="3488"/>
    <cellStyle name="40% - Accent3 2 4 4 2" xfId="12165"/>
    <cellStyle name="40% - Accent3 2 4 4 2 2" xfId="25877"/>
    <cellStyle name="40% - Accent3 2 4 4 3" xfId="20813"/>
    <cellStyle name="40% - Accent3 2 4 5" xfId="3489"/>
    <cellStyle name="40% - Accent3 2 4 5 2" xfId="12814"/>
    <cellStyle name="40% - Accent3 2 4 5 2 2" xfId="26526"/>
    <cellStyle name="40% - Accent3 2 4 5 3" xfId="20814"/>
    <cellStyle name="40% - Accent3 2 4 6" xfId="3490"/>
    <cellStyle name="40% - Accent3 2 4 6 2" xfId="13729"/>
    <cellStyle name="40% - Accent3 2 4 6 2 2" xfId="27278"/>
    <cellStyle name="40% - Accent3 2 4 6 3" xfId="20815"/>
    <cellStyle name="40% - Accent3 2 4 7" xfId="3491"/>
    <cellStyle name="40% - Accent3 2 4 7 2" xfId="14310"/>
    <cellStyle name="40% - Accent3 2 4 7 2 2" xfId="27859"/>
    <cellStyle name="40% - Accent3 2 4 7 3" xfId="20816"/>
    <cellStyle name="40% - Accent3 2 4 8" xfId="3492"/>
    <cellStyle name="40% - Accent3 2 4 8 2" xfId="15201"/>
    <cellStyle name="40% - Accent3 2 4 8 2 2" xfId="28750"/>
    <cellStyle name="40% - Accent3 2 4 8 3" xfId="20817"/>
    <cellStyle name="40% - Accent3 2 4 9" xfId="3493"/>
    <cellStyle name="40% - Accent3 2 4 9 2" xfId="16196"/>
    <cellStyle name="40% - Accent3 2 4 9 2 2" xfId="29603"/>
    <cellStyle name="40% - Accent3 2 4 9 3" xfId="20818"/>
    <cellStyle name="40% - Accent3 2 5" xfId="3494"/>
    <cellStyle name="40% - Accent3 2 5 2" xfId="3495"/>
    <cellStyle name="40% - Accent3 2 5 2 2" xfId="3496"/>
    <cellStyle name="40% - Accent3 2 5 2 2 2" xfId="11048"/>
    <cellStyle name="40% - Accent3 2 5 2 2 2 2" xfId="24990"/>
    <cellStyle name="40% - Accent3 2 5 2 2 3" xfId="20821"/>
    <cellStyle name="40% - Accent3 2 5 2 3" xfId="3497"/>
    <cellStyle name="40% - Accent3 2 5 2 3 2" xfId="12817"/>
    <cellStyle name="40% - Accent3 2 5 2 3 2 2" xfId="26529"/>
    <cellStyle name="40% - Accent3 2 5 2 3 3" xfId="20822"/>
    <cellStyle name="40% - Accent3 2 5 2 4" xfId="3498"/>
    <cellStyle name="40% - Accent3 2 5 2 4 2" xfId="15205"/>
    <cellStyle name="40% - Accent3 2 5 2 4 2 2" xfId="28754"/>
    <cellStyle name="40% - Accent3 2 5 2 4 3" xfId="20823"/>
    <cellStyle name="40% - Accent3 2 5 2 5" xfId="9321"/>
    <cellStyle name="40% - Accent3 2 5 2 5 2" xfId="23796"/>
    <cellStyle name="40% - Accent3 2 5 2 6" xfId="20820"/>
    <cellStyle name="40% - Accent3 2 5 3" xfId="3499"/>
    <cellStyle name="40% - Accent3 2 5 3 2" xfId="11047"/>
    <cellStyle name="40% - Accent3 2 5 3 2 2" xfId="24989"/>
    <cellStyle name="40% - Accent3 2 5 3 3" xfId="20824"/>
    <cellStyle name="40% - Accent3 2 5 4" xfId="3500"/>
    <cellStyle name="40% - Accent3 2 5 4 2" xfId="12816"/>
    <cellStyle name="40% - Accent3 2 5 4 2 2" xfId="26528"/>
    <cellStyle name="40% - Accent3 2 5 4 3" xfId="20825"/>
    <cellStyle name="40% - Accent3 2 5 5" xfId="3501"/>
    <cellStyle name="40% - Accent3 2 5 5 2" xfId="15204"/>
    <cellStyle name="40% - Accent3 2 5 5 2 2" xfId="28753"/>
    <cellStyle name="40% - Accent3 2 5 5 3" xfId="20826"/>
    <cellStyle name="40% - Accent3 2 5 6" xfId="3502"/>
    <cellStyle name="40% - Accent3 2 5 6 2" xfId="17015"/>
    <cellStyle name="40% - Accent3 2 5 6 2 2" xfId="30422"/>
    <cellStyle name="40% - Accent3 2 5 6 3" xfId="20827"/>
    <cellStyle name="40% - Accent3 2 5 7" xfId="9320"/>
    <cellStyle name="40% - Accent3 2 5 7 2" xfId="23795"/>
    <cellStyle name="40% - Accent3 2 5 8" xfId="20819"/>
    <cellStyle name="40% - Accent3 2 6" xfId="3503"/>
    <cellStyle name="40% - Accent3 2 6 2" xfId="3504"/>
    <cellStyle name="40% - Accent3 2 6 2 2" xfId="11049"/>
    <cellStyle name="40% - Accent3 2 6 2 2 2" xfId="24991"/>
    <cellStyle name="40% - Accent3 2 6 2 3" xfId="20829"/>
    <cellStyle name="40% - Accent3 2 6 3" xfId="3505"/>
    <cellStyle name="40% - Accent3 2 6 3 2" xfId="12818"/>
    <cellStyle name="40% - Accent3 2 6 3 2 2" xfId="26530"/>
    <cellStyle name="40% - Accent3 2 6 3 3" xfId="20830"/>
    <cellStyle name="40% - Accent3 2 6 4" xfId="3506"/>
    <cellStyle name="40% - Accent3 2 6 4 2" xfId="15206"/>
    <cellStyle name="40% - Accent3 2 6 4 2 2" xfId="28755"/>
    <cellStyle name="40% - Accent3 2 6 4 3" xfId="20831"/>
    <cellStyle name="40% - Accent3 2 6 5" xfId="3507"/>
    <cellStyle name="40% - Accent3 2 6 5 2" xfId="17124"/>
    <cellStyle name="40% - Accent3 2 6 5 2 2" xfId="30483"/>
    <cellStyle name="40% - Accent3 2 6 5 3" xfId="20832"/>
    <cellStyle name="40% - Accent3 2 6 6" xfId="9322"/>
    <cellStyle name="40% - Accent3 2 6 6 2" xfId="23797"/>
    <cellStyle name="40% - Accent3 2 6 7" xfId="20828"/>
    <cellStyle name="40% - Accent3 2 7" xfId="3508"/>
    <cellStyle name="40% - Accent3 2 7 2" xfId="3509"/>
    <cellStyle name="40% - Accent3 2 7 2 2" xfId="11050"/>
    <cellStyle name="40% - Accent3 2 7 2 2 2" xfId="24992"/>
    <cellStyle name="40% - Accent3 2 7 2 3" xfId="20834"/>
    <cellStyle name="40% - Accent3 2 7 3" xfId="3510"/>
    <cellStyle name="40% - Accent3 2 7 3 2" xfId="12819"/>
    <cellStyle name="40% - Accent3 2 7 3 2 2" xfId="26531"/>
    <cellStyle name="40% - Accent3 2 7 3 3" xfId="20835"/>
    <cellStyle name="40% - Accent3 2 7 4" xfId="3511"/>
    <cellStyle name="40% - Accent3 2 7 4 2" xfId="15207"/>
    <cellStyle name="40% - Accent3 2 7 4 2 2" xfId="28756"/>
    <cellStyle name="40% - Accent3 2 7 4 3" xfId="20836"/>
    <cellStyle name="40% - Accent3 2 7 5" xfId="3512"/>
    <cellStyle name="40% - Accent3 2 7 5 2" xfId="17213"/>
    <cellStyle name="40% - Accent3 2 7 5 2 2" xfId="30572"/>
    <cellStyle name="40% - Accent3 2 7 5 3" xfId="20837"/>
    <cellStyle name="40% - Accent3 2 7 6" xfId="9323"/>
    <cellStyle name="40% - Accent3 2 7 6 2" xfId="23798"/>
    <cellStyle name="40% - Accent3 2 7 7" xfId="20833"/>
    <cellStyle name="40% - Accent3 2 8" xfId="3513"/>
    <cellStyle name="40% - Accent3 2 8 2" xfId="3514"/>
    <cellStyle name="40% - Accent3 2 8 2 2" xfId="12820"/>
    <cellStyle name="40% - Accent3 2 8 2 2 2" xfId="26532"/>
    <cellStyle name="40% - Accent3 2 8 2 3" xfId="20839"/>
    <cellStyle name="40% - Accent3 2 8 3" xfId="3515"/>
    <cellStyle name="40% - Accent3 2 8 3 2" xfId="15208"/>
    <cellStyle name="40% - Accent3 2 8 3 2 2" xfId="28757"/>
    <cellStyle name="40% - Accent3 2 8 3 3" xfId="20840"/>
    <cellStyle name="40% - Accent3 2 8 4" xfId="3516"/>
    <cellStyle name="40% - Accent3 2 8 4 2" xfId="16488"/>
    <cellStyle name="40% - Accent3 2 8 4 2 2" xfId="29895"/>
    <cellStyle name="40% - Accent3 2 8 4 3" xfId="20841"/>
    <cellStyle name="40% - Accent3 2 8 5" xfId="10536"/>
    <cellStyle name="40% - Accent3 2 8 5 2" xfId="24478"/>
    <cellStyle name="40% - Accent3 2 8 6" xfId="20838"/>
    <cellStyle name="40% - Accent3 2 9" xfId="3517"/>
    <cellStyle name="40% - Accent3 2 9 2" xfId="3518"/>
    <cellStyle name="40% - Accent3 2 9 2 2" xfId="12821"/>
    <cellStyle name="40% - Accent3 2 9 2 2 2" xfId="26533"/>
    <cellStyle name="40% - Accent3 2 9 2 3" xfId="20843"/>
    <cellStyle name="40% - Accent3 2 9 3" xfId="3519"/>
    <cellStyle name="40% - Accent3 2 9 3 2" xfId="15209"/>
    <cellStyle name="40% - Accent3 2 9 3 2 2" xfId="28758"/>
    <cellStyle name="40% - Accent3 2 9 3 3" xfId="20844"/>
    <cellStyle name="40% - Accent3 2 9 4" xfId="11032"/>
    <cellStyle name="40% - Accent3 2 9 4 2" xfId="24974"/>
    <cellStyle name="40% - Accent3 2 9 5" xfId="20842"/>
    <cellStyle name="40% - Accent3 20" xfId="3520"/>
    <cellStyle name="40% - Accent3 20 2" xfId="3521"/>
    <cellStyle name="40% - Accent3 20 2 2" xfId="12822"/>
    <cellStyle name="40% - Accent3 20 2 2 2" xfId="26534"/>
    <cellStyle name="40% - Accent3 20 2 3" xfId="20846"/>
    <cellStyle name="40% - Accent3 20 3" xfId="3522"/>
    <cellStyle name="40% - Accent3 20 3 2" xfId="15210"/>
    <cellStyle name="40% - Accent3 20 3 2 2" xfId="28759"/>
    <cellStyle name="40% - Accent3 20 3 3" xfId="20847"/>
    <cellStyle name="40% - Accent3 20 4" xfId="10511"/>
    <cellStyle name="40% - Accent3 20 4 2" xfId="24459"/>
    <cellStyle name="40% - Accent3 20 5" xfId="20845"/>
    <cellStyle name="40% - Accent3 21" xfId="3523"/>
    <cellStyle name="40% - Accent3 21 2" xfId="3524"/>
    <cellStyle name="40% - Accent3 21 2 2" xfId="12823"/>
    <cellStyle name="40% - Accent3 21 2 2 2" xfId="26535"/>
    <cellStyle name="40% - Accent3 21 2 3" xfId="20849"/>
    <cellStyle name="40% - Accent3 21 3" xfId="3525"/>
    <cellStyle name="40% - Accent3 21 3 2" xfId="15211"/>
    <cellStyle name="40% - Accent3 21 3 2 2" xfId="28760"/>
    <cellStyle name="40% - Accent3 21 3 3" xfId="20850"/>
    <cellStyle name="40% - Accent3 21 4" xfId="11021"/>
    <cellStyle name="40% - Accent3 21 4 2" xfId="24963"/>
    <cellStyle name="40% - Accent3 21 5" xfId="20848"/>
    <cellStyle name="40% - Accent3 22" xfId="3526"/>
    <cellStyle name="40% - Accent3 22 2" xfId="11747"/>
    <cellStyle name="40% - Accent3 22 2 2" xfId="25462"/>
    <cellStyle name="40% - Accent3 22 3" xfId="20851"/>
    <cellStyle name="40% - Accent3 23" xfId="3527"/>
    <cellStyle name="40% - Accent3 23 2" xfId="12494"/>
    <cellStyle name="40% - Accent3 23 2 2" xfId="26206"/>
    <cellStyle name="40% - Accent3 23 3" xfId="20852"/>
    <cellStyle name="40% - Accent3 24" xfId="3528"/>
    <cellStyle name="40% - Accent3 24 2" xfId="13386"/>
    <cellStyle name="40% - Accent3 24 2 2" xfId="26935"/>
    <cellStyle name="40% - Accent3 24 3" xfId="20853"/>
    <cellStyle name="40% - Accent3 25" xfId="3529"/>
    <cellStyle name="40% - Accent3 25 2" xfId="13967"/>
    <cellStyle name="40% - Accent3 25 2 2" xfId="27516"/>
    <cellStyle name="40% - Accent3 25 3" xfId="20854"/>
    <cellStyle name="40% - Accent3 26" xfId="3530"/>
    <cellStyle name="40% - Accent3 26 2" xfId="15168"/>
    <cellStyle name="40% - Accent3 26 2 2" xfId="28717"/>
    <cellStyle name="40% - Accent3 26 3" xfId="20855"/>
    <cellStyle name="40% - Accent3 27" xfId="3531"/>
    <cellStyle name="40% - Accent3 27 2" xfId="15833"/>
    <cellStyle name="40% - Accent3 27 2 2" xfId="29240"/>
    <cellStyle name="40% - Accent3 27 3" xfId="20856"/>
    <cellStyle name="40% - Accent3 28" xfId="3532"/>
    <cellStyle name="40% - Accent3 28 2" xfId="15853"/>
    <cellStyle name="40% - Accent3 28 2 2" xfId="29260"/>
    <cellStyle name="40% - Accent3 28 3" xfId="20857"/>
    <cellStyle name="40% - Accent3 29" xfId="3533"/>
    <cellStyle name="40% - Accent3 29 2" xfId="9294"/>
    <cellStyle name="40% - Accent3 29 2 2" xfId="23769"/>
    <cellStyle name="40% - Accent3 29 3" xfId="20858"/>
    <cellStyle name="40% - Accent3 3" xfId="3534"/>
    <cellStyle name="40% - Accent3 3 10" xfId="3535"/>
    <cellStyle name="40% - Accent3 3 10 2" xfId="14044"/>
    <cellStyle name="40% - Accent3 3 10 2 2" xfId="27593"/>
    <cellStyle name="40% - Accent3 3 10 3" xfId="20860"/>
    <cellStyle name="40% - Accent3 3 11" xfId="3536"/>
    <cellStyle name="40% - Accent3 3 11 2" xfId="15212"/>
    <cellStyle name="40% - Accent3 3 11 2 2" xfId="28761"/>
    <cellStyle name="40% - Accent3 3 11 3" xfId="20861"/>
    <cellStyle name="40% - Accent3 3 12" xfId="3537"/>
    <cellStyle name="40% - Accent3 3 12 2" xfId="15930"/>
    <cellStyle name="40% - Accent3 3 12 2 2" xfId="29337"/>
    <cellStyle name="40% - Accent3 3 12 3" xfId="20862"/>
    <cellStyle name="40% - Accent3 3 13" xfId="9324"/>
    <cellStyle name="40% - Accent3 3 13 2" xfId="23799"/>
    <cellStyle name="40% - Accent3 3 14" xfId="20859"/>
    <cellStyle name="40% - Accent3 3 2" xfId="3538"/>
    <cellStyle name="40% - Accent3 3 2 10" xfId="3539"/>
    <cellStyle name="40% - Accent3 3 2 10 2" xfId="16073"/>
    <cellStyle name="40% - Accent3 3 2 10 2 2" xfId="29480"/>
    <cellStyle name="40% - Accent3 3 2 10 3" xfId="20864"/>
    <cellStyle name="40% - Accent3 3 2 11" xfId="9325"/>
    <cellStyle name="40% - Accent3 3 2 11 2" xfId="23800"/>
    <cellStyle name="40% - Accent3 3 2 12" xfId="20863"/>
    <cellStyle name="40% - Accent3 3 2 2" xfId="3540"/>
    <cellStyle name="40% - Accent3 3 2 2 10" xfId="9326"/>
    <cellStyle name="40% - Accent3 3 2 2 10 2" xfId="23801"/>
    <cellStyle name="40% - Accent3 3 2 2 11" xfId="20865"/>
    <cellStyle name="40% - Accent3 3 2 2 2" xfId="3541"/>
    <cellStyle name="40% - Accent3 3 2 2 2 2" xfId="3542"/>
    <cellStyle name="40% - Accent3 3 2 2 2 2 2" xfId="11054"/>
    <cellStyle name="40% - Accent3 3 2 2 2 2 2 2" xfId="24996"/>
    <cellStyle name="40% - Accent3 3 2 2 2 2 3" xfId="20867"/>
    <cellStyle name="40% - Accent3 3 2 2 2 3" xfId="3543"/>
    <cellStyle name="40% - Accent3 3 2 2 2 3 2" xfId="12827"/>
    <cellStyle name="40% - Accent3 3 2 2 2 3 2 2" xfId="26539"/>
    <cellStyle name="40% - Accent3 3 2 2 2 3 3" xfId="20868"/>
    <cellStyle name="40% - Accent3 3 2 2 2 4" xfId="3544"/>
    <cellStyle name="40% - Accent3 3 2 2 2 4 2" xfId="15215"/>
    <cellStyle name="40% - Accent3 3 2 2 2 4 2 2" xfId="28764"/>
    <cellStyle name="40% - Accent3 3 2 2 2 4 3" xfId="20869"/>
    <cellStyle name="40% - Accent3 3 2 2 2 5" xfId="3545"/>
    <cellStyle name="40% - Accent3 3 2 2 2 5 2" xfId="16943"/>
    <cellStyle name="40% - Accent3 3 2 2 2 5 2 2" xfId="30350"/>
    <cellStyle name="40% - Accent3 3 2 2 2 5 3" xfId="20870"/>
    <cellStyle name="40% - Accent3 3 2 2 2 6" xfId="9327"/>
    <cellStyle name="40% - Accent3 3 2 2 2 6 2" xfId="23802"/>
    <cellStyle name="40% - Accent3 3 2 2 2 7" xfId="20866"/>
    <cellStyle name="40% - Accent3 3 2 2 3" xfId="3546"/>
    <cellStyle name="40% - Accent3 3 2 2 3 2" xfId="3547"/>
    <cellStyle name="40% - Accent3 3 2 2 3 2 2" xfId="15216"/>
    <cellStyle name="40% - Accent3 3 2 2 3 2 2 2" xfId="28765"/>
    <cellStyle name="40% - Accent3 3 2 2 3 2 3" xfId="20872"/>
    <cellStyle name="40% - Accent3 3 2 2 3 3" xfId="11053"/>
    <cellStyle name="40% - Accent3 3 2 2 3 3 2" xfId="24995"/>
    <cellStyle name="40% - Accent3 3 2 2 3 4" xfId="20871"/>
    <cellStyle name="40% - Accent3 3 2 2 4" xfId="3548"/>
    <cellStyle name="40% - Accent3 3 2 2 4 2" xfId="12331"/>
    <cellStyle name="40% - Accent3 3 2 2 4 2 2" xfId="26043"/>
    <cellStyle name="40% - Accent3 3 2 2 4 3" xfId="20873"/>
    <cellStyle name="40% - Accent3 3 2 2 5" xfId="3549"/>
    <cellStyle name="40% - Accent3 3 2 2 5 2" xfId="12826"/>
    <cellStyle name="40% - Accent3 3 2 2 5 2 2" xfId="26538"/>
    <cellStyle name="40% - Accent3 3 2 2 5 3" xfId="20874"/>
    <cellStyle name="40% - Accent3 3 2 2 6" xfId="3550"/>
    <cellStyle name="40% - Accent3 3 2 2 6 2" xfId="13895"/>
    <cellStyle name="40% - Accent3 3 2 2 6 2 2" xfId="27444"/>
    <cellStyle name="40% - Accent3 3 2 2 6 3" xfId="20875"/>
    <cellStyle name="40% - Accent3 3 2 2 7" xfId="3551"/>
    <cellStyle name="40% - Accent3 3 2 2 7 2" xfId="14476"/>
    <cellStyle name="40% - Accent3 3 2 2 7 2 2" xfId="28025"/>
    <cellStyle name="40% - Accent3 3 2 2 7 3" xfId="20876"/>
    <cellStyle name="40% - Accent3 3 2 2 8" xfId="3552"/>
    <cellStyle name="40% - Accent3 3 2 2 8 2" xfId="15214"/>
    <cellStyle name="40% - Accent3 3 2 2 8 2 2" xfId="28763"/>
    <cellStyle name="40% - Accent3 3 2 2 8 3" xfId="20877"/>
    <cellStyle name="40% - Accent3 3 2 2 9" xfId="3553"/>
    <cellStyle name="40% - Accent3 3 2 2 9 2" xfId="16362"/>
    <cellStyle name="40% - Accent3 3 2 2 9 2 2" xfId="29769"/>
    <cellStyle name="40% - Accent3 3 2 2 9 3" xfId="20878"/>
    <cellStyle name="40% - Accent3 3 2 3" xfId="3554"/>
    <cellStyle name="40% - Accent3 3 2 3 2" xfId="3555"/>
    <cellStyle name="40% - Accent3 3 2 3 2 2" xfId="11055"/>
    <cellStyle name="40% - Accent3 3 2 3 2 2 2" xfId="24997"/>
    <cellStyle name="40% - Accent3 3 2 3 2 3" xfId="20880"/>
    <cellStyle name="40% - Accent3 3 2 3 3" xfId="3556"/>
    <cellStyle name="40% - Accent3 3 2 3 3 2" xfId="12828"/>
    <cellStyle name="40% - Accent3 3 2 3 3 2 2" xfId="26540"/>
    <cellStyle name="40% - Accent3 3 2 3 3 3" xfId="20881"/>
    <cellStyle name="40% - Accent3 3 2 3 4" xfId="3557"/>
    <cellStyle name="40% - Accent3 3 2 3 4 2" xfId="15217"/>
    <cellStyle name="40% - Accent3 3 2 3 4 2 2" xfId="28766"/>
    <cellStyle name="40% - Accent3 3 2 3 4 3" xfId="20882"/>
    <cellStyle name="40% - Accent3 3 2 3 5" xfId="3558"/>
    <cellStyle name="40% - Accent3 3 2 3 5 2" xfId="16654"/>
    <cellStyle name="40% - Accent3 3 2 3 5 2 2" xfId="30061"/>
    <cellStyle name="40% - Accent3 3 2 3 5 3" xfId="20883"/>
    <cellStyle name="40% - Accent3 3 2 3 6" xfId="9328"/>
    <cellStyle name="40% - Accent3 3 2 3 6 2" xfId="23803"/>
    <cellStyle name="40% - Accent3 3 2 3 7" xfId="20879"/>
    <cellStyle name="40% - Accent3 3 2 4" xfId="3559"/>
    <cellStyle name="40% - Accent3 3 2 4 2" xfId="3560"/>
    <cellStyle name="40% - Accent3 3 2 4 2 2" xfId="15218"/>
    <cellStyle name="40% - Accent3 3 2 4 2 2 2" xfId="28767"/>
    <cellStyle name="40% - Accent3 3 2 4 2 3" xfId="20885"/>
    <cellStyle name="40% - Accent3 3 2 4 3" xfId="11052"/>
    <cellStyle name="40% - Accent3 3 2 4 3 2" xfId="24994"/>
    <cellStyle name="40% - Accent3 3 2 4 4" xfId="20884"/>
    <cellStyle name="40% - Accent3 3 2 5" xfId="3561"/>
    <cellStyle name="40% - Accent3 3 2 5 2" xfId="12031"/>
    <cellStyle name="40% - Accent3 3 2 5 2 2" xfId="25746"/>
    <cellStyle name="40% - Accent3 3 2 5 3" xfId="20886"/>
    <cellStyle name="40% - Accent3 3 2 6" xfId="3562"/>
    <cellStyle name="40% - Accent3 3 2 6 2" xfId="12825"/>
    <cellStyle name="40% - Accent3 3 2 6 2 2" xfId="26537"/>
    <cellStyle name="40% - Accent3 3 2 6 3" xfId="20887"/>
    <cellStyle name="40% - Accent3 3 2 7" xfId="3563"/>
    <cellStyle name="40% - Accent3 3 2 7 2" xfId="13606"/>
    <cellStyle name="40% - Accent3 3 2 7 2 2" xfId="27155"/>
    <cellStyle name="40% - Accent3 3 2 7 3" xfId="20888"/>
    <cellStyle name="40% - Accent3 3 2 8" xfId="3564"/>
    <cellStyle name="40% - Accent3 3 2 8 2" xfId="14187"/>
    <cellStyle name="40% - Accent3 3 2 8 2 2" xfId="27736"/>
    <cellStyle name="40% - Accent3 3 2 8 3" xfId="20889"/>
    <cellStyle name="40% - Accent3 3 2 9" xfId="3565"/>
    <cellStyle name="40% - Accent3 3 2 9 2" xfId="15213"/>
    <cellStyle name="40% - Accent3 3 2 9 2 2" xfId="28762"/>
    <cellStyle name="40% - Accent3 3 2 9 3" xfId="20890"/>
    <cellStyle name="40% - Accent3 3 3" xfId="3566"/>
    <cellStyle name="40% - Accent3 3 3 10" xfId="9329"/>
    <cellStyle name="40% - Accent3 3 3 10 2" xfId="23804"/>
    <cellStyle name="40% - Accent3 3 3 11" xfId="20891"/>
    <cellStyle name="40% - Accent3 3 3 2" xfId="3567"/>
    <cellStyle name="40% - Accent3 3 3 2 2" xfId="3568"/>
    <cellStyle name="40% - Accent3 3 3 2 2 2" xfId="11057"/>
    <cellStyle name="40% - Accent3 3 3 2 2 2 2" xfId="24999"/>
    <cellStyle name="40% - Accent3 3 3 2 2 3" xfId="20893"/>
    <cellStyle name="40% - Accent3 3 3 2 3" xfId="3569"/>
    <cellStyle name="40% - Accent3 3 3 2 3 2" xfId="12830"/>
    <cellStyle name="40% - Accent3 3 3 2 3 2 2" xfId="26542"/>
    <cellStyle name="40% - Accent3 3 3 2 3 3" xfId="20894"/>
    <cellStyle name="40% - Accent3 3 3 2 4" xfId="3570"/>
    <cellStyle name="40% - Accent3 3 3 2 4 2" xfId="15220"/>
    <cellStyle name="40% - Accent3 3 3 2 4 2 2" xfId="28769"/>
    <cellStyle name="40% - Accent3 3 3 2 4 3" xfId="20895"/>
    <cellStyle name="40% - Accent3 3 3 2 5" xfId="3571"/>
    <cellStyle name="40% - Accent3 3 3 2 5 2" xfId="16800"/>
    <cellStyle name="40% - Accent3 3 3 2 5 2 2" xfId="30207"/>
    <cellStyle name="40% - Accent3 3 3 2 5 3" xfId="20896"/>
    <cellStyle name="40% - Accent3 3 3 2 6" xfId="9330"/>
    <cellStyle name="40% - Accent3 3 3 2 6 2" xfId="23805"/>
    <cellStyle name="40% - Accent3 3 3 2 7" xfId="20892"/>
    <cellStyle name="40% - Accent3 3 3 3" xfId="3572"/>
    <cellStyle name="40% - Accent3 3 3 3 2" xfId="3573"/>
    <cellStyle name="40% - Accent3 3 3 3 2 2" xfId="15221"/>
    <cellStyle name="40% - Accent3 3 3 3 2 2 2" xfId="28770"/>
    <cellStyle name="40% - Accent3 3 3 3 2 3" xfId="20898"/>
    <cellStyle name="40% - Accent3 3 3 3 3" xfId="11056"/>
    <cellStyle name="40% - Accent3 3 3 3 3 2" xfId="24998"/>
    <cellStyle name="40% - Accent3 3 3 3 4" xfId="20897"/>
    <cellStyle name="40% - Accent3 3 3 4" xfId="3574"/>
    <cellStyle name="40% - Accent3 3 3 4 2" xfId="12188"/>
    <cellStyle name="40% - Accent3 3 3 4 2 2" xfId="25900"/>
    <cellStyle name="40% - Accent3 3 3 4 3" xfId="20899"/>
    <cellStyle name="40% - Accent3 3 3 5" xfId="3575"/>
    <cellStyle name="40% - Accent3 3 3 5 2" xfId="12829"/>
    <cellStyle name="40% - Accent3 3 3 5 2 2" xfId="26541"/>
    <cellStyle name="40% - Accent3 3 3 5 3" xfId="20900"/>
    <cellStyle name="40% - Accent3 3 3 6" xfId="3576"/>
    <cellStyle name="40% - Accent3 3 3 6 2" xfId="13752"/>
    <cellStyle name="40% - Accent3 3 3 6 2 2" xfId="27301"/>
    <cellStyle name="40% - Accent3 3 3 6 3" xfId="20901"/>
    <cellStyle name="40% - Accent3 3 3 7" xfId="3577"/>
    <cellStyle name="40% - Accent3 3 3 7 2" xfId="14333"/>
    <cellStyle name="40% - Accent3 3 3 7 2 2" xfId="27882"/>
    <cellStyle name="40% - Accent3 3 3 7 3" xfId="20902"/>
    <cellStyle name="40% - Accent3 3 3 8" xfId="3578"/>
    <cellStyle name="40% - Accent3 3 3 8 2" xfId="15219"/>
    <cellStyle name="40% - Accent3 3 3 8 2 2" xfId="28768"/>
    <cellStyle name="40% - Accent3 3 3 8 3" xfId="20903"/>
    <cellStyle name="40% - Accent3 3 3 9" xfId="3579"/>
    <cellStyle name="40% - Accent3 3 3 9 2" xfId="16219"/>
    <cellStyle name="40% - Accent3 3 3 9 2 2" xfId="29626"/>
    <cellStyle name="40% - Accent3 3 3 9 3" xfId="20904"/>
    <cellStyle name="40% - Accent3 3 4" xfId="3580"/>
    <cellStyle name="40% - Accent3 3 4 2" xfId="3581"/>
    <cellStyle name="40% - Accent3 3 4 2 2" xfId="11058"/>
    <cellStyle name="40% - Accent3 3 4 2 2 2" xfId="25000"/>
    <cellStyle name="40% - Accent3 3 4 2 3" xfId="20906"/>
    <cellStyle name="40% - Accent3 3 4 3" xfId="3582"/>
    <cellStyle name="40% - Accent3 3 4 3 2" xfId="12831"/>
    <cellStyle name="40% - Accent3 3 4 3 2 2" xfId="26543"/>
    <cellStyle name="40% - Accent3 3 4 3 3" xfId="20907"/>
    <cellStyle name="40% - Accent3 3 4 4" xfId="3583"/>
    <cellStyle name="40% - Accent3 3 4 4 2" xfId="15222"/>
    <cellStyle name="40% - Accent3 3 4 4 2 2" xfId="28771"/>
    <cellStyle name="40% - Accent3 3 4 4 3" xfId="20908"/>
    <cellStyle name="40% - Accent3 3 4 5" xfId="3584"/>
    <cellStyle name="40% - Accent3 3 4 5 2" xfId="17147"/>
    <cellStyle name="40% - Accent3 3 4 5 2 2" xfId="30506"/>
    <cellStyle name="40% - Accent3 3 4 5 3" xfId="20909"/>
    <cellStyle name="40% - Accent3 3 4 6" xfId="9331"/>
    <cellStyle name="40% - Accent3 3 4 6 2" xfId="23806"/>
    <cellStyle name="40% - Accent3 3 4 7" xfId="20905"/>
    <cellStyle name="40% - Accent3 3 5" xfId="3585"/>
    <cellStyle name="40% - Accent3 3 5 2" xfId="3586"/>
    <cellStyle name="40% - Accent3 3 5 2 2" xfId="11059"/>
    <cellStyle name="40% - Accent3 3 5 2 2 2" xfId="25001"/>
    <cellStyle name="40% - Accent3 3 5 2 3" xfId="20911"/>
    <cellStyle name="40% - Accent3 3 5 3" xfId="3587"/>
    <cellStyle name="40% - Accent3 3 5 3 2" xfId="12832"/>
    <cellStyle name="40% - Accent3 3 5 3 2 2" xfId="26544"/>
    <cellStyle name="40% - Accent3 3 5 3 3" xfId="20912"/>
    <cellStyle name="40% - Accent3 3 5 4" xfId="3588"/>
    <cellStyle name="40% - Accent3 3 5 4 2" xfId="15223"/>
    <cellStyle name="40% - Accent3 3 5 4 2 2" xfId="28772"/>
    <cellStyle name="40% - Accent3 3 5 4 3" xfId="20913"/>
    <cellStyle name="40% - Accent3 3 5 5" xfId="3589"/>
    <cellStyle name="40% - Accent3 3 5 5 2" xfId="17236"/>
    <cellStyle name="40% - Accent3 3 5 5 2 2" xfId="30595"/>
    <cellStyle name="40% - Accent3 3 5 5 3" xfId="20914"/>
    <cellStyle name="40% - Accent3 3 5 6" xfId="9332"/>
    <cellStyle name="40% - Accent3 3 5 6 2" xfId="23807"/>
    <cellStyle name="40% - Accent3 3 5 7" xfId="20910"/>
    <cellStyle name="40% - Accent3 3 6" xfId="3590"/>
    <cellStyle name="40% - Accent3 3 6 2" xfId="3591"/>
    <cellStyle name="40% - Accent3 3 6 2 2" xfId="15224"/>
    <cellStyle name="40% - Accent3 3 6 2 2 2" xfId="28773"/>
    <cellStyle name="40% - Accent3 3 6 2 3" xfId="20916"/>
    <cellStyle name="40% - Accent3 3 6 3" xfId="3592"/>
    <cellStyle name="40% - Accent3 3 6 3 2" xfId="16511"/>
    <cellStyle name="40% - Accent3 3 6 3 2 2" xfId="29918"/>
    <cellStyle name="40% - Accent3 3 6 3 3" xfId="20917"/>
    <cellStyle name="40% - Accent3 3 6 4" xfId="11051"/>
    <cellStyle name="40% - Accent3 3 6 4 2" xfId="24993"/>
    <cellStyle name="40% - Accent3 3 6 5" xfId="20915"/>
    <cellStyle name="40% - Accent3 3 7" xfId="3593"/>
    <cellStyle name="40% - Accent3 3 7 2" xfId="11883"/>
    <cellStyle name="40% - Accent3 3 7 2 2" xfId="25598"/>
    <cellStyle name="40% - Accent3 3 7 3" xfId="20918"/>
    <cellStyle name="40% - Accent3 3 8" xfId="3594"/>
    <cellStyle name="40% - Accent3 3 8 2" xfId="12824"/>
    <cellStyle name="40% - Accent3 3 8 2 2" xfId="26536"/>
    <cellStyle name="40% - Accent3 3 8 3" xfId="20919"/>
    <cellStyle name="40% - Accent3 3 9" xfId="3595"/>
    <cellStyle name="40% - Accent3 3 9 2" xfId="13463"/>
    <cellStyle name="40% - Accent3 3 9 2 2" xfId="27012"/>
    <cellStyle name="40% - Accent3 3 9 3" xfId="20920"/>
    <cellStyle name="40% - Accent3 30" xfId="23254"/>
    <cellStyle name="40% - Accent3 4" xfId="3596"/>
    <cellStyle name="40% - Accent3 4 10" xfId="3597"/>
    <cellStyle name="40% - Accent3 4 10 2" xfId="15225"/>
    <cellStyle name="40% - Accent3 4 10 2 2" xfId="28774"/>
    <cellStyle name="40% - Accent3 4 10 3" xfId="20922"/>
    <cellStyle name="40% - Accent3 4 11" xfId="3598"/>
    <cellStyle name="40% - Accent3 4 11 2" xfId="15887"/>
    <cellStyle name="40% - Accent3 4 11 2 2" xfId="29294"/>
    <cellStyle name="40% - Accent3 4 11 3" xfId="20923"/>
    <cellStyle name="40% - Accent3 4 12" xfId="9333"/>
    <cellStyle name="40% - Accent3 4 12 2" xfId="23808"/>
    <cellStyle name="40% - Accent3 4 13" xfId="20921"/>
    <cellStyle name="40% - Accent3 4 2" xfId="3599"/>
    <cellStyle name="40% - Accent3 4 2 10" xfId="3600"/>
    <cellStyle name="40% - Accent3 4 2 10 2" xfId="16030"/>
    <cellStyle name="40% - Accent3 4 2 10 2 2" xfId="29437"/>
    <cellStyle name="40% - Accent3 4 2 10 3" xfId="20925"/>
    <cellStyle name="40% - Accent3 4 2 11" xfId="9334"/>
    <cellStyle name="40% - Accent3 4 2 11 2" xfId="23809"/>
    <cellStyle name="40% - Accent3 4 2 12" xfId="20924"/>
    <cellStyle name="40% - Accent3 4 2 2" xfId="3601"/>
    <cellStyle name="40% - Accent3 4 2 2 10" xfId="9335"/>
    <cellStyle name="40% - Accent3 4 2 2 10 2" xfId="23810"/>
    <cellStyle name="40% - Accent3 4 2 2 11" xfId="20926"/>
    <cellStyle name="40% - Accent3 4 2 2 2" xfId="3602"/>
    <cellStyle name="40% - Accent3 4 2 2 2 2" xfId="3603"/>
    <cellStyle name="40% - Accent3 4 2 2 2 2 2" xfId="11063"/>
    <cellStyle name="40% - Accent3 4 2 2 2 2 2 2" xfId="25005"/>
    <cellStyle name="40% - Accent3 4 2 2 2 2 3" xfId="20928"/>
    <cellStyle name="40% - Accent3 4 2 2 2 3" xfId="3604"/>
    <cellStyle name="40% - Accent3 4 2 2 2 3 2" xfId="12836"/>
    <cellStyle name="40% - Accent3 4 2 2 2 3 2 2" xfId="26548"/>
    <cellStyle name="40% - Accent3 4 2 2 2 3 3" xfId="20929"/>
    <cellStyle name="40% - Accent3 4 2 2 2 4" xfId="3605"/>
    <cellStyle name="40% - Accent3 4 2 2 2 4 2" xfId="15228"/>
    <cellStyle name="40% - Accent3 4 2 2 2 4 2 2" xfId="28777"/>
    <cellStyle name="40% - Accent3 4 2 2 2 4 3" xfId="20930"/>
    <cellStyle name="40% - Accent3 4 2 2 2 5" xfId="3606"/>
    <cellStyle name="40% - Accent3 4 2 2 2 5 2" xfId="16900"/>
    <cellStyle name="40% - Accent3 4 2 2 2 5 2 2" xfId="30307"/>
    <cellStyle name="40% - Accent3 4 2 2 2 5 3" xfId="20931"/>
    <cellStyle name="40% - Accent3 4 2 2 2 6" xfId="9336"/>
    <cellStyle name="40% - Accent3 4 2 2 2 6 2" xfId="23811"/>
    <cellStyle name="40% - Accent3 4 2 2 2 7" xfId="20927"/>
    <cellStyle name="40% - Accent3 4 2 2 3" xfId="3607"/>
    <cellStyle name="40% - Accent3 4 2 2 3 2" xfId="3608"/>
    <cellStyle name="40% - Accent3 4 2 2 3 2 2" xfId="15229"/>
    <cellStyle name="40% - Accent3 4 2 2 3 2 2 2" xfId="28778"/>
    <cellStyle name="40% - Accent3 4 2 2 3 2 3" xfId="20933"/>
    <cellStyle name="40% - Accent3 4 2 2 3 3" xfId="11062"/>
    <cellStyle name="40% - Accent3 4 2 2 3 3 2" xfId="25004"/>
    <cellStyle name="40% - Accent3 4 2 2 3 4" xfId="20932"/>
    <cellStyle name="40% - Accent3 4 2 2 4" xfId="3609"/>
    <cellStyle name="40% - Accent3 4 2 2 4 2" xfId="12288"/>
    <cellStyle name="40% - Accent3 4 2 2 4 2 2" xfId="26000"/>
    <cellStyle name="40% - Accent3 4 2 2 4 3" xfId="20934"/>
    <cellStyle name="40% - Accent3 4 2 2 5" xfId="3610"/>
    <cellStyle name="40% - Accent3 4 2 2 5 2" xfId="12835"/>
    <cellStyle name="40% - Accent3 4 2 2 5 2 2" xfId="26547"/>
    <cellStyle name="40% - Accent3 4 2 2 5 3" xfId="20935"/>
    <cellStyle name="40% - Accent3 4 2 2 6" xfId="3611"/>
    <cellStyle name="40% - Accent3 4 2 2 6 2" xfId="13852"/>
    <cellStyle name="40% - Accent3 4 2 2 6 2 2" xfId="27401"/>
    <cellStyle name="40% - Accent3 4 2 2 6 3" xfId="20936"/>
    <cellStyle name="40% - Accent3 4 2 2 7" xfId="3612"/>
    <cellStyle name="40% - Accent3 4 2 2 7 2" xfId="14433"/>
    <cellStyle name="40% - Accent3 4 2 2 7 2 2" xfId="27982"/>
    <cellStyle name="40% - Accent3 4 2 2 7 3" xfId="20937"/>
    <cellStyle name="40% - Accent3 4 2 2 8" xfId="3613"/>
    <cellStyle name="40% - Accent3 4 2 2 8 2" xfId="15227"/>
    <cellStyle name="40% - Accent3 4 2 2 8 2 2" xfId="28776"/>
    <cellStyle name="40% - Accent3 4 2 2 8 3" xfId="20938"/>
    <cellStyle name="40% - Accent3 4 2 2 9" xfId="3614"/>
    <cellStyle name="40% - Accent3 4 2 2 9 2" xfId="16319"/>
    <cellStyle name="40% - Accent3 4 2 2 9 2 2" xfId="29726"/>
    <cellStyle name="40% - Accent3 4 2 2 9 3" xfId="20939"/>
    <cellStyle name="40% - Accent3 4 2 3" xfId="3615"/>
    <cellStyle name="40% - Accent3 4 2 3 2" xfId="3616"/>
    <cellStyle name="40% - Accent3 4 2 3 2 2" xfId="11064"/>
    <cellStyle name="40% - Accent3 4 2 3 2 2 2" xfId="25006"/>
    <cellStyle name="40% - Accent3 4 2 3 2 3" xfId="20941"/>
    <cellStyle name="40% - Accent3 4 2 3 3" xfId="3617"/>
    <cellStyle name="40% - Accent3 4 2 3 3 2" xfId="12837"/>
    <cellStyle name="40% - Accent3 4 2 3 3 2 2" xfId="26549"/>
    <cellStyle name="40% - Accent3 4 2 3 3 3" xfId="20942"/>
    <cellStyle name="40% - Accent3 4 2 3 4" xfId="3618"/>
    <cellStyle name="40% - Accent3 4 2 3 4 2" xfId="15230"/>
    <cellStyle name="40% - Accent3 4 2 3 4 2 2" xfId="28779"/>
    <cellStyle name="40% - Accent3 4 2 3 4 3" xfId="20943"/>
    <cellStyle name="40% - Accent3 4 2 3 5" xfId="3619"/>
    <cellStyle name="40% - Accent3 4 2 3 5 2" xfId="16611"/>
    <cellStyle name="40% - Accent3 4 2 3 5 2 2" xfId="30018"/>
    <cellStyle name="40% - Accent3 4 2 3 5 3" xfId="20944"/>
    <cellStyle name="40% - Accent3 4 2 3 6" xfId="9337"/>
    <cellStyle name="40% - Accent3 4 2 3 6 2" xfId="23812"/>
    <cellStyle name="40% - Accent3 4 2 3 7" xfId="20940"/>
    <cellStyle name="40% - Accent3 4 2 4" xfId="3620"/>
    <cellStyle name="40% - Accent3 4 2 4 2" xfId="3621"/>
    <cellStyle name="40% - Accent3 4 2 4 2 2" xfId="15231"/>
    <cellStyle name="40% - Accent3 4 2 4 2 2 2" xfId="28780"/>
    <cellStyle name="40% - Accent3 4 2 4 2 3" xfId="20946"/>
    <cellStyle name="40% - Accent3 4 2 4 3" xfId="11061"/>
    <cellStyle name="40% - Accent3 4 2 4 3 2" xfId="25003"/>
    <cellStyle name="40% - Accent3 4 2 4 4" xfId="20945"/>
    <cellStyle name="40% - Accent3 4 2 5" xfId="3622"/>
    <cellStyle name="40% - Accent3 4 2 5 2" xfId="11988"/>
    <cellStyle name="40% - Accent3 4 2 5 2 2" xfId="25703"/>
    <cellStyle name="40% - Accent3 4 2 5 3" xfId="20947"/>
    <cellStyle name="40% - Accent3 4 2 6" xfId="3623"/>
    <cellStyle name="40% - Accent3 4 2 6 2" xfId="12834"/>
    <cellStyle name="40% - Accent3 4 2 6 2 2" xfId="26546"/>
    <cellStyle name="40% - Accent3 4 2 6 3" xfId="20948"/>
    <cellStyle name="40% - Accent3 4 2 7" xfId="3624"/>
    <cellStyle name="40% - Accent3 4 2 7 2" xfId="13563"/>
    <cellStyle name="40% - Accent3 4 2 7 2 2" xfId="27112"/>
    <cellStyle name="40% - Accent3 4 2 7 3" xfId="20949"/>
    <cellStyle name="40% - Accent3 4 2 8" xfId="3625"/>
    <cellStyle name="40% - Accent3 4 2 8 2" xfId="14144"/>
    <cellStyle name="40% - Accent3 4 2 8 2 2" xfId="27693"/>
    <cellStyle name="40% - Accent3 4 2 8 3" xfId="20950"/>
    <cellStyle name="40% - Accent3 4 2 9" xfId="3626"/>
    <cellStyle name="40% - Accent3 4 2 9 2" xfId="15226"/>
    <cellStyle name="40% - Accent3 4 2 9 2 2" xfId="28775"/>
    <cellStyle name="40% - Accent3 4 2 9 3" xfId="20951"/>
    <cellStyle name="40% - Accent3 4 3" xfId="3627"/>
    <cellStyle name="40% - Accent3 4 3 10" xfId="9338"/>
    <cellStyle name="40% - Accent3 4 3 10 2" xfId="23813"/>
    <cellStyle name="40% - Accent3 4 3 11" xfId="20952"/>
    <cellStyle name="40% - Accent3 4 3 2" xfId="3628"/>
    <cellStyle name="40% - Accent3 4 3 2 2" xfId="3629"/>
    <cellStyle name="40% - Accent3 4 3 2 2 2" xfId="11066"/>
    <cellStyle name="40% - Accent3 4 3 2 2 2 2" xfId="25008"/>
    <cellStyle name="40% - Accent3 4 3 2 2 3" xfId="20954"/>
    <cellStyle name="40% - Accent3 4 3 2 3" xfId="3630"/>
    <cellStyle name="40% - Accent3 4 3 2 3 2" xfId="12839"/>
    <cellStyle name="40% - Accent3 4 3 2 3 2 2" xfId="26551"/>
    <cellStyle name="40% - Accent3 4 3 2 3 3" xfId="20955"/>
    <cellStyle name="40% - Accent3 4 3 2 4" xfId="3631"/>
    <cellStyle name="40% - Accent3 4 3 2 4 2" xfId="15233"/>
    <cellStyle name="40% - Accent3 4 3 2 4 2 2" xfId="28782"/>
    <cellStyle name="40% - Accent3 4 3 2 4 3" xfId="20956"/>
    <cellStyle name="40% - Accent3 4 3 2 5" xfId="3632"/>
    <cellStyle name="40% - Accent3 4 3 2 5 2" xfId="16760"/>
    <cellStyle name="40% - Accent3 4 3 2 5 2 2" xfId="30167"/>
    <cellStyle name="40% - Accent3 4 3 2 5 3" xfId="20957"/>
    <cellStyle name="40% - Accent3 4 3 2 6" xfId="9339"/>
    <cellStyle name="40% - Accent3 4 3 2 6 2" xfId="23814"/>
    <cellStyle name="40% - Accent3 4 3 2 7" xfId="20953"/>
    <cellStyle name="40% - Accent3 4 3 3" xfId="3633"/>
    <cellStyle name="40% - Accent3 4 3 3 2" xfId="3634"/>
    <cellStyle name="40% - Accent3 4 3 3 2 2" xfId="15234"/>
    <cellStyle name="40% - Accent3 4 3 3 2 2 2" xfId="28783"/>
    <cellStyle name="40% - Accent3 4 3 3 2 3" xfId="20959"/>
    <cellStyle name="40% - Accent3 4 3 3 3" xfId="11065"/>
    <cellStyle name="40% - Accent3 4 3 3 3 2" xfId="25007"/>
    <cellStyle name="40% - Accent3 4 3 3 4" xfId="20958"/>
    <cellStyle name="40% - Accent3 4 3 4" xfId="3635"/>
    <cellStyle name="40% - Accent3 4 3 4 2" xfId="12148"/>
    <cellStyle name="40% - Accent3 4 3 4 2 2" xfId="25860"/>
    <cellStyle name="40% - Accent3 4 3 4 3" xfId="20960"/>
    <cellStyle name="40% - Accent3 4 3 5" xfId="3636"/>
    <cellStyle name="40% - Accent3 4 3 5 2" xfId="12838"/>
    <cellStyle name="40% - Accent3 4 3 5 2 2" xfId="26550"/>
    <cellStyle name="40% - Accent3 4 3 5 3" xfId="20961"/>
    <cellStyle name="40% - Accent3 4 3 6" xfId="3637"/>
    <cellStyle name="40% - Accent3 4 3 6 2" xfId="13712"/>
    <cellStyle name="40% - Accent3 4 3 6 2 2" xfId="27261"/>
    <cellStyle name="40% - Accent3 4 3 6 3" xfId="20962"/>
    <cellStyle name="40% - Accent3 4 3 7" xfId="3638"/>
    <cellStyle name="40% - Accent3 4 3 7 2" xfId="14293"/>
    <cellStyle name="40% - Accent3 4 3 7 2 2" xfId="27842"/>
    <cellStyle name="40% - Accent3 4 3 7 3" xfId="20963"/>
    <cellStyle name="40% - Accent3 4 3 8" xfId="3639"/>
    <cellStyle name="40% - Accent3 4 3 8 2" xfId="15232"/>
    <cellStyle name="40% - Accent3 4 3 8 2 2" xfId="28781"/>
    <cellStyle name="40% - Accent3 4 3 8 3" xfId="20964"/>
    <cellStyle name="40% - Accent3 4 3 9" xfId="3640"/>
    <cellStyle name="40% - Accent3 4 3 9 2" xfId="16179"/>
    <cellStyle name="40% - Accent3 4 3 9 2 2" xfId="29586"/>
    <cellStyle name="40% - Accent3 4 3 9 3" xfId="20965"/>
    <cellStyle name="40% - Accent3 4 4" xfId="3641"/>
    <cellStyle name="40% - Accent3 4 4 2" xfId="3642"/>
    <cellStyle name="40% - Accent3 4 4 2 2" xfId="11067"/>
    <cellStyle name="40% - Accent3 4 4 2 2 2" xfId="25009"/>
    <cellStyle name="40% - Accent3 4 4 2 3" xfId="20967"/>
    <cellStyle name="40% - Accent3 4 4 3" xfId="3643"/>
    <cellStyle name="40% - Accent3 4 4 3 2" xfId="12840"/>
    <cellStyle name="40% - Accent3 4 4 3 2 2" xfId="26552"/>
    <cellStyle name="40% - Accent3 4 4 3 3" xfId="20968"/>
    <cellStyle name="40% - Accent3 4 4 4" xfId="3644"/>
    <cellStyle name="40% - Accent3 4 4 4 2" xfId="15235"/>
    <cellStyle name="40% - Accent3 4 4 4 2 2" xfId="28784"/>
    <cellStyle name="40% - Accent3 4 4 4 3" xfId="20969"/>
    <cellStyle name="40% - Accent3 4 4 5" xfId="3645"/>
    <cellStyle name="40% - Accent3 4 4 5 2" xfId="16468"/>
    <cellStyle name="40% - Accent3 4 4 5 2 2" xfId="29875"/>
    <cellStyle name="40% - Accent3 4 4 5 3" xfId="20970"/>
    <cellStyle name="40% - Accent3 4 4 6" xfId="9340"/>
    <cellStyle name="40% - Accent3 4 4 6 2" xfId="23815"/>
    <cellStyle name="40% - Accent3 4 4 7" xfId="20966"/>
    <cellStyle name="40% - Accent3 4 5" xfId="3646"/>
    <cellStyle name="40% - Accent3 4 5 2" xfId="3647"/>
    <cellStyle name="40% - Accent3 4 5 2 2" xfId="15236"/>
    <cellStyle name="40% - Accent3 4 5 2 2 2" xfId="28785"/>
    <cellStyle name="40% - Accent3 4 5 2 3" xfId="20972"/>
    <cellStyle name="40% - Accent3 4 5 3" xfId="11060"/>
    <cellStyle name="40% - Accent3 4 5 3 2" xfId="25002"/>
    <cellStyle name="40% - Accent3 4 5 4" xfId="20971"/>
    <cellStyle name="40% - Accent3 4 6" xfId="3648"/>
    <cellStyle name="40% - Accent3 4 6 2" xfId="11819"/>
    <cellStyle name="40% - Accent3 4 6 2 2" xfId="25534"/>
    <cellStyle name="40% - Accent3 4 6 3" xfId="20973"/>
    <cellStyle name="40% - Accent3 4 7" xfId="3649"/>
    <cellStyle name="40% - Accent3 4 7 2" xfId="12833"/>
    <cellStyle name="40% - Accent3 4 7 2 2" xfId="26545"/>
    <cellStyle name="40% - Accent3 4 7 3" xfId="20974"/>
    <cellStyle name="40% - Accent3 4 8" xfId="3650"/>
    <cellStyle name="40% - Accent3 4 8 2" xfId="13420"/>
    <cellStyle name="40% - Accent3 4 8 2 2" xfId="26969"/>
    <cellStyle name="40% - Accent3 4 8 3" xfId="20975"/>
    <cellStyle name="40% - Accent3 4 9" xfId="3651"/>
    <cellStyle name="40% - Accent3 4 9 2" xfId="14001"/>
    <cellStyle name="40% - Accent3 4 9 2 2" xfId="27550"/>
    <cellStyle name="40% - Accent3 4 9 3" xfId="20976"/>
    <cellStyle name="40% - Accent3 5" xfId="3652"/>
    <cellStyle name="40% - Accent3 5 10" xfId="3653"/>
    <cellStyle name="40% - Accent3 5 10 2" xfId="15237"/>
    <cellStyle name="40% - Accent3 5 10 2 2" xfId="28786"/>
    <cellStyle name="40% - Accent3 5 10 3" xfId="20978"/>
    <cellStyle name="40% - Accent3 5 11" xfId="3654"/>
    <cellStyle name="40% - Accent3 5 11 2" xfId="15870"/>
    <cellStyle name="40% - Accent3 5 11 2 2" xfId="29277"/>
    <cellStyle name="40% - Accent3 5 11 3" xfId="20979"/>
    <cellStyle name="40% - Accent3 5 12" xfId="9341"/>
    <cellStyle name="40% - Accent3 5 12 2" xfId="23816"/>
    <cellStyle name="40% - Accent3 5 13" xfId="20977"/>
    <cellStyle name="40% - Accent3 5 2" xfId="3655"/>
    <cellStyle name="40% - Accent3 5 2 10" xfId="3656"/>
    <cellStyle name="40% - Accent3 5 2 10 2" xfId="16013"/>
    <cellStyle name="40% - Accent3 5 2 10 2 2" xfId="29420"/>
    <cellStyle name="40% - Accent3 5 2 10 3" xfId="20981"/>
    <cellStyle name="40% - Accent3 5 2 11" xfId="9342"/>
    <cellStyle name="40% - Accent3 5 2 11 2" xfId="23817"/>
    <cellStyle name="40% - Accent3 5 2 12" xfId="20980"/>
    <cellStyle name="40% - Accent3 5 2 2" xfId="3657"/>
    <cellStyle name="40% - Accent3 5 2 2 10" xfId="9343"/>
    <cellStyle name="40% - Accent3 5 2 2 10 2" xfId="23818"/>
    <cellStyle name="40% - Accent3 5 2 2 11" xfId="20982"/>
    <cellStyle name="40% - Accent3 5 2 2 2" xfId="3658"/>
    <cellStyle name="40% - Accent3 5 2 2 2 2" xfId="3659"/>
    <cellStyle name="40% - Accent3 5 2 2 2 2 2" xfId="11071"/>
    <cellStyle name="40% - Accent3 5 2 2 2 2 2 2" xfId="25013"/>
    <cellStyle name="40% - Accent3 5 2 2 2 2 3" xfId="20984"/>
    <cellStyle name="40% - Accent3 5 2 2 2 3" xfId="3660"/>
    <cellStyle name="40% - Accent3 5 2 2 2 3 2" xfId="12844"/>
    <cellStyle name="40% - Accent3 5 2 2 2 3 2 2" xfId="26556"/>
    <cellStyle name="40% - Accent3 5 2 2 2 3 3" xfId="20985"/>
    <cellStyle name="40% - Accent3 5 2 2 2 4" xfId="3661"/>
    <cellStyle name="40% - Accent3 5 2 2 2 4 2" xfId="15240"/>
    <cellStyle name="40% - Accent3 5 2 2 2 4 2 2" xfId="28789"/>
    <cellStyle name="40% - Accent3 5 2 2 2 4 3" xfId="20986"/>
    <cellStyle name="40% - Accent3 5 2 2 2 5" xfId="3662"/>
    <cellStyle name="40% - Accent3 5 2 2 2 5 2" xfId="16883"/>
    <cellStyle name="40% - Accent3 5 2 2 2 5 2 2" xfId="30290"/>
    <cellStyle name="40% - Accent3 5 2 2 2 5 3" xfId="20987"/>
    <cellStyle name="40% - Accent3 5 2 2 2 6" xfId="9344"/>
    <cellStyle name="40% - Accent3 5 2 2 2 6 2" xfId="23819"/>
    <cellStyle name="40% - Accent3 5 2 2 2 7" xfId="20983"/>
    <cellStyle name="40% - Accent3 5 2 2 3" xfId="3663"/>
    <cellStyle name="40% - Accent3 5 2 2 3 2" xfId="3664"/>
    <cellStyle name="40% - Accent3 5 2 2 3 2 2" xfId="15241"/>
    <cellStyle name="40% - Accent3 5 2 2 3 2 2 2" xfId="28790"/>
    <cellStyle name="40% - Accent3 5 2 2 3 2 3" xfId="20989"/>
    <cellStyle name="40% - Accent3 5 2 2 3 3" xfId="11070"/>
    <cellStyle name="40% - Accent3 5 2 2 3 3 2" xfId="25012"/>
    <cellStyle name="40% - Accent3 5 2 2 3 4" xfId="20988"/>
    <cellStyle name="40% - Accent3 5 2 2 4" xfId="3665"/>
    <cellStyle name="40% - Accent3 5 2 2 4 2" xfId="12271"/>
    <cellStyle name="40% - Accent3 5 2 2 4 2 2" xfId="25983"/>
    <cellStyle name="40% - Accent3 5 2 2 4 3" xfId="20990"/>
    <cellStyle name="40% - Accent3 5 2 2 5" xfId="3666"/>
    <cellStyle name="40% - Accent3 5 2 2 5 2" xfId="12843"/>
    <cellStyle name="40% - Accent3 5 2 2 5 2 2" xfId="26555"/>
    <cellStyle name="40% - Accent3 5 2 2 5 3" xfId="20991"/>
    <cellStyle name="40% - Accent3 5 2 2 6" xfId="3667"/>
    <cellStyle name="40% - Accent3 5 2 2 6 2" xfId="13835"/>
    <cellStyle name="40% - Accent3 5 2 2 6 2 2" xfId="27384"/>
    <cellStyle name="40% - Accent3 5 2 2 6 3" xfId="20992"/>
    <cellStyle name="40% - Accent3 5 2 2 7" xfId="3668"/>
    <cellStyle name="40% - Accent3 5 2 2 7 2" xfId="14416"/>
    <cellStyle name="40% - Accent3 5 2 2 7 2 2" xfId="27965"/>
    <cellStyle name="40% - Accent3 5 2 2 7 3" xfId="20993"/>
    <cellStyle name="40% - Accent3 5 2 2 8" xfId="3669"/>
    <cellStyle name="40% - Accent3 5 2 2 8 2" xfId="15239"/>
    <cellStyle name="40% - Accent3 5 2 2 8 2 2" xfId="28788"/>
    <cellStyle name="40% - Accent3 5 2 2 8 3" xfId="20994"/>
    <cellStyle name="40% - Accent3 5 2 2 9" xfId="3670"/>
    <cellStyle name="40% - Accent3 5 2 2 9 2" xfId="16302"/>
    <cellStyle name="40% - Accent3 5 2 2 9 2 2" xfId="29709"/>
    <cellStyle name="40% - Accent3 5 2 2 9 3" xfId="20995"/>
    <cellStyle name="40% - Accent3 5 2 3" xfId="3671"/>
    <cellStyle name="40% - Accent3 5 2 3 2" xfId="3672"/>
    <cellStyle name="40% - Accent3 5 2 3 2 2" xfId="11072"/>
    <cellStyle name="40% - Accent3 5 2 3 2 2 2" xfId="25014"/>
    <cellStyle name="40% - Accent3 5 2 3 2 3" xfId="20997"/>
    <cellStyle name="40% - Accent3 5 2 3 3" xfId="3673"/>
    <cellStyle name="40% - Accent3 5 2 3 3 2" xfId="12845"/>
    <cellStyle name="40% - Accent3 5 2 3 3 2 2" xfId="26557"/>
    <cellStyle name="40% - Accent3 5 2 3 3 3" xfId="20998"/>
    <cellStyle name="40% - Accent3 5 2 3 4" xfId="3674"/>
    <cellStyle name="40% - Accent3 5 2 3 4 2" xfId="15242"/>
    <cellStyle name="40% - Accent3 5 2 3 4 2 2" xfId="28791"/>
    <cellStyle name="40% - Accent3 5 2 3 4 3" xfId="20999"/>
    <cellStyle name="40% - Accent3 5 2 3 5" xfId="3675"/>
    <cellStyle name="40% - Accent3 5 2 3 5 2" xfId="16594"/>
    <cellStyle name="40% - Accent3 5 2 3 5 2 2" xfId="30001"/>
    <cellStyle name="40% - Accent3 5 2 3 5 3" xfId="21000"/>
    <cellStyle name="40% - Accent3 5 2 3 6" xfId="9345"/>
    <cellStyle name="40% - Accent3 5 2 3 6 2" xfId="23820"/>
    <cellStyle name="40% - Accent3 5 2 3 7" xfId="20996"/>
    <cellStyle name="40% - Accent3 5 2 4" xfId="3676"/>
    <cellStyle name="40% - Accent3 5 2 4 2" xfId="3677"/>
    <cellStyle name="40% - Accent3 5 2 4 2 2" xfId="15243"/>
    <cellStyle name="40% - Accent3 5 2 4 2 2 2" xfId="28792"/>
    <cellStyle name="40% - Accent3 5 2 4 2 3" xfId="21002"/>
    <cellStyle name="40% - Accent3 5 2 4 3" xfId="11069"/>
    <cellStyle name="40% - Accent3 5 2 4 3 2" xfId="25011"/>
    <cellStyle name="40% - Accent3 5 2 4 4" xfId="21001"/>
    <cellStyle name="40% - Accent3 5 2 5" xfId="3678"/>
    <cellStyle name="40% - Accent3 5 2 5 2" xfId="11971"/>
    <cellStyle name="40% - Accent3 5 2 5 2 2" xfId="25686"/>
    <cellStyle name="40% - Accent3 5 2 5 3" xfId="21003"/>
    <cellStyle name="40% - Accent3 5 2 6" xfId="3679"/>
    <cellStyle name="40% - Accent3 5 2 6 2" xfId="12842"/>
    <cellStyle name="40% - Accent3 5 2 6 2 2" xfId="26554"/>
    <cellStyle name="40% - Accent3 5 2 6 3" xfId="21004"/>
    <cellStyle name="40% - Accent3 5 2 7" xfId="3680"/>
    <cellStyle name="40% - Accent3 5 2 7 2" xfId="13546"/>
    <cellStyle name="40% - Accent3 5 2 7 2 2" xfId="27095"/>
    <cellStyle name="40% - Accent3 5 2 7 3" xfId="21005"/>
    <cellStyle name="40% - Accent3 5 2 8" xfId="3681"/>
    <cellStyle name="40% - Accent3 5 2 8 2" xfId="14127"/>
    <cellStyle name="40% - Accent3 5 2 8 2 2" xfId="27676"/>
    <cellStyle name="40% - Accent3 5 2 8 3" xfId="21006"/>
    <cellStyle name="40% - Accent3 5 2 9" xfId="3682"/>
    <cellStyle name="40% - Accent3 5 2 9 2" xfId="15238"/>
    <cellStyle name="40% - Accent3 5 2 9 2 2" xfId="28787"/>
    <cellStyle name="40% - Accent3 5 2 9 3" xfId="21007"/>
    <cellStyle name="40% - Accent3 5 3" xfId="3683"/>
    <cellStyle name="40% - Accent3 5 3 10" xfId="9346"/>
    <cellStyle name="40% - Accent3 5 3 10 2" xfId="23821"/>
    <cellStyle name="40% - Accent3 5 3 11" xfId="21008"/>
    <cellStyle name="40% - Accent3 5 3 2" xfId="3684"/>
    <cellStyle name="40% - Accent3 5 3 2 2" xfId="3685"/>
    <cellStyle name="40% - Accent3 5 3 2 2 2" xfId="11074"/>
    <cellStyle name="40% - Accent3 5 3 2 2 2 2" xfId="25016"/>
    <cellStyle name="40% - Accent3 5 3 2 2 3" xfId="21010"/>
    <cellStyle name="40% - Accent3 5 3 2 3" xfId="3686"/>
    <cellStyle name="40% - Accent3 5 3 2 3 2" xfId="12847"/>
    <cellStyle name="40% - Accent3 5 3 2 3 2 2" xfId="26559"/>
    <cellStyle name="40% - Accent3 5 3 2 3 3" xfId="21011"/>
    <cellStyle name="40% - Accent3 5 3 2 4" xfId="3687"/>
    <cellStyle name="40% - Accent3 5 3 2 4 2" xfId="15245"/>
    <cellStyle name="40% - Accent3 5 3 2 4 2 2" xfId="28794"/>
    <cellStyle name="40% - Accent3 5 3 2 4 3" xfId="21012"/>
    <cellStyle name="40% - Accent3 5 3 2 5" xfId="3688"/>
    <cellStyle name="40% - Accent3 5 3 2 5 2" xfId="16743"/>
    <cellStyle name="40% - Accent3 5 3 2 5 2 2" xfId="30150"/>
    <cellStyle name="40% - Accent3 5 3 2 5 3" xfId="21013"/>
    <cellStyle name="40% - Accent3 5 3 2 6" xfId="9347"/>
    <cellStyle name="40% - Accent3 5 3 2 6 2" xfId="23822"/>
    <cellStyle name="40% - Accent3 5 3 2 7" xfId="21009"/>
    <cellStyle name="40% - Accent3 5 3 3" xfId="3689"/>
    <cellStyle name="40% - Accent3 5 3 3 2" xfId="3690"/>
    <cellStyle name="40% - Accent3 5 3 3 2 2" xfId="15246"/>
    <cellStyle name="40% - Accent3 5 3 3 2 2 2" xfId="28795"/>
    <cellStyle name="40% - Accent3 5 3 3 2 3" xfId="21015"/>
    <cellStyle name="40% - Accent3 5 3 3 3" xfId="11073"/>
    <cellStyle name="40% - Accent3 5 3 3 3 2" xfId="25015"/>
    <cellStyle name="40% - Accent3 5 3 3 4" xfId="21014"/>
    <cellStyle name="40% - Accent3 5 3 4" xfId="3691"/>
    <cellStyle name="40% - Accent3 5 3 4 2" xfId="12131"/>
    <cellStyle name="40% - Accent3 5 3 4 2 2" xfId="25843"/>
    <cellStyle name="40% - Accent3 5 3 4 3" xfId="21016"/>
    <cellStyle name="40% - Accent3 5 3 5" xfId="3692"/>
    <cellStyle name="40% - Accent3 5 3 5 2" xfId="12846"/>
    <cellStyle name="40% - Accent3 5 3 5 2 2" xfId="26558"/>
    <cellStyle name="40% - Accent3 5 3 5 3" xfId="21017"/>
    <cellStyle name="40% - Accent3 5 3 6" xfId="3693"/>
    <cellStyle name="40% - Accent3 5 3 6 2" xfId="13695"/>
    <cellStyle name="40% - Accent3 5 3 6 2 2" xfId="27244"/>
    <cellStyle name="40% - Accent3 5 3 6 3" xfId="21018"/>
    <cellStyle name="40% - Accent3 5 3 7" xfId="3694"/>
    <cellStyle name="40% - Accent3 5 3 7 2" xfId="14276"/>
    <cellStyle name="40% - Accent3 5 3 7 2 2" xfId="27825"/>
    <cellStyle name="40% - Accent3 5 3 7 3" xfId="21019"/>
    <cellStyle name="40% - Accent3 5 3 8" xfId="3695"/>
    <cellStyle name="40% - Accent3 5 3 8 2" xfId="15244"/>
    <cellStyle name="40% - Accent3 5 3 8 2 2" xfId="28793"/>
    <cellStyle name="40% - Accent3 5 3 8 3" xfId="21020"/>
    <cellStyle name="40% - Accent3 5 3 9" xfId="3696"/>
    <cellStyle name="40% - Accent3 5 3 9 2" xfId="16162"/>
    <cellStyle name="40% - Accent3 5 3 9 2 2" xfId="29569"/>
    <cellStyle name="40% - Accent3 5 3 9 3" xfId="21021"/>
    <cellStyle name="40% - Accent3 5 4" xfId="3697"/>
    <cellStyle name="40% - Accent3 5 4 2" xfId="3698"/>
    <cellStyle name="40% - Accent3 5 4 2 2" xfId="11075"/>
    <cellStyle name="40% - Accent3 5 4 2 2 2" xfId="25017"/>
    <cellStyle name="40% - Accent3 5 4 2 3" xfId="21023"/>
    <cellStyle name="40% - Accent3 5 4 3" xfId="3699"/>
    <cellStyle name="40% - Accent3 5 4 3 2" xfId="12848"/>
    <cellStyle name="40% - Accent3 5 4 3 2 2" xfId="26560"/>
    <cellStyle name="40% - Accent3 5 4 3 3" xfId="21024"/>
    <cellStyle name="40% - Accent3 5 4 4" xfId="3700"/>
    <cellStyle name="40% - Accent3 5 4 4 2" xfId="15247"/>
    <cellStyle name="40% - Accent3 5 4 4 2 2" xfId="28796"/>
    <cellStyle name="40% - Accent3 5 4 4 3" xfId="21025"/>
    <cellStyle name="40% - Accent3 5 4 5" xfId="3701"/>
    <cellStyle name="40% - Accent3 5 4 5 2" xfId="16451"/>
    <cellStyle name="40% - Accent3 5 4 5 2 2" xfId="29858"/>
    <cellStyle name="40% - Accent3 5 4 5 3" xfId="21026"/>
    <cellStyle name="40% - Accent3 5 4 6" xfId="9348"/>
    <cellStyle name="40% - Accent3 5 4 6 2" xfId="23823"/>
    <cellStyle name="40% - Accent3 5 4 7" xfId="21022"/>
    <cellStyle name="40% - Accent3 5 5" xfId="3702"/>
    <cellStyle name="40% - Accent3 5 5 2" xfId="3703"/>
    <cellStyle name="40% - Accent3 5 5 2 2" xfId="15248"/>
    <cellStyle name="40% - Accent3 5 5 2 2 2" xfId="28797"/>
    <cellStyle name="40% - Accent3 5 5 2 3" xfId="21028"/>
    <cellStyle name="40% - Accent3 5 5 3" xfId="11068"/>
    <cellStyle name="40% - Accent3 5 5 3 2" xfId="25010"/>
    <cellStyle name="40% - Accent3 5 5 4" xfId="21027"/>
    <cellStyle name="40% - Accent3 5 6" xfId="3704"/>
    <cellStyle name="40% - Accent3 5 6 2" xfId="11802"/>
    <cellStyle name="40% - Accent3 5 6 2 2" xfId="25517"/>
    <cellStyle name="40% - Accent3 5 6 3" xfId="21029"/>
    <cellStyle name="40% - Accent3 5 7" xfId="3705"/>
    <cellStyle name="40% - Accent3 5 7 2" xfId="12841"/>
    <cellStyle name="40% - Accent3 5 7 2 2" xfId="26553"/>
    <cellStyle name="40% - Accent3 5 7 3" xfId="21030"/>
    <cellStyle name="40% - Accent3 5 8" xfId="3706"/>
    <cellStyle name="40% - Accent3 5 8 2" xfId="13403"/>
    <cellStyle name="40% - Accent3 5 8 2 2" xfId="26952"/>
    <cellStyle name="40% - Accent3 5 8 3" xfId="21031"/>
    <cellStyle name="40% - Accent3 5 9" xfId="3707"/>
    <cellStyle name="40% - Accent3 5 9 2" xfId="13984"/>
    <cellStyle name="40% - Accent3 5 9 2 2" xfId="27533"/>
    <cellStyle name="40% - Accent3 5 9 3" xfId="21032"/>
    <cellStyle name="40% - Accent3 6" xfId="3708"/>
    <cellStyle name="40% - Accent3 6 10" xfId="3709"/>
    <cellStyle name="40% - Accent3 6 10 2" xfId="15249"/>
    <cellStyle name="40% - Accent3 6 10 2 2" xfId="28798"/>
    <cellStyle name="40% - Accent3 6 10 3" xfId="21034"/>
    <cellStyle name="40% - Accent3 6 11" xfId="3710"/>
    <cellStyle name="40% - Accent3 6 11 2" xfId="15976"/>
    <cellStyle name="40% - Accent3 6 11 2 2" xfId="29383"/>
    <cellStyle name="40% - Accent3 6 11 3" xfId="21035"/>
    <cellStyle name="40% - Accent3 6 12" xfId="9349"/>
    <cellStyle name="40% - Accent3 6 12 2" xfId="23824"/>
    <cellStyle name="40% - Accent3 6 13" xfId="21033"/>
    <cellStyle name="40% - Accent3 6 2" xfId="3711"/>
    <cellStyle name="40% - Accent3 6 2 10" xfId="3712"/>
    <cellStyle name="40% - Accent3 6 2 10 2" xfId="16119"/>
    <cellStyle name="40% - Accent3 6 2 10 2 2" xfId="29526"/>
    <cellStyle name="40% - Accent3 6 2 10 3" xfId="21037"/>
    <cellStyle name="40% - Accent3 6 2 11" xfId="9350"/>
    <cellStyle name="40% - Accent3 6 2 11 2" xfId="23825"/>
    <cellStyle name="40% - Accent3 6 2 12" xfId="21036"/>
    <cellStyle name="40% - Accent3 6 2 2" xfId="3713"/>
    <cellStyle name="40% - Accent3 6 2 2 10" xfId="9351"/>
    <cellStyle name="40% - Accent3 6 2 2 10 2" xfId="23826"/>
    <cellStyle name="40% - Accent3 6 2 2 11" xfId="21038"/>
    <cellStyle name="40% - Accent3 6 2 2 2" xfId="3714"/>
    <cellStyle name="40% - Accent3 6 2 2 2 2" xfId="3715"/>
    <cellStyle name="40% - Accent3 6 2 2 2 2 2" xfId="11079"/>
    <cellStyle name="40% - Accent3 6 2 2 2 2 2 2" xfId="25021"/>
    <cellStyle name="40% - Accent3 6 2 2 2 2 3" xfId="21040"/>
    <cellStyle name="40% - Accent3 6 2 2 2 3" xfId="3716"/>
    <cellStyle name="40% - Accent3 6 2 2 2 3 2" xfId="12852"/>
    <cellStyle name="40% - Accent3 6 2 2 2 3 2 2" xfId="26564"/>
    <cellStyle name="40% - Accent3 6 2 2 2 3 3" xfId="21041"/>
    <cellStyle name="40% - Accent3 6 2 2 2 4" xfId="3717"/>
    <cellStyle name="40% - Accent3 6 2 2 2 4 2" xfId="15252"/>
    <cellStyle name="40% - Accent3 6 2 2 2 4 2 2" xfId="28801"/>
    <cellStyle name="40% - Accent3 6 2 2 2 4 3" xfId="21042"/>
    <cellStyle name="40% - Accent3 6 2 2 2 5" xfId="3718"/>
    <cellStyle name="40% - Accent3 6 2 2 2 5 2" xfId="16989"/>
    <cellStyle name="40% - Accent3 6 2 2 2 5 2 2" xfId="30396"/>
    <cellStyle name="40% - Accent3 6 2 2 2 5 3" xfId="21043"/>
    <cellStyle name="40% - Accent3 6 2 2 2 6" xfId="9352"/>
    <cellStyle name="40% - Accent3 6 2 2 2 6 2" xfId="23827"/>
    <cellStyle name="40% - Accent3 6 2 2 2 7" xfId="21039"/>
    <cellStyle name="40% - Accent3 6 2 2 3" xfId="3719"/>
    <cellStyle name="40% - Accent3 6 2 2 3 2" xfId="3720"/>
    <cellStyle name="40% - Accent3 6 2 2 3 2 2" xfId="15253"/>
    <cellStyle name="40% - Accent3 6 2 2 3 2 2 2" xfId="28802"/>
    <cellStyle name="40% - Accent3 6 2 2 3 2 3" xfId="21045"/>
    <cellStyle name="40% - Accent3 6 2 2 3 3" xfId="11078"/>
    <cellStyle name="40% - Accent3 6 2 2 3 3 2" xfId="25020"/>
    <cellStyle name="40% - Accent3 6 2 2 3 4" xfId="21044"/>
    <cellStyle name="40% - Accent3 6 2 2 4" xfId="3721"/>
    <cellStyle name="40% - Accent3 6 2 2 4 2" xfId="12377"/>
    <cellStyle name="40% - Accent3 6 2 2 4 2 2" xfId="26089"/>
    <cellStyle name="40% - Accent3 6 2 2 4 3" xfId="21046"/>
    <cellStyle name="40% - Accent3 6 2 2 5" xfId="3722"/>
    <cellStyle name="40% - Accent3 6 2 2 5 2" xfId="12851"/>
    <cellStyle name="40% - Accent3 6 2 2 5 2 2" xfId="26563"/>
    <cellStyle name="40% - Accent3 6 2 2 5 3" xfId="21047"/>
    <cellStyle name="40% - Accent3 6 2 2 6" xfId="3723"/>
    <cellStyle name="40% - Accent3 6 2 2 6 2" xfId="13941"/>
    <cellStyle name="40% - Accent3 6 2 2 6 2 2" xfId="27490"/>
    <cellStyle name="40% - Accent3 6 2 2 6 3" xfId="21048"/>
    <cellStyle name="40% - Accent3 6 2 2 7" xfId="3724"/>
    <cellStyle name="40% - Accent3 6 2 2 7 2" xfId="14522"/>
    <cellStyle name="40% - Accent3 6 2 2 7 2 2" xfId="28071"/>
    <cellStyle name="40% - Accent3 6 2 2 7 3" xfId="21049"/>
    <cellStyle name="40% - Accent3 6 2 2 8" xfId="3725"/>
    <cellStyle name="40% - Accent3 6 2 2 8 2" xfId="15251"/>
    <cellStyle name="40% - Accent3 6 2 2 8 2 2" xfId="28800"/>
    <cellStyle name="40% - Accent3 6 2 2 8 3" xfId="21050"/>
    <cellStyle name="40% - Accent3 6 2 2 9" xfId="3726"/>
    <cellStyle name="40% - Accent3 6 2 2 9 2" xfId="16408"/>
    <cellStyle name="40% - Accent3 6 2 2 9 2 2" xfId="29815"/>
    <cellStyle name="40% - Accent3 6 2 2 9 3" xfId="21051"/>
    <cellStyle name="40% - Accent3 6 2 3" xfId="3727"/>
    <cellStyle name="40% - Accent3 6 2 3 2" xfId="3728"/>
    <cellStyle name="40% - Accent3 6 2 3 2 2" xfId="11080"/>
    <cellStyle name="40% - Accent3 6 2 3 2 2 2" xfId="25022"/>
    <cellStyle name="40% - Accent3 6 2 3 2 3" xfId="21053"/>
    <cellStyle name="40% - Accent3 6 2 3 3" xfId="3729"/>
    <cellStyle name="40% - Accent3 6 2 3 3 2" xfId="12853"/>
    <cellStyle name="40% - Accent3 6 2 3 3 2 2" xfId="26565"/>
    <cellStyle name="40% - Accent3 6 2 3 3 3" xfId="21054"/>
    <cellStyle name="40% - Accent3 6 2 3 4" xfId="3730"/>
    <cellStyle name="40% - Accent3 6 2 3 4 2" xfId="15254"/>
    <cellStyle name="40% - Accent3 6 2 3 4 2 2" xfId="28803"/>
    <cellStyle name="40% - Accent3 6 2 3 4 3" xfId="21055"/>
    <cellStyle name="40% - Accent3 6 2 3 5" xfId="3731"/>
    <cellStyle name="40% - Accent3 6 2 3 5 2" xfId="16700"/>
    <cellStyle name="40% - Accent3 6 2 3 5 2 2" xfId="30107"/>
    <cellStyle name="40% - Accent3 6 2 3 5 3" xfId="21056"/>
    <cellStyle name="40% - Accent3 6 2 3 6" xfId="9353"/>
    <cellStyle name="40% - Accent3 6 2 3 6 2" xfId="23828"/>
    <cellStyle name="40% - Accent3 6 2 3 7" xfId="21052"/>
    <cellStyle name="40% - Accent3 6 2 4" xfId="3732"/>
    <cellStyle name="40% - Accent3 6 2 4 2" xfId="3733"/>
    <cellStyle name="40% - Accent3 6 2 4 2 2" xfId="15255"/>
    <cellStyle name="40% - Accent3 6 2 4 2 2 2" xfId="28804"/>
    <cellStyle name="40% - Accent3 6 2 4 2 3" xfId="21058"/>
    <cellStyle name="40% - Accent3 6 2 4 3" xfId="11077"/>
    <cellStyle name="40% - Accent3 6 2 4 3 2" xfId="25019"/>
    <cellStyle name="40% - Accent3 6 2 4 4" xfId="21057"/>
    <cellStyle name="40% - Accent3 6 2 5" xfId="3734"/>
    <cellStyle name="40% - Accent3 6 2 5 2" xfId="12077"/>
    <cellStyle name="40% - Accent3 6 2 5 2 2" xfId="25792"/>
    <cellStyle name="40% - Accent3 6 2 5 3" xfId="21059"/>
    <cellStyle name="40% - Accent3 6 2 6" xfId="3735"/>
    <cellStyle name="40% - Accent3 6 2 6 2" xfId="12850"/>
    <cellStyle name="40% - Accent3 6 2 6 2 2" xfId="26562"/>
    <cellStyle name="40% - Accent3 6 2 6 3" xfId="21060"/>
    <cellStyle name="40% - Accent3 6 2 7" xfId="3736"/>
    <cellStyle name="40% - Accent3 6 2 7 2" xfId="13652"/>
    <cellStyle name="40% - Accent3 6 2 7 2 2" xfId="27201"/>
    <cellStyle name="40% - Accent3 6 2 7 3" xfId="21061"/>
    <cellStyle name="40% - Accent3 6 2 8" xfId="3737"/>
    <cellStyle name="40% - Accent3 6 2 8 2" xfId="14233"/>
    <cellStyle name="40% - Accent3 6 2 8 2 2" xfId="27782"/>
    <cellStyle name="40% - Accent3 6 2 8 3" xfId="21062"/>
    <cellStyle name="40% - Accent3 6 2 9" xfId="3738"/>
    <cellStyle name="40% - Accent3 6 2 9 2" xfId="15250"/>
    <cellStyle name="40% - Accent3 6 2 9 2 2" xfId="28799"/>
    <cellStyle name="40% - Accent3 6 2 9 3" xfId="21063"/>
    <cellStyle name="40% - Accent3 6 3" xfId="3739"/>
    <cellStyle name="40% - Accent3 6 3 10" xfId="9354"/>
    <cellStyle name="40% - Accent3 6 3 10 2" xfId="23829"/>
    <cellStyle name="40% - Accent3 6 3 11" xfId="21064"/>
    <cellStyle name="40% - Accent3 6 3 2" xfId="3740"/>
    <cellStyle name="40% - Accent3 6 3 2 2" xfId="3741"/>
    <cellStyle name="40% - Accent3 6 3 2 2 2" xfId="11082"/>
    <cellStyle name="40% - Accent3 6 3 2 2 2 2" xfId="25024"/>
    <cellStyle name="40% - Accent3 6 3 2 2 3" xfId="21066"/>
    <cellStyle name="40% - Accent3 6 3 2 3" xfId="3742"/>
    <cellStyle name="40% - Accent3 6 3 2 3 2" xfId="12855"/>
    <cellStyle name="40% - Accent3 6 3 2 3 2 2" xfId="26567"/>
    <cellStyle name="40% - Accent3 6 3 2 3 3" xfId="21067"/>
    <cellStyle name="40% - Accent3 6 3 2 4" xfId="3743"/>
    <cellStyle name="40% - Accent3 6 3 2 4 2" xfId="15257"/>
    <cellStyle name="40% - Accent3 6 3 2 4 2 2" xfId="28806"/>
    <cellStyle name="40% - Accent3 6 3 2 4 3" xfId="21068"/>
    <cellStyle name="40% - Accent3 6 3 2 5" xfId="3744"/>
    <cellStyle name="40% - Accent3 6 3 2 5 2" xfId="16846"/>
    <cellStyle name="40% - Accent3 6 3 2 5 2 2" xfId="30253"/>
    <cellStyle name="40% - Accent3 6 3 2 5 3" xfId="21069"/>
    <cellStyle name="40% - Accent3 6 3 2 6" xfId="9355"/>
    <cellStyle name="40% - Accent3 6 3 2 6 2" xfId="23830"/>
    <cellStyle name="40% - Accent3 6 3 2 7" xfId="21065"/>
    <cellStyle name="40% - Accent3 6 3 3" xfId="3745"/>
    <cellStyle name="40% - Accent3 6 3 3 2" xfId="3746"/>
    <cellStyle name="40% - Accent3 6 3 3 2 2" xfId="15258"/>
    <cellStyle name="40% - Accent3 6 3 3 2 2 2" xfId="28807"/>
    <cellStyle name="40% - Accent3 6 3 3 2 3" xfId="21071"/>
    <cellStyle name="40% - Accent3 6 3 3 3" xfId="11081"/>
    <cellStyle name="40% - Accent3 6 3 3 3 2" xfId="25023"/>
    <cellStyle name="40% - Accent3 6 3 3 4" xfId="21070"/>
    <cellStyle name="40% - Accent3 6 3 4" xfId="3747"/>
    <cellStyle name="40% - Accent3 6 3 4 2" xfId="12234"/>
    <cellStyle name="40% - Accent3 6 3 4 2 2" xfId="25946"/>
    <cellStyle name="40% - Accent3 6 3 4 3" xfId="21072"/>
    <cellStyle name="40% - Accent3 6 3 5" xfId="3748"/>
    <cellStyle name="40% - Accent3 6 3 5 2" xfId="12854"/>
    <cellStyle name="40% - Accent3 6 3 5 2 2" xfId="26566"/>
    <cellStyle name="40% - Accent3 6 3 5 3" xfId="21073"/>
    <cellStyle name="40% - Accent3 6 3 6" xfId="3749"/>
    <cellStyle name="40% - Accent3 6 3 6 2" xfId="13798"/>
    <cellStyle name="40% - Accent3 6 3 6 2 2" xfId="27347"/>
    <cellStyle name="40% - Accent3 6 3 6 3" xfId="21074"/>
    <cellStyle name="40% - Accent3 6 3 7" xfId="3750"/>
    <cellStyle name="40% - Accent3 6 3 7 2" xfId="14379"/>
    <cellStyle name="40% - Accent3 6 3 7 2 2" xfId="27928"/>
    <cellStyle name="40% - Accent3 6 3 7 3" xfId="21075"/>
    <cellStyle name="40% - Accent3 6 3 8" xfId="3751"/>
    <cellStyle name="40% - Accent3 6 3 8 2" xfId="15256"/>
    <cellStyle name="40% - Accent3 6 3 8 2 2" xfId="28805"/>
    <cellStyle name="40% - Accent3 6 3 8 3" xfId="21076"/>
    <cellStyle name="40% - Accent3 6 3 9" xfId="3752"/>
    <cellStyle name="40% - Accent3 6 3 9 2" xfId="16265"/>
    <cellStyle name="40% - Accent3 6 3 9 2 2" xfId="29672"/>
    <cellStyle name="40% - Accent3 6 3 9 3" xfId="21077"/>
    <cellStyle name="40% - Accent3 6 4" xfId="3753"/>
    <cellStyle name="40% - Accent3 6 4 2" xfId="3754"/>
    <cellStyle name="40% - Accent3 6 4 2 2" xfId="11083"/>
    <cellStyle name="40% - Accent3 6 4 2 2 2" xfId="25025"/>
    <cellStyle name="40% - Accent3 6 4 2 3" xfId="21079"/>
    <cellStyle name="40% - Accent3 6 4 3" xfId="3755"/>
    <cellStyle name="40% - Accent3 6 4 3 2" xfId="12856"/>
    <cellStyle name="40% - Accent3 6 4 3 2 2" xfId="26568"/>
    <cellStyle name="40% - Accent3 6 4 3 3" xfId="21080"/>
    <cellStyle name="40% - Accent3 6 4 4" xfId="3756"/>
    <cellStyle name="40% - Accent3 6 4 4 2" xfId="15259"/>
    <cellStyle name="40% - Accent3 6 4 4 2 2" xfId="28808"/>
    <cellStyle name="40% - Accent3 6 4 4 3" xfId="21081"/>
    <cellStyle name="40% - Accent3 6 4 5" xfId="3757"/>
    <cellStyle name="40% - Accent3 6 4 5 2" xfId="16557"/>
    <cellStyle name="40% - Accent3 6 4 5 2 2" xfId="29964"/>
    <cellStyle name="40% - Accent3 6 4 5 3" xfId="21082"/>
    <cellStyle name="40% - Accent3 6 4 6" xfId="9356"/>
    <cellStyle name="40% - Accent3 6 4 6 2" xfId="23831"/>
    <cellStyle name="40% - Accent3 6 4 7" xfId="21078"/>
    <cellStyle name="40% - Accent3 6 5" xfId="3758"/>
    <cellStyle name="40% - Accent3 6 5 2" xfId="3759"/>
    <cellStyle name="40% - Accent3 6 5 2 2" xfId="15260"/>
    <cellStyle name="40% - Accent3 6 5 2 2 2" xfId="28809"/>
    <cellStyle name="40% - Accent3 6 5 2 3" xfId="21084"/>
    <cellStyle name="40% - Accent3 6 5 3" xfId="11076"/>
    <cellStyle name="40% - Accent3 6 5 3 2" xfId="25018"/>
    <cellStyle name="40% - Accent3 6 5 4" xfId="21083"/>
    <cellStyle name="40% - Accent3 6 6" xfId="3760"/>
    <cellStyle name="40% - Accent3 6 6 2" xfId="11932"/>
    <cellStyle name="40% - Accent3 6 6 2 2" xfId="25647"/>
    <cellStyle name="40% - Accent3 6 6 3" xfId="21085"/>
    <cellStyle name="40% - Accent3 6 7" xfId="3761"/>
    <cellStyle name="40% - Accent3 6 7 2" xfId="12849"/>
    <cellStyle name="40% - Accent3 6 7 2 2" xfId="26561"/>
    <cellStyle name="40% - Accent3 6 7 3" xfId="21086"/>
    <cellStyle name="40% - Accent3 6 8" xfId="3762"/>
    <cellStyle name="40% - Accent3 6 8 2" xfId="13509"/>
    <cellStyle name="40% - Accent3 6 8 2 2" xfId="27058"/>
    <cellStyle name="40% - Accent3 6 8 3" xfId="21087"/>
    <cellStyle name="40% - Accent3 6 9" xfId="3763"/>
    <cellStyle name="40% - Accent3 6 9 2" xfId="14090"/>
    <cellStyle name="40% - Accent3 6 9 2 2" xfId="27639"/>
    <cellStyle name="40% - Accent3 6 9 3" xfId="21088"/>
    <cellStyle name="40% - Accent3 7" xfId="3764"/>
    <cellStyle name="40% - Accent3 7 10" xfId="3765"/>
    <cellStyle name="40% - Accent3 7 10 2" xfId="15993"/>
    <cellStyle name="40% - Accent3 7 10 2 2" xfId="29400"/>
    <cellStyle name="40% - Accent3 7 10 3" xfId="21090"/>
    <cellStyle name="40% - Accent3 7 11" xfId="9357"/>
    <cellStyle name="40% - Accent3 7 11 2" xfId="23832"/>
    <cellStyle name="40% - Accent3 7 12" xfId="21089"/>
    <cellStyle name="40% - Accent3 7 2" xfId="3766"/>
    <cellStyle name="40% - Accent3 7 2 10" xfId="9358"/>
    <cellStyle name="40% - Accent3 7 2 10 2" xfId="23833"/>
    <cellStyle name="40% - Accent3 7 2 11" xfId="21091"/>
    <cellStyle name="40% - Accent3 7 2 2" xfId="3767"/>
    <cellStyle name="40% - Accent3 7 2 2 2" xfId="3768"/>
    <cellStyle name="40% - Accent3 7 2 2 2 2" xfId="11086"/>
    <cellStyle name="40% - Accent3 7 2 2 2 2 2" xfId="25028"/>
    <cellStyle name="40% - Accent3 7 2 2 2 3" xfId="21093"/>
    <cellStyle name="40% - Accent3 7 2 2 3" xfId="3769"/>
    <cellStyle name="40% - Accent3 7 2 2 3 2" xfId="12859"/>
    <cellStyle name="40% - Accent3 7 2 2 3 2 2" xfId="26571"/>
    <cellStyle name="40% - Accent3 7 2 2 3 3" xfId="21094"/>
    <cellStyle name="40% - Accent3 7 2 2 4" xfId="3770"/>
    <cellStyle name="40% - Accent3 7 2 2 4 2" xfId="15263"/>
    <cellStyle name="40% - Accent3 7 2 2 4 2 2" xfId="28812"/>
    <cellStyle name="40% - Accent3 7 2 2 4 3" xfId="21095"/>
    <cellStyle name="40% - Accent3 7 2 2 5" xfId="3771"/>
    <cellStyle name="40% - Accent3 7 2 2 5 2" xfId="16863"/>
    <cellStyle name="40% - Accent3 7 2 2 5 2 2" xfId="30270"/>
    <cellStyle name="40% - Accent3 7 2 2 5 3" xfId="21096"/>
    <cellStyle name="40% - Accent3 7 2 2 6" xfId="9359"/>
    <cellStyle name="40% - Accent3 7 2 2 6 2" xfId="23834"/>
    <cellStyle name="40% - Accent3 7 2 2 7" xfId="21092"/>
    <cellStyle name="40% - Accent3 7 2 3" xfId="3772"/>
    <cellStyle name="40% - Accent3 7 2 3 2" xfId="3773"/>
    <cellStyle name="40% - Accent3 7 2 3 2 2" xfId="15264"/>
    <cellStyle name="40% - Accent3 7 2 3 2 2 2" xfId="28813"/>
    <cellStyle name="40% - Accent3 7 2 3 2 3" xfId="21098"/>
    <cellStyle name="40% - Accent3 7 2 3 3" xfId="11085"/>
    <cellStyle name="40% - Accent3 7 2 3 3 2" xfId="25027"/>
    <cellStyle name="40% - Accent3 7 2 3 4" xfId="21097"/>
    <cellStyle name="40% - Accent3 7 2 4" xfId="3774"/>
    <cellStyle name="40% - Accent3 7 2 4 2" xfId="12251"/>
    <cellStyle name="40% - Accent3 7 2 4 2 2" xfId="25963"/>
    <cellStyle name="40% - Accent3 7 2 4 3" xfId="21099"/>
    <cellStyle name="40% - Accent3 7 2 5" xfId="3775"/>
    <cellStyle name="40% - Accent3 7 2 5 2" xfId="12858"/>
    <cellStyle name="40% - Accent3 7 2 5 2 2" xfId="26570"/>
    <cellStyle name="40% - Accent3 7 2 5 3" xfId="21100"/>
    <cellStyle name="40% - Accent3 7 2 6" xfId="3776"/>
    <cellStyle name="40% - Accent3 7 2 6 2" xfId="13815"/>
    <cellStyle name="40% - Accent3 7 2 6 2 2" xfId="27364"/>
    <cellStyle name="40% - Accent3 7 2 6 3" xfId="21101"/>
    <cellStyle name="40% - Accent3 7 2 7" xfId="3777"/>
    <cellStyle name="40% - Accent3 7 2 7 2" xfId="14396"/>
    <cellStyle name="40% - Accent3 7 2 7 2 2" xfId="27945"/>
    <cellStyle name="40% - Accent3 7 2 7 3" xfId="21102"/>
    <cellStyle name="40% - Accent3 7 2 8" xfId="3778"/>
    <cellStyle name="40% - Accent3 7 2 8 2" xfId="15262"/>
    <cellStyle name="40% - Accent3 7 2 8 2 2" xfId="28811"/>
    <cellStyle name="40% - Accent3 7 2 8 3" xfId="21103"/>
    <cellStyle name="40% - Accent3 7 2 9" xfId="3779"/>
    <cellStyle name="40% - Accent3 7 2 9 2" xfId="16282"/>
    <cellStyle name="40% - Accent3 7 2 9 2 2" xfId="29689"/>
    <cellStyle name="40% - Accent3 7 2 9 3" xfId="21104"/>
    <cellStyle name="40% - Accent3 7 3" xfId="3780"/>
    <cellStyle name="40% - Accent3 7 3 2" xfId="3781"/>
    <cellStyle name="40% - Accent3 7 3 2 2" xfId="11087"/>
    <cellStyle name="40% - Accent3 7 3 2 2 2" xfId="25029"/>
    <cellStyle name="40% - Accent3 7 3 2 3" xfId="21106"/>
    <cellStyle name="40% - Accent3 7 3 3" xfId="3782"/>
    <cellStyle name="40% - Accent3 7 3 3 2" xfId="12860"/>
    <cellStyle name="40% - Accent3 7 3 3 2 2" xfId="26572"/>
    <cellStyle name="40% - Accent3 7 3 3 3" xfId="21107"/>
    <cellStyle name="40% - Accent3 7 3 4" xfId="3783"/>
    <cellStyle name="40% - Accent3 7 3 4 2" xfId="15265"/>
    <cellStyle name="40% - Accent3 7 3 4 2 2" xfId="28814"/>
    <cellStyle name="40% - Accent3 7 3 4 3" xfId="21108"/>
    <cellStyle name="40% - Accent3 7 3 5" xfId="3784"/>
    <cellStyle name="40% - Accent3 7 3 5 2" xfId="16574"/>
    <cellStyle name="40% - Accent3 7 3 5 2 2" xfId="29981"/>
    <cellStyle name="40% - Accent3 7 3 5 3" xfId="21109"/>
    <cellStyle name="40% - Accent3 7 3 6" xfId="9360"/>
    <cellStyle name="40% - Accent3 7 3 6 2" xfId="23835"/>
    <cellStyle name="40% - Accent3 7 3 7" xfId="21105"/>
    <cellStyle name="40% - Accent3 7 4" xfId="3785"/>
    <cellStyle name="40% - Accent3 7 4 2" xfId="3786"/>
    <cellStyle name="40% - Accent3 7 4 2 2" xfId="15266"/>
    <cellStyle name="40% - Accent3 7 4 2 2 2" xfId="28815"/>
    <cellStyle name="40% - Accent3 7 4 2 3" xfId="21111"/>
    <cellStyle name="40% - Accent3 7 4 3" xfId="11084"/>
    <cellStyle name="40% - Accent3 7 4 3 2" xfId="25026"/>
    <cellStyle name="40% - Accent3 7 4 4" xfId="21110"/>
    <cellStyle name="40% - Accent3 7 5" xfId="3787"/>
    <cellStyle name="40% - Accent3 7 5 2" xfId="11949"/>
    <cellStyle name="40% - Accent3 7 5 2 2" xfId="25664"/>
    <cellStyle name="40% - Accent3 7 5 3" xfId="21112"/>
    <cellStyle name="40% - Accent3 7 6" xfId="3788"/>
    <cellStyle name="40% - Accent3 7 6 2" xfId="12857"/>
    <cellStyle name="40% - Accent3 7 6 2 2" xfId="26569"/>
    <cellStyle name="40% - Accent3 7 6 3" xfId="21113"/>
    <cellStyle name="40% - Accent3 7 7" xfId="3789"/>
    <cellStyle name="40% - Accent3 7 7 2" xfId="13526"/>
    <cellStyle name="40% - Accent3 7 7 2 2" xfId="27075"/>
    <cellStyle name="40% - Accent3 7 7 3" xfId="21114"/>
    <cellStyle name="40% - Accent3 7 8" xfId="3790"/>
    <cellStyle name="40% - Accent3 7 8 2" xfId="14107"/>
    <cellStyle name="40% - Accent3 7 8 2 2" xfId="27656"/>
    <cellStyle name="40% - Accent3 7 8 3" xfId="21115"/>
    <cellStyle name="40% - Accent3 7 9" xfId="3791"/>
    <cellStyle name="40% - Accent3 7 9 2" xfId="15261"/>
    <cellStyle name="40% - Accent3 7 9 2 2" xfId="28810"/>
    <cellStyle name="40% - Accent3 7 9 3" xfId="21116"/>
    <cellStyle name="40% - Accent3 8" xfId="3792"/>
    <cellStyle name="40% - Accent3 8 10" xfId="9361"/>
    <cellStyle name="40% - Accent3 8 10 2" xfId="23836"/>
    <cellStyle name="40% - Accent3 8 11" xfId="21117"/>
    <cellStyle name="40% - Accent3 8 2" xfId="3793"/>
    <cellStyle name="40% - Accent3 8 2 2" xfId="3794"/>
    <cellStyle name="40% - Accent3 8 2 2 2" xfId="11089"/>
    <cellStyle name="40% - Accent3 8 2 2 2 2" xfId="25031"/>
    <cellStyle name="40% - Accent3 8 2 2 3" xfId="21119"/>
    <cellStyle name="40% - Accent3 8 2 3" xfId="3795"/>
    <cellStyle name="40% - Accent3 8 2 3 2" xfId="12862"/>
    <cellStyle name="40% - Accent3 8 2 3 2 2" xfId="26574"/>
    <cellStyle name="40% - Accent3 8 2 3 3" xfId="21120"/>
    <cellStyle name="40% - Accent3 8 2 4" xfId="3796"/>
    <cellStyle name="40% - Accent3 8 2 4 2" xfId="15268"/>
    <cellStyle name="40% - Accent3 8 2 4 2 2" xfId="28817"/>
    <cellStyle name="40% - Accent3 8 2 4 3" xfId="21121"/>
    <cellStyle name="40% - Accent3 8 2 5" xfId="3797"/>
    <cellStyle name="40% - Accent3 8 2 5 2" xfId="16720"/>
    <cellStyle name="40% - Accent3 8 2 5 2 2" xfId="30127"/>
    <cellStyle name="40% - Accent3 8 2 5 3" xfId="21122"/>
    <cellStyle name="40% - Accent3 8 2 6" xfId="9362"/>
    <cellStyle name="40% - Accent3 8 2 6 2" xfId="23837"/>
    <cellStyle name="40% - Accent3 8 2 7" xfId="21118"/>
    <cellStyle name="40% - Accent3 8 3" xfId="3798"/>
    <cellStyle name="40% - Accent3 8 3 2" xfId="3799"/>
    <cellStyle name="40% - Accent3 8 3 2 2" xfId="15269"/>
    <cellStyle name="40% - Accent3 8 3 2 2 2" xfId="28818"/>
    <cellStyle name="40% - Accent3 8 3 2 3" xfId="21124"/>
    <cellStyle name="40% - Accent3 8 3 3" xfId="11088"/>
    <cellStyle name="40% - Accent3 8 3 3 2" xfId="25030"/>
    <cellStyle name="40% - Accent3 8 3 4" xfId="21123"/>
    <cellStyle name="40% - Accent3 8 4" xfId="3800"/>
    <cellStyle name="40% - Accent3 8 4 2" xfId="12098"/>
    <cellStyle name="40% - Accent3 8 4 2 2" xfId="25812"/>
    <cellStyle name="40% - Accent3 8 4 3" xfId="21125"/>
    <cellStyle name="40% - Accent3 8 5" xfId="3801"/>
    <cellStyle name="40% - Accent3 8 5 2" xfId="12861"/>
    <cellStyle name="40% - Accent3 8 5 2 2" xfId="26573"/>
    <cellStyle name="40% - Accent3 8 5 3" xfId="21126"/>
    <cellStyle name="40% - Accent3 8 6" xfId="3802"/>
    <cellStyle name="40% - Accent3 8 6 2" xfId="13672"/>
    <cellStyle name="40% - Accent3 8 6 2 2" xfId="27221"/>
    <cellStyle name="40% - Accent3 8 6 3" xfId="21127"/>
    <cellStyle name="40% - Accent3 8 7" xfId="3803"/>
    <cellStyle name="40% - Accent3 8 7 2" xfId="14253"/>
    <cellStyle name="40% - Accent3 8 7 2 2" xfId="27802"/>
    <cellStyle name="40% - Accent3 8 7 3" xfId="21128"/>
    <cellStyle name="40% - Accent3 8 8" xfId="3804"/>
    <cellStyle name="40% - Accent3 8 8 2" xfId="15267"/>
    <cellStyle name="40% - Accent3 8 8 2 2" xfId="28816"/>
    <cellStyle name="40% - Accent3 8 8 3" xfId="21129"/>
    <cellStyle name="40% - Accent3 8 9" xfId="3805"/>
    <cellStyle name="40% - Accent3 8 9 2" xfId="16139"/>
    <cellStyle name="40% - Accent3 8 9 2 2" xfId="29546"/>
    <cellStyle name="40% - Accent3 8 9 3" xfId="21130"/>
    <cellStyle name="40% - Accent3 9" xfId="3806"/>
    <cellStyle name="40% - Accent3 9 2" xfId="3807"/>
    <cellStyle name="40% - Accent3 9 2 2" xfId="11090"/>
    <cellStyle name="40% - Accent3 9 2 2 2" xfId="25032"/>
    <cellStyle name="40% - Accent3 9 2 3" xfId="21132"/>
    <cellStyle name="40% - Accent3 9 3" xfId="3808"/>
    <cellStyle name="40% - Accent3 9 3 2" xfId="12863"/>
    <cellStyle name="40% - Accent3 9 3 2 2" xfId="26575"/>
    <cellStyle name="40% - Accent3 9 3 3" xfId="21133"/>
    <cellStyle name="40% - Accent3 9 4" xfId="3809"/>
    <cellStyle name="40% - Accent3 9 4 2" xfId="15270"/>
    <cellStyle name="40% - Accent3 9 4 2 2" xfId="28819"/>
    <cellStyle name="40% - Accent3 9 4 3" xfId="21134"/>
    <cellStyle name="40% - Accent3 9 5" xfId="3810"/>
    <cellStyle name="40% - Accent3 9 5 2" xfId="17104"/>
    <cellStyle name="40% - Accent3 9 5 2 2" xfId="30463"/>
    <cellStyle name="40% - Accent3 9 5 3" xfId="21135"/>
    <cellStyle name="40% - Accent3 9 6" xfId="9363"/>
    <cellStyle name="40% - Accent3 9 6 2" xfId="23838"/>
    <cellStyle name="40% - Accent3 9 7" xfId="21131"/>
    <cellStyle name="40% - Accent4" xfId="41" builtinId="43" customBuiltin="1"/>
    <cellStyle name="40% - Accent4 10" xfId="3811"/>
    <cellStyle name="40% - Accent4 10 2" xfId="3812"/>
    <cellStyle name="40% - Accent4 10 2 2" xfId="3813"/>
    <cellStyle name="40% - Accent4 10 2 2 2" xfId="12866"/>
    <cellStyle name="40% - Accent4 10 2 2 2 2" xfId="26578"/>
    <cellStyle name="40% - Accent4 10 2 2 3" xfId="21138"/>
    <cellStyle name="40% - Accent4 10 2 3" xfId="3814"/>
    <cellStyle name="40% - Accent4 10 2 3 2" xfId="15273"/>
    <cellStyle name="40% - Accent4 10 2 3 2 2" xfId="28822"/>
    <cellStyle name="40% - Accent4 10 2 3 3" xfId="21139"/>
    <cellStyle name="40% - Accent4 10 2 4" xfId="11092"/>
    <cellStyle name="40% - Accent4 10 2 4 2" xfId="25034"/>
    <cellStyle name="40% - Accent4 10 2 5" xfId="21137"/>
    <cellStyle name="40% - Accent4 10 3" xfId="3815"/>
    <cellStyle name="40% - Accent4 10 3 2" xfId="12865"/>
    <cellStyle name="40% - Accent4 10 3 2 2" xfId="26577"/>
    <cellStyle name="40% - Accent4 10 3 3" xfId="21140"/>
    <cellStyle name="40% - Accent4 10 4" xfId="3816"/>
    <cellStyle name="40% - Accent4 10 4 2" xfId="15272"/>
    <cellStyle name="40% - Accent4 10 4 2 2" xfId="28821"/>
    <cellStyle name="40% - Accent4 10 4 3" xfId="21141"/>
    <cellStyle name="40% - Accent4 10 5" xfId="3817"/>
    <cellStyle name="40% - Accent4 10 5 2" xfId="17194"/>
    <cellStyle name="40% - Accent4 10 5 2 2" xfId="30553"/>
    <cellStyle name="40% - Accent4 10 5 3" xfId="21142"/>
    <cellStyle name="40% - Accent4 10 6" xfId="9365"/>
    <cellStyle name="40% - Accent4 10 6 2" xfId="23840"/>
    <cellStyle name="40% - Accent4 10 7" xfId="21136"/>
    <cellStyle name="40% - Accent4 11" xfId="3818"/>
    <cellStyle name="40% - Accent4 11 2" xfId="3819"/>
    <cellStyle name="40% - Accent4 11 2 2" xfId="11093"/>
    <cellStyle name="40% - Accent4 11 2 2 2" xfId="25035"/>
    <cellStyle name="40% - Accent4 11 2 3" xfId="21144"/>
    <cellStyle name="40% - Accent4 11 3" xfId="3820"/>
    <cellStyle name="40% - Accent4 11 3 2" xfId="12867"/>
    <cellStyle name="40% - Accent4 11 3 2 2" xfId="26579"/>
    <cellStyle name="40% - Accent4 11 3 3" xfId="21145"/>
    <cellStyle name="40% - Accent4 11 4" xfId="3821"/>
    <cellStyle name="40% - Accent4 11 4 2" xfId="15274"/>
    <cellStyle name="40% - Accent4 11 4 2 2" xfId="28823"/>
    <cellStyle name="40% - Accent4 11 4 3" xfId="21146"/>
    <cellStyle name="40% - Accent4 11 5" xfId="3822"/>
    <cellStyle name="40% - Accent4 11 5 2" xfId="17283"/>
    <cellStyle name="40% - Accent4 11 5 2 2" xfId="30642"/>
    <cellStyle name="40% - Accent4 11 5 3" xfId="21147"/>
    <cellStyle name="40% - Accent4 11 6" xfId="9366"/>
    <cellStyle name="40% - Accent4 11 6 2" xfId="23841"/>
    <cellStyle name="40% - Accent4 11 7" xfId="21143"/>
    <cellStyle name="40% - Accent4 12" xfId="3823"/>
    <cellStyle name="40% - Accent4 12 2" xfId="3824"/>
    <cellStyle name="40% - Accent4 12 2 2" xfId="3825"/>
    <cellStyle name="40% - Accent4 12 2 2 2" xfId="11095"/>
    <cellStyle name="40% - Accent4 12 2 2 2 2" xfId="25037"/>
    <cellStyle name="40% - Accent4 12 2 2 3" xfId="21150"/>
    <cellStyle name="40% - Accent4 12 2 3" xfId="3826"/>
    <cellStyle name="40% - Accent4 12 2 3 2" xfId="12869"/>
    <cellStyle name="40% - Accent4 12 2 3 2 2" xfId="26581"/>
    <cellStyle name="40% - Accent4 12 2 3 3" xfId="21151"/>
    <cellStyle name="40% - Accent4 12 2 4" xfId="3827"/>
    <cellStyle name="40% - Accent4 12 2 4 2" xfId="15276"/>
    <cellStyle name="40% - Accent4 12 2 4 2 2" xfId="28825"/>
    <cellStyle name="40% - Accent4 12 2 4 3" xfId="21152"/>
    <cellStyle name="40% - Accent4 12 2 5" xfId="9368"/>
    <cellStyle name="40% - Accent4 12 2 5 2" xfId="23843"/>
    <cellStyle name="40% - Accent4 12 2 6" xfId="21149"/>
    <cellStyle name="40% - Accent4 12 3" xfId="3828"/>
    <cellStyle name="40% - Accent4 12 3 2" xfId="11094"/>
    <cellStyle name="40% - Accent4 12 3 2 2" xfId="25036"/>
    <cellStyle name="40% - Accent4 12 3 3" xfId="21153"/>
    <cellStyle name="40% - Accent4 12 4" xfId="3829"/>
    <cellStyle name="40% - Accent4 12 4 2" xfId="12868"/>
    <cellStyle name="40% - Accent4 12 4 2 2" xfId="26580"/>
    <cellStyle name="40% - Accent4 12 4 3" xfId="21154"/>
    <cellStyle name="40% - Accent4 12 5" xfId="3830"/>
    <cellStyle name="40% - Accent4 12 5 2" xfId="15275"/>
    <cellStyle name="40% - Accent4 12 5 2 2" xfId="28824"/>
    <cellStyle name="40% - Accent4 12 5 3" xfId="21155"/>
    <cellStyle name="40% - Accent4 12 6" xfId="3831"/>
    <cellStyle name="40% - Accent4 12 6 2" xfId="16435"/>
    <cellStyle name="40% - Accent4 12 6 2 2" xfId="29842"/>
    <cellStyle name="40% - Accent4 12 6 3" xfId="21156"/>
    <cellStyle name="40% - Accent4 12 7" xfId="9367"/>
    <cellStyle name="40% - Accent4 12 7 2" xfId="23842"/>
    <cellStyle name="40% - Accent4 12 8" xfId="21148"/>
    <cellStyle name="40% - Accent4 13" xfId="3832"/>
    <cellStyle name="40% - Accent4 13 2" xfId="3833"/>
    <cellStyle name="40% - Accent4 13 2 2" xfId="11096"/>
    <cellStyle name="40% - Accent4 13 2 2 2" xfId="25038"/>
    <cellStyle name="40% - Accent4 13 2 3" xfId="21158"/>
    <cellStyle name="40% - Accent4 13 3" xfId="3834"/>
    <cellStyle name="40% - Accent4 13 3 2" xfId="12870"/>
    <cellStyle name="40% - Accent4 13 3 2 2" xfId="26582"/>
    <cellStyle name="40% - Accent4 13 3 3" xfId="21159"/>
    <cellStyle name="40% - Accent4 13 4" xfId="3835"/>
    <cellStyle name="40% - Accent4 13 4 2" xfId="15277"/>
    <cellStyle name="40% - Accent4 13 4 2 2" xfId="28826"/>
    <cellStyle name="40% - Accent4 13 4 3" xfId="21160"/>
    <cellStyle name="40% - Accent4 13 5" xfId="9369"/>
    <cellStyle name="40% - Accent4 13 5 2" xfId="23844"/>
    <cellStyle name="40% - Accent4 13 6" xfId="21157"/>
    <cellStyle name="40% - Accent4 14" xfId="3836"/>
    <cellStyle name="40% - Accent4 14 2" xfId="3837"/>
    <cellStyle name="40% - Accent4 14 2 2" xfId="11097"/>
    <cellStyle name="40% - Accent4 14 2 2 2" xfId="25039"/>
    <cellStyle name="40% - Accent4 14 2 3" xfId="21162"/>
    <cellStyle name="40% - Accent4 14 3" xfId="3838"/>
    <cellStyle name="40% - Accent4 14 3 2" xfId="12871"/>
    <cellStyle name="40% - Accent4 14 3 2 2" xfId="26583"/>
    <cellStyle name="40% - Accent4 14 3 3" xfId="21163"/>
    <cellStyle name="40% - Accent4 14 4" xfId="3839"/>
    <cellStyle name="40% - Accent4 14 4 2" xfId="15278"/>
    <cellStyle name="40% - Accent4 14 4 2 2" xfId="28827"/>
    <cellStyle name="40% - Accent4 14 4 3" xfId="21164"/>
    <cellStyle name="40% - Accent4 14 5" xfId="9370"/>
    <cellStyle name="40% - Accent4 14 5 2" xfId="23845"/>
    <cellStyle name="40% - Accent4 14 6" xfId="21161"/>
    <cellStyle name="40% - Accent4 15" xfId="3840"/>
    <cellStyle name="40% - Accent4 15 2" xfId="3841"/>
    <cellStyle name="40% - Accent4 15 2 2" xfId="11098"/>
    <cellStyle name="40% - Accent4 15 2 2 2" xfId="25040"/>
    <cellStyle name="40% - Accent4 15 2 3" xfId="21166"/>
    <cellStyle name="40% - Accent4 15 3" xfId="3842"/>
    <cellStyle name="40% - Accent4 15 3 2" xfId="12872"/>
    <cellStyle name="40% - Accent4 15 3 2 2" xfId="26584"/>
    <cellStyle name="40% - Accent4 15 3 3" xfId="21167"/>
    <cellStyle name="40% - Accent4 15 4" xfId="3843"/>
    <cellStyle name="40% - Accent4 15 4 2" xfId="15279"/>
    <cellStyle name="40% - Accent4 15 4 2 2" xfId="28828"/>
    <cellStyle name="40% - Accent4 15 4 3" xfId="21168"/>
    <cellStyle name="40% - Accent4 15 5" xfId="9371"/>
    <cellStyle name="40% - Accent4 15 5 2" xfId="23846"/>
    <cellStyle name="40% - Accent4 15 6" xfId="21165"/>
    <cellStyle name="40% - Accent4 16" xfId="3844"/>
    <cellStyle name="40% - Accent4 16 2" xfId="3845"/>
    <cellStyle name="40% - Accent4 16 2 2" xfId="11099"/>
    <cellStyle name="40% - Accent4 16 2 2 2" xfId="25041"/>
    <cellStyle name="40% - Accent4 16 2 3" xfId="21170"/>
    <cellStyle name="40% - Accent4 16 3" xfId="3846"/>
    <cellStyle name="40% - Accent4 16 3 2" xfId="12873"/>
    <cellStyle name="40% - Accent4 16 3 2 2" xfId="26585"/>
    <cellStyle name="40% - Accent4 16 3 3" xfId="21171"/>
    <cellStyle name="40% - Accent4 16 4" xfId="3847"/>
    <cellStyle name="40% - Accent4 16 4 2" xfId="15280"/>
    <cellStyle name="40% - Accent4 16 4 2 2" xfId="28829"/>
    <cellStyle name="40% - Accent4 16 4 3" xfId="21172"/>
    <cellStyle name="40% - Accent4 16 5" xfId="9372"/>
    <cellStyle name="40% - Accent4 16 5 2" xfId="23847"/>
    <cellStyle name="40% - Accent4 16 6" xfId="21169"/>
    <cellStyle name="40% - Accent4 17" xfId="3848"/>
    <cellStyle name="40% - Accent4 17 2" xfId="3849"/>
    <cellStyle name="40% - Accent4 17 2 2" xfId="11100"/>
    <cellStyle name="40% - Accent4 17 2 2 2" xfId="25042"/>
    <cellStyle name="40% - Accent4 17 2 3" xfId="21174"/>
    <cellStyle name="40% - Accent4 17 3" xfId="3850"/>
    <cellStyle name="40% - Accent4 17 3 2" xfId="12874"/>
    <cellStyle name="40% - Accent4 17 3 2 2" xfId="26586"/>
    <cellStyle name="40% - Accent4 17 3 3" xfId="21175"/>
    <cellStyle name="40% - Accent4 17 4" xfId="3851"/>
    <cellStyle name="40% - Accent4 17 4 2" xfId="15281"/>
    <cellStyle name="40% - Accent4 17 4 2 2" xfId="28830"/>
    <cellStyle name="40% - Accent4 17 4 3" xfId="21176"/>
    <cellStyle name="40% - Accent4 17 5" xfId="9373"/>
    <cellStyle name="40% - Accent4 17 5 2" xfId="23848"/>
    <cellStyle name="40% - Accent4 17 6" xfId="21173"/>
    <cellStyle name="40% - Accent4 18" xfId="3852"/>
    <cellStyle name="40% - Accent4 18 2" xfId="3853"/>
    <cellStyle name="40% - Accent4 18 2 2" xfId="11101"/>
    <cellStyle name="40% - Accent4 18 2 2 2" xfId="25043"/>
    <cellStyle name="40% - Accent4 18 2 3" xfId="21178"/>
    <cellStyle name="40% - Accent4 18 3" xfId="3854"/>
    <cellStyle name="40% - Accent4 18 3 2" xfId="12875"/>
    <cellStyle name="40% - Accent4 18 3 2 2" xfId="26587"/>
    <cellStyle name="40% - Accent4 18 3 3" xfId="21179"/>
    <cellStyle name="40% - Accent4 18 4" xfId="3855"/>
    <cellStyle name="40% - Accent4 18 4 2" xfId="15282"/>
    <cellStyle name="40% - Accent4 18 4 2 2" xfId="28831"/>
    <cellStyle name="40% - Accent4 18 4 3" xfId="21180"/>
    <cellStyle name="40% - Accent4 18 5" xfId="9374"/>
    <cellStyle name="40% - Accent4 18 5 2" xfId="23849"/>
    <cellStyle name="40% - Accent4 18 6" xfId="21177"/>
    <cellStyle name="40% - Accent4 19" xfId="3856"/>
    <cellStyle name="40% - Accent4 19 2" xfId="3857"/>
    <cellStyle name="40% - Accent4 19 2 2" xfId="11719"/>
    <cellStyle name="40% - Accent4 19 2 2 2" xfId="25439"/>
    <cellStyle name="40% - Accent4 19 2 3" xfId="21182"/>
    <cellStyle name="40% - Accent4 19 3" xfId="3858"/>
    <cellStyle name="40% - Accent4 19 3 2" xfId="12876"/>
    <cellStyle name="40% - Accent4 19 3 2 2" xfId="26588"/>
    <cellStyle name="40% - Accent4 19 3 3" xfId="21183"/>
    <cellStyle name="40% - Accent4 19 4" xfId="3859"/>
    <cellStyle name="40% - Accent4 19 4 2" xfId="15283"/>
    <cellStyle name="40% - Accent4 19 4 2 2" xfId="28832"/>
    <cellStyle name="40% - Accent4 19 4 3" xfId="21184"/>
    <cellStyle name="40% - Accent4 19 5" xfId="10471"/>
    <cellStyle name="40% - Accent4 19 5 2" xfId="24430"/>
    <cellStyle name="40% - Accent4 19 6" xfId="21181"/>
    <cellStyle name="40% - Accent4 2" xfId="3860"/>
    <cellStyle name="40% - Accent4 2 10" xfId="3861"/>
    <cellStyle name="40% - Accent4 2 10 2" xfId="3862"/>
    <cellStyle name="40% - Accent4 2 10 2 2" xfId="15285"/>
    <cellStyle name="40% - Accent4 2 10 2 2 2" xfId="28834"/>
    <cellStyle name="40% - Accent4 2 10 2 3" xfId="21187"/>
    <cellStyle name="40% - Accent4 2 10 3" xfId="11843"/>
    <cellStyle name="40% - Accent4 2 10 3 2" xfId="25558"/>
    <cellStyle name="40% - Accent4 2 10 4" xfId="21186"/>
    <cellStyle name="40% - Accent4 2 11" xfId="3863"/>
    <cellStyle name="40% - Accent4 2 11 2" xfId="12877"/>
    <cellStyle name="40% - Accent4 2 11 2 2" xfId="26589"/>
    <cellStyle name="40% - Accent4 2 11 3" xfId="21188"/>
    <cellStyle name="40% - Accent4 2 12" xfId="3864"/>
    <cellStyle name="40% - Accent4 2 12 2" xfId="13442"/>
    <cellStyle name="40% - Accent4 2 12 2 2" xfId="26991"/>
    <cellStyle name="40% - Accent4 2 12 3" xfId="21189"/>
    <cellStyle name="40% - Accent4 2 13" xfId="3865"/>
    <cellStyle name="40% - Accent4 2 13 2" xfId="14023"/>
    <cellStyle name="40% - Accent4 2 13 2 2" xfId="27572"/>
    <cellStyle name="40% - Accent4 2 13 3" xfId="21190"/>
    <cellStyle name="40% - Accent4 2 14" xfId="3866"/>
    <cellStyle name="40% - Accent4 2 14 2" xfId="15284"/>
    <cellStyle name="40% - Accent4 2 14 2 2" xfId="28833"/>
    <cellStyle name="40% - Accent4 2 14 3" xfId="21191"/>
    <cellStyle name="40% - Accent4 2 15" xfId="3867"/>
    <cellStyle name="40% - Accent4 2 15 2" xfId="15909"/>
    <cellStyle name="40% - Accent4 2 15 2 2" xfId="29316"/>
    <cellStyle name="40% - Accent4 2 15 3" xfId="21192"/>
    <cellStyle name="40% - Accent4 2 16" xfId="9375"/>
    <cellStyle name="40% - Accent4 2 16 2" xfId="23850"/>
    <cellStyle name="40% - Accent4 2 17" xfId="21185"/>
    <cellStyle name="40% - Accent4 2 18" xfId="33075"/>
    <cellStyle name="40% - Accent4 2 2" xfId="3868"/>
    <cellStyle name="40% - Accent4 2 2 10" xfId="3869"/>
    <cellStyle name="40% - Accent4 2 2 10 2" xfId="15286"/>
    <cellStyle name="40% - Accent4 2 2 10 2 2" xfId="28835"/>
    <cellStyle name="40% - Accent4 2 2 10 3" xfId="21194"/>
    <cellStyle name="40% - Accent4 2 2 11" xfId="3870"/>
    <cellStyle name="40% - Accent4 2 2 11 2" xfId="15955"/>
    <cellStyle name="40% - Accent4 2 2 11 2 2" xfId="29362"/>
    <cellStyle name="40% - Accent4 2 2 11 3" xfId="21195"/>
    <cellStyle name="40% - Accent4 2 2 12" xfId="9376"/>
    <cellStyle name="40% - Accent4 2 2 12 2" xfId="23851"/>
    <cellStyle name="40% - Accent4 2 2 13" xfId="21193"/>
    <cellStyle name="40% - Accent4 2 2 2" xfId="3871"/>
    <cellStyle name="40% - Accent4 2 2 2 10" xfId="3872"/>
    <cellStyle name="40% - Accent4 2 2 2 10 2" xfId="16098"/>
    <cellStyle name="40% - Accent4 2 2 2 10 2 2" xfId="29505"/>
    <cellStyle name="40% - Accent4 2 2 2 10 3" xfId="21197"/>
    <cellStyle name="40% - Accent4 2 2 2 11" xfId="9377"/>
    <cellStyle name="40% - Accent4 2 2 2 11 2" xfId="23852"/>
    <cellStyle name="40% - Accent4 2 2 2 12" xfId="21196"/>
    <cellStyle name="40% - Accent4 2 2 2 2" xfId="3873"/>
    <cellStyle name="40% - Accent4 2 2 2 2 10" xfId="9378"/>
    <cellStyle name="40% - Accent4 2 2 2 2 10 2" xfId="23853"/>
    <cellStyle name="40% - Accent4 2 2 2 2 11" xfId="21198"/>
    <cellStyle name="40% - Accent4 2 2 2 2 2" xfId="3874"/>
    <cellStyle name="40% - Accent4 2 2 2 2 2 2" xfId="3875"/>
    <cellStyle name="40% - Accent4 2 2 2 2 2 2 2" xfId="11106"/>
    <cellStyle name="40% - Accent4 2 2 2 2 2 2 2 2" xfId="25048"/>
    <cellStyle name="40% - Accent4 2 2 2 2 2 2 3" xfId="21200"/>
    <cellStyle name="40% - Accent4 2 2 2 2 2 3" xfId="3876"/>
    <cellStyle name="40% - Accent4 2 2 2 2 2 3 2" xfId="12881"/>
    <cellStyle name="40% - Accent4 2 2 2 2 2 3 2 2" xfId="26593"/>
    <cellStyle name="40% - Accent4 2 2 2 2 2 3 3" xfId="21201"/>
    <cellStyle name="40% - Accent4 2 2 2 2 2 4" xfId="3877"/>
    <cellStyle name="40% - Accent4 2 2 2 2 2 4 2" xfId="15289"/>
    <cellStyle name="40% - Accent4 2 2 2 2 2 4 2 2" xfId="28838"/>
    <cellStyle name="40% - Accent4 2 2 2 2 2 4 3" xfId="21202"/>
    <cellStyle name="40% - Accent4 2 2 2 2 2 5" xfId="3878"/>
    <cellStyle name="40% - Accent4 2 2 2 2 2 5 2" xfId="16968"/>
    <cellStyle name="40% - Accent4 2 2 2 2 2 5 2 2" xfId="30375"/>
    <cellStyle name="40% - Accent4 2 2 2 2 2 5 3" xfId="21203"/>
    <cellStyle name="40% - Accent4 2 2 2 2 2 6" xfId="9379"/>
    <cellStyle name="40% - Accent4 2 2 2 2 2 6 2" xfId="23854"/>
    <cellStyle name="40% - Accent4 2 2 2 2 2 7" xfId="21199"/>
    <cellStyle name="40% - Accent4 2 2 2 2 3" xfId="3879"/>
    <cellStyle name="40% - Accent4 2 2 2 2 3 2" xfId="3880"/>
    <cellStyle name="40% - Accent4 2 2 2 2 3 2 2" xfId="15290"/>
    <cellStyle name="40% - Accent4 2 2 2 2 3 2 2 2" xfId="28839"/>
    <cellStyle name="40% - Accent4 2 2 2 2 3 2 3" xfId="21205"/>
    <cellStyle name="40% - Accent4 2 2 2 2 3 3" xfId="11105"/>
    <cellStyle name="40% - Accent4 2 2 2 2 3 3 2" xfId="25047"/>
    <cellStyle name="40% - Accent4 2 2 2 2 3 4" xfId="21204"/>
    <cellStyle name="40% - Accent4 2 2 2 2 4" xfId="3881"/>
    <cellStyle name="40% - Accent4 2 2 2 2 4 2" xfId="12356"/>
    <cellStyle name="40% - Accent4 2 2 2 2 4 2 2" xfId="26068"/>
    <cellStyle name="40% - Accent4 2 2 2 2 4 3" xfId="21206"/>
    <cellStyle name="40% - Accent4 2 2 2 2 5" xfId="3882"/>
    <cellStyle name="40% - Accent4 2 2 2 2 5 2" xfId="12880"/>
    <cellStyle name="40% - Accent4 2 2 2 2 5 2 2" xfId="26592"/>
    <cellStyle name="40% - Accent4 2 2 2 2 5 3" xfId="21207"/>
    <cellStyle name="40% - Accent4 2 2 2 2 6" xfId="3883"/>
    <cellStyle name="40% - Accent4 2 2 2 2 6 2" xfId="13920"/>
    <cellStyle name="40% - Accent4 2 2 2 2 6 2 2" xfId="27469"/>
    <cellStyle name="40% - Accent4 2 2 2 2 6 3" xfId="21208"/>
    <cellStyle name="40% - Accent4 2 2 2 2 7" xfId="3884"/>
    <cellStyle name="40% - Accent4 2 2 2 2 7 2" xfId="14501"/>
    <cellStyle name="40% - Accent4 2 2 2 2 7 2 2" xfId="28050"/>
    <cellStyle name="40% - Accent4 2 2 2 2 7 3" xfId="21209"/>
    <cellStyle name="40% - Accent4 2 2 2 2 8" xfId="3885"/>
    <cellStyle name="40% - Accent4 2 2 2 2 8 2" xfId="15288"/>
    <cellStyle name="40% - Accent4 2 2 2 2 8 2 2" xfId="28837"/>
    <cellStyle name="40% - Accent4 2 2 2 2 8 3" xfId="21210"/>
    <cellStyle name="40% - Accent4 2 2 2 2 9" xfId="3886"/>
    <cellStyle name="40% - Accent4 2 2 2 2 9 2" xfId="16387"/>
    <cellStyle name="40% - Accent4 2 2 2 2 9 2 2" xfId="29794"/>
    <cellStyle name="40% - Accent4 2 2 2 2 9 3" xfId="21211"/>
    <cellStyle name="40% - Accent4 2 2 2 3" xfId="3887"/>
    <cellStyle name="40% - Accent4 2 2 2 3 2" xfId="3888"/>
    <cellStyle name="40% - Accent4 2 2 2 3 2 2" xfId="11107"/>
    <cellStyle name="40% - Accent4 2 2 2 3 2 2 2" xfId="25049"/>
    <cellStyle name="40% - Accent4 2 2 2 3 2 3" xfId="21213"/>
    <cellStyle name="40% - Accent4 2 2 2 3 3" xfId="3889"/>
    <cellStyle name="40% - Accent4 2 2 2 3 3 2" xfId="12882"/>
    <cellStyle name="40% - Accent4 2 2 2 3 3 2 2" xfId="26594"/>
    <cellStyle name="40% - Accent4 2 2 2 3 3 3" xfId="21214"/>
    <cellStyle name="40% - Accent4 2 2 2 3 4" xfId="3890"/>
    <cellStyle name="40% - Accent4 2 2 2 3 4 2" xfId="15291"/>
    <cellStyle name="40% - Accent4 2 2 2 3 4 2 2" xfId="28840"/>
    <cellStyle name="40% - Accent4 2 2 2 3 4 3" xfId="21215"/>
    <cellStyle name="40% - Accent4 2 2 2 3 5" xfId="3891"/>
    <cellStyle name="40% - Accent4 2 2 2 3 5 2" xfId="16679"/>
    <cellStyle name="40% - Accent4 2 2 2 3 5 2 2" xfId="30086"/>
    <cellStyle name="40% - Accent4 2 2 2 3 5 3" xfId="21216"/>
    <cellStyle name="40% - Accent4 2 2 2 3 6" xfId="9380"/>
    <cellStyle name="40% - Accent4 2 2 2 3 6 2" xfId="23855"/>
    <cellStyle name="40% - Accent4 2 2 2 3 7" xfId="21212"/>
    <cellStyle name="40% - Accent4 2 2 2 4" xfId="3892"/>
    <cellStyle name="40% - Accent4 2 2 2 4 2" xfId="3893"/>
    <cellStyle name="40% - Accent4 2 2 2 4 2 2" xfId="15292"/>
    <cellStyle name="40% - Accent4 2 2 2 4 2 2 2" xfId="28841"/>
    <cellStyle name="40% - Accent4 2 2 2 4 2 3" xfId="21218"/>
    <cellStyle name="40% - Accent4 2 2 2 4 3" xfId="11104"/>
    <cellStyle name="40% - Accent4 2 2 2 4 3 2" xfId="25046"/>
    <cellStyle name="40% - Accent4 2 2 2 4 4" xfId="21217"/>
    <cellStyle name="40% - Accent4 2 2 2 5" xfId="3894"/>
    <cellStyle name="40% - Accent4 2 2 2 5 2" xfId="12056"/>
    <cellStyle name="40% - Accent4 2 2 2 5 2 2" xfId="25771"/>
    <cellStyle name="40% - Accent4 2 2 2 5 3" xfId="21219"/>
    <cellStyle name="40% - Accent4 2 2 2 6" xfId="3895"/>
    <cellStyle name="40% - Accent4 2 2 2 6 2" xfId="12879"/>
    <cellStyle name="40% - Accent4 2 2 2 6 2 2" xfId="26591"/>
    <cellStyle name="40% - Accent4 2 2 2 6 3" xfId="21220"/>
    <cellStyle name="40% - Accent4 2 2 2 7" xfId="3896"/>
    <cellStyle name="40% - Accent4 2 2 2 7 2" xfId="13631"/>
    <cellStyle name="40% - Accent4 2 2 2 7 2 2" xfId="27180"/>
    <cellStyle name="40% - Accent4 2 2 2 7 3" xfId="21221"/>
    <cellStyle name="40% - Accent4 2 2 2 8" xfId="3897"/>
    <cellStyle name="40% - Accent4 2 2 2 8 2" xfId="14212"/>
    <cellStyle name="40% - Accent4 2 2 2 8 2 2" xfId="27761"/>
    <cellStyle name="40% - Accent4 2 2 2 8 3" xfId="21222"/>
    <cellStyle name="40% - Accent4 2 2 2 9" xfId="3898"/>
    <cellStyle name="40% - Accent4 2 2 2 9 2" xfId="15287"/>
    <cellStyle name="40% - Accent4 2 2 2 9 2 2" xfId="28836"/>
    <cellStyle name="40% - Accent4 2 2 2 9 3" xfId="21223"/>
    <cellStyle name="40% - Accent4 2 2 3" xfId="3899"/>
    <cellStyle name="40% - Accent4 2 2 3 10" xfId="9381"/>
    <cellStyle name="40% - Accent4 2 2 3 10 2" xfId="23856"/>
    <cellStyle name="40% - Accent4 2 2 3 11" xfId="21224"/>
    <cellStyle name="40% - Accent4 2 2 3 2" xfId="3900"/>
    <cellStyle name="40% - Accent4 2 2 3 2 2" xfId="3901"/>
    <cellStyle name="40% - Accent4 2 2 3 2 2 2" xfId="11109"/>
    <cellStyle name="40% - Accent4 2 2 3 2 2 2 2" xfId="25051"/>
    <cellStyle name="40% - Accent4 2 2 3 2 2 3" xfId="21226"/>
    <cellStyle name="40% - Accent4 2 2 3 2 3" xfId="3902"/>
    <cellStyle name="40% - Accent4 2 2 3 2 3 2" xfId="12884"/>
    <cellStyle name="40% - Accent4 2 2 3 2 3 2 2" xfId="26596"/>
    <cellStyle name="40% - Accent4 2 2 3 2 3 3" xfId="21227"/>
    <cellStyle name="40% - Accent4 2 2 3 2 4" xfId="3903"/>
    <cellStyle name="40% - Accent4 2 2 3 2 4 2" xfId="15294"/>
    <cellStyle name="40% - Accent4 2 2 3 2 4 2 2" xfId="28843"/>
    <cellStyle name="40% - Accent4 2 2 3 2 4 3" xfId="21228"/>
    <cellStyle name="40% - Accent4 2 2 3 2 5" xfId="3904"/>
    <cellStyle name="40% - Accent4 2 2 3 2 5 2" xfId="16825"/>
    <cellStyle name="40% - Accent4 2 2 3 2 5 2 2" xfId="30232"/>
    <cellStyle name="40% - Accent4 2 2 3 2 5 3" xfId="21229"/>
    <cellStyle name="40% - Accent4 2 2 3 2 6" xfId="9382"/>
    <cellStyle name="40% - Accent4 2 2 3 2 6 2" xfId="23857"/>
    <cellStyle name="40% - Accent4 2 2 3 2 7" xfId="21225"/>
    <cellStyle name="40% - Accent4 2 2 3 3" xfId="3905"/>
    <cellStyle name="40% - Accent4 2 2 3 3 2" xfId="3906"/>
    <cellStyle name="40% - Accent4 2 2 3 3 2 2" xfId="15295"/>
    <cellStyle name="40% - Accent4 2 2 3 3 2 2 2" xfId="28844"/>
    <cellStyle name="40% - Accent4 2 2 3 3 2 3" xfId="21231"/>
    <cellStyle name="40% - Accent4 2 2 3 3 3" xfId="11108"/>
    <cellStyle name="40% - Accent4 2 2 3 3 3 2" xfId="25050"/>
    <cellStyle name="40% - Accent4 2 2 3 3 4" xfId="21230"/>
    <cellStyle name="40% - Accent4 2 2 3 4" xfId="3907"/>
    <cellStyle name="40% - Accent4 2 2 3 4 2" xfId="12213"/>
    <cellStyle name="40% - Accent4 2 2 3 4 2 2" xfId="25925"/>
    <cellStyle name="40% - Accent4 2 2 3 4 3" xfId="21232"/>
    <cellStyle name="40% - Accent4 2 2 3 5" xfId="3908"/>
    <cellStyle name="40% - Accent4 2 2 3 5 2" xfId="12883"/>
    <cellStyle name="40% - Accent4 2 2 3 5 2 2" xfId="26595"/>
    <cellStyle name="40% - Accent4 2 2 3 5 3" xfId="21233"/>
    <cellStyle name="40% - Accent4 2 2 3 6" xfId="3909"/>
    <cellStyle name="40% - Accent4 2 2 3 6 2" xfId="13777"/>
    <cellStyle name="40% - Accent4 2 2 3 6 2 2" xfId="27326"/>
    <cellStyle name="40% - Accent4 2 2 3 6 3" xfId="21234"/>
    <cellStyle name="40% - Accent4 2 2 3 7" xfId="3910"/>
    <cellStyle name="40% - Accent4 2 2 3 7 2" xfId="14358"/>
    <cellStyle name="40% - Accent4 2 2 3 7 2 2" xfId="27907"/>
    <cellStyle name="40% - Accent4 2 2 3 7 3" xfId="21235"/>
    <cellStyle name="40% - Accent4 2 2 3 8" xfId="3911"/>
    <cellStyle name="40% - Accent4 2 2 3 8 2" xfId="15293"/>
    <cellStyle name="40% - Accent4 2 2 3 8 2 2" xfId="28842"/>
    <cellStyle name="40% - Accent4 2 2 3 8 3" xfId="21236"/>
    <cellStyle name="40% - Accent4 2 2 3 9" xfId="3912"/>
    <cellStyle name="40% - Accent4 2 2 3 9 2" xfId="16244"/>
    <cellStyle name="40% - Accent4 2 2 3 9 2 2" xfId="29651"/>
    <cellStyle name="40% - Accent4 2 2 3 9 3" xfId="21237"/>
    <cellStyle name="40% - Accent4 2 2 4" xfId="3913"/>
    <cellStyle name="40% - Accent4 2 2 4 2" xfId="3914"/>
    <cellStyle name="40% - Accent4 2 2 4 2 2" xfId="11110"/>
    <cellStyle name="40% - Accent4 2 2 4 2 2 2" xfId="25052"/>
    <cellStyle name="40% - Accent4 2 2 4 2 3" xfId="21239"/>
    <cellStyle name="40% - Accent4 2 2 4 3" xfId="3915"/>
    <cellStyle name="40% - Accent4 2 2 4 3 2" xfId="12885"/>
    <cellStyle name="40% - Accent4 2 2 4 3 2 2" xfId="26597"/>
    <cellStyle name="40% - Accent4 2 2 4 3 3" xfId="21240"/>
    <cellStyle name="40% - Accent4 2 2 4 4" xfId="3916"/>
    <cellStyle name="40% - Accent4 2 2 4 4 2" xfId="15296"/>
    <cellStyle name="40% - Accent4 2 2 4 4 2 2" xfId="28845"/>
    <cellStyle name="40% - Accent4 2 2 4 4 3" xfId="21241"/>
    <cellStyle name="40% - Accent4 2 2 4 5" xfId="3917"/>
    <cellStyle name="40% - Accent4 2 2 4 5 2" xfId="17172"/>
    <cellStyle name="40% - Accent4 2 2 4 5 2 2" xfId="30531"/>
    <cellStyle name="40% - Accent4 2 2 4 5 3" xfId="21242"/>
    <cellStyle name="40% - Accent4 2 2 4 6" xfId="9383"/>
    <cellStyle name="40% - Accent4 2 2 4 6 2" xfId="23858"/>
    <cellStyle name="40% - Accent4 2 2 4 7" xfId="21238"/>
    <cellStyle name="40% - Accent4 2 2 5" xfId="3918"/>
    <cellStyle name="40% - Accent4 2 2 5 2" xfId="3919"/>
    <cellStyle name="40% - Accent4 2 2 5 2 2" xfId="15297"/>
    <cellStyle name="40% - Accent4 2 2 5 2 2 2" xfId="28846"/>
    <cellStyle name="40% - Accent4 2 2 5 2 3" xfId="21244"/>
    <cellStyle name="40% - Accent4 2 2 5 3" xfId="3920"/>
    <cellStyle name="40% - Accent4 2 2 5 3 2" xfId="17261"/>
    <cellStyle name="40% - Accent4 2 2 5 3 2 2" xfId="30620"/>
    <cellStyle name="40% - Accent4 2 2 5 3 3" xfId="21245"/>
    <cellStyle name="40% - Accent4 2 2 5 4" xfId="11103"/>
    <cellStyle name="40% - Accent4 2 2 5 4 2" xfId="25045"/>
    <cellStyle name="40% - Accent4 2 2 5 5" xfId="21243"/>
    <cellStyle name="40% - Accent4 2 2 6" xfId="3921"/>
    <cellStyle name="40% - Accent4 2 2 6 2" xfId="3922"/>
    <cellStyle name="40% - Accent4 2 2 6 2 2" xfId="16536"/>
    <cellStyle name="40% - Accent4 2 2 6 2 2 2" xfId="29943"/>
    <cellStyle name="40% - Accent4 2 2 6 2 3" xfId="21247"/>
    <cellStyle name="40% - Accent4 2 2 6 3" xfId="11911"/>
    <cellStyle name="40% - Accent4 2 2 6 3 2" xfId="25626"/>
    <cellStyle name="40% - Accent4 2 2 6 4" xfId="21246"/>
    <cellStyle name="40% - Accent4 2 2 7" xfId="3923"/>
    <cellStyle name="40% - Accent4 2 2 7 2" xfId="12878"/>
    <cellStyle name="40% - Accent4 2 2 7 2 2" xfId="26590"/>
    <cellStyle name="40% - Accent4 2 2 7 3" xfId="21248"/>
    <cellStyle name="40% - Accent4 2 2 8" xfId="3924"/>
    <cellStyle name="40% - Accent4 2 2 8 2" xfId="13488"/>
    <cellStyle name="40% - Accent4 2 2 8 2 2" xfId="27037"/>
    <cellStyle name="40% - Accent4 2 2 8 3" xfId="21249"/>
    <cellStyle name="40% - Accent4 2 2 9" xfId="3925"/>
    <cellStyle name="40% - Accent4 2 2 9 2" xfId="14069"/>
    <cellStyle name="40% - Accent4 2 2 9 2 2" xfId="27618"/>
    <cellStyle name="40% - Accent4 2 2 9 3" xfId="21250"/>
    <cellStyle name="40% - Accent4 2 3" xfId="3926"/>
    <cellStyle name="40% - Accent4 2 3 10" xfId="3927"/>
    <cellStyle name="40% - Accent4 2 3 10 2" xfId="16052"/>
    <cellStyle name="40% - Accent4 2 3 10 2 2" xfId="29459"/>
    <cellStyle name="40% - Accent4 2 3 10 3" xfId="21252"/>
    <cellStyle name="40% - Accent4 2 3 11" xfId="9384"/>
    <cellStyle name="40% - Accent4 2 3 11 2" xfId="23859"/>
    <cellStyle name="40% - Accent4 2 3 12" xfId="21251"/>
    <cellStyle name="40% - Accent4 2 3 2" xfId="3928"/>
    <cellStyle name="40% - Accent4 2 3 2 10" xfId="9385"/>
    <cellStyle name="40% - Accent4 2 3 2 10 2" xfId="23860"/>
    <cellStyle name="40% - Accent4 2 3 2 11" xfId="21253"/>
    <cellStyle name="40% - Accent4 2 3 2 2" xfId="3929"/>
    <cellStyle name="40% - Accent4 2 3 2 2 2" xfId="3930"/>
    <cellStyle name="40% - Accent4 2 3 2 2 2 2" xfId="11113"/>
    <cellStyle name="40% - Accent4 2 3 2 2 2 2 2" xfId="25055"/>
    <cellStyle name="40% - Accent4 2 3 2 2 2 3" xfId="21255"/>
    <cellStyle name="40% - Accent4 2 3 2 2 3" xfId="3931"/>
    <cellStyle name="40% - Accent4 2 3 2 2 3 2" xfId="12888"/>
    <cellStyle name="40% - Accent4 2 3 2 2 3 2 2" xfId="26600"/>
    <cellStyle name="40% - Accent4 2 3 2 2 3 3" xfId="21256"/>
    <cellStyle name="40% - Accent4 2 3 2 2 4" xfId="3932"/>
    <cellStyle name="40% - Accent4 2 3 2 2 4 2" xfId="15300"/>
    <cellStyle name="40% - Accent4 2 3 2 2 4 2 2" xfId="28849"/>
    <cellStyle name="40% - Accent4 2 3 2 2 4 3" xfId="21257"/>
    <cellStyle name="40% - Accent4 2 3 2 2 5" xfId="3933"/>
    <cellStyle name="40% - Accent4 2 3 2 2 5 2" xfId="16922"/>
    <cellStyle name="40% - Accent4 2 3 2 2 5 2 2" xfId="30329"/>
    <cellStyle name="40% - Accent4 2 3 2 2 5 3" xfId="21258"/>
    <cellStyle name="40% - Accent4 2 3 2 2 6" xfId="9386"/>
    <cellStyle name="40% - Accent4 2 3 2 2 6 2" xfId="23861"/>
    <cellStyle name="40% - Accent4 2 3 2 2 7" xfId="21254"/>
    <cellStyle name="40% - Accent4 2 3 2 3" xfId="3934"/>
    <cellStyle name="40% - Accent4 2 3 2 3 2" xfId="3935"/>
    <cellStyle name="40% - Accent4 2 3 2 3 2 2" xfId="15301"/>
    <cellStyle name="40% - Accent4 2 3 2 3 2 2 2" xfId="28850"/>
    <cellStyle name="40% - Accent4 2 3 2 3 2 3" xfId="21260"/>
    <cellStyle name="40% - Accent4 2 3 2 3 3" xfId="11112"/>
    <cellStyle name="40% - Accent4 2 3 2 3 3 2" xfId="25054"/>
    <cellStyle name="40% - Accent4 2 3 2 3 4" xfId="21259"/>
    <cellStyle name="40% - Accent4 2 3 2 4" xfId="3936"/>
    <cellStyle name="40% - Accent4 2 3 2 4 2" xfId="12310"/>
    <cellStyle name="40% - Accent4 2 3 2 4 2 2" xfId="26022"/>
    <cellStyle name="40% - Accent4 2 3 2 4 3" xfId="21261"/>
    <cellStyle name="40% - Accent4 2 3 2 5" xfId="3937"/>
    <cellStyle name="40% - Accent4 2 3 2 5 2" xfId="12887"/>
    <cellStyle name="40% - Accent4 2 3 2 5 2 2" xfId="26599"/>
    <cellStyle name="40% - Accent4 2 3 2 5 3" xfId="21262"/>
    <cellStyle name="40% - Accent4 2 3 2 6" xfId="3938"/>
    <cellStyle name="40% - Accent4 2 3 2 6 2" xfId="13874"/>
    <cellStyle name="40% - Accent4 2 3 2 6 2 2" xfId="27423"/>
    <cellStyle name="40% - Accent4 2 3 2 6 3" xfId="21263"/>
    <cellStyle name="40% - Accent4 2 3 2 7" xfId="3939"/>
    <cellStyle name="40% - Accent4 2 3 2 7 2" xfId="14455"/>
    <cellStyle name="40% - Accent4 2 3 2 7 2 2" xfId="28004"/>
    <cellStyle name="40% - Accent4 2 3 2 7 3" xfId="21264"/>
    <cellStyle name="40% - Accent4 2 3 2 8" xfId="3940"/>
    <cellStyle name="40% - Accent4 2 3 2 8 2" xfId="15299"/>
    <cellStyle name="40% - Accent4 2 3 2 8 2 2" xfId="28848"/>
    <cellStyle name="40% - Accent4 2 3 2 8 3" xfId="21265"/>
    <cellStyle name="40% - Accent4 2 3 2 9" xfId="3941"/>
    <cellStyle name="40% - Accent4 2 3 2 9 2" xfId="16341"/>
    <cellStyle name="40% - Accent4 2 3 2 9 2 2" xfId="29748"/>
    <cellStyle name="40% - Accent4 2 3 2 9 3" xfId="21266"/>
    <cellStyle name="40% - Accent4 2 3 3" xfId="3942"/>
    <cellStyle name="40% - Accent4 2 3 3 2" xfId="3943"/>
    <cellStyle name="40% - Accent4 2 3 3 2 2" xfId="11114"/>
    <cellStyle name="40% - Accent4 2 3 3 2 2 2" xfId="25056"/>
    <cellStyle name="40% - Accent4 2 3 3 2 3" xfId="21268"/>
    <cellStyle name="40% - Accent4 2 3 3 3" xfId="3944"/>
    <cellStyle name="40% - Accent4 2 3 3 3 2" xfId="12889"/>
    <cellStyle name="40% - Accent4 2 3 3 3 2 2" xfId="26601"/>
    <cellStyle name="40% - Accent4 2 3 3 3 3" xfId="21269"/>
    <cellStyle name="40% - Accent4 2 3 3 4" xfId="3945"/>
    <cellStyle name="40% - Accent4 2 3 3 4 2" xfId="15302"/>
    <cellStyle name="40% - Accent4 2 3 3 4 2 2" xfId="28851"/>
    <cellStyle name="40% - Accent4 2 3 3 4 3" xfId="21270"/>
    <cellStyle name="40% - Accent4 2 3 3 5" xfId="3946"/>
    <cellStyle name="40% - Accent4 2 3 3 5 2" xfId="16633"/>
    <cellStyle name="40% - Accent4 2 3 3 5 2 2" xfId="30040"/>
    <cellStyle name="40% - Accent4 2 3 3 5 3" xfId="21271"/>
    <cellStyle name="40% - Accent4 2 3 3 6" xfId="9387"/>
    <cellStyle name="40% - Accent4 2 3 3 6 2" xfId="23862"/>
    <cellStyle name="40% - Accent4 2 3 3 7" xfId="21267"/>
    <cellStyle name="40% - Accent4 2 3 4" xfId="3947"/>
    <cellStyle name="40% - Accent4 2 3 4 2" xfId="3948"/>
    <cellStyle name="40% - Accent4 2 3 4 2 2" xfId="15303"/>
    <cellStyle name="40% - Accent4 2 3 4 2 2 2" xfId="28852"/>
    <cellStyle name="40% - Accent4 2 3 4 2 3" xfId="21273"/>
    <cellStyle name="40% - Accent4 2 3 4 3" xfId="11111"/>
    <cellStyle name="40% - Accent4 2 3 4 3 2" xfId="25053"/>
    <cellStyle name="40% - Accent4 2 3 4 4" xfId="21272"/>
    <cellStyle name="40% - Accent4 2 3 5" xfId="3949"/>
    <cellStyle name="40% - Accent4 2 3 5 2" xfId="12010"/>
    <cellStyle name="40% - Accent4 2 3 5 2 2" xfId="25725"/>
    <cellStyle name="40% - Accent4 2 3 5 3" xfId="21274"/>
    <cellStyle name="40% - Accent4 2 3 6" xfId="3950"/>
    <cellStyle name="40% - Accent4 2 3 6 2" xfId="12886"/>
    <cellStyle name="40% - Accent4 2 3 6 2 2" xfId="26598"/>
    <cellStyle name="40% - Accent4 2 3 6 3" xfId="21275"/>
    <cellStyle name="40% - Accent4 2 3 7" xfId="3951"/>
    <cellStyle name="40% - Accent4 2 3 7 2" xfId="13585"/>
    <cellStyle name="40% - Accent4 2 3 7 2 2" xfId="27134"/>
    <cellStyle name="40% - Accent4 2 3 7 3" xfId="21276"/>
    <cellStyle name="40% - Accent4 2 3 8" xfId="3952"/>
    <cellStyle name="40% - Accent4 2 3 8 2" xfId="14166"/>
    <cellStyle name="40% - Accent4 2 3 8 2 2" xfId="27715"/>
    <cellStyle name="40% - Accent4 2 3 8 3" xfId="21277"/>
    <cellStyle name="40% - Accent4 2 3 9" xfId="3953"/>
    <cellStyle name="40% - Accent4 2 3 9 2" xfId="15298"/>
    <cellStyle name="40% - Accent4 2 3 9 2 2" xfId="28847"/>
    <cellStyle name="40% - Accent4 2 3 9 3" xfId="21278"/>
    <cellStyle name="40% - Accent4 2 4" xfId="3954"/>
    <cellStyle name="40% - Accent4 2 4 10" xfId="9388"/>
    <cellStyle name="40% - Accent4 2 4 10 2" xfId="23863"/>
    <cellStyle name="40% - Accent4 2 4 11" xfId="21279"/>
    <cellStyle name="40% - Accent4 2 4 2" xfId="3955"/>
    <cellStyle name="40% - Accent4 2 4 2 2" xfId="3956"/>
    <cellStyle name="40% - Accent4 2 4 2 2 2" xfId="11116"/>
    <cellStyle name="40% - Accent4 2 4 2 2 2 2" xfId="25058"/>
    <cellStyle name="40% - Accent4 2 4 2 2 3" xfId="21281"/>
    <cellStyle name="40% - Accent4 2 4 2 3" xfId="3957"/>
    <cellStyle name="40% - Accent4 2 4 2 3 2" xfId="12891"/>
    <cellStyle name="40% - Accent4 2 4 2 3 2 2" xfId="26603"/>
    <cellStyle name="40% - Accent4 2 4 2 3 3" xfId="21282"/>
    <cellStyle name="40% - Accent4 2 4 2 4" xfId="3958"/>
    <cellStyle name="40% - Accent4 2 4 2 4 2" xfId="15305"/>
    <cellStyle name="40% - Accent4 2 4 2 4 2 2" xfId="28854"/>
    <cellStyle name="40% - Accent4 2 4 2 4 3" xfId="21283"/>
    <cellStyle name="40% - Accent4 2 4 2 5" xfId="3959"/>
    <cellStyle name="40% - Accent4 2 4 2 5 2" xfId="16779"/>
    <cellStyle name="40% - Accent4 2 4 2 5 2 2" xfId="30186"/>
    <cellStyle name="40% - Accent4 2 4 2 5 3" xfId="21284"/>
    <cellStyle name="40% - Accent4 2 4 2 6" xfId="9389"/>
    <cellStyle name="40% - Accent4 2 4 2 6 2" xfId="23864"/>
    <cellStyle name="40% - Accent4 2 4 2 7" xfId="21280"/>
    <cellStyle name="40% - Accent4 2 4 3" xfId="3960"/>
    <cellStyle name="40% - Accent4 2 4 3 2" xfId="3961"/>
    <cellStyle name="40% - Accent4 2 4 3 2 2" xfId="15306"/>
    <cellStyle name="40% - Accent4 2 4 3 2 2 2" xfId="28855"/>
    <cellStyle name="40% - Accent4 2 4 3 2 3" xfId="21286"/>
    <cellStyle name="40% - Accent4 2 4 3 3" xfId="11115"/>
    <cellStyle name="40% - Accent4 2 4 3 3 2" xfId="25057"/>
    <cellStyle name="40% - Accent4 2 4 3 4" xfId="21285"/>
    <cellStyle name="40% - Accent4 2 4 4" xfId="3962"/>
    <cellStyle name="40% - Accent4 2 4 4 2" xfId="12167"/>
    <cellStyle name="40% - Accent4 2 4 4 2 2" xfId="25879"/>
    <cellStyle name="40% - Accent4 2 4 4 3" xfId="21287"/>
    <cellStyle name="40% - Accent4 2 4 5" xfId="3963"/>
    <cellStyle name="40% - Accent4 2 4 5 2" xfId="12890"/>
    <cellStyle name="40% - Accent4 2 4 5 2 2" xfId="26602"/>
    <cellStyle name="40% - Accent4 2 4 5 3" xfId="21288"/>
    <cellStyle name="40% - Accent4 2 4 6" xfId="3964"/>
    <cellStyle name="40% - Accent4 2 4 6 2" xfId="13731"/>
    <cellStyle name="40% - Accent4 2 4 6 2 2" xfId="27280"/>
    <cellStyle name="40% - Accent4 2 4 6 3" xfId="21289"/>
    <cellStyle name="40% - Accent4 2 4 7" xfId="3965"/>
    <cellStyle name="40% - Accent4 2 4 7 2" xfId="14312"/>
    <cellStyle name="40% - Accent4 2 4 7 2 2" xfId="27861"/>
    <cellStyle name="40% - Accent4 2 4 7 3" xfId="21290"/>
    <cellStyle name="40% - Accent4 2 4 8" xfId="3966"/>
    <cellStyle name="40% - Accent4 2 4 8 2" xfId="15304"/>
    <cellStyle name="40% - Accent4 2 4 8 2 2" xfId="28853"/>
    <cellStyle name="40% - Accent4 2 4 8 3" xfId="21291"/>
    <cellStyle name="40% - Accent4 2 4 9" xfId="3967"/>
    <cellStyle name="40% - Accent4 2 4 9 2" xfId="16198"/>
    <cellStyle name="40% - Accent4 2 4 9 2 2" xfId="29605"/>
    <cellStyle name="40% - Accent4 2 4 9 3" xfId="21292"/>
    <cellStyle name="40% - Accent4 2 5" xfId="3968"/>
    <cellStyle name="40% - Accent4 2 5 2" xfId="3969"/>
    <cellStyle name="40% - Accent4 2 5 2 2" xfId="3970"/>
    <cellStyle name="40% - Accent4 2 5 2 2 2" xfId="11118"/>
    <cellStyle name="40% - Accent4 2 5 2 2 2 2" xfId="25060"/>
    <cellStyle name="40% - Accent4 2 5 2 2 3" xfId="21295"/>
    <cellStyle name="40% - Accent4 2 5 2 3" xfId="3971"/>
    <cellStyle name="40% - Accent4 2 5 2 3 2" xfId="12893"/>
    <cellStyle name="40% - Accent4 2 5 2 3 2 2" xfId="26605"/>
    <cellStyle name="40% - Accent4 2 5 2 3 3" xfId="21296"/>
    <cellStyle name="40% - Accent4 2 5 2 4" xfId="3972"/>
    <cellStyle name="40% - Accent4 2 5 2 4 2" xfId="15308"/>
    <cellStyle name="40% - Accent4 2 5 2 4 2 2" xfId="28857"/>
    <cellStyle name="40% - Accent4 2 5 2 4 3" xfId="21297"/>
    <cellStyle name="40% - Accent4 2 5 2 5" xfId="9391"/>
    <cellStyle name="40% - Accent4 2 5 2 5 2" xfId="23866"/>
    <cellStyle name="40% - Accent4 2 5 2 6" xfId="21294"/>
    <cellStyle name="40% - Accent4 2 5 3" xfId="3973"/>
    <cellStyle name="40% - Accent4 2 5 3 2" xfId="11117"/>
    <cellStyle name="40% - Accent4 2 5 3 2 2" xfId="25059"/>
    <cellStyle name="40% - Accent4 2 5 3 3" xfId="21298"/>
    <cellStyle name="40% - Accent4 2 5 4" xfId="3974"/>
    <cellStyle name="40% - Accent4 2 5 4 2" xfId="12892"/>
    <cellStyle name="40% - Accent4 2 5 4 2 2" xfId="26604"/>
    <cellStyle name="40% - Accent4 2 5 4 3" xfId="21299"/>
    <cellStyle name="40% - Accent4 2 5 5" xfId="3975"/>
    <cellStyle name="40% - Accent4 2 5 5 2" xfId="15307"/>
    <cellStyle name="40% - Accent4 2 5 5 2 2" xfId="28856"/>
    <cellStyle name="40% - Accent4 2 5 5 3" xfId="21300"/>
    <cellStyle name="40% - Accent4 2 5 6" xfId="3976"/>
    <cellStyle name="40% - Accent4 2 5 6 2" xfId="17016"/>
    <cellStyle name="40% - Accent4 2 5 6 2 2" xfId="30423"/>
    <cellStyle name="40% - Accent4 2 5 6 3" xfId="21301"/>
    <cellStyle name="40% - Accent4 2 5 7" xfId="9390"/>
    <cellStyle name="40% - Accent4 2 5 7 2" xfId="23865"/>
    <cellStyle name="40% - Accent4 2 5 8" xfId="21293"/>
    <cellStyle name="40% - Accent4 2 6" xfId="3977"/>
    <cellStyle name="40% - Accent4 2 6 2" xfId="3978"/>
    <cellStyle name="40% - Accent4 2 6 2 2" xfId="11119"/>
    <cellStyle name="40% - Accent4 2 6 2 2 2" xfId="25061"/>
    <cellStyle name="40% - Accent4 2 6 2 3" xfId="21303"/>
    <cellStyle name="40% - Accent4 2 6 3" xfId="3979"/>
    <cellStyle name="40% - Accent4 2 6 3 2" xfId="12894"/>
    <cellStyle name="40% - Accent4 2 6 3 2 2" xfId="26606"/>
    <cellStyle name="40% - Accent4 2 6 3 3" xfId="21304"/>
    <cellStyle name="40% - Accent4 2 6 4" xfId="3980"/>
    <cellStyle name="40% - Accent4 2 6 4 2" xfId="15309"/>
    <cellStyle name="40% - Accent4 2 6 4 2 2" xfId="28858"/>
    <cellStyle name="40% - Accent4 2 6 4 3" xfId="21305"/>
    <cellStyle name="40% - Accent4 2 6 5" xfId="3981"/>
    <cellStyle name="40% - Accent4 2 6 5 2" xfId="17126"/>
    <cellStyle name="40% - Accent4 2 6 5 2 2" xfId="30485"/>
    <cellStyle name="40% - Accent4 2 6 5 3" xfId="21306"/>
    <cellStyle name="40% - Accent4 2 6 6" xfId="9392"/>
    <cellStyle name="40% - Accent4 2 6 6 2" xfId="23867"/>
    <cellStyle name="40% - Accent4 2 6 7" xfId="21302"/>
    <cellStyle name="40% - Accent4 2 7" xfId="3982"/>
    <cellStyle name="40% - Accent4 2 7 2" xfId="3983"/>
    <cellStyle name="40% - Accent4 2 7 2 2" xfId="11120"/>
    <cellStyle name="40% - Accent4 2 7 2 2 2" xfId="25062"/>
    <cellStyle name="40% - Accent4 2 7 2 3" xfId="21308"/>
    <cellStyle name="40% - Accent4 2 7 3" xfId="3984"/>
    <cellStyle name="40% - Accent4 2 7 3 2" xfId="12895"/>
    <cellStyle name="40% - Accent4 2 7 3 2 2" xfId="26607"/>
    <cellStyle name="40% - Accent4 2 7 3 3" xfId="21309"/>
    <cellStyle name="40% - Accent4 2 7 4" xfId="3985"/>
    <cellStyle name="40% - Accent4 2 7 4 2" xfId="15310"/>
    <cellStyle name="40% - Accent4 2 7 4 2 2" xfId="28859"/>
    <cellStyle name="40% - Accent4 2 7 4 3" xfId="21310"/>
    <cellStyle name="40% - Accent4 2 7 5" xfId="3986"/>
    <cellStyle name="40% - Accent4 2 7 5 2" xfId="17215"/>
    <cellStyle name="40% - Accent4 2 7 5 2 2" xfId="30574"/>
    <cellStyle name="40% - Accent4 2 7 5 3" xfId="21311"/>
    <cellStyle name="40% - Accent4 2 7 6" xfId="9393"/>
    <cellStyle name="40% - Accent4 2 7 6 2" xfId="23868"/>
    <cellStyle name="40% - Accent4 2 7 7" xfId="21307"/>
    <cellStyle name="40% - Accent4 2 8" xfId="3987"/>
    <cellStyle name="40% - Accent4 2 8 2" xfId="3988"/>
    <cellStyle name="40% - Accent4 2 8 2 2" xfId="12896"/>
    <cellStyle name="40% - Accent4 2 8 2 2 2" xfId="26608"/>
    <cellStyle name="40% - Accent4 2 8 2 3" xfId="21313"/>
    <cellStyle name="40% - Accent4 2 8 3" xfId="3989"/>
    <cellStyle name="40% - Accent4 2 8 3 2" xfId="15311"/>
    <cellStyle name="40% - Accent4 2 8 3 2 2" xfId="28860"/>
    <cellStyle name="40% - Accent4 2 8 3 3" xfId="21314"/>
    <cellStyle name="40% - Accent4 2 8 4" xfId="3990"/>
    <cellStyle name="40% - Accent4 2 8 4 2" xfId="16490"/>
    <cellStyle name="40% - Accent4 2 8 4 2 2" xfId="29897"/>
    <cellStyle name="40% - Accent4 2 8 4 3" xfId="21315"/>
    <cellStyle name="40% - Accent4 2 8 5" xfId="10537"/>
    <cellStyle name="40% - Accent4 2 8 5 2" xfId="24479"/>
    <cellStyle name="40% - Accent4 2 8 6" xfId="21312"/>
    <cellStyle name="40% - Accent4 2 9" xfId="3991"/>
    <cellStyle name="40% - Accent4 2 9 2" xfId="3992"/>
    <cellStyle name="40% - Accent4 2 9 2 2" xfId="12897"/>
    <cellStyle name="40% - Accent4 2 9 2 2 2" xfId="26609"/>
    <cellStyle name="40% - Accent4 2 9 2 3" xfId="21317"/>
    <cellStyle name="40% - Accent4 2 9 3" xfId="3993"/>
    <cellStyle name="40% - Accent4 2 9 3 2" xfId="15312"/>
    <cellStyle name="40% - Accent4 2 9 3 2 2" xfId="28861"/>
    <cellStyle name="40% - Accent4 2 9 3 3" xfId="21318"/>
    <cellStyle name="40% - Accent4 2 9 4" xfId="11102"/>
    <cellStyle name="40% - Accent4 2 9 4 2" xfId="25044"/>
    <cellStyle name="40% - Accent4 2 9 5" xfId="21316"/>
    <cellStyle name="40% - Accent4 20" xfId="3994"/>
    <cellStyle name="40% - Accent4 20 2" xfId="3995"/>
    <cellStyle name="40% - Accent4 20 2 2" xfId="12898"/>
    <cellStyle name="40% - Accent4 20 2 2 2" xfId="26610"/>
    <cellStyle name="40% - Accent4 20 2 3" xfId="21320"/>
    <cellStyle name="40% - Accent4 20 3" xfId="3996"/>
    <cellStyle name="40% - Accent4 20 3 2" xfId="15313"/>
    <cellStyle name="40% - Accent4 20 3 2 2" xfId="28862"/>
    <cellStyle name="40% - Accent4 20 3 3" xfId="21321"/>
    <cellStyle name="40% - Accent4 20 4" xfId="10512"/>
    <cellStyle name="40% - Accent4 20 4 2" xfId="24460"/>
    <cellStyle name="40% - Accent4 20 5" xfId="21319"/>
    <cellStyle name="40% - Accent4 21" xfId="3997"/>
    <cellStyle name="40% - Accent4 21 2" xfId="3998"/>
    <cellStyle name="40% - Accent4 21 2 2" xfId="12899"/>
    <cellStyle name="40% - Accent4 21 2 2 2" xfId="26611"/>
    <cellStyle name="40% - Accent4 21 2 3" xfId="21323"/>
    <cellStyle name="40% - Accent4 21 3" xfId="3999"/>
    <cellStyle name="40% - Accent4 21 3 2" xfId="15314"/>
    <cellStyle name="40% - Accent4 21 3 2 2" xfId="28863"/>
    <cellStyle name="40% - Accent4 21 3 3" xfId="21324"/>
    <cellStyle name="40% - Accent4 21 4" xfId="11091"/>
    <cellStyle name="40% - Accent4 21 4 2" xfId="25033"/>
    <cellStyle name="40% - Accent4 21 5" xfId="21322"/>
    <cellStyle name="40% - Accent4 22" xfId="4000"/>
    <cellStyle name="40% - Accent4 22 2" xfId="11748"/>
    <cellStyle name="40% - Accent4 22 2 2" xfId="25463"/>
    <cellStyle name="40% - Accent4 22 3" xfId="21325"/>
    <cellStyle name="40% - Accent4 23" xfId="4001"/>
    <cellStyle name="40% - Accent4 23 2" xfId="12864"/>
    <cellStyle name="40% - Accent4 23 2 2" xfId="26576"/>
    <cellStyle name="40% - Accent4 23 3" xfId="21326"/>
    <cellStyle name="40% - Accent4 24" xfId="4002"/>
    <cellStyle name="40% - Accent4 24 2" xfId="13387"/>
    <cellStyle name="40% - Accent4 24 2 2" xfId="26936"/>
    <cellStyle name="40% - Accent4 24 3" xfId="21327"/>
    <cellStyle name="40% - Accent4 25" xfId="4003"/>
    <cellStyle name="40% - Accent4 25 2" xfId="13968"/>
    <cellStyle name="40% - Accent4 25 2 2" xfId="27517"/>
    <cellStyle name="40% - Accent4 25 3" xfId="21328"/>
    <cellStyle name="40% - Accent4 26" xfId="4004"/>
    <cellStyle name="40% - Accent4 26 2" xfId="15271"/>
    <cellStyle name="40% - Accent4 26 2 2" xfId="28820"/>
    <cellStyle name="40% - Accent4 26 3" xfId="21329"/>
    <cellStyle name="40% - Accent4 27" xfId="4005"/>
    <cellStyle name="40% - Accent4 27 2" xfId="15832"/>
    <cellStyle name="40% - Accent4 27 2 2" xfId="29239"/>
    <cellStyle name="40% - Accent4 27 3" xfId="21330"/>
    <cellStyle name="40% - Accent4 28" xfId="4006"/>
    <cellStyle name="40% - Accent4 28 2" xfId="15854"/>
    <cellStyle name="40% - Accent4 28 2 2" xfId="29261"/>
    <cellStyle name="40% - Accent4 28 3" xfId="21331"/>
    <cellStyle name="40% - Accent4 29" xfId="4007"/>
    <cellStyle name="40% - Accent4 29 2" xfId="9364"/>
    <cellStyle name="40% - Accent4 29 2 2" xfId="23839"/>
    <cellStyle name="40% - Accent4 29 3" xfId="21332"/>
    <cellStyle name="40% - Accent4 3" xfId="4008"/>
    <cellStyle name="40% - Accent4 3 10" xfId="4009"/>
    <cellStyle name="40% - Accent4 3 10 2" xfId="14046"/>
    <cellStyle name="40% - Accent4 3 10 2 2" xfId="27595"/>
    <cellStyle name="40% - Accent4 3 10 3" xfId="21334"/>
    <cellStyle name="40% - Accent4 3 11" xfId="4010"/>
    <cellStyle name="40% - Accent4 3 11 2" xfId="15315"/>
    <cellStyle name="40% - Accent4 3 11 2 2" xfId="28864"/>
    <cellStyle name="40% - Accent4 3 11 3" xfId="21335"/>
    <cellStyle name="40% - Accent4 3 12" xfId="4011"/>
    <cellStyle name="40% - Accent4 3 12 2" xfId="15932"/>
    <cellStyle name="40% - Accent4 3 12 2 2" xfId="29339"/>
    <cellStyle name="40% - Accent4 3 12 3" xfId="21336"/>
    <cellStyle name="40% - Accent4 3 13" xfId="9394"/>
    <cellStyle name="40% - Accent4 3 13 2" xfId="23869"/>
    <cellStyle name="40% - Accent4 3 14" xfId="21333"/>
    <cellStyle name="40% - Accent4 3 2" xfId="4012"/>
    <cellStyle name="40% - Accent4 3 2 10" xfId="4013"/>
    <cellStyle name="40% - Accent4 3 2 10 2" xfId="16075"/>
    <cellStyle name="40% - Accent4 3 2 10 2 2" xfId="29482"/>
    <cellStyle name="40% - Accent4 3 2 10 3" xfId="21338"/>
    <cellStyle name="40% - Accent4 3 2 11" xfId="9395"/>
    <cellStyle name="40% - Accent4 3 2 11 2" xfId="23870"/>
    <cellStyle name="40% - Accent4 3 2 12" xfId="21337"/>
    <cellStyle name="40% - Accent4 3 2 2" xfId="4014"/>
    <cellStyle name="40% - Accent4 3 2 2 10" xfId="9396"/>
    <cellStyle name="40% - Accent4 3 2 2 10 2" xfId="23871"/>
    <cellStyle name="40% - Accent4 3 2 2 11" xfId="21339"/>
    <cellStyle name="40% - Accent4 3 2 2 2" xfId="4015"/>
    <cellStyle name="40% - Accent4 3 2 2 2 2" xfId="4016"/>
    <cellStyle name="40% - Accent4 3 2 2 2 2 2" xfId="11124"/>
    <cellStyle name="40% - Accent4 3 2 2 2 2 2 2" xfId="25066"/>
    <cellStyle name="40% - Accent4 3 2 2 2 2 3" xfId="21341"/>
    <cellStyle name="40% - Accent4 3 2 2 2 3" xfId="4017"/>
    <cellStyle name="40% - Accent4 3 2 2 2 3 2" xfId="12903"/>
    <cellStyle name="40% - Accent4 3 2 2 2 3 2 2" xfId="26615"/>
    <cellStyle name="40% - Accent4 3 2 2 2 3 3" xfId="21342"/>
    <cellStyle name="40% - Accent4 3 2 2 2 4" xfId="4018"/>
    <cellStyle name="40% - Accent4 3 2 2 2 4 2" xfId="15318"/>
    <cellStyle name="40% - Accent4 3 2 2 2 4 2 2" xfId="28867"/>
    <cellStyle name="40% - Accent4 3 2 2 2 4 3" xfId="21343"/>
    <cellStyle name="40% - Accent4 3 2 2 2 5" xfId="4019"/>
    <cellStyle name="40% - Accent4 3 2 2 2 5 2" xfId="16945"/>
    <cellStyle name="40% - Accent4 3 2 2 2 5 2 2" xfId="30352"/>
    <cellStyle name="40% - Accent4 3 2 2 2 5 3" xfId="21344"/>
    <cellStyle name="40% - Accent4 3 2 2 2 6" xfId="9397"/>
    <cellStyle name="40% - Accent4 3 2 2 2 6 2" xfId="23872"/>
    <cellStyle name="40% - Accent4 3 2 2 2 7" xfId="21340"/>
    <cellStyle name="40% - Accent4 3 2 2 3" xfId="4020"/>
    <cellStyle name="40% - Accent4 3 2 2 3 2" xfId="4021"/>
    <cellStyle name="40% - Accent4 3 2 2 3 2 2" xfId="15319"/>
    <cellStyle name="40% - Accent4 3 2 2 3 2 2 2" xfId="28868"/>
    <cellStyle name="40% - Accent4 3 2 2 3 2 3" xfId="21346"/>
    <cellStyle name="40% - Accent4 3 2 2 3 3" xfId="11123"/>
    <cellStyle name="40% - Accent4 3 2 2 3 3 2" xfId="25065"/>
    <cellStyle name="40% - Accent4 3 2 2 3 4" xfId="21345"/>
    <cellStyle name="40% - Accent4 3 2 2 4" xfId="4022"/>
    <cellStyle name="40% - Accent4 3 2 2 4 2" xfId="12333"/>
    <cellStyle name="40% - Accent4 3 2 2 4 2 2" xfId="26045"/>
    <cellStyle name="40% - Accent4 3 2 2 4 3" xfId="21347"/>
    <cellStyle name="40% - Accent4 3 2 2 5" xfId="4023"/>
    <cellStyle name="40% - Accent4 3 2 2 5 2" xfId="12902"/>
    <cellStyle name="40% - Accent4 3 2 2 5 2 2" xfId="26614"/>
    <cellStyle name="40% - Accent4 3 2 2 5 3" xfId="21348"/>
    <cellStyle name="40% - Accent4 3 2 2 6" xfId="4024"/>
    <cellStyle name="40% - Accent4 3 2 2 6 2" xfId="13897"/>
    <cellStyle name="40% - Accent4 3 2 2 6 2 2" xfId="27446"/>
    <cellStyle name="40% - Accent4 3 2 2 6 3" xfId="21349"/>
    <cellStyle name="40% - Accent4 3 2 2 7" xfId="4025"/>
    <cellStyle name="40% - Accent4 3 2 2 7 2" xfId="14478"/>
    <cellStyle name="40% - Accent4 3 2 2 7 2 2" xfId="28027"/>
    <cellStyle name="40% - Accent4 3 2 2 7 3" xfId="21350"/>
    <cellStyle name="40% - Accent4 3 2 2 8" xfId="4026"/>
    <cellStyle name="40% - Accent4 3 2 2 8 2" xfId="15317"/>
    <cellStyle name="40% - Accent4 3 2 2 8 2 2" xfId="28866"/>
    <cellStyle name="40% - Accent4 3 2 2 8 3" xfId="21351"/>
    <cellStyle name="40% - Accent4 3 2 2 9" xfId="4027"/>
    <cellStyle name="40% - Accent4 3 2 2 9 2" xfId="16364"/>
    <cellStyle name="40% - Accent4 3 2 2 9 2 2" xfId="29771"/>
    <cellStyle name="40% - Accent4 3 2 2 9 3" xfId="21352"/>
    <cellStyle name="40% - Accent4 3 2 3" xfId="4028"/>
    <cellStyle name="40% - Accent4 3 2 3 2" xfId="4029"/>
    <cellStyle name="40% - Accent4 3 2 3 2 2" xfId="11125"/>
    <cellStyle name="40% - Accent4 3 2 3 2 2 2" xfId="25067"/>
    <cellStyle name="40% - Accent4 3 2 3 2 3" xfId="21354"/>
    <cellStyle name="40% - Accent4 3 2 3 3" xfId="4030"/>
    <cellStyle name="40% - Accent4 3 2 3 3 2" xfId="12904"/>
    <cellStyle name="40% - Accent4 3 2 3 3 2 2" xfId="26616"/>
    <cellStyle name="40% - Accent4 3 2 3 3 3" xfId="21355"/>
    <cellStyle name="40% - Accent4 3 2 3 4" xfId="4031"/>
    <cellStyle name="40% - Accent4 3 2 3 4 2" xfId="15320"/>
    <cellStyle name="40% - Accent4 3 2 3 4 2 2" xfId="28869"/>
    <cellStyle name="40% - Accent4 3 2 3 4 3" xfId="21356"/>
    <cellStyle name="40% - Accent4 3 2 3 5" xfId="4032"/>
    <cellStyle name="40% - Accent4 3 2 3 5 2" xfId="16656"/>
    <cellStyle name="40% - Accent4 3 2 3 5 2 2" xfId="30063"/>
    <cellStyle name="40% - Accent4 3 2 3 5 3" xfId="21357"/>
    <cellStyle name="40% - Accent4 3 2 3 6" xfId="9398"/>
    <cellStyle name="40% - Accent4 3 2 3 6 2" xfId="23873"/>
    <cellStyle name="40% - Accent4 3 2 3 7" xfId="21353"/>
    <cellStyle name="40% - Accent4 3 2 4" xfId="4033"/>
    <cellStyle name="40% - Accent4 3 2 4 2" xfId="4034"/>
    <cellStyle name="40% - Accent4 3 2 4 2 2" xfId="15321"/>
    <cellStyle name="40% - Accent4 3 2 4 2 2 2" xfId="28870"/>
    <cellStyle name="40% - Accent4 3 2 4 2 3" xfId="21359"/>
    <cellStyle name="40% - Accent4 3 2 4 3" xfId="11122"/>
    <cellStyle name="40% - Accent4 3 2 4 3 2" xfId="25064"/>
    <cellStyle name="40% - Accent4 3 2 4 4" xfId="21358"/>
    <cellStyle name="40% - Accent4 3 2 5" xfId="4035"/>
    <cellStyle name="40% - Accent4 3 2 5 2" xfId="12033"/>
    <cellStyle name="40% - Accent4 3 2 5 2 2" xfId="25748"/>
    <cellStyle name="40% - Accent4 3 2 5 3" xfId="21360"/>
    <cellStyle name="40% - Accent4 3 2 6" xfId="4036"/>
    <cellStyle name="40% - Accent4 3 2 6 2" xfId="12901"/>
    <cellStyle name="40% - Accent4 3 2 6 2 2" xfId="26613"/>
    <cellStyle name="40% - Accent4 3 2 6 3" xfId="21361"/>
    <cellStyle name="40% - Accent4 3 2 7" xfId="4037"/>
    <cellStyle name="40% - Accent4 3 2 7 2" xfId="13608"/>
    <cellStyle name="40% - Accent4 3 2 7 2 2" xfId="27157"/>
    <cellStyle name="40% - Accent4 3 2 7 3" xfId="21362"/>
    <cellStyle name="40% - Accent4 3 2 8" xfId="4038"/>
    <cellStyle name="40% - Accent4 3 2 8 2" xfId="14189"/>
    <cellStyle name="40% - Accent4 3 2 8 2 2" xfId="27738"/>
    <cellStyle name="40% - Accent4 3 2 8 3" xfId="21363"/>
    <cellStyle name="40% - Accent4 3 2 9" xfId="4039"/>
    <cellStyle name="40% - Accent4 3 2 9 2" xfId="15316"/>
    <cellStyle name="40% - Accent4 3 2 9 2 2" xfId="28865"/>
    <cellStyle name="40% - Accent4 3 2 9 3" xfId="21364"/>
    <cellStyle name="40% - Accent4 3 3" xfId="4040"/>
    <cellStyle name="40% - Accent4 3 3 10" xfId="9399"/>
    <cellStyle name="40% - Accent4 3 3 10 2" xfId="23874"/>
    <cellStyle name="40% - Accent4 3 3 11" xfId="21365"/>
    <cellStyle name="40% - Accent4 3 3 2" xfId="4041"/>
    <cellStyle name="40% - Accent4 3 3 2 2" xfId="4042"/>
    <cellStyle name="40% - Accent4 3 3 2 2 2" xfId="11127"/>
    <cellStyle name="40% - Accent4 3 3 2 2 2 2" xfId="25069"/>
    <cellStyle name="40% - Accent4 3 3 2 2 3" xfId="21367"/>
    <cellStyle name="40% - Accent4 3 3 2 3" xfId="4043"/>
    <cellStyle name="40% - Accent4 3 3 2 3 2" xfId="12906"/>
    <cellStyle name="40% - Accent4 3 3 2 3 2 2" xfId="26618"/>
    <cellStyle name="40% - Accent4 3 3 2 3 3" xfId="21368"/>
    <cellStyle name="40% - Accent4 3 3 2 4" xfId="4044"/>
    <cellStyle name="40% - Accent4 3 3 2 4 2" xfId="15323"/>
    <cellStyle name="40% - Accent4 3 3 2 4 2 2" xfId="28872"/>
    <cellStyle name="40% - Accent4 3 3 2 4 3" xfId="21369"/>
    <cellStyle name="40% - Accent4 3 3 2 5" xfId="4045"/>
    <cellStyle name="40% - Accent4 3 3 2 5 2" xfId="16802"/>
    <cellStyle name="40% - Accent4 3 3 2 5 2 2" xfId="30209"/>
    <cellStyle name="40% - Accent4 3 3 2 5 3" xfId="21370"/>
    <cellStyle name="40% - Accent4 3 3 2 6" xfId="9400"/>
    <cellStyle name="40% - Accent4 3 3 2 6 2" xfId="23875"/>
    <cellStyle name="40% - Accent4 3 3 2 7" xfId="21366"/>
    <cellStyle name="40% - Accent4 3 3 3" xfId="4046"/>
    <cellStyle name="40% - Accent4 3 3 3 2" xfId="4047"/>
    <cellStyle name="40% - Accent4 3 3 3 2 2" xfId="15324"/>
    <cellStyle name="40% - Accent4 3 3 3 2 2 2" xfId="28873"/>
    <cellStyle name="40% - Accent4 3 3 3 2 3" xfId="21372"/>
    <cellStyle name="40% - Accent4 3 3 3 3" xfId="11126"/>
    <cellStyle name="40% - Accent4 3 3 3 3 2" xfId="25068"/>
    <cellStyle name="40% - Accent4 3 3 3 4" xfId="21371"/>
    <cellStyle name="40% - Accent4 3 3 4" xfId="4048"/>
    <cellStyle name="40% - Accent4 3 3 4 2" xfId="12190"/>
    <cellStyle name="40% - Accent4 3 3 4 2 2" xfId="25902"/>
    <cellStyle name="40% - Accent4 3 3 4 3" xfId="21373"/>
    <cellStyle name="40% - Accent4 3 3 5" xfId="4049"/>
    <cellStyle name="40% - Accent4 3 3 5 2" xfId="12905"/>
    <cellStyle name="40% - Accent4 3 3 5 2 2" xfId="26617"/>
    <cellStyle name="40% - Accent4 3 3 5 3" xfId="21374"/>
    <cellStyle name="40% - Accent4 3 3 6" xfId="4050"/>
    <cellStyle name="40% - Accent4 3 3 6 2" xfId="13754"/>
    <cellStyle name="40% - Accent4 3 3 6 2 2" xfId="27303"/>
    <cellStyle name="40% - Accent4 3 3 6 3" xfId="21375"/>
    <cellStyle name="40% - Accent4 3 3 7" xfId="4051"/>
    <cellStyle name="40% - Accent4 3 3 7 2" xfId="14335"/>
    <cellStyle name="40% - Accent4 3 3 7 2 2" xfId="27884"/>
    <cellStyle name="40% - Accent4 3 3 7 3" xfId="21376"/>
    <cellStyle name="40% - Accent4 3 3 8" xfId="4052"/>
    <cellStyle name="40% - Accent4 3 3 8 2" xfId="15322"/>
    <cellStyle name="40% - Accent4 3 3 8 2 2" xfId="28871"/>
    <cellStyle name="40% - Accent4 3 3 8 3" xfId="21377"/>
    <cellStyle name="40% - Accent4 3 3 9" xfId="4053"/>
    <cellStyle name="40% - Accent4 3 3 9 2" xfId="16221"/>
    <cellStyle name="40% - Accent4 3 3 9 2 2" xfId="29628"/>
    <cellStyle name="40% - Accent4 3 3 9 3" xfId="21378"/>
    <cellStyle name="40% - Accent4 3 4" xfId="4054"/>
    <cellStyle name="40% - Accent4 3 4 2" xfId="4055"/>
    <cellStyle name="40% - Accent4 3 4 2 2" xfId="11128"/>
    <cellStyle name="40% - Accent4 3 4 2 2 2" xfId="25070"/>
    <cellStyle name="40% - Accent4 3 4 2 3" xfId="21380"/>
    <cellStyle name="40% - Accent4 3 4 3" xfId="4056"/>
    <cellStyle name="40% - Accent4 3 4 3 2" xfId="12907"/>
    <cellStyle name="40% - Accent4 3 4 3 2 2" xfId="26619"/>
    <cellStyle name="40% - Accent4 3 4 3 3" xfId="21381"/>
    <cellStyle name="40% - Accent4 3 4 4" xfId="4057"/>
    <cellStyle name="40% - Accent4 3 4 4 2" xfId="15325"/>
    <cellStyle name="40% - Accent4 3 4 4 2 2" xfId="28874"/>
    <cellStyle name="40% - Accent4 3 4 4 3" xfId="21382"/>
    <cellStyle name="40% - Accent4 3 4 5" xfId="4058"/>
    <cellStyle name="40% - Accent4 3 4 5 2" xfId="17149"/>
    <cellStyle name="40% - Accent4 3 4 5 2 2" xfId="30508"/>
    <cellStyle name="40% - Accent4 3 4 5 3" xfId="21383"/>
    <cellStyle name="40% - Accent4 3 4 6" xfId="9401"/>
    <cellStyle name="40% - Accent4 3 4 6 2" xfId="23876"/>
    <cellStyle name="40% - Accent4 3 4 7" xfId="21379"/>
    <cellStyle name="40% - Accent4 3 5" xfId="4059"/>
    <cellStyle name="40% - Accent4 3 5 2" xfId="4060"/>
    <cellStyle name="40% - Accent4 3 5 2 2" xfId="11129"/>
    <cellStyle name="40% - Accent4 3 5 2 2 2" xfId="25071"/>
    <cellStyle name="40% - Accent4 3 5 2 3" xfId="21385"/>
    <cellStyle name="40% - Accent4 3 5 3" xfId="4061"/>
    <cellStyle name="40% - Accent4 3 5 3 2" xfId="12908"/>
    <cellStyle name="40% - Accent4 3 5 3 2 2" xfId="26620"/>
    <cellStyle name="40% - Accent4 3 5 3 3" xfId="21386"/>
    <cellStyle name="40% - Accent4 3 5 4" xfId="4062"/>
    <cellStyle name="40% - Accent4 3 5 4 2" xfId="15326"/>
    <cellStyle name="40% - Accent4 3 5 4 2 2" xfId="28875"/>
    <cellStyle name="40% - Accent4 3 5 4 3" xfId="21387"/>
    <cellStyle name="40% - Accent4 3 5 5" xfId="4063"/>
    <cellStyle name="40% - Accent4 3 5 5 2" xfId="17238"/>
    <cellStyle name="40% - Accent4 3 5 5 2 2" xfId="30597"/>
    <cellStyle name="40% - Accent4 3 5 5 3" xfId="21388"/>
    <cellStyle name="40% - Accent4 3 5 6" xfId="9402"/>
    <cellStyle name="40% - Accent4 3 5 6 2" xfId="23877"/>
    <cellStyle name="40% - Accent4 3 5 7" xfId="21384"/>
    <cellStyle name="40% - Accent4 3 6" xfId="4064"/>
    <cellStyle name="40% - Accent4 3 6 2" xfId="4065"/>
    <cellStyle name="40% - Accent4 3 6 2 2" xfId="15327"/>
    <cellStyle name="40% - Accent4 3 6 2 2 2" xfId="28876"/>
    <cellStyle name="40% - Accent4 3 6 2 3" xfId="21390"/>
    <cellStyle name="40% - Accent4 3 6 3" xfId="4066"/>
    <cellStyle name="40% - Accent4 3 6 3 2" xfId="16513"/>
    <cellStyle name="40% - Accent4 3 6 3 2 2" xfId="29920"/>
    <cellStyle name="40% - Accent4 3 6 3 3" xfId="21391"/>
    <cellStyle name="40% - Accent4 3 6 4" xfId="11121"/>
    <cellStyle name="40% - Accent4 3 6 4 2" xfId="25063"/>
    <cellStyle name="40% - Accent4 3 6 5" xfId="21389"/>
    <cellStyle name="40% - Accent4 3 7" xfId="4067"/>
    <cellStyle name="40% - Accent4 3 7 2" xfId="11885"/>
    <cellStyle name="40% - Accent4 3 7 2 2" xfId="25600"/>
    <cellStyle name="40% - Accent4 3 7 3" xfId="21392"/>
    <cellStyle name="40% - Accent4 3 8" xfId="4068"/>
    <cellStyle name="40% - Accent4 3 8 2" xfId="12900"/>
    <cellStyle name="40% - Accent4 3 8 2 2" xfId="26612"/>
    <cellStyle name="40% - Accent4 3 8 3" xfId="21393"/>
    <cellStyle name="40% - Accent4 3 9" xfId="4069"/>
    <cellStyle name="40% - Accent4 3 9 2" xfId="13465"/>
    <cellStyle name="40% - Accent4 3 9 2 2" xfId="27014"/>
    <cellStyle name="40% - Accent4 3 9 3" xfId="21394"/>
    <cellStyle name="40% - Accent4 30" xfId="23258"/>
    <cellStyle name="40% - Accent4 4" xfId="4070"/>
    <cellStyle name="40% - Accent4 4 10" xfId="4071"/>
    <cellStyle name="40% - Accent4 4 10 2" xfId="15328"/>
    <cellStyle name="40% - Accent4 4 10 2 2" xfId="28877"/>
    <cellStyle name="40% - Accent4 4 10 3" xfId="21396"/>
    <cellStyle name="40% - Accent4 4 11" xfId="4072"/>
    <cellStyle name="40% - Accent4 4 11 2" xfId="15888"/>
    <cellStyle name="40% - Accent4 4 11 2 2" xfId="29295"/>
    <cellStyle name="40% - Accent4 4 11 3" xfId="21397"/>
    <cellStyle name="40% - Accent4 4 12" xfId="9403"/>
    <cellStyle name="40% - Accent4 4 12 2" xfId="23878"/>
    <cellStyle name="40% - Accent4 4 13" xfId="21395"/>
    <cellStyle name="40% - Accent4 4 2" xfId="4073"/>
    <cellStyle name="40% - Accent4 4 2 10" xfId="4074"/>
    <cellStyle name="40% - Accent4 4 2 10 2" xfId="16031"/>
    <cellStyle name="40% - Accent4 4 2 10 2 2" xfId="29438"/>
    <cellStyle name="40% - Accent4 4 2 10 3" xfId="21399"/>
    <cellStyle name="40% - Accent4 4 2 11" xfId="9404"/>
    <cellStyle name="40% - Accent4 4 2 11 2" xfId="23879"/>
    <cellStyle name="40% - Accent4 4 2 12" xfId="21398"/>
    <cellStyle name="40% - Accent4 4 2 2" xfId="4075"/>
    <cellStyle name="40% - Accent4 4 2 2 10" xfId="9405"/>
    <cellStyle name="40% - Accent4 4 2 2 10 2" xfId="23880"/>
    <cellStyle name="40% - Accent4 4 2 2 11" xfId="21400"/>
    <cellStyle name="40% - Accent4 4 2 2 2" xfId="4076"/>
    <cellStyle name="40% - Accent4 4 2 2 2 2" xfId="4077"/>
    <cellStyle name="40% - Accent4 4 2 2 2 2 2" xfId="11133"/>
    <cellStyle name="40% - Accent4 4 2 2 2 2 2 2" xfId="25075"/>
    <cellStyle name="40% - Accent4 4 2 2 2 2 3" xfId="23200"/>
    <cellStyle name="40% - Accent4 4 2 2 2 3" xfId="4078"/>
    <cellStyle name="40% - Accent4 4 2 2 2 3 2" xfId="12912"/>
    <cellStyle name="40% - Accent4 4 2 2 2 3 2 2" xfId="26624"/>
    <cellStyle name="40% - Accent4 4 2 2 2 3 3" xfId="24315"/>
    <cellStyle name="40% - Accent4 4 2 2 2 4" xfId="4079"/>
    <cellStyle name="40% - Accent4 4 2 2 2 4 2" xfId="15331"/>
    <cellStyle name="40% - Accent4 4 2 2 2 4 2 2" xfId="28880"/>
    <cellStyle name="40% - Accent4 4 2 2 2 4 3" xfId="23199"/>
    <cellStyle name="40% - Accent4 4 2 2 2 5" xfId="4080"/>
    <cellStyle name="40% - Accent4 4 2 2 2 5 2" xfId="16901"/>
    <cellStyle name="40% - Accent4 4 2 2 2 5 2 2" xfId="30308"/>
    <cellStyle name="40% - Accent4 4 2 2 2 5 3" xfId="23198"/>
    <cellStyle name="40% - Accent4 4 2 2 2 6" xfId="9406"/>
    <cellStyle name="40% - Accent4 4 2 2 2 6 2" xfId="23881"/>
    <cellStyle name="40% - Accent4 4 2 2 2 7" xfId="21401"/>
    <cellStyle name="40% - Accent4 4 2 2 3" xfId="4081"/>
    <cellStyle name="40% - Accent4 4 2 2 3 2" xfId="4082"/>
    <cellStyle name="40% - Accent4 4 2 2 3 2 2" xfId="15332"/>
    <cellStyle name="40% - Accent4 4 2 2 3 2 2 2" xfId="28881"/>
    <cellStyle name="40% - Accent4 4 2 2 3 2 3" xfId="23197"/>
    <cellStyle name="40% - Accent4 4 2 2 3 3" xfId="11132"/>
    <cellStyle name="40% - Accent4 4 2 2 3 3 2" xfId="25074"/>
    <cellStyle name="40% - Accent4 4 2 2 3 4" xfId="26876"/>
    <cellStyle name="40% - Accent4 4 2 2 4" xfId="4083"/>
    <cellStyle name="40% - Accent4 4 2 2 4 2" xfId="12289"/>
    <cellStyle name="40% - Accent4 4 2 2 4 2 2" xfId="26001"/>
    <cellStyle name="40% - Accent4 4 2 2 4 3" xfId="23196"/>
    <cellStyle name="40% - Accent4 4 2 2 5" xfId="4084"/>
    <cellStyle name="40% - Accent4 4 2 2 5 2" xfId="12911"/>
    <cellStyle name="40% - Accent4 4 2 2 5 2 2" xfId="26623"/>
    <cellStyle name="40% - Accent4 4 2 2 5 3" xfId="24314"/>
    <cellStyle name="40% - Accent4 4 2 2 6" xfId="4085"/>
    <cellStyle name="40% - Accent4 4 2 2 6 2" xfId="13853"/>
    <cellStyle name="40% - Accent4 4 2 2 6 2 2" xfId="27402"/>
    <cellStyle name="40% - Accent4 4 2 2 6 3" xfId="23195"/>
    <cellStyle name="40% - Accent4 4 2 2 7" xfId="4086"/>
    <cellStyle name="40% - Accent4 4 2 2 7 2" xfId="14434"/>
    <cellStyle name="40% - Accent4 4 2 2 7 2 2" xfId="27983"/>
    <cellStyle name="40% - Accent4 4 2 2 7 3" xfId="26874"/>
    <cellStyle name="40% - Accent4 4 2 2 8" xfId="4087"/>
    <cellStyle name="40% - Accent4 4 2 2 8 2" xfId="15330"/>
    <cellStyle name="40% - Accent4 4 2 2 8 2 2" xfId="28879"/>
    <cellStyle name="40% - Accent4 4 2 2 8 3" xfId="23194"/>
    <cellStyle name="40% - Accent4 4 2 2 9" xfId="4088"/>
    <cellStyle name="40% - Accent4 4 2 2 9 2" xfId="16320"/>
    <cellStyle name="40% - Accent4 4 2 2 9 2 2" xfId="29727"/>
    <cellStyle name="40% - Accent4 4 2 2 9 3" xfId="23193"/>
    <cellStyle name="40% - Accent4 4 2 3" xfId="4089"/>
    <cellStyle name="40% - Accent4 4 2 3 2" xfId="4090"/>
    <cellStyle name="40% - Accent4 4 2 3 2 2" xfId="11134"/>
    <cellStyle name="40% - Accent4 4 2 3 2 2 2" xfId="25076"/>
    <cellStyle name="40% - Accent4 4 2 3 2 3" xfId="23192"/>
    <cellStyle name="40% - Accent4 4 2 3 3" xfId="4091"/>
    <cellStyle name="40% - Accent4 4 2 3 3 2" xfId="12913"/>
    <cellStyle name="40% - Accent4 4 2 3 3 2 2" xfId="26625"/>
    <cellStyle name="40% - Accent4 4 2 3 3 3" xfId="23191"/>
    <cellStyle name="40% - Accent4 4 2 3 4" xfId="4092"/>
    <cellStyle name="40% - Accent4 4 2 3 4 2" xfId="15333"/>
    <cellStyle name="40% - Accent4 4 2 3 4 2 2" xfId="28882"/>
    <cellStyle name="40% - Accent4 4 2 3 4 3" xfId="30656"/>
    <cellStyle name="40% - Accent4 4 2 3 5" xfId="4093"/>
    <cellStyle name="40% - Accent4 4 2 3 5 2" xfId="16612"/>
    <cellStyle name="40% - Accent4 4 2 3 5 2 2" xfId="30019"/>
    <cellStyle name="40% - Accent4 4 2 3 5 3" xfId="24311"/>
    <cellStyle name="40% - Accent4 4 2 3 6" xfId="9407"/>
    <cellStyle name="40% - Accent4 4 2 3 6 2" xfId="23882"/>
    <cellStyle name="40% - Accent4 4 2 3 7" xfId="24313"/>
    <cellStyle name="40% - Accent4 4 2 4" xfId="4094"/>
    <cellStyle name="40% - Accent4 4 2 4 2" xfId="4095"/>
    <cellStyle name="40% - Accent4 4 2 4 2 2" xfId="15334"/>
    <cellStyle name="40% - Accent4 4 2 4 2 2 2" xfId="28883"/>
    <cellStyle name="40% - Accent4 4 2 4 2 3" xfId="24464"/>
    <cellStyle name="40% - Accent4 4 2 4 3" xfId="11131"/>
    <cellStyle name="40% - Accent4 4 2 4 3 2" xfId="25073"/>
    <cellStyle name="40% - Accent4 4 2 4 4" xfId="23202"/>
    <cellStyle name="40% - Accent4 4 2 5" xfId="4096"/>
    <cellStyle name="40% - Accent4 4 2 5 2" xfId="11989"/>
    <cellStyle name="40% - Accent4 4 2 5 2 2" xfId="25704"/>
    <cellStyle name="40% - Accent4 4 2 5 3" xfId="23240"/>
    <cellStyle name="40% - Accent4 4 2 6" xfId="4097"/>
    <cellStyle name="40% - Accent4 4 2 6 2" xfId="12910"/>
    <cellStyle name="40% - Accent4 4 2 6 2 2" xfId="26622"/>
    <cellStyle name="40% - Accent4 4 2 6 3" xfId="30685"/>
    <cellStyle name="40% - Accent4 4 2 7" xfId="4098"/>
    <cellStyle name="40% - Accent4 4 2 7 2" xfId="13564"/>
    <cellStyle name="40% - Accent4 4 2 7 2 2" xfId="27113"/>
    <cellStyle name="40% - Accent4 4 2 7 3" xfId="23190"/>
    <cellStyle name="40% - Accent4 4 2 8" xfId="4099"/>
    <cellStyle name="40% - Accent4 4 2 8 2" xfId="14145"/>
    <cellStyle name="40% - Accent4 4 2 8 2 2" xfId="27694"/>
    <cellStyle name="40% - Accent4 4 2 8 3" xfId="23189"/>
    <cellStyle name="40% - Accent4 4 2 9" xfId="4100"/>
    <cellStyle name="40% - Accent4 4 2 9 2" xfId="15329"/>
    <cellStyle name="40% - Accent4 4 2 9 2 2" xfId="28878"/>
    <cellStyle name="40% - Accent4 4 2 9 3" xfId="26873"/>
    <cellStyle name="40% - Accent4 4 3" xfId="4101"/>
    <cellStyle name="40% - Accent4 4 3 10" xfId="9408"/>
    <cellStyle name="40% - Accent4 4 3 10 2" xfId="23883"/>
    <cellStyle name="40% - Accent4 4 3 11" xfId="23188"/>
    <cellStyle name="40% - Accent4 4 3 2" xfId="4102"/>
    <cellStyle name="40% - Accent4 4 3 2 2" xfId="4103"/>
    <cellStyle name="40% - Accent4 4 3 2 2 2" xfId="11136"/>
    <cellStyle name="40% - Accent4 4 3 2 2 2 2" xfId="25078"/>
    <cellStyle name="40% - Accent4 4 3 2 2 3" xfId="23209"/>
    <cellStyle name="40% - Accent4 4 3 2 3" xfId="4104"/>
    <cellStyle name="40% - Accent4 4 3 2 3 2" xfId="12915"/>
    <cellStyle name="40% - Accent4 4 3 2 3 2 2" xfId="26627"/>
    <cellStyle name="40% - Accent4 4 3 2 3 3" xfId="23186"/>
    <cellStyle name="40% - Accent4 4 3 2 4" xfId="4105"/>
    <cellStyle name="40% - Accent4 4 3 2 4 2" xfId="15336"/>
    <cellStyle name="40% - Accent4 4 3 2 4 2 2" xfId="28885"/>
    <cellStyle name="40% - Accent4 4 3 2 4 3" xfId="26872"/>
    <cellStyle name="40% - Accent4 4 3 2 5" xfId="4106"/>
    <cellStyle name="40% - Accent4 4 3 2 5 2" xfId="16761"/>
    <cellStyle name="40% - Accent4 4 3 2 5 2 2" xfId="30168"/>
    <cellStyle name="40% - Accent4 4 3 2 5 3" xfId="23185"/>
    <cellStyle name="40% - Accent4 4 3 2 6" xfId="9409"/>
    <cellStyle name="40% - Accent4 4 3 2 6 2" xfId="23884"/>
    <cellStyle name="40% - Accent4 4 3 2 7" xfId="23187"/>
    <cellStyle name="40% - Accent4 4 3 3" xfId="4107"/>
    <cellStyle name="40% - Accent4 4 3 3 2" xfId="4108"/>
    <cellStyle name="40% - Accent4 4 3 3 2 2" xfId="15337"/>
    <cellStyle name="40% - Accent4 4 3 3 2 2 2" xfId="28886"/>
    <cellStyle name="40% - Accent4 4 3 3 2 3" xfId="23184"/>
    <cellStyle name="40% - Accent4 4 3 3 3" xfId="11135"/>
    <cellStyle name="40% - Accent4 4 3 3 3 2" xfId="25077"/>
    <cellStyle name="40% - Accent4 4 3 3 4" xfId="24312"/>
    <cellStyle name="40% - Accent4 4 3 4" xfId="4109"/>
    <cellStyle name="40% - Accent4 4 3 4 2" xfId="12149"/>
    <cellStyle name="40% - Accent4 4 3 4 2 2" xfId="25861"/>
    <cellStyle name="40% - Accent4 4 3 4 3" xfId="23183"/>
    <cellStyle name="40% - Accent4 4 3 5" xfId="4110"/>
    <cellStyle name="40% - Accent4 4 3 5 2" xfId="12914"/>
    <cellStyle name="40% - Accent4 4 3 5 2 2" xfId="26626"/>
    <cellStyle name="40% - Accent4 4 3 5 3" xfId="23182"/>
    <cellStyle name="40% - Accent4 4 3 6" xfId="4111"/>
    <cellStyle name="40% - Accent4 4 3 6 2" xfId="13713"/>
    <cellStyle name="40% - Accent4 4 3 6 2 2" xfId="27262"/>
    <cellStyle name="40% - Accent4 4 3 6 3" xfId="26871"/>
    <cellStyle name="40% - Accent4 4 3 7" xfId="4112"/>
    <cellStyle name="40% - Accent4 4 3 7 2" xfId="14294"/>
    <cellStyle name="40% - Accent4 4 3 7 2 2" xfId="27843"/>
    <cellStyle name="40% - Accent4 4 3 7 3" xfId="23181"/>
    <cellStyle name="40% - Accent4 4 3 8" xfId="4113"/>
    <cellStyle name="40% - Accent4 4 3 8 2" xfId="15335"/>
    <cellStyle name="40% - Accent4 4 3 8 2 2" xfId="28884"/>
    <cellStyle name="40% - Accent4 4 3 8 3" xfId="24309"/>
    <cellStyle name="40% - Accent4 4 3 9" xfId="4114"/>
    <cellStyle name="40% - Accent4 4 3 9 2" xfId="16180"/>
    <cellStyle name="40% - Accent4 4 3 9 2 2" xfId="29587"/>
    <cellStyle name="40% - Accent4 4 3 9 3" xfId="26870"/>
    <cellStyle name="40% - Accent4 4 4" xfId="4115"/>
    <cellStyle name="40% - Accent4 4 4 2" xfId="4116"/>
    <cellStyle name="40% - Accent4 4 4 2 2" xfId="11137"/>
    <cellStyle name="40% - Accent4 4 4 2 2 2" xfId="25079"/>
    <cellStyle name="40% - Accent4 4 4 2 3" xfId="24310"/>
    <cellStyle name="40% - Accent4 4 4 3" xfId="4117"/>
    <cellStyle name="40% - Accent4 4 4 3 2" xfId="12916"/>
    <cellStyle name="40% - Accent4 4 4 3 2 2" xfId="26628"/>
    <cellStyle name="40% - Accent4 4 4 3 3" xfId="23179"/>
    <cellStyle name="40% - Accent4 4 4 4" xfId="4118"/>
    <cellStyle name="40% - Accent4 4 4 4 2" xfId="15338"/>
    <cellStyle name="40% - Accent4 4 4 4 2 2" xfId="28887"/>
    <cellStyle name="40% - Accent4 4 4 4 3" xfId="23178"/>
    <cellStyle name="40% - Accent4 4 4 5" xfId="4119"/>
    <cellStyle name="40% - Accent4 4 4 5 2" xfId="16469"/>
    <cellStyle name="40% - Accent4 4 4 5 2 2" xfId="29876"/>
    <cellStyle name="40% - Accent4 4 4 5 3" xfId="24308"/>
    <cellStyle name="40% - Accent4 4 4 6" xfId="9410"/>
    <cellStyle name="40% - Accent4 4 4 6 2" xfId="23885"/>
    <cellStyle name="40% - Accent4 4 4 7" xfId="23180"/>
    <cellStyle name="40% - Accent4 4 5" xfId="4120"/>
    <cellStyle name="40% - Accent4 4 5 2" xfId="4121"/>
    <cellStyle name="40% - Accent4 4 5 2 2" xfId="15339"/>
    <cellStyle name="40% - Accent4 4 5 2 2 2" xfId="28888"/>
    <cellStyle name="40% - Accent4 4 5 2 3" xfId="23205"/>
    <cellStyle name="40% - Accent4 4 5 3" xfId="11130"/>
    <cellStyle name="40% - Accent4 4 5 3 2" xfId="25072"/>
    <cellStyle name="40% - Accent4 4 5 4" xfId="23177"/>
    <cellStyle name="40% - Accent4 4 6" xfId="4122"/>
    <cellStyle name="40% - Accent4 4 6 2" xfId="11820"/>
    <cellStyle name="40% - Accent4 4 6 2 2" xfId="25535"/>
    <cellStyle name="40% - Accent4 4 6 3" xfId="24307"/>
    <cellStyle name="40% - Accent4 4 7" xfId="4123"/>
    <cellStyle name="40% - Accent4 4 7 2" xfId="12909"/>
    <cellStyle name="40% - Accent4 4 7 2 2" xfId="26621"/>
    <cellStyle name="40% - Accent4 4 7 3" xfId="30654"/>
    <cellStyle name="40% - Accent4 4 8" xfId="4124"/>
    <cellStyle name="40% - Accent4 4 8 2" xfId="13421"/>
    <cellStyle name="40% - Accent4 4 8 2 2" xfId="26970"/>
    <cellStyle name="40% - Accent4 4 8 3" xfId="30684"/>
    <cellStyle name="40% - Accent4 4 9" xfId="4125"/>
    <cellStyle name="40% - Accent4 4 9 2" xfId="14002"/>
    <cellStyle name="40% - Accent4 4 9 2 2" xfId="27551"/>
    <cellStyle name="40% - Accent4 4 9 3" xfId="23239"/>
    <cellStyle name="40% - Accent4 5" xfId="4126"/>
    <cellStyle name="40% - Accent4 5 10" xfId="4127"/>
    <cellStyle name="40% - Accent4 5 10 2" xfId="15340"/>
    <cellStyle name="40% - Accent4 5 10 2 2" xfId="28889"/>
    <cellStyle name="40% - Accent4 5 10 3" xfId="23207"/>
    <cellStyle name="40% - Accent4 5 11" xfId="4128"/>
    <cellStyle name="40% - Accent4 5 11 2" xfId="15871"/>
    <cellStyle name="40% - Accent4 5 11 2 2" xfId="29278"/>
    <cellStyle name="40% - Accent4 5 11 3" xfId="30431"/>
    <cellStyle name="40% - Accent4 5 12" xfId="9411"/>
    <cellStyle name="40% - Accent4 5 12 2" xfId="23886"/>
    <cellStyle name="40% - Accent4 5 13" xfId="23176"/>
    <cellStyle name="40% - Accent4 5 2" xfId="4129"/>
    <cellStyle name="40% - Accent4 5 2 10" xfId="4130"/>
    <cellStyle name="40% - Accent4 5 2 10 2" xfId="16014"/>
    <cellStyle name="40% - Accent4 5 2 10 2 2" xfId="29421"/>
    <cellStyle name="40% - Accent4 5 2 10 3" xfId="23174"/>
    <cellStyle name="40% - Accent4 5 2 11" xfId="9412"/>
    <cellStyle name="40% - Accent4 5 2 11 2" xfId="23887"/>
    <cellStyle name="40% - Accent4 5 2 12" xfId="23175"/>
    <cellStyle name="40% - Accent4 5 2 2" xfId="4131"/>
    <cellStyle name="40% - Accent4 5 2 2 10" xfId="9413"/>
    <cellStyle name="40% - Accent4 5 2 2 10 2" xfId="23888"/>
    <cellStyle name="40% - Accent4 5 2 2 11" xfId="23173"/>
    <cellStyle name="40% - Accent4 5 2 2 2" xfId="4132"/>
    <cellStyle name="40% - Accent4 5 2 2 2 2" xfId="4133"/>
    <cellStyle name="40% - Accent4 5 2 2 2 2 2" xfId="11141"/>
    <cellStyle name="40% - Accent4 5 2 2 2 2 2 2" xfId="25083"/>
    <cellStyle name="40% - Accent4 5 2 2 2 2 3" xfId="26869"/>
    <cellStyle name="40% - Accent4 5 2 2 2 3" xfId="4134"/>
    <cellStyle name="40% - Accent4 5 2 2 2 3 2" xfId="12920"/>
    <cellStyle name="40% - Accent4 5 2 2 2 3 2 2" xfId="26632"/>
    <cellStyle name="40% - Accent4 5 2 2 2 3 3" xfId="23172"/>
    <cellStyle name="40% - Accent4 5 2 2 2 4" xfId="4135"/>
    <cellStyle name="40% - Accent4 5 2 2 2 4 2" xfId="15343"/>
    <cellStyle name="40% - Accent4 5 2 2 2 4 2 2" xfId="28892"/>
    <cellStyle name="40% - Accent4 5 2 2 2 4 3" xfId="25297"/>
    <cellStyle name="40% - Accent4 5 2 2 2 5" xfId="4136"/>
    <cellStyle name="40% - Accent4 5 2 2 2 5 2" xfId="16884"/>
    <cellStyle name="40% - Accent4 5 2 2 2 5 2 2" xfId="30291"/>
    <cellStyle name="40% - Accent4 5 2 2 2 5 3" xfId="23171"/>
    <cellStyle name="40% - Accent4 5 2 2 2 6" xfId="9414"/>
    <cellStyle name="40% - Accent4 5 2 2 2 6 2" xfId="23889"/>
    <cellStyle name="40% - Accent4 5 2 2 2 7" xfId="24305"/>
    <cellStyle name="40% - Accent4 5 2 2 3" xfId="4137"/>
    <cellStyle name="40% - Accent4 5 2 2 3 2" xfId="4138"/>
    <cellStyle name="40% - Accent4 5 2 2 3 2 2" xfId="15344"/>
    <cellStyle name="40% - Accent4 5 2 2 3 2 2 2" xfId="28893"/>
    <cellStyle name="40% - Accent4 5 2 2 3 2 3" xfId="25298"/>
    <cellStyle name="40% - Accent4 5 2 2 3 3" xfId="11140"/>
    <cellStyle name="40% - Accent4 5 2 2 3 3 2" xfId="25082"/>
    <cellStyle name="40% - Accent4 5 2 2 3 4" xfId="24306"/>
    <cellStyle name="40% - Accent4 5 2 2 4" xfId="4139"/>
    <cellStyle name="40% - Accent4 5 2 2 4 2" xfId="12272"/>
    <cellStyle name="40% - Accent4 5 2 2 4 2 2" xfId="25984"/>
    <cellStyle name="40% - Accent4 5 2 2 4 3" xfId="23170"/>
    <cellStyle name="40% - Accent4 5 2 2 5" xfId="4140"/>
    <cellStyle name="40% - Accent4 5 2 2 5 2" xfId="12919"/>
    <cellStyle name="40% - Accent4 5 2 2 5 2 2" xfId="26631"/>
    <cellStyle name="40% - Accent4 5 2 2 5 3" xfId="23169"/>
    <cellStyle name="40% - Accent4 5 2 2 6" xfId="4141"/>
    <cellStyle name="40% - Accent4 5 2 2 6 2" xfId="13836"/>
    <cellStyle name="40% - Accent4 5 2 2 6 2 2" xfId="27385"/>
    <cellStyle name="40% - Accent4 5 2 2 6 3" xfId="23168"/>
    <cellStyle name="40% - Accent4 5 2 2 7" xfId="4142"/>
    <cellStyle name="40% - Accent4 5 2 2 7 2" xfId="14417"/>
    <cellStyle name="40% - Accent4 5 2 2 7 2 2" xfId="27966"/>
    <cellStyle name="40% - Accent4 5 2 2 7 3" xfId="24303"/>
    <cellStyle name="40% - Accent4 5 2 2 8" xfId="4143"/>
    <cellStyle name="40% - Accent4 5 2 2 8 2" xfId="15342"/>
    <cellStyle name="40% - Accent4 5 2 2 8 2 2" xfId="28891"/>
    <cellStyle name="40% - Accent4 5 2 2 8 3" xfId="26868"/>
    <cellStyle name="40% - Accent4 5 2 2 9" xfId="4144"/>
    <cellStyle name="40% - Accent4 5 2 2 9 2" xfId="16303"/>
    <cellStyle name="40% - Accent4 5 2 2 9 2 2" xfId="29710"/>
    <cellStyle name="40% - Accent4 5 2 2 9 3" xfId="23167"/>
    <cellStyle name="40% - Accent4 5 2 3" xfId="4145"/>
    <cellStyle name="40% - Accent4 5 2 3 2" xfId="4146"/>
    <cellStyle name="40% - Accent4 5 2 3 2 2" xfId="11142"/>
    <cellStyle name="40% - Accent4 5 2 3 2 2 2" xfId="25084"/>
    <cellStyle name="40% - Accent4 5 2 3 2 3" xfId="23166"/>
    <cellStyle name="40% - Accent4 5 2 3 3" xfId="4147"/>
    <cellStyle name="40% - Accent4 5 2 3 3 2" xfId="12921"/>
    <cellStyle name="40% - Accent4 5 2 3 3 2 2" xfId="26633"/>
    <cellStyle name="40% - Accent4 5 2 3 3 3" xfId="23165"/>
    <cellStyle name="40% - Accent4 5 2 3 4" xfId="4148"/>
    <cellStyle name="40% - Accent4 5 2 3 4 2" xfId="15345"/>
    <cellStyle name="40% - Accent4 5 2 3 4 2 2" xfId="28894"/>
    <cellStyle name="40% - Accent4 5 2 3 4 3" xfId="24302"/>
    <cellStyle name="40% - Accent4 5 2 3 5" xfId="4149"/>
    <cellStyle name="40% - Accent4 5 2 3 5 2" xfId="16595"/>
    <cellStyle name="40% - Accent4 5 2 3 5 2 2" xfId="30002"/>
    <cellStyle name="40% - Accent4 5 2 3 5 3" xfId="23164"/>
    <cellStyle name="40% - Accent4 5 2 3 6" xfId="9415"/>
    <cellStyle name="40% - Accent4 5 2 3 6 2" xfId="23890"/>
    <cellStyle name="40% - Accent4 5 2 3 7" xfId="24304"/>
    <cellStyle name="40% - Accent4 5 2 4" xfId="4150"/>
    <cellStyle name="40% - Accent4 5 2 4 2" xfId="4151"/>
    <cellStyle name="40% - Accent4 5 2 4 2 2" xfId="15346"/>
    <cellStyle name="40% - Accent4 5 2 4 2 2 2" xfId="28895"/>
    <cellStyle name="40% - Accent4 5 2 4 2 3" xfId="24301"/>
    <cellStyle name="40% - Accent4 5 2 4 3" xfId="11139"/>
    <cellStyle name="40% - Accent4 5 2 4 3 2" xfId="25081"/>
    <cellStyle name="40% - Accent4 5 2 4 4" xfId="23163"/>
    <cellStyle name="40% - Accent4 5 2 5" xfId="4152"/>
    <cellStyle name="40% - Accent4 5 2 5 2" xfId="11972"/>
    <cellStyle name="40% - Accent4 5 2 5 2 2" xfId="25687"/>
    <cellStyle name="40% - Accent4 5 2 5 3" xfId="23162"/>
    <cellStyle name="40% - Accent4 5 2 6" xfId="4153"/>
    <cellStyle name="40% - Accent4 5 2 6 2" xfId="12918"/>
    <cellStyle name="40% - Accent4 5 2 6 2 2" xfId="26630"/>
    <cellStyle name="40% - Accent4 5 2 6 3" xfId="23161"/>
    <cellStyle name="40% - Accent4 5 2 7" xfId="4154"/>
    <cellStyle name="40% - Accent4 5 2 7 2" xfId="13547"/>
    <cellStyle name="40% - Accent4 5 2 7 2 2" xfId="27096"/>
    <cellStyle name="40% - Accent4 5 2 7 3" xfId="23238"/>
    <cellStyle name="40% - Accent4 5 2 8" xfId="4155"/>
    <cellStyle name="40% - Accent4 5 2 8 2" xfId="14128"/>
    <cellStyle name="40% - Accent4 5 2 8 2 2" xfId="27677"/>
    <cellStyle name="40% - Accent4 5 2 8 3" xfId="30683"/>
    <cellStyle name="40% - Accent4 5 2 9" xfId="4156"/>
    <cellStyle name="40% - Accent4 5 2 9 2" xfId="15341"/>
    <cellStyle name="40% - Accent4 5 2 9 2 2" xfId="28890"/>
    <cellStyle name="40% - Accent4 5 2 9 3" xfId="23160"/>
    <cellStyle name="40% - Accent4 5 3" xfId="4157"/>
    <cellStyle name="40% - Accent4 5 3 10" xfId="9416"/>
    <cellStyle name="40% - Accent4 5 3 10 2" xfId="23891"/>
    <cellStyle name="40% - Accent4 5 3 11" xfId="23159"/>
    <cellStyle name="40% - Accent4 5 3 2" xfId="4158"/>
    <cellStyle name="40% - Accent4 5 3 2 2" xfId="4159"/>
    <cellStyle name="40% - Accent4 5 3 2 2 2" xfId="11144"/>
    <cellStyle name="40% - Accent4 5 3 2 2 2 2" xfId="25086"/>
    <cellStyle name="40% - Accent4 5 3 2 2 3" xfId="23206"/>
    <cellStyle name="40% - Accent4 5 3 2 3" xfId="4160"/>
    <cellStyle name="40% - Accent4 5 3 2 3 2" xfId="12923"/>
    <cellStyle name="40% - Accent4 5 3 2 3 2 2" xfId="26635"/>
    <cellStyle name="40% - Accent4 5 3 2 3 3" xfId="24299"/>
    <cellStyle name="40% - Accent4 5 3 2 4" xfId="4161"/>
    <cellStyle name="40% - Accent4 5 3 2 4 2" xfId="15348"/>
    <cellStyle name="40% - Accent4 5 3 2 4 2 2" xfId="28897"/>
    <cellStyle name="40% - Accent4 5 3 2 4 3" xfId="23157"/>
    <cellStyle name="40% - Accent4 5 3 2 5" xfId="4162"/>
    <cellStyle name="40% - Accent4 5 3 2 5 2" xfId="16744"/>
    <cellStyle name="40% - Accent4 5 3 2 5 2 2" xfId="30151"/>
    <cellStyle name="40% - Accent4 5 3 2 5 3" xfId="26867"/>
    <cellStyle name="40% - Accent4 5 3 2 6" xfId="9417"/>
    <cellStyle name="40% - Accent4 5 3 2 6 2" xfId="23892"/>
    <cellStyle name="40% - Accent4 5 3 2 7" xfId="23158"/>
    <cellStyle name="40% - Accent4 5 3 3" xfId="4163"/>
    <cellStyle name="40% - Accent4 5 3 3 2" xfId="4164"/>
    <cellStyle name="40% - Accent4 5 3 3 2 2" xfId="15349"/>
    <cellStyle name="40% - Accent4 5 3 3 2 2 2" xfId="28898"/>
    <cellStyle name="40% - Accent4 5 3 3 2 3" xfId="24300"/>
    <cellStyle name="40% - Accent4 5 3 3 3" xfId="11143"/>
    <cellStyle name="40% - Accent4 5 3 3 3 2" xfId="25085"/>
    <cellStyle name="40% - Accent4 5 3 3 4" xfId="23156"/>
    <cellStyle name="40% - Accent4 5 3 4" xfId="4165"/>
    <cellStyle name="40% - Accent4 5 3 4 2" xfId="12132"/>
    <cellStyle name="40% - Accent4 5 3 4 2 2" xfId="25844"/>
    <cellStyle name="40% - Accent4 5 3 4 3" xfId="23155"/>
    <cellStyle name="40% - Accent4 5 3 5" xfId="4166"/>
    <cellStyle name="40% - Accent4 5 3 5 2" xfId="12922"/>
    <cellStyle name="40% - Accent4 5 3 5 2 2" xfId="26634"/>
    <cellStyle name="40% - Accent4 5 3 5 3" xfId="23154"/>
    <cellStyle name="40% - Accent4 5 3 6" xfId="4167"/>
    <cellStyle name="40% - Accent4 5 3 6 2" xfId="13696"/>
    <cellStyle name="40% - Accent4 5 3 6 2 2" xfId="27245"/>
    <cellStyle name="40% - Accent4 5 3 6 3" xfId="24297"/>
    <cellStyle name="40% - Accent4 5 3 7" xfId="4168"/>
    <cellStyle name="40% - Accent4 5 3 7 2" xfId="14277"/>
    <cellStyle name="40% - Accent4 5 3 7 2 2" xfId="27826"/>
    <cellStyle name="40% - Accent4 5 3 7 3" xfId="23153"/>
    <cellStyle name="40% - Accent4 5 3 8" xfId="4169"/>
    <cellStyle name="40% - Accent4 5 3 8 2" xfId="15347"/>
    <cellStyle name="40% - Accent4 5 3 8 2 2" xfId="28896"/>
    <cellStyle name="40% - Accent4 5 3 8 3" xfId="23152"/>
    <cellStyle name="40% - Accent4 5 3 9" xfId="4170"/>
    <cellStyle name="40% - Accent4 5 3 9 2" xfId="16163"/>
    <cellStyle name="40% - Accent4 5 3 9 2 2" xfId="29570"/>
    <cellStyle name="40% - Accent4 5 3 9 3" xfId="29172"/>
    <cellStyle name="40% - Accent4 5 4" xfId="4171"/>
    <cellStyle name="40% - Accent4 5 4 2" xfId="4172"/>
    <cellStyle name="40% - Accent4 5 4 2 2" xfId="11145"/>
    <cellStyle name="40% - Accent4 5 4 2 2 2" xfId="25087"/>
    <cellStyle name="40% - Accent4 5 4 2 3" xfId="23150"/>
    <cellStyle name="40% - Accent4 5 4 3" xfId="4173"/>
    <cellStyle name="40% - Accent4 5 4 3 2" xfId="12924"/>
    <cellStyle name="40% - Accent4 5 4 3 2 2" xfId="26636"/>
    <cellStyle name="40% - Accent4 5 4 3 3" xfId="26866"/>
    <cellStyle name="40% - Accent4 5 4 4" xfId="4174"/>
    <cellStyle name="40% - Accent4 5 4 4 2" xfId="15350"/>
    <cellStyle name="40% - Accent4 5 4 4 2 2" xfId="28899"/>
    <cellStyle name="40% - Accent4 5 4 4 3" xfId="23149"/>
    <cellStyle name="40% - Accent4 5 4 5" xfId="4175"/>
    <cellStyle name="40% - Accent4 5 4 5 2" xfId="16452"/>
    <cellStyle name="40% - Accent4 5 4 5 2 2" xfId="29859"/>
    <cellStyle name="40% - Accent4 5 4 5 3" xfId="23148"/>
    <cellStyle name="40% - Accent4 5 4 6" xfId="9418"/>
    <cellStyle name="40% - Accent4 5 4 6 2" xfId="23893"/>
    <cellStyle name="40% - Accent4 5 4 7" xfId="23151"/>
    <cellStyle name="40% - Accent4 5 5" xfId="4176"/>
    <cellStyle name="40% - Accent4 5 5 2" xfId="4177"/>
    <cellStyle name="40% - Accent4 5 5 2 2" xfId="15351"/>
    <cellStyle name="40% - Accent4 5 5 2 2 2" xfId="28900"/>
    <cellStyle name="40% - Accent4 5 5 2 3" xfId="23147"/>
    <cellStyle name="40% - Accent4 5 5 3" xfId="11138"/>
    <cellStyle name="40% - Accent4 5 5 3 2" xfId="25080"/>
    <cellStyle name="40% - Accent4 5 5 4" xfId="24298"/>
    <cellStyle name="40% - Accent4 5 6" xfId="4178"/>
    <cellStyle name="40% - Accent4 5 6 2" xfId="11803"/>
    <cellStyle name="40% - Accent4 5 6 2 2" xfId="25518"/>
    <cellStyle name="40% - Accent4 5 6 3" xfId="25296"/>
    <cellStyle name="40% - Accent4 5 7" xfId="4179"/>
    <cellStyle name="40% - Accent4 5 7 2" xfId="12917"/>
    <cellStyle name="40% - Accent4 5 7 2 2" xfId="26629"/>
    <cellStyle name="40% - Accent4 5 7 3" xfId="23146"/>
    <cellStyle name="40% - Accent4 5 8" xfId="4180"/>
    <cellStyle name="40% - Accent4 5 8 2" xfId="13404"/>
    <cellStyle name="40% - Accent4 5 8 2 2" xfId="26953"/>
    <cellStyle name="40% - Accent4 5 8 3" xfId="23145"/>
    <cellStyle name="40% - Accent4 5 9" xfId="4181"/>
    <cellStyle name="40% - Accent4 5 9 2" xfId="13985"/>
    <cellStyle name="40% - Accent4 5 9 2 2" xfId="27534"/>
    <cellStyle name="40% - Accent4 5 9 3" xfId="23144"/>
    <cellStyle name="40% - Accent4 6" xfId="4182"/>
    <cellStyle name="40% - Accent4 6 10" xfId="4183"/>
    <cellStyle name="40% - Accent4 6 10 2" xfId="15352"/>
    <cellStyle name="40% - Accent4 6 10 2 2" xfId="28901"/>
    <cellStyle name="40% - Accent4 6 10 3" xfId="23143"/>
    <cellStyle name="40% - Accent4 6 11" xfId="4184"/>
    <cellStyle name="40% - Accent4 6 11 2" xfId="15977"/>
    <cellStyle name="40% - Accent4 6 11 2 2" xfId="29384"/>
    <cellStyle name="40% - Accent4 6 11 3" xfId="23142"/>
    <cellStyle name="40% - Accent4 6 12" xfId="9419"/>
    <cellStyle name="40% - Accent4 6 12 2" xfId="23894"/>
    <cellStyle name="40% - Accent4 6 13" xfId="24295"/>
    <cellStyle name="40% - Accent4 6 2" xfId="4185"/>
    <cellStyle name="40% - Accent4 6 2 10" xfId="4186"/>
    <cellStyle name="40% - Accent4 6 2 10 2" xfId="16120"/>
    <cellStyle name="40% - Accent4 6 2 10 2 2" xfId="29527"/>
    <cellStyle name="40% - Accent4 6 2 10 3" xfId="23141"/>
    <cellStyle name="40% - Accent4 6 2 11" xfId="9420"/>
    <cellStyle name="40% - Accent4 6 2 11 2" xfId="23895"/>
    <cellStyle name="40% - Accent4 6 2 12" xfId="29171"/>
    <cellStyle name="40% - Accent4 6 2 2" xfId="4187"/>
    <cellStyle name="40% - Accent4 6 2 2 10" xfId="9421"/>
    <cellStyle name="40% - Accent4 6 2 2 10 2" xfId="23896"/>
    <cellStyle name="40% - Accent4 6 2 2 11" xfId="23140"/>
    <cellStyle name="40% - Accent4 6 2 2 2" xfId="4188"/>
    <cellStyle name="40% - Accent4 6 2 2 2 2" xfId="4189"/>
    <cellStyle name="40% - Accent4 6 2 2 2 2 2" xfId="11149"/>
    <cellStyle name="40% - Accent4 6 2 2 2 2 2 2" xfId="25091"/>
    <cellStyle name="40% - Accent4 6 2 2 2 2 3" xfId="23139"/>
    <cellStyle name="40% - Accent4 6 2 2 2 3" xfId="4190"/>
    <cellStyle name="40% - Accent4 6 2 2 2 3 2" xfId="12928"/>
    <cellStyle name="40% - Accent4 6 2 2 2 3 2 2" xfId="26640"/>
    <cellStyle name="40% - Accent4 6 2 2 2 3 3" xfId="23138"/>
    <cellStyle name="40% - Accent4 6 2 2 2 4" xfId="4191"/>
    <cellStyle name="40% - Accent4 6 2 2 2 4 2" xfId="15355"/>
    <cellStyle name="40% - Accent4 6 2 2 2 4 2 2" xfId="28904"/>
    <cellStyle name="40% - Accent4 6 2 2 2 4 3" xfId="24296"/>
    <cellStyle name="40% - Accent4 6 2 2 2 5" xfId="4192"/>
    <cellStyle name="40% - Accent4 6 2 2 2 5 2" xfId="16990"/>
    <cellStyle name="40% - Accent4 6 2 2 2 5 2 2" xfId="30397"/>
    <cellStyle name="40% - Accent4 6 2 2 2 5 3" xfId="23137"/>
    <cellStyle name="40% - Accent4 6 2 2 2 6" xfId="9422"/>
    <cellStyle name="40% - Accent4 6 2 2 2 6 2" xfId="23897"/>
    <cellStyle name="40% - Accent4 6 2 2 2 7" xfId="26865"/>
    <cellStyle name="40% - Accent4 6 2 2 3" xfId="4193"/>
    <cellStyle name="40% - Accent4 6 2 2 3 2" xfId="4194"/>
    <cellStyle name="40% - Accent4 6 2 2 3 2 2" xfId="15356"/>
    <cellStyle name="40% - Accent4 6 2 2 3 2 2 2" xfId="28905"/>
    <cellStyle name="40% - Accent4 6 2 2 3 2 3" xfId="23136"/>
    <cellStyle name="40% - Accent4 6 2 2 3 3" xfId="11148"/>
    <cellStyle name="40% - Accent4 6 2 2 3 3 2" xfId="25090"/>
    <cellStyle name="40% - Accent4 6 2 2 3 4" xfId="25295"/>
    <cellStyle name="40% - Accent4 6 2 2 4" xfId="4195"/>
    <cellStyle name="40% - Accent4 6 2 2 4 2" xfId="12378"/>
    <cellStyle name="40% - Accent4 6 2 2 4 2 2" xfId="26090"/>
    <cellStyle name="40% - Accent4 6 2 2 4 3" xfId="23135"/>
    <cellStyle name="40% - Accent4 6 2 2 5" xfId="4196"/>
    <cellStyle name="40% - Accent4 6 2 2 5 2" xfId="12927"/>
    <cellStyle name="40% - Accent4 6 2 2 5 2 2" xfId="26639"/>
    <cellStyle name="40% - Accent4 6 2 2 5 3" xfId="23134"/>
    <cellStyle name="40% - Accent4 6 2 2 6" xfId="4197"/>
    <cellStyle name="40% - Accent4 6 2 2 6 2" xfId="13942"/>
    <cellStyle name="40% - Accent4 6 2 2 6 2 2" xfId="27491"/>
    <cellStyle name="40% - Accent4 6 2 2 6 3" xfId="24291"/>
    <cellStyle name="40% - Accent4 6 2 2 7" xfId="4198"/>
    <cellStyle name="40% - Accent4 6 2 2 7 2" xfId="14523"/>
    <cellStyle name="40% - Accent4 6 2 2 7 2 2" xfId="28072"/>
    <cellStyle name="40% - Accent4 6 2 2 7 3" xfId="23133"/>
    <cellStyle name="40% - Accent4 6 2 2 8" xfId="4199"/>
    <cellStyle name="40% - Accent4 6 2 2 8 2" xfId="15354"/>
    <cellStyle name="40% - Accent4 6 2 2 8 2 2" xfId="28903"/>
    <cellStyle name="40% - Accent4 6 2 2 8 3" xfId="23132"/>
    <cellStyle name="40% - Accent4 6 2 2 9" xfId="4200"/>
    <cellStyle name="40% - Accent4 6 2 2 9 2" xfId="16409"/>
    <cellStyle name="40% - Accent4 6 2 2 9 2 2" xfId="29816"/>
    <cellStyle name="40% - Accent4 6 2 2 9 3" xfId="29170"/>
    <cellStyle name="40% - Accent4 6 2 3" xfId="4201"/>
    <cellStyle name="40% - Accent4 6 2 3 2" xfId="4202"/>
    <cellStyle name="40% - Accent4 6 2 3 2 2" xfId="11150"/>
    <cellStyle name="40% - Accent4 6 2 3 2 2 2" xfId="25092"/>
    <cellStyle name="40% - Accent4 6 2 3 2 3" xfId="23130"/>
    <cellStyle name="40% - Accent4 6 2 3 3" xfId="4203"/>
    <cellStyle name="40% - Accent4 6 2 3 3 2" xfId="12929"/>
    <cellStyle name="40% - Accent4 6 2 3 3 2 2" xfId="26641"/>
    <cellStyle name="40% - Accent4 6 2 3 3 3" xfId="26864"/>
    <cellStyle name="40% - Accent4 6 2 3 4" xfId="4204"/>
    <cellStyle name="40% - Accent4 6 2 3 4 2" xfId="15357"/>
    <cellStyle name="40% - Accent4 6 2 3 4 2 2" xfId="28906"/>
    <cellStyle name="40% - Accent4 6 2 3 4 3" xfId="23129"/>
    <cellStyle name="40% - Accent4 6 2 3 5" xfId="4205"/>
    <cellStyle name="40% - Accent4 6 2 3 5 2" xfId="16701"/>
    <cellStyle name="40% - Accent4 6 2 3 5 2 2" xfId="30108"/>
    <cellStyle name="40% - Accent4 6 2 3 5 3" xfId="23128"/>
    <cellStyle name="40% - Accent4 6 2 3 6" xfId="9423"/>
    <cellStyle name="40% - Accent4 6 2 3 6 2" xfId="23898"/>
    <cellStyle name="40% - Accent4 6 2 3 7" xfId="23131"/>
    <cellStyle name="40% - Accent4 6 2 4" xfId="4206"/>
    <cellStyle name="40% - Accent4 6 2 4 2" xfId="4207"/>
    <cellStyle name="40% - Accent4 6 2 4 2 2" xfId="15358"/>
    <cellStyle name="40% - Accent4 6 2 4 2 2 2" xfId="28907"/>
    <cellStyle name="40% - Accent4 6 2 4 2 3" xfId="23127"/>
    <cellStyle name="40% - Accent4 6 2 4 3" xfId="11147"/>
    <cellStyle name="40% - Accent4 6 2 4 3 2" xfId="25089"/>
    <cellStyle name="40% - Accent4 6 2 4 4" xfId="24294"/>
    <cellStyle name="40% - Accent4 6 2 5" xfId="4208"/>
    <cellStyle name="40% - Accent4 6 2 5 2" xfId="12078"/>
    <cellStyle name="40% - Accent4 6 2 5 2 2" xfId="25793"/>
    <cellStyle name="40% - Accent4 6 2 5 3" xfId="25294"/>
    <cellStyle name="40% - Accent4 6 2 6" xfId="4209"/>
    <cellStyle name="40% - Accent4 6 2 6 2" xfId="12926"/>
    <cellStyle name="40% - Accent4 6 2 6 2 2" xfId="26638"/>
    <cellStyle name="40% - Accent4 6 2 6 3" xfId="23126"/>
    <cellStyle name="40% - Accent4 6 2 7" xfId="4210"/>
    <cellStyle name="40% - Accent4 6 2 7 2" xfId="13653"/>
    <cellStyle name="40% - Accent4 6 2 7 2 2" xfId="27202"/>
    <cellStyle name="40% - Accent4 6 2 7 3" xfId="23125"/>
    <cellStyle name="40% - Accent4 6 2 8" xfId="4211"/>
    <cellStyle name="40% - Accent4 6 2 8 2" xfId="14234"/>
    <cellStyle name="40% - Accent4 6 2 8 2 2" xfId="27783"/>
    <cellStyle name="40% - Accent4 6 2 8 3" xfId="24292"/>
    <cellStyle name="40% - Accent4 6 2 9" xfId="4212"/>
    <cellStyle name="40% - Accent4 6 2 9 2" xfId="15353"/>
    <cellStyle name="40% - Accent4 6 2 9 2 2" xfId="28902"/>
    <cellStyle name="40% - Accent4 6 2 9 3" xfId="23124"/>
    <cellStyle name="40% - Accent4 6 3" xfId="4213"/>
    <cellStyle name="40% - Accent4 6 3 10" xfId="9424"/>
    <cellStyle name="40% - Accent4 6 3 10 2" xfId="23899"/>
    <cellStyle name="40% - Accent4 6 3 11" xfId="23123"/>
    <cellStyle name="40% - Accent4 6 3 2" xfId="4214"/>
    <cellStyle name="40% - Accent4 6 3 2 2" xfId="4215"/>
    <cellStyle name="40% - Accent4 6 3 2 2 2" xfId="11152"/>
    <cellStyle name="40% - Accent4 6 3 2 2 2 2" xfId="25094"/>
    <cellStyle name="40% - Accent4 6 3 2 2 3" xfId="23122"/>
    <cellStyle name="40% - Accent4 6 3 2 3" xfId="4216"/>
    <cellStyle name="40% - Accent4 6 3 2 3 2" xfId="12931"/>
    <cellStyle name="40% - Accent4 6 3 2 3 2 2" xfId="26643"/>
    <cellStyle name="40% - Accent4 6 3 2 3 3" xfId="23121"/>
    <cellStyle name="40% - Accent4 6 3 2 4" xfId="4217"/>
    <cellStyle name="40% - Accent4 6 3 2 4 2" xfId="15360"/>
    <cellStyle name="40% - Accent4 6 3 2 4 2 2" xfId="28909"/>
    <cellStyle name="40% - Accent4 6 3 2 4 3" xfId="26863"/>
    <cellStyle name="40% - Accent4 6 3 2 5" xfId="4218"/>
    <cellStyle name="40% - Accent4 6 3 2 5 2" xfId="16847"/>
    <cellStyle name="40% - Accent4 6 3 2 5 2 2" xfId="30254"/>
    <cellStyle name="40% - Accent4 6 3 2 5 3" xfId="23120"/>
    <cellStyle name="40% - Accent4 6 3 2 6" xfId="9425"/>
    <cellStyle name="40% - Accent4 6 3 2 6 2" xfId="23900"/>
    <cellStyle name="40% - Accent4 6 3 2 7" xfId="29169"/>
    <cellStyle name="40% - Accent4 6 3 3" xfId="4219"/>
    <cellStyle name="40% - Accent4 6 3 3 2" xfId="4220"/>
    <cellStyle name="40% - Accent4 6 3 3 2 2" xfId="15361"/>
    <cellStyle name="40% - Accent4 6 3 3 2 2 2" xfId="28910"/>
    <cellStyle name="40% - Accent4 6 3 3 2 3" xfId="24293"/>
    <cellStyle name="40% - Accent4 6 3 3 3" xfId="11151"/>
    <cellStyle name="40% - Accent4 6 3 3 3 2" xfId="25093"/>
    <cellStyle name="40% - Accent4 6 3 3 4" xfId="23119"/>
    <cellStyle name="40% - Accent4 6 3 4" xfId="4221"/>
    <cellStyle name="40% - Accent4 6 3 4 2" xfId="12235"/>
    <cellStyle name="40% - Accent4 6 3 4 2 2" xfId="25947"/>
    <cellStyle name="40% - Accent4 6 3 4 3" xfId="23118"/>
    <cellStyle name="40% - Accent4 6 3 5" xfId="4222"/>
    <cellStyle name="40% - Accent4 6 3 5 2" xfId="12930"/>
    <cellStyle name="40% - Accent4 6 3 5 2 2" xfId="26642"/>
    <cellStyle name="40% - Accent4 6 3 5 3" xfId="25293"/>
    <cellStyle name="40% - Accent4 6 3 6" xfId="4223"/>
    <cellStyle name="40% - Accent4 6 3 6 2" xfId="13799"/>
    <cellStyle name="40% - Accent4 6 3 6 2 2" xfId="27348"/>
    <cellStyle name="40% - Accent4 6 3 6 3" xfId="23117"/>
    <cellStyle name="40% - Accent4 6 3 7" xfId="4224"/>
    <cellStyle name="40% - Accent4 6 3 7 2" xfId="14380"/>
    <cellStyle name="40% - Accent4 6 3 7 2 2" xfId="27929"/>
    <cellStyle name="40% - Accent4 6 3 7 3" xfId="23116"/>
    <cellStyle name="40% - Accent4 6 3 8" xfId="4225"/>
    <cellStyle name="40% - Accent4 6 3 8 2" xfId="15359"/>
    <cellStyle name="40% - Accent4 6 3 8 2 2" xfId="28908"/>
    <cellStyle name="40% - Accent4 6 3 8 3" xfId="23115"/>
    <cellStyle name="40% - Accent4 6 3 9" xfId="4226"/>
    <cellStyle name="40% - Accent4 6 3 9 2" xfId="16266"/>
    <cellStyle name="40% - Accent4 6 3 9 2 2" xfId="29673"/>
    <cellStyle name="40% - Accent4 6 3 9 3" xfId="23114"/>
    <cellStyle name="40% - Accent4 6 4" xfId="4227"/>
    <cellStyle name="40% - Accent4 6 4 2" xfId="4228"/>
    <cellStyle name="40% - Accent4 6 4 2 2" xfId="11153"/>
    <cellStyle name="40% - Accent4 6 4 2 2 2" xfId="25095"/>
    <cellStyle name="40% - Accent4 6 4 2 3" xfId="23112"/>
    <cellStyle name="40% - Accent4 6 4 3" xfId="4229"/>
    <cellStyle name="40% - Accent4 6 4 3 2" xfId="12932"/>
    <cellStyle name="40% - Accent4 6 4 3 2 2" xfId="26644"/>
    <cellStyle name="40% - Accent4 6 4 3 3" xfId="29168"/>
    <cellStyle name="40% - Accent4 6 4 4" xfId="4230"/>
    <cellStyle name="40% - Accent4 6 4 4 2" xfId="15362"/>
    <cellStyle name="40% - Accent4 6 4 4 2 2" xfId="28911"/>
    <cellStyle name="40% - Accent4 6 4 4 3" xfId="23111"/>
    <cellStyle name="40% - Accent4 6 4 5" xfId="4231"/>
    <cellStyle name="40% - Accent4 6 4 5 2" xfId="16558"/>
    <cellStyle name="40% - Accent4 6 4 5 2 2" xfId="29965"/>
    <cellStyle name="40% - Accent4 6 4 5 3" xfId="23110"/>
    <cellStyle name="40% - Accent4 6 4 6" xfId="9426"/>
    <cellStyle name="40% - Accent4 6 4 6 2" xfId="23901"/>
    <cellStyle name="40% - Accent4 6 4 7" xfId="23113"/>
    <cellStyle name="40% - Accent4 6 5" xfId="4232"/>
    <cellStyle name="40% - Accent4 6 5 2" xfId="4233"/>
    <cellStyle name="40% - Accent4 6 5 2 2" xfId="15363"/>
    <cellStyle name="40% - Accent4 6 5 2 2 2" xfId="28912"/>
    <cellStyle name="40% - Accent4 6 5 2 3" xfId="23109"/>
    <cellStyle name="40% - Accent4 6 5 3" xfId="11146"/>
    <cellStyle name="40% - Accent4 6 5 3 2" xfId="25088"/>
    <cellStyle name="40% - Accent4 6 5 4" xfId="26862"/>
    <cellStyle name="40% - Accent4 6 6" xfId="4234"/>
    <cellStyle name="40% - Accent4 6 6 2" xfId="11933"/>
    <cellStyle name="40% - Accent4 6 6 2 2" xfId="25648"/>
    <cellStyle name="40% - Accent4 6 6 3" xfId="23108"/>
    <cellStyle name="40% - Accent4 6 7" xfId="4235"/>
    <cellStyle name="40% - Accent4 6 7 2" xfId="12925"/>
    <cellStyle name="40% - Accent4 6 7 2 2" xfId="26637"/>
    <cellStyle name="40% - Accent4 6 7 3" xfId="24290"/>
    <cellStyle name="40% - Accent4 6 8" xfId="4236"/>
    <cellStyle name="40% - Accent4 6 8 2" xfId="13510"/>
    <cellStyle name="40% - Accent4 6 8 2 2" xfId="27059"/>
    <cellStyle name="40% - Accent4 6 8 3" xfId="25292"/>
    <cellStyle name="40% - Accent4 6 9" xfId="4237"/>
    <cellStyle name="40% - Accent4 6 9 2" xfId="14091"/>
    <cellStyle name="40% - Accent4 6 9 2 2" xfId="27640"/>
    <cellStyle name="40% - Accent4 6 9 3" xfId="23107"/>
    <cellStyle name="40% - Accent4 7" xfId="4238"/>
    <cellStyle name="40% - Accent4 7 10" xfId="4239"/>
    <cellStyle name="40% - Accent4 7 10 2" xfId="15995"/>
    <cellStyle name="40% - Accent4 7 10 2 2" xfId="29402"/>
    <cellStyle name="40% - Accent4 7 10 3" xfId="24289"/>
    <cellStyle name="40% - Accent4 7 11" xfId="9427"/>
    <cellStyle name="40% - Accent4 7 11 2" xfId="23902"/>
    <cellStyle name="40% - Accent4 7 12" xfId="23106"/>
    <cellStyle name="40% - Accent4 7 2" xfId="4240"/>
    <cellStyle name="40% - Accent4 7 2 10" xfId="9428"/>
    <cellStyle name="40% - Accent4 7 2 10 2" xfId="23903"/>
    <cellStyle name="40% - Accent4 7 2 11" xfId="23105"/>
    <cellStyle name="40% - Accent4 7 2 2" xfId="4241"/>
    <cellStyle name="40% - Accent4 7 2 2 2" xfId="4242"/>
    <cellStyle name="40% - Accent4 7 2 2 2 2" xfId="11156"/>
    <cellStyle name="40% - Accent4 7 2 2 2 2 2" xfId="25098"/>
    <cellStyle name="40% - Accent4 7 2 2 2 3" xfId="24287"/>
    <cellStyle name="40% - Accent4 7 2 2 3" xfId="4243"/>
    <cellStyle name="40% - Accent4 7 2 2 3 2" xfId="12935"/>
    <cellStyle name="40% - Accent4 7 2 2 3 2 2" xfId="26647"/>
    <cellStyle name="40% - Accent4 7 2 2 3 3" xfId="23103"/>
    <cellStyle name="40% - Accent4 7 2 2 4" xfId="4244"/>
    <cellStyle name="40% - Accent4 7 2 2 4 2" xfId="15366"/>
    <cellStyle name="40% - Accent4 7 2 2 4 2 2" xfId="28915"/>
    <cellStyle name="40% - Accent4 7 2 2 4 3" xfId="23102"/>
    <cellStyle name="40% - Accent4 7 2 2 5" xfId="4245"/>
    <cellStyle name="40% - Accent4 7 2 2 5 2" xfId="16865"/>
    <cellStyle name="40% - Accent4 7 2 2 5 2 2" xfId="30272"/>
    <cellStyle name="40% - Accent4 7 2 2 5 3" xfId="29167"/>
    <cellStyle name="40% - Accent4 7 2 2 6" xfId="9429"/>
    <cellStyle name="40% - Accent4 7 2 2 6 2" xfId="23904"/>
    <cellStyle name="40% - Accent4 7 2 2 7" xfId="23104"/>
    <cellStyle name="40% - Accent4 7 2 3" xfId="4246"/>
    <cellStyle name="40% - Accent4 7 2 3 2" xfId="4247"/>
    <cellStyle name="40% - Accent4 7 2 3 2 2" xfId="15367"/>
    <cellStyle name="40% - Accent4 7 2 3 2 2 2" xfId="28916"/>
    <cellStyle name="40% - Accent4 7 2 3 2 3" xfId="23100"/>
    <cellStyle name="40% - Accent4 7 2 3 3" xfId="11155"/>
    <cellStyle name="40% - Accent4 7 2 3 3 2" xfId="25097"/>
    <cellStyle name="40% - Accent4 7 2 3 4" xfId="23101"/>
    <cellStyle name="40% - Accent4 7 2 4" xfId="4248"/>
    <cellStyle name="40% - Accent4 7 2 4 2" xfId="12253"/>
    <cellStyle name="40% - Accent4 7 2 4 2 2" xfId="25965"/>
    <cellStyle name="40% - Accent4 7 2 4 3" xfId="26861"/>
    <cellStyle name="40% - Accent4 7 2 5" xfId="4249"/>
    <cellStyle name="40% - Accent4 7 2 5 2" xfId="12934"/>
    <cellStyle name="40% - Accent4 7 2 5 2 2" xfId="26646"/>
    <cellStyle name="40% - Accent4 7 2 5 3" xfId="23099"/>
    <cellStyle name="40% - Accent4 7 2 6" xfId="4250"/>
    <cellStyle name="40% - Accent4 7 2 6 2" xfId="13817"/>
    <cellStyle name="40% - Accent4 7 2 6 2 2" xfId="27366"/>
    <cellStyle name="40% - Accent4 7 2 6 3" xfId="23098"/>
    <cellStyle name="40% - Accent4 7 2 7" xfId="4251"/>
    <cellStyle name="40% - Accent4 7 2 7 2" xfId="14398"/>
    <cellStyle name="40% - Accent4 7 2 7 2 2" xfId="27947"/>
    <cellStyle name="40% - Accent4 7 2 7 3" xfId="24288"/>
    <cellStyle name="40% - Accent4 7 2 8" xfId="4252"/>
    <cellStyle name="40% - Accent4 7 2 8 2" xfId="15365"/>
    <cellStyle name="40% - Accent4 7 2 8 2 2" xfId="28914"/>
    <cellStyle name="40% - Accent4 7 2 8 3" xfId="23097"/>
    <cellStyle name="40% - Accent4 7 2 9" xfId="4253"/>
    <cellStyle name="40% - Accent4 7 2 9 2" xfId="16284"/>
    <cellStyle name="40% - Accent4 7 2 9 2 2" xfId="29691"/>
    <cellStyle name="40% - Accent4 7 2 9 3" xfId="25291"/>
    <cellStyle name="40% - Accent4 7 3" xfId="4254"/>
    <cellStyle name="40% - Accent4 7 3 2" xfId="4255"/>
    <cellStyle name="40% - Accent4 7 3 2 2" xfId="11157"/>
    <cellStyle name="40% - Accent4 7 3 2 2 2" xfId="25099"/>
    <cellStyle name="40% - Accent4 7 3 2 3" xfId="23095"/>
    <cellStyle name="40% - Accent4 7 3 3" xfId="4256"/>
    <cellStyle name="40% - Accent4 7 3 3 2" xfId="12936"/>
    <cellStyle name="40% - Accent4 7 3 3 2 2" xfId="26648"/>
    <cellStyle name="40% - Accent4 7 3 3 3" xfId="23094"/>
    <cellStyle name="40% - Accent4 7 3 4" xfId="4257"/>
    <cellStyle name="40% - Accent4 7 3 4 2" xfId="15368"/>
    <cellStyle name="40% - Accent4 7 3 4 2 2" xfId="28917"/>
    <cellStyle name="40% - Accent4 7 3 4 3" xfId="24283"/>
    <cellStyle name="40% - Accent4 7 3 5" xfId="4258"/>
    <cellStyle name="40% - Accent4 7 3 5 2" xfId="16576"/>
    <cellStyle name="40% - Accent4 7 3 5 2 2" xfId="29983"/>
    <cellStyle name="40% - Accent4 7 3 5 3" xfId="23093"/>
    <cellStyle name="40% - Accent4 7 3 6" xfId="9430"/>
    <cellStyle name="40% - Accent4 7 3 6 2" xfId="23905"/>
    <cellStyle name="40% - Accent4 7 3 7" xfId="23096"/>
    <cellStyle name="40% - Accent4 7 4" xfId="4259"/>
    <cellStyle name="40% - Accent4 7 4 2" xfId="4260"/>
    <cellStyle name="40% - Accent4 7 4 2 2" xfId="15369"/>
    <cellStyle name="40% - Accent4 7 4 2 2 2" xfId="28918"/>
    <cellStyle name="40% - Accent4 7 4 2 3" xfId="29166"/>
    <cellStyle name="40% - Accent4 7 4 3" xfId="11154"/>
    <cellStyle name="40% - Accent4 7 4 3 2" xfId="25096"/>
    <cellStyle name="40% - Accent4 7 4 4" xfId="23092"/>
    <cellStyle name="40% - Accent4 7 5" xfId="4261"/>
    <cellStyle name="40% - Accent4 7 5 2" xfId="11951"/>
    <cellStyle name="40% - Accent4 7 5 2 2" xfId="25666"/>
    <cellStyle name="40% - Accent4 7 5 3" xfId="23091"/>
    <cellStyle name="40% - Accent4 7 6" xfId="4262"/>
    <cellStyle name="40% - Accent4 7 6 2" xfId="12933"/>
    <cellStyle name="40% - Accent4 7 6 2 2" xfId="26645"/>
    <cellStyle name="40% - Accent4 7 6 3" xfId="23090"/>
    <cellStyle name="40% - Accent4 7 7" xfId="4263"/>
    <cellStyle name="40% - Accent4 7 7 2" xfId="13528"/>
    <cellStyle name="40% - Accent4 7 7 2 2" xfId="27077"/>
    <cellStyle name="40% - Accent4 7 7 3" xfId="26860"/>
    <cellStyle name="40% - Accent4 7 8" xfId="4264"/>
    <cellStyle name="40% - Accent4 7 8 2" xfId="14109"/>
    <cellStyle name="40% - Accent4 7 8 2 2" xfId="27658"/>
    <cellStyle name="40% - Accent4 7 8 3" xfId="23089"/>
    <cellStyle name="40% - Accent4 7 9" xfId="4265"/>
    <cellStyle name="40% - Accent4 7 9 2" xfId="15364"/>
    <cellStyle name="40% - Accent4 7 9 2 2" xfId="28913"/>
    <cellStyle name="40% - Accent4 7 9 3" xfId="23088"/>
    <cellStyle name="40% - Accent4 8" xfId="4266"/>
    <cellStyle name="40% - Accent4 8 10" xfId="9431"/>
    <cellStyle name="40% - Accent4 8 10 2" xfId="23906"/>
    <cellStyle name="40% - Accent4 8 11" xfId="24286"/>
    <cellStyle name="40% - Accent4 8 2" xfId="4267"/>
    <cellStyle name="40% - Accent4 8 2 2" xfId="4268"/>
    <cellStyle name="40% - Accent4 8 2 2 2" xfId="11159"/>
    <cellStyle name="40% - Accent4 8 2 2 2 2" xfId="25101"/>
    <cellStyle name="40% - Accent4 8 2 2 3" xfId="25290"/>
    <cellStyle name="40% - Accent4 8 2 3" xfId="4269"/>
    <cellStyle name="40% - Accent4 8 2 3 2" xfId="12938"/>
    <cellStyle name="40% - Accent4 8 2 3 2 2" xfId="26650"/>
    <cellStyle name="40% - Accent4 8 2 3 3" xfId="23086"/>
    <cellStyle name="40% - Accent4 8 2 4" xfId="4270"/>
    <cellStyle name="40% - Accent4 8 2 4 2" xfId="15371"/>
    <cellStyle name="40% - Accent4 8 2 4 2 2" xfId="28920"/>
    <cellStyle name="40% - Accent4 8 2 4 3" xfId="23085"/>
    <cellStyle name="40% - Accent4 8 2 5" xfId="4271"/>
    <cellStyle name="40% - Accent4 8 2 5 2" xfId="16721"/>
    <cellStyle name="40% - Accent4 8 2 5 2 2" xfId="30128"/>
    <cellStyle name="40% - Accent4 8 2 5 3" xfId="24284"/>
    <cellStyle name="40% - Accent4 8 2 6" xfId="9432"/>
    <cellStyle name="40% - Accent4 8 2 6 2" xfId="23907"/>
    <cellStyle name="40% - Accent4 8 2 7" xfId="23087"/>
    <cellStyle name="40% - Accent4 8 3" xfId="4272"/>
    <cellStyle name="40% - Accent4 8 3 2" xfId="4273"/>
    <cellStyle name="40% - Accent4 8 3 2 2" xfId="15372"/>
    <cellStyle name="40% - Accent4 8 3 2 2 2" xfId="28921"/>
    <cellStyle name="40% - Accent4 8 3 2 3" xfId="23083"/>
    <cellStyle name="40% - Accent4 8 3 3" xfId="11158"/>
    <cellStyle name="40% - Accent4 8 3 3 2" xfId="25100"/>
    <cellStyle name="40% - Accent4 8 3 4" xfId="23084"/>
    <cellStyle name="40% - Accent4 8 4" xfId="4274"/>
    <cellStyle name="40% - Accent4 8 4 2" xfId="12099"/>
    <cellStyle name="40% - Accent4 8 4 2 2" xfId="25813"/>
    <cellStyle name="40% - Accent4 8 4 3" xfId="29165"/>
    <cellStyle name="40% - Accent4 8 5" xfId="4275"/>
    <cellStyle name="40% - Accent4 8 5 2" xfId="12937"/>
    <cellStyle name="40% - Accent4 8 5 2 2" xfId="26649"/>
    <cellStyle name="40% - Accent4 8 5 3" xfId="23082"/>
    <cellStyle name="40% - Accent4 8 6" xfId="4276"/>
    <cellStyle name="40% - Accent4 8 6 2" xfId="13673"/>
    <cellStyle name="40% - Accent4 8 6 2 2" xfId="27222"/>
    <cellStyle name="40% - Accent4 8 6 3" xfId="23081"/>
    <cellStyle name="40% - Accent4 8 7" xfId="4277"/>
    <cellStyle name="40% - Accent4 8 7 2" xfId="14254"/>
    <cellStyle name="40% - Accent4 8 7 2 2" xfId="27803"/>
    <cellStyle name="40% - Accent4 8 7 3" xfId="26859"/>
    <cellStyle name="40% - Accent4 8 8" xfId="4278"/>
    <cellStyle name="40% - Accent4 8 8 2" xfId="15370"/>
    <cellStyle name="40% - Accent4 8 8 2 2" xfId="28919"/>
    <cellStyle name="40% - Accent4 8 8 3" xfId="23080"/>
    <cellStyle name="40% - Accent4 8 9" xfId="4279"/>
    <cellStyle name="40% - Accent4 8 9 2" xfId="16140"/>
    <cellStyle name="40% - Accent4 8 9 2 2" xfId="29547"/>
    <cellStyle name="40% - Accent4 8 9 3" xfId="23079"/>
    <cellStyle name="40% - Accent4 9" xfId="4280"/>
    <cellStyle name="40% - Accent4 9 2" xfId="4281"/>
    <cellStyle name="40% - Accent4 9 2 2" xfId="11160"/>
    <cellStyle name="40% - Accent4 9 2 2 2" xfId="25102"/>
    <cellStyle name="40% - Accent4 9 2 3" xfId="23078"/>
    <cellStyle name="40% - Accent4 9 3" xfId="4282"/>
    <cellStyle name="40% - Accent4 9 3 2" xfId="12939"/>
    <cellStyle name="40% - Accent4 9 3 2 2" xfId="26651"/>
    <cellStyle name="40% - Accent4 9 3 3" xfId="25289"/>
    <cellStyle name="40% - Accent4 9 4" xfId="4283"/>
    <cellStyle name="40% - Accent4 9 4 2" xfId="15373"/>
    <cellStyle name="40% - Accent4 9 4 2 2" xfId="28922"/>
    <cellStyle name="40% - Accent4 9 4 3" xfId="23077"/>
    <cellStyle name="40% - Accent4 9 5" xfId="4284"/>
    <cellStyle name="40% - Accent4 9 5 2" xfId="17105"/>
    <cellStyle name="40% - Accent4 9 5 2 2" xfId="30464"/>
    <cellStyle name="40% - Accent4 9 5 3" xfId="23076"/>
    <cellStyle name="40% - Accent4 9 6" xfId="9433"/>
    <cellStyle name="40% - Accent4 9 6 2" xfId="23908"/>
    <cellStyle name="40% - Accent4 9 7" xfId="24285"/>
    <cellStyle name="40% - Accent5" xfId="44" builtinId="47" customBuiltin="1"/>
    <cellStyle name="40% - Accent5 10" xfId="4285"/>
    <cellStyle name="40% - Accent5 10 2" xfId="4286"/>
    <cellStyle name="40% - Accent5 10 2 2" xfId="4287"/>
    <cellStyle name="40% - Accent5 10 2 2 2" xfId="12942"/>
    <cellStyle name="40% - Accent5 10 2 2 2 2" xfId="26654"/>
    <cellStyle name="40% - Accent5 10 2 2 3" xfId="24282"/>
    <cellStyle name="40% - Accent5 10 2 3" xfId="4288"/>
    <cellStyle name="40% - Accent5 10 2 3 2" xfId="15376"/>
    <cellStyle name="40% - Accent5 10 2 3 2 2" xfId="28925"/>
    <cellStyle name="40% - Accent5 10 2 3 3" xfId="23073"/>
    <cellStyle name="40% - Accent5 10 2 4" xfId="11162"/>
    <cellStyle name="40% - Accent5 10 2 4 2" xfId="25104"/>
    <cellStyle name="40% - Accent5 10 2 5" xfId="23074"/>
    <cellStyle name="40% - Accent5 10 3" xfId="4289"/>
    <cellStyle name="40% - Accent5 10 3 2" xfId="12941"/>
    <cellStyle name="40% - Accent5 10 3 2 2" xfId="26653"/>
    <cellStyle name="40% - Accent5 10 3 3" xfId="23072"/>
    <cellStyle name="40% - Accent5 10 4" xfId="4290"/>
    <cellStyle name="40% - Accent5 10 4 2" xfId="15375"/>
    <cellStyle name="40% - Accent5 10 4 2 2" xfId="28924"/>
    <cellStyle name="40% - Accent5 10 4 3" xfId="23071"/>
    <cellStyle name="40% - Accent5 10 5" xfId="4291"/>
    <cellStyle name="40% - Accent5 10 5 2" xfId="17195"/>
    <cellStyle name="40% - Accent5 10 5 2 2" xfId="30554"/>
    <cellStyle name="40% - Accent5 10 5 3" xfId="29164"/>
    <cellStyle name="40% - Accent5 10 6" xfId="9435"/>
    <cellStyle name="40% - Accent5 10 6 2" xfId="23910"/>
    <cellStyle name="40% - Accent5 10 7" xfId="23075"/>
    <cellStyle name="40% - Accent5 11" xfId="4292"/>
    <cellStyle name="40% - Accent5 11 2" xfId="4293"/>
    <cellStyle name="40% - Accent5 11 2 2" xfId="11163"/>
    <cellStyle name="40% - Accent5 11 2 2 2" xfId="25105"/>
    <cellStyle name="40% - Accent5 11 2 3" xfId="23069"/>
    <cellStyle name="40% - Accent5 11 3" xfId="4294"/>
    <cellStyle name="40% - Accent5 11 3 2" xfId="12943"/>
    <cellStyle name="40% - Accent5 11 3 2 2" xfId="26655"/>
    <cellStyle name="40% - Accent5 11 3 3" xfId="26858"/>
    <cellStyle name="40% - Accent5 11 4" xfId="4295"/>
    <cellStyle name="40% - Accent5 11 4 2" xfId="15377"/>
    <cellStyle name="40% - Accent5 11 4 2 2" xfId="28926"/>
    <cellStyle name="40% - Accent5 11 4 3" xfId="23068"/>
    <cellStyle name="40% - Accent5 11 5" xfId="4296"/>
    <cellStyle name="40% - Accent5 11 5 2" xfId="17284"/>
    <cellStyle name="40% - Accent5 11 5 2 2" xfId="30643"/>
    <cellStyle name="40% - Accent5 11 5 3" xfId="23067"/>
    <cellStyle name="40% - Accent5 11 6" xfId="9436"/>
    <cellStyle name="40% - Accent5 11 6 2" xfId="23911"/>
    <cellStyle name="40% - Accent5 11 7" xfId="23070"/>
    <cellStyle name="40% - Accent5 12" xfId="4297"/>
    <cellStyle name="40% - Accent5 12 2" xfId="4298"/>
    <cellStyle name="40% - Accent5 12 2 2" xfId="4299"/>
    <cellStyle name="40% - Accent5 12 2 2 2" xfId="11165"/>
    <cellStyle name="40% - Accent5 12 2 2 2 2" xfId="25107"/>
    <cellStyle name="40% - Accent5 12 2 2 3" xfId="23066"/>
    <cellStyle name="40% - Accent5 12 2 3" xfId="4300"/>
    <cellStyle name="40% - Accent5 12 2 3 2" xfId="12945"/>
    <cellStyle name="40% - Accent5 12 2 3 2 2" xfId="26657"/>
    <cellStyle name="40% - Accent5 12 2 3 3" xfId="23065"/>
    <cellStyle name="40% - Accent5 12 2 4" xfId="4301"/>
    <cellStyle name="40% - Accent5 12 2 4 2" xfId="15379"/>
    <cellStyle name="40% - Accent5 12 2 4 2 2" xfId="28928"/>
    <cellStyle name="40% - Accent5 12 2 4 3" xfId="24280"/>
    <cellStyle name="40% - Accent5 12 2 5" xfId="9438"/>
    <cellStyle name="40% - Accent5 12 2 5 2" xfId="23913"/>
    <cellStyle name="40% - Accent5 12 2 6" xfId="25288"/>
    <cellStyle name="40% - Accent5 12 3" xfId="4302"/>
    <cellStyle name="40% - Accent5 12 3 2" xfId="11164"/>
    <cellStyle name="40% - Accent5 12 3 2 2" xfId="25106"/>
    <cellStyle name="40% - Accent5 12 3 3" xfId="23064"/>
    <cellStyle name="40% - Accent5 12 4" xfId="4303"/>
    <cellStyle name="40% - Accent5 12 4 2" xfId="12944"/>
    <cellStyle name="40% - Accent5 12 4 2 2" xfId="26656"/>
    <cellStyle name="40% - Accent5 12 4 3" xfId="23063"/>
    <cellStyle name="40% - Accent5 12 5" xfId="4304"/>
    <cellStyle name="40% - Accent5 12 5 2" xfId="15378"/>
    <cellStyle name="40% - Accent5 12 5 2 2" xfId="28927"/>
    <cellStyle name="40% - Accent5 12 5 3" xfId="24278"/>
    <cellStyle name="40% - Accent5 12 6" xfId="4305"/>
    <cellStyle name="40% - Accent5 12 6 2" xfId="16436"/>
    <cellStyle name="40% - Accent5 12 6 2 2" xfId="29843"/>
    <cellStyle name="40% - Accent5 12 6 3" xfId="23062"/>
    <cellStyle name="40% - Accent5 12 7" xfId="9437"/>
    <cellStyle name="40% - Accent5 12 7 2" xfId="23912"/>
    <cellStyle name="40% - Accent5 12 8" xfId="24281"/>
    <cellStyle name="40% - Accent5 13" xfId="4306"/>
    <cellStyle name="40% - Accent5 13 2" xfId="4307"/>
    <cellStyle name="40% - Accent5 13 2 2" xfId="11166"/>
    <cellStyle name="40% - Accent5 13 2 2 2" xfId="25108"/>
    <cellStyle name="40% - Accent5 13 2 3" xfId="29163"/>
    <cellStyle name="40% - Accent5 13 3" xfId="4308"/>
    <cellStyle name="40% - Accent5 13 3 2" xfId="12946"/>
    <cellStyle name="40% - Accent5 13 3 2 2" xfId="26658"/>
    <cellStyle name="40% - Accent5 13 3 3" xfId="23060"/>
    <cellStyle name="40% - Accent5 13 4" xfId="4309"/>
    <cellStyle name="40% - Accent5 13 4 2" xfId="15380"/>
    <cellStyle name="40% - Accent5 13 4 2 2" xfId="28929"/>
    <cellStyle name="40% - Accent5 13 4 3" xfId="23059"/>
    <cellStyle name="40% - Accent5 13 5" xfId="9439"/>
    <cellStyle name="40% - Accent5 13 5 2" xfId="23914"/>
    <cellStyle name="40% - Accent5 13 6" xfId="23061"/>
    <cellStyle name="40% - Accent5 14" xfId="4310"/>
    <cellStyle name="40% - Accent5 14 2" xfId="4311"/>
    <cellStyle name="40% - Accent5 14 2 2" xfId="11167"/>
    <cellStyle name="40% - Accent5 14 2 2 2" xfId="25109"/>
    <cellStyle name="40% - Accent5 14 2 3" xfId="23058"/>
    <cellStyle name="40% - Accent5 14 3" xfId="4312"/>
    <cellStyle name="40% - Accent5 14 3 2" xfId="12947"/>
    <cellStyle name="40% - Accent5 14 3 2 2" xfId="26659"/>
    <cellStyle name="40% - Accent5 14 3 3" xfId="23057"/>
    <cellStyle name="40% - Accent5 14 4" xfId="4313"/>
    <cellStyle name="40% - Accent5 14 4 2" xfId="15381"/>
    <cellStyle name="40% - Accent5 14 4 2 2" xfId="28930"/>
    <cellStyle name="40% - Accent5 14 4 3" xfId="24279"/>
    <cellStyle name="40% - Accent5 14 5" xfId="9440"/>
    <cellStyle name="40% - Accent5 14 5 2" xfId="23915"/>
    <cellStyle name="40% - Accent5 14 6" xfId="26857"/>
    <cellStyle name="40% - Accent5 15" xfId="4314"/>
    <cellStyle name="40% - Accent5 15 2" xfId="4315"/>
    <cellStyle name="40% - Accent5 15 2 2" xfId="11168"/>
    <cellStyle name="40% - Accent5 15 2 2 2" xfId="25110"/>
    <cellStyle name="40% - Accent5 15 2 3" xfId="25287"/>
    <cellStyle name="40% - Accent5 15 3" xfId="4316"/>
    <cellStyle name="40% - Accent5 15 3 2" xfId="12948"/>
    <cellStyle name="40% - Accent5 15 3 2 2" xfId="26660"/>
    <cellStyle name="40% - Accent5 15 3 3" xfId="23055"/>
    <cellStyle name="40% - Accent5 15 4" xfId="4317"/>
    <cellStyle name="40% - Accent5 15 4 2" xfId="15382"/>
    <cellStyle name="40% - Accent5 15 4 2 2" xfId="28931"/>
    <cellStyle name="40% - Accent5 15 4 3" xfId="23054"/>
    <cellStyle name="40% - Accent5 15 5" xfId="9441"/>
    <cellStyle name="40% - Accent5 15 5 2" xfId="23916"/>
    <cellStyle name="40% - Accent5 15 6" xfId="23056"/>
    <cellStyle name="40% - Accent5 16" xfId="4318"/>
    <cellStyle name="40% - Accent5 16 2" xfId="4319"/>
    <cellStyle name="40% - Accent5 16 2 2" xfId="11169"/>
    <cellStyle name="40% - Accent5 16 2 2 2" xfId="25111"/>
    <cellStyle name="40% - Accent5 16 2 3" xfId="24274"/>
    <cellStyle name="40% - Accent5 16 3" xfId="4320"/>
    <cellStyle name="40% - Accent5 16 3 2" xfId="12949"/>
    <cellStyle name="40% - Accent5 16 3 2 2" xfId="26661"/>
    <cellStyle name="40% - Accent5 16 3 3" xfId="23052"/>
    <cellStyle name="40% - Accent5 16 4" xfId="4321"/>
    <cellStyle name="40% - Accent5 16 4 2" xfId="15383"/>
    <cellStyle name="40% - Accent5 16 4 2 2" xfId="28932"/>
    <cellStyle name="40% - Accent5 16 4 3" xfId="23051"/>
    <cellStyle name="40% - Accent5 16 5" xfId="9442"/>
    <cellStyle name="40% - Accent5 16 5 2" xfId="23917"/>
    <cellStyle name="40% - Accent5 16 6" xfId="23053"/>
    <cellStyle name="40% - Accent5 17" xfId="4322"/>
    <cellStyle name="40% - Accent5 17 2" xfId="4323"/>
    <cellStyle name="40% - Accent5 17 2 2" xfId="11170"/>
    <cellStyle name="40% - Accent5 17 2 2 2" xfId="25112"/>
    <cellStyle name="40% - Accent5 17 2 3" xfId="23050"/>
    <cellStyle name="40% - Accent5 17 3" xfId="4324"/>
    <cellStyle name="40% - Accent5 17 3 2" xfId="12950"/>
    <cellStyle name="40% - Accent5 17 3 2 2" xfId="26662"/>
    <cellStyle name="40% - Accent5 17 3 3" xfId="23049"/>
    <cellStyle name="40% - Accent5 17 4" xfId="4325"/>
    <cellStyle name="40% - Accent5 17 4 2" xfId="15384"/>
    <cellStyle name="40% - Accent5 17 4 2 2" xfId="28933"/>
    <cellStyle name="40% - Accent5 17 4 3" xfId="26856"/>
    <cellStyle name="40% - Accent5 17 5" xfId="9443"/>
    <cellStyle name="40% - Accent5 17 5 2" xfId="23918"/>
    <cellStyle name="40% - Accent5 17 6" xfId="29162"/>
    <cellStyle name="40% - Accent5 18" xfId="4326"/>
    <cellStyle name="40% - Accent5 18 2" xfId="4327"/>
    <cellStyle name="40% - Accent5 18 2 2" xfId="11171"/>
    <cellStyle name="40% - Accent5 18 2 2 2" xfId="25113"/>
    <cellStyle name="40% - Accent5 18 2 3" xfId="23047"/>
    <cellStyle name="40% - Accent5 18 3" xfId="4328"/>
    <cellStyle name="40% - Accent5 18 3 2" xfId="12951"/>
    <cellStyle name="40% - Accent5 18 3 2 2" xfId="26663"/>
    <cellStyle name="40% - Accent5 18 3 3" xfId="24277"/>
    <cellStyle name="40% - Accent5 18 4" xfId="4329"/>
    <cellStyle name="40% - Accent5 18 4 2" xfId="15385"/>
    <cellStyle name="40% - Accent5 18 4 2 2" xfId="28934"/>
    <cellStyle name="40% - Accent5 18 4 3" xfId="23046"/>
    <cellStyle name="40% - Accent5 18 5" xfId="9444"/>
    <cellStyle name="40% - Accent5 18 5 2" xfId="23919"/>
    <cellStyle name="40% - Accent5 18 6" xfId="23048"/>
    <cellStyle name="40% - Accent5 19" xfId="4330"/>
    <cellStyle name="40% - Accent5 19 2" xfId="4331"/>
    <cellStyle name="40% - Accent5 19 2 2" xfId="11720"/>
    <cellStyle name="40% - Accent5 19 2 2 2" xfId="25440"/>
    <cellStyle name="40% - Accent5 19 2 3" xfId="23045"/>
    <cellStyle name="40% - Accent5 19 3" xfId="4332"/>
    <cellStyle name="40% - Accent5 19 3 2" xfId="12952"/>
    <cellStyle name="40% - Accent5 19 3 2 2" xfId="26664"/>
    <cellStyle name="40% - Accent5 19 3 3" xfId="23044"/>
    <cellStyle name="40% - Accent5 19 4" xfId="4333"/>
    <cellStyle name="40% - Accent5 19 4 2" xfId="15386"/>
    <cellStyle name="40% - Accent5 19 4 2 2" xfId="28935"/>
    <cellStyle name="40% - Accent5 19 4 3" xfId="24275"/>
    <cellStyle name="40% - Accent5 19 5" xfId="10472"/>
    <cellStyle name="40% - Accent5 19 5 2" xfId="24431"/>
    <cellStyle name="40% - Accent5 19 6" xfId="25286"/>
    <cellStyle name="40% - Accent5 2" xfId="4334"/>
    <cellStyle name="40% - Accent5 2 10" xfId="4335"/>
    <cellStyle name="40% - Accent5 2 10 2" xfId="4336"/>
    <cellStyle name="40% - Accent5 2 10 2 2" xfId="15388"/>
    <cellStyle name="40% - Accent5 2 10 2 2 2" xfId="28937"/>
    <cellStyle name="40% - Accent5 2 10 2 3" xfId="29161"/>
    <cellStyle name="40% - Accent5 2 10 3" xfId="11846"/>
    <cellStyle name="40% - Accent5 2 10 3 2" xfId="25561"/>
    <cellStyle name="40% - Accent5 2 10 4" xfId="23042"/>
    <cellStyle name="40% - Accent5 2 11" xfId="4337"/>
    <cellStyle name="40% - Accent5 2 11 2" xfId="12953"/>
    <cellStyle name="40% - Accent5 2 11 2 2" xfId="26665"/>
    <cellStyle name="40% - Accent5 2 11 3" xfId="23041"/>
    <cellStyle name="40% - Accent5 2 12" xfId="4338"/>
    <cellStyle name="40% - Accent5 2 12 2" xfId="13444"/>
    <cellStyle name="40% - Accent5 2 12 2 2" xfId="26993"/>
    <cellStyle name="40% - Accent5 2 12 3" xfId="23040"/>
    <cellStyle name="40% - Accent5 2 13" xfId="4339"/>
    <cellStyle name="40% - Accent5 2 13 2" xfId="14025"/>
    <cellStyle name="40% - Accent5 2 13 2 2" xfId="27574"/>
    <cellStyle name="40% - Accent5 2 13 3" xfId="26855"/>
    <cellStyle name="40% - Accent5 2 14" xfId="4340"/>
    <cellStyle name="40% - Accent5 2 14 2" xfId="15387"/>
    <cellStyle name="40% - Accent5 2 14 2 2" xfId="28936"/>
    <cellStyle name="40% - Accent5 2 14 3" xfId="23039"/>
    <cellStyle name="40% - Accent5 2 15" xfId="4341"/>
    <cellStyle name="40% - Accent5 2 15 2" xfId="15911"/>
    <cellStyle name="40% - Accent5 2 15 2 2" xfId="29318"/>
    <cellStyle name="40% - Accent5 2 15 3" xfId="23038"/>
    <cellStyle name="40% - Accent5 2 16" xfId="9445"/>
    <cellStyle name="40% - Accent5 2 16 2" xfId="23920"/>
    <cellStyle name="40% - Accent5 2 17" xfId="23043"/>
    <cellStyle name="40% - Accent5 2 18" xfId="33079"/>
    <cellStyle name="40% - Accent5 2 2" xfId="4342"/>
    <cellStyle name="40% - Accent5 2 2 10" xfId="4343"/>
    <cellStyle name="40% - Accent5 2 2 10 2" xfId="15389"/>
    <cellStyle name="40% - Accent5 2 2 10 2 2" xfId="28938"/>
    <cellStyle name="40% - Accent5 2 2 10 3" xfId="23037"/>
    <cellStyle name="40% - Accent5 2 2 11" xfId="4344"/>
    <cellStyle name="40% - Accent5 2 2 11 2" xfId="15957"/>
    <cellStyle name="40% - Accent5 2 2 11 2 2" xfId="29364"/>
    <cellStyle name="40% - Accent5 2 2 11 3" xfId="25285"/>
    <cellStyle name="40% - Accent5 2 2 12" xfId="9446"/>
    <cellStyle name="40% - Accent5 2 2 12 2" xfId="23921"/>
    <cellStyle name="40% - Accent5 2 2 13" xfId="24276"/>
    <cellStyle name="40% - Accent5 2 2 2" xfId="4345"/>
    <cellStyle name="40% - Accent5 2 2 2 10" xfId="4346"/>
    <cellStyle name="40% - Accent5 2 2 2 10 2" xfId="16100"/>
    <cellStyle name="40% - Accent5 2 2 2 10 2 2" xfId="29507"/>
    <cellStyle name="40% - Accent5 2 2 2 10 3" xfId="23035"/>
    <cellStyle name="40% - Accent5 2 2 2 11" xfId="9447"/>
    <cellStyle name="40% - Accent5 2 2 2 11 2" xfId="23922"/>
    <cellStyle name="40% - Accent5 2 2 2 12" xfId="23036"/>
    <cellStyle name="40% - Accent5 2 2 2 2" xfId="4347"/>
    <cellStyle name="40% - Accent5 2 2 2 2 10" xfId="9448"/>
    <cellStyle name="40% - Accent5 2 2 2 2 10 2" xfId="23923"/>
    <cellStyle name="40% - Accent5 2 2 2 2 11" xfId="23034"/>
    <cellStyle name="40% - Accent5 2 2 2 2 2" xfId="4348"/>
    <cellStyle name="40% - Accent5 2 2 2 2 2 2" xfId="4349"/>
    <cellStyle name="40% - Accent5 2 2 2 2 2 2 2" xfId="11176"/>
    <cellStyle name="40% - Accent5 2 2 2 2 2 2 2 2" xfId="25118"/>
    <cellStyle name="40% - Accent5 2 2 2 2 2 2 3" xfId="24273"/>
    <cellStyle name="40% - Accent5 2 2 2 2 2 3" xfId="4350"/>
    <cellStyle name="40% - Accent5 2 2 2 2 2 3 2" xfId="12957"/>
    <cellStyle name="40% - Accent5 2 2 2 2 2 3 2 2" xfId="26669"/>
    <cellStyle name="40% - Accent5 2 2 2 2 2 3 3" xfId="23032"/>
    <cellStyle name="40% - Accent5 2 2 2 2 2 4" xfId="4351"/>
    <cellStyle name="40% - Accent5 2 2 2 2 2 4 2" xfId="15392"/>
    <cellStyle name="40% - Accent5 2 2 2 2 2 4 2 2" xfId="28941"/>
    <cellStyle name="40% - Accent5 2 2 2 2 2 4 3" xfId="23031"/>
    <cellStyle name="40% - Accent5 2 2 2 2 2 5" xfId="4352"/>
    <cellStyle name="40% - Accent5 2 2 2 2 2 5 2" xfId="16970"/>
    <cellStyle name="40% - Accent5 2 2 2 2 2 5 2 2" xfId="30377"/>
    <cellStyle name="40% - Accent5 2 2 2 2 2 5 3" xfId="23030"/>
    <cellStyle name="40% - Accent5 2 2 2 2 2 6" xfId="9449"/>
    <cellStyle name="40% - Accent5 2 2 2 2 2 6 2" xfId="23924"/>
    <cellStyle name="40% - Accent5 2 2 2 2 2 7" xfId="23033"/>
    <cellStyle name="40% - Accent5 2 2 2 2 3" xfId="4353"/>
    <cellStyle name="40% - Accent5 2 2 2 2 3 2" xfId="4354"/>
    <cellStyle name="40% - Accent5 2 2 2 2 3 2 2" xfId="15393"/>
    <cellStyle name="40% - Accent5 2 2 2 2 3 2 2 2" xfId="28942"/>
    <cellStyle name="40% - Accent5 2 2 2 2 3 2 3" xfId="23029"/>
    <cellStyle name="40% - Accent5 2 2 2 2 3 3" xfId="11175"/>
    <cellStyle name="40% - Accent5 2 2 2 2 3 3 2" xfId="25117"/>
    <cellStyle name="40% - Accent5 2 2 2 2 3 4" xfId="29160"/>
    <cellStyle name="40% - Accent5 2 2 2 2 4" xfId="4355"/>
    <cellStyle name="40% - Accent5 2 2 2 2 4 2" xfId="12358"/>
    <cellStyle name="40% - Accent5 2 2 2 2 4 2 2" xfId="26070"/>
    <cellStyle name="40% - Accent5 2 2 2 2 4 3" xfId="23028"/>
    <cellStyle name="40% - Accent5 2 2 2 2 5" xfId="4356"/>
    <cellStyle name="40% - Accent5 2 2 2 2 5 2" xfId="12956"/>
    <cellStyle name="40% - Accent5 2 2 2 2 5 2 2" xfId="26668"/>
    <cellStyle name="40% - Accent5 2 2 2 2 5 3" xfId="26854"/>
    <cellStyle name="40% - Accent5 2 2 2 2 6" xfId="4357"/>
    <cellStyle name="40% - Accent5 2 2 2 2 6 2" xfId="13922"/>
    <cellStyle name="40% - Accent5 2 2 2 2 6 2 2" xfId="27471"/>
    <cellStyle name="40% - Accent5 2 2 2 2 6 3" xfId="23027"/>
    <cellStyle name="40% - Accent5 2 2 2 2 7" xfId="4358"/>
    <cellStyle name="40% - Accent5 2 2 2 2 7 2" xfId="14503"/>
    <cellStyle name="40% - Accent5 2 2 2 2 7 2 2" xfId="28052"/>
    <cellStyle name="40% - Accent5 2 2 2 2 7 3" xfId="23026"/>
    <cellStyle name="40% - Accent5 2 2 2 2 8" xfId="4359"/>
    <cellStyle name="40% - Accent5 2 2 2 2 8 2" xfId="15391"/>
    <cellStyle name="40% - Accent5 2 2 2 2 8 2 2" xfId="28940"/>
    <cellStyle name="40% - Accent5 2 2 2 2 8 3" xfId="24272"/>
    <cellStyle name="40% - Accent5 2 2 2 2 9" xfId="4360"/>
    <cellStyle name="40% - Accent5 2 2 2 2 9 2" xfId="16389"/>
    <cellStyle name="40% - Accent5 2 2 2 2 9 2 2" xfId="29796"/>
    <cellStyle name="40% - Accent5 2 2 2 2 9 3" xfId="25284"/>
    <cellStyle name="40% - Accent5 2 2 2 3" xfId="4361"/>
    <cellStyle name="40% - Accent5 2 2 2 3 2" xfId="4362"/>
    <cellStyle name="40% - Accent5 2 2 2 3 2 2" xfId="11177"/>
    <cellStyle name="40% - Accent5 2 2 2 3 2 2 2" xfId="25119"/>
    <cellStyle name="40% - Accent5 2 2 2 3 2 3" xfId="23024"/>
    <cellStyle name="40% - Accent5 2 2 2 3 3" xfId="4363"/>
    <cellStyle name="40% - Accent5 2 2 2 3 3 2" xfId="12958"/>
    <cellStyle name="40% - Accent5 2 2 2 3 3 2 2" xfId="26670"/>
    <cellStyle name="40% - Accent5 2 2 2 3 3 3" xfId="24271"/>
    <cellStyle name="40% - Accent5 2 2 2 3 4" xfId="4364"/>
    <cellStyle name="40% - Accent5 2 2 2 3 4 2" xfId="15394"/>
    <cellStyle name="40% - Accent5 2 2 2 3 4 2 2" xfId="28943"/>
    <cellStyle name="40% - Accent5 2 2 2 3 4 3" xfId="23023"/>
    <cellStyle name="40% - Accent5 2 2 2 3 5" xfId="4365"/>
    <cellStyle name="40% - Accent5 2 2 2 3 5 2" xfId="16681"/>
    <cellStyle name="40% - Accent5 2 2 2 3 5 2 2" xfId="30088"/>
    <cellStyle name="40% - Accent5 2 2 2 3 5 3" xfId="23022"/>
    <cellStyle name="40% - Accent5 2 2 2 3 6" xfId="9450"/>
    <cellStyle name="40% - Accent5 2 2 2 3 6 2" xfId="23925"/>
    <cellStyle name="40% - Accent5 2 2 2 3 7" xfId="23025"/>
    <cellStyle name="40% - Accent5 2 2 2 4" xfId="4366"/>
    <cellStyle name="40% - Accent5 2 2 2 4 2" xfId="4367"/>
    <cellStyle name="40% - Accent5 2 2 2 4 2 2" xfId="15395"/>
    <cellStyle name="40% - Accent5 2 2 2 4 2 2 2" xfId="28944"/>
    <cellStyle name="40% - Accent5 2 2 2 4 2 3" xfId="23021"/>
    <cellStyle name="40% - Accent5 2 2 2 4 3" xfId="11174"/>
    <cellStyle name="40% - Accent5 2 2 2 4 3 2" xfId="25116"/>
    <cellStyle name="40% - Accent5 2 2 2 4 4" xfId="24269"/>
    <cellStyle name="40% - Accent5 2 2 2 5" xfId="4368"/>
    <cellStyle name="40% - Accent5 2 2 2 5 2" xfId="12058"/>
    <cellStyle name="40% - Accent5 2 2 2 5 2 2" xfId="25773"/>
    <cellStyle name="40% - Accent5 2 2 2 5 3" xfId="23020"/>
    <cellStyle name="40% - Accent5 2 2 2 6" xfId="4369"/>
    <cellStyle name="40% - Accent5 2 2 2 6 2" xfId="12955"/>
    <cellStyle name="40% - Accent5 2 2 2 6 2 2" xfId="26667"/>
    <cellStyle name="40% - Accent5 2 2 2 6 3" xfId="29159"/>
    <cellStyle name="40% - Accent5 2 2 2 7" xfId="4370"/>
    <cellStyle name="40% - Accent5 2 2 2 7 2" xfId="13633"/>
    <cellStyle name="40% - Accent5 2 2 2 7 2 2" xfId="27182"/>
    <cellStyle name="40% - Accent5 2 2 2 7 3" xfId="23019"/>
    <cellStyle name="40% - Accent5 2 2 2 8" xfId="4371"/>
    <cellStyle name="40% - Accent5 2 2 2 8 2" xfId="14214"/>
    <cellStyle name="40% - Accent5 2 2 2 8 2 2" xfId="27763"/>
    <cellStyle name="40% - Accent5 2 2 2 8 3" xfId="23018"/>
    <cellStyle name="40% - Accent5 2 2 2 9" xfId="4372"/>
    <cellStyle name="40% - Accent5 2 2 2 9 2" xfId="15390"/>
    <cellStyle name="40% - Accent5 2 2 2 9 2 2" xfId="28939"/>
    <cellStyle name="40% - Accent5 2 2 2 9 3" xfId="26853"/>
    <cellStyle name="40% - Accent5 2 2 3" xfId="4373"/>
    <cellStyle name="40% - Accent5 2 2 3 10" xfId="9451"/>
    <cellStyle name="40% - Accent5 2 2 3 10 2" xfId="23926"/>
    <cellStyle name="40% - Accent5 2 2 3 11" xfId="23017"/>
    <cellStyle name="40% - Accent5 2 2 3 2" xfId="4374"/>
    <cellStyle name="40% - Accent5 2 2 3 2 2" xfId="4375"/>
    <cellStyle name="40% - Accent5 2 2 3 2 2 2" xfId="11179"/>
    <cellStyle name="40% - Accent5 2 2 3 2 2 2 2" xfId="25121"/>
    <cellStyle name="40% - Accent5 2 2 3 2 2 3" xfId="24270"/>
    <cellStyle name="40% - Accent5 2 2 3 2 3" xfId="4376"/>
    <cellStyle name="40% - Accent5 2 2 3 2 3 2" xfId="12960"/>
    <cellStyle name="40% - Accent5 2 2 3 2 3 2 2" xfId="26672"/>
    <cellStyle name="40% - Accent5 2 2 3 2 3 3" xfId="23015"/>
    <cellStyle name="40% - Accent5 2 2 3 2 4" xfId="4377"/>
    <cellStyle name="40% - Accent5 2 2 3 2 4 2" xfId="15397"/>
    <cellStyle name="40% - Accent5 2 2 3 2 4 2 2" xfId="28946"/>
    <cellStyle name="40% - Accent5 2 2 3 2 4 3" xfId="25283"/>
    <cellStyle name="40% - Accent5 2 2 3 2 5" xfId="4378"/>
    <cellStyle name="40% - Accent5 2 2 3 2 5 2" xfId="16827"/>
    <cellStyle name="40% - Accent5 2 2 3 2 5 2 2" xfId="30234"/>
    <cellStyle name="40% - Accent5 2 2 3 2 5 3" xfId="23014"/>
    <cellStyle name="40% - Accent5 2 2 3 2 6" xfId="9452"/>
    <cellStyle name="40% - Accent5 2 2 3 2 6 2" xfId="23927"/>
    <cellStyle name="40% - Accent5 2 2 3 2 7" xfId="23016"/>
    <cellStyle name="40% - Accent5 2 2 3 3" xfId="4379"/>
    <cellStyle name="40% - Accent5 2 2 3 3 2" xfId="4380"/>
    <cellStyle name="40% - Accent5 2 2 3 3 2 2" xfId="15398"/>
    <cellStyle name="40% - Accent5 2 2 3 3 2 2 2" xfId="28947"/>
    <cellStyle name="40% - Accent5 2 2 3 3 2 3" xfId="23012"/>
    <cellStyle name="40% - Accent5 2 2 3 3 3" xfId="11178"/>
    <cellStyle name="40% - Accent5 2 2 3 3 3 2" xfId="25120"/>
    <cellStyle name="40% - Accent5 2 2 3 3 4" xfId="23013"/>
    <cellStyle name="40% - Accent5 2 2 3 4" xfId="4381"/>
    <cellStyle name="40% - Accent5 2 2 3 4 2" xfId="12215"/>
    <cellStyle name="40% - Accent5 2 2 3 4 2 2" xfId="25927"/>
    <cellStyle name="40% - Accent5 2 2 3 4 3" xfId="24265"/>
    <cellStyle name="40% - Accent5 2 2 3 5" xfId="4382"/>
    <cellStyle name="40% - Accent5 2 2 3 5 2" xfId="12959"/>
    <cellStyle name="40% - Accent5 2 2 3 5 2 2" xfId="26671"/>
    <cellStyle name="40% - Accent5 2 2 3 5 3" xfId="23011"/>
    <cellStyle name="40% - Accent5 2 2 3 6" xfId="4383"/>
    <cellStyle name="40% - Accent5 2 2 3 6 2" xfId="13779"/>
    <cellStyle name="40% - Accent5 2 2 3 6 2 2" xfId="27328"/>
    <cellStyle name="40% - Accent5 2 2 3 6 3" xfId="23010"/>
    <cellStyle name="40% - Accent5 2 2 3 7" xfId="4384"/>
    <cellStyle name="40% - Accent5 2 2 3 7 2" xfId="14360"/>
    <cellStyle name="40% - Accent5 2 2 3 7 2 2" xfId="27909"/>
    <cellStyle name="40% - Accent5 2 2 3 7 3" xfId="29158"/>
    <cellStyle name="40% - Accent5 2 2 3 8" xfId="4385"/>
    <cellStyle name="40% - Accent5 2 2 3 8 2" xfId="15396"/>
    <cellStyle name="40% - Accent5 2 2 3 8 2 2" xfId="28945"/>
    <cellStyle name="40% - Accent5 2 2 3 8 3" xfId="23009"/>
    <cellStyle name="40% - Accent5 2 2 3 9" xfId="4386"/>
    <cellStyle name="40% - Accent5 2 2 3 9 2" xfId="16246"/>
    <cellStyle name="40% - Accent5 2 2 3 9 2 2" xfId="29653"/>
    <cellStyle name="40% - Accent5 2 2 3 9 3" xfId="23008"/>
    <cellStyle name="40% - Accent5 2 2 4" xfId="4387"/>
    <cellStyle name="40% - Accent5 2 2 4 2" xfId="4388"/>
    <cellStyle name="40% - Accent5 2 2 4 2 2" xfId="11180"/>
    <cellStyle name="40% - Accent5 2 2 4 2 2 2" xfId="25122"/>
    <cellStyle name="40% - Accent5 2 2 4 2 3" xfId="23007"/>
    <cellStyle name="40% - Accent5 2 2 4 3" xfId="4389"/>
    <cellStyle name="40% - Accent5 2 2 4 3 2" xfId="12961"/>
    <cellStyle name="40% - Accent5 2 2 4 3 2 2" xfId="26673"/>
    <cellStyle name="40% - Accent5 2 2 4 3 3" xfId="23006"/>
    <cellStyle name="40% - Accent5 2 2 4 4" xfId="4390"/>
    <cellStyle name="40% - Accent5 2 2 4 4 2" xfId="15399"/>
    <cellStyle name="40% - Accent5 2 2 4 4 2 2" xfId="28948"/>
    <cellStyle name="40% - Accent5 2 2 4 4 3" xfId="24268"/>
    <cellStyle name="40% - Accent5 2 2 4 5" xfId="4391"/>
    <cellStyle name="40% - Accent5 2 2 4 5 2" xfId="17174"/>
    <cellStyle name="40% - Accent5 2 2 4 5 2 2" xfId="30533"/>
    <cellStyle name="40% - Accent5 2 2 4 5 3" xfId="23005"/>
    <cellStyle name="40% - Accent5 2 2 4 6" xfId="9453"/>
    <cellStyle name="40% - Accent5 2 2 4 6 2" xfId="23928"/>
    <cellStyle name="40% - Accent5 2 2 4 7" xfId="26852"/>
    <cellStyle name="40% - Accent5 2 2 5" xfId="4392"/>
    <cellStyle name="40% - Accent5 2 2 5 2" xfId="4393"/>
    <cellStyle name="40% - Accent5 2 2 5 2 2" xfId="15400"/>
    <cellStyle name="40% - Accent5 2 2 5 2 2 2" xfId="28949"/>
    <cellStyle name="40% - Accent5 2 2 5 2 3" xfId="23004"/>
    <cellStyle name="40% - Accent5 2 2 5 3" xfId="4394"/>
    <cellStyle name="40% - Accent5 2 2 5 3 2" xfId="17263"/>
    <cellStyle name="40% - Accent5 2 2 5 3 2 2" xfId="30622"/>
    <cellStyle name="40% - Accent5 2 2 5 3 3" xfId="23003"/>
    <cellStyle name="40% - Accent5 2 2 5 4" xfId="11173"/>
    <cellStyle name="40% - Accent5 2 2 5 4 2" xfId="25115"/>
    <cellStyle name="40% - Accent5 2 2 5 5" xfId="25282"/>
    <cellStyle name="40% - Accent5 2 2 6" xfId="4395"/>
    <cellStyle name="40% - Accent5 2 2 6 2" xfId="4396"/>
    <cellStyle name="40% - Accent5 2 2 6 2 2" xfId="16538"/>
    <cellStyle name="40% - Accent5 2 2 6 2 2 2" xfId="29945"/>
    <cellStyle name="40% - Accent5 2 2 6 2 3" xfId="23002"/>
    <cellStyle name="40% - Accent5 2 2 6 3" xfId="11913"/>
    <cellStyle name="40% - Accent5 2 2 6 3 2" xfId="25628"/>
    <cellStyle name="40% - Accent5 2 2 6 4" xfId="24266"/>
    <cellStyle name="40% - Accent5 2 2 7" xfId="4397"/>
    <cellStyle name="40% - Accent5 2 2 7 2" xfId="12954"/>
    <cellStyle name="40% - Accent5 2 2 7 2 2" xfId="26666"/>
    <cellStyle name="40% - Accent5 2 2 7 3" xfId="23001"/>
    <cellStyle name="40% - Accent5 2 2 8" xfId="4398"/>
    <cellStyle name="40% - Accent5 2 2 8 2" xfId="13490"/>
    <cellStyle name="40% - Accent5 2 2 8 2 2" xfId="27039"/>
    <cellStyle name="40% - Accent5 2 2 8 3" xfId="29157"/>
    <cellStyle name="40% - Accent5 2 2 9" xfId="4399"/>
    <cellStyle name="40% - Accent5 2 2 9 2" xfId="14071"/>
    <cellStyle name="40% - Accent5 2 2 9 2 2" xfId="27620"/>
    <cellStyle name="40% - Accent5 2 2 9 3" xfId="23000"/>
    <cellStyle name="40% - Accent5 2 3" xfId="4400"/>
    <cellStyle name="40% - Accent5 2 3 10" xfId="4401"/>
    <cellStyle name="40% - Accent5 2 3 10 2" xfId="16054"/>
    <cellStyle name="40% - Accent5 2 3 10 2 2" xfId="29461"/>
    <cellStyle name="40% - Accent5 2 3 10 3" xfId="26851"/>
    <cellStyle name="40% - Accent5 2 3 11" xfId="9454"/>
    <cellStyle name="40% - Accent5 2 3 11 2" xfId="23929"/>
    <cellStyle name="40% - Accent5 2 3 12" xfId="22999"/>
    <cellStyle name="40% - Accent5 2 3 2" xfId="4402"/>
    <cellStyle name="40% - Accent5 2 3 2 10" xfId="9455"/>
    <cellStyle name="40% - Accent5 2 3 2 10 2" xfId="23930"/>
    <cellStyle name="40% - Accent5 2 3 2 11" xfId="22998"/>
    <cellStyle name="40% - Accent5 2 3 2 2" xfId="4403"/>
    <cellStyle name="40% - Accent5 2 3 2 2 2" xfId="4404"/>
    <cellStyle name="40% - Accent5 2 3 2 2 2 2" xfId="11183"/>
    <cellStyle name="40% - Accent5 2 3 2 2 2 2 2" xfId="25125"/>
    <cellStyle name="40% - Accent5 2 3 2 2 2 3" xfId="24267"/>
    <cellStyle name="40% - Accent5 2 3 2 2 3" xfId="4405"/>
    <cellStyle name="40% - Accent5 2 3 2 2 3 2" xfId="12964"/>
    <cellStyle name="40% - Accent5 2 3 2 2 3 2 2" xfId="26676"/>
    <cellStyle name="40% - Accent5 2 3 2 2 3 3" xfId="22996"/>
    <cellStyle name="40% - Accent5 2 3 2 2 4" xfId="4406"/>
    <cellStyle name="40% - Accent5 2 3 2 2 4 2" xfId="15403"/>
    <cellStyle name="40% - Accent5 2 3 2 2 4 2 2" xfId="28952"/>
    <cellStyle name="40% - Accent5 2 3 2 2 4 3" xfId="25281"/>
    <cellStyle name="40% - Accent5 2 3 2 2 5" xfId="4407"/>
    <cellStyle name="40% - Accent5 2 3 2 2 5 2" xfId="16924"/>
    <cellStyle name="40% - Accent5 2 3 2 2 5 2 2" xfId="30331"/>
    <cellStyle name="40% - Accent5 2 3 2 2 5 3" xfId="22995"/>
    <cellStyle name="40% - Accent5 2 3 2 2 6" xfId="9456"/>
    <cellStyle name="40% - Accent5 2 3 2 2 6 2" xfId="23931"/>
    <cellStyle name="40% - Accent5 2 3 2 2 7" xfId="22997"/>
    <cellStyle name="40% - Accent5 2 3 2 3" xfId="4408"/>
    <cellStyle name="40% - Accent5 2 3 2 3 2" xfId="4409"/>
    <cellStyle name="40% - Accent5 2 3 2 3 2 2" xfId="15404"/>
    <cellStyle name="40% - Accent5 2 3 2 3 2 2 2" xfId="28953"/>
    <cellStyle name="40% - Accent5 2 3 2 3 2 3" xfId="22993"/>
    <cellStyle name="40% - Accent5 2 3 2 3 3" xfId="11182"/>
    <cellStyle name="40% - Accent5 2 3 2 3 3 2" xfId="25124"/>
    <cellStyle name="40% - Accent5 2 3 2 3 4" xfId="22994"/>
    <cellStyle name="40% - Accent5 2 3 2 4" xfId="4410"/>
    <cellStyle name="40% - Accent5 2 3 2 4 2" xfId="12312"/>
    <cellStyle name="40% - Accent5 2 3 2 4 2 2" xfId="26024"/>
    <cellStyle name="40% - Accent5 2 3 2 4 3" xfId="22992"/>
    <cellStyle name="40% - Accent5 2 3 2 5" xfId="4411"/>
    <cellStyle name="40% - Accent5 2 3 2 5 2" xfId="12963"/>
    <cellStyle name="40% - Accent5 2 3 2 5 2 2" xfId="26675"/>
    <cellStyle name="40% - Accent5 2 3 2 5 3" xfId="24264"/>
    <cellStyle name="40% - Accent5 2 3 2 6" xfId="4412"/>
    <cellStyle name="40% - Accent5 2 3 2 6 2" xfId="13876"/>
    <cellStyle name="40% - Accent5 2 3 2 6 2 2" xfId="27425"/>
    <cellStyle name="40% - Accent5 2 3 2 6 3" xfId="22991"/>
    <cellStyle name="40% - Accent5 2 3 2 7" xfId="4413"/>
    <cellStyle name="40% - Accent5 2 3 2 7 2" xfId="14457"/>
    <cellStyle name="40% - Accent5 2 3 2 7 2 2" xfId="28006"/>
    <cellStyle name="40% - Accent5 2 3 2 7 3" xfId="30657"/>
    <cellStyle name="40% - Accent5 2 3 2 8" xfId="4414"/>
    <cellStyle name="40% - Accent5 2 3 2 8 2" xfId="15402"/>
    <cellStyle name="40% - Accent5 2 3 2 8 2 2" xfId="28951"/>
    <cellStyle name="40% - Accent5 2 3 2 8 3" xfId="22990"/>
    <cellStyle name="40% - Accent5 2 3 2 9" xfId="4415"/>
    <cellStyle name="40% - Accent5 2 3 2 9 2" xfId="16343"/>
    <cellStyle name="40% - Accent5 2 3 2 9 2 2" xfId="29750"/>
    <cellStyle name="40% - Accent5 2 3 2 9 3" xfId="22989"/>
    <cellStyle name="40% - Accent5 2 3 3" xfId="4416"/>
    <cellStyle name="40% - Accent5 2 3 3 2" xfId="4417"/>
    <cellStyle name="40% - Accent5 2 3 3 2 2" xfId="11184"/>
    <cellStyle name="40% - Accent5 2 3 3 2 2 2" xfId="25126"/>
    <cellStyle name="40% - Accent5 2 3 3 2 3" xfId="22987"/>
    <cellStyle name="40% - Accent5 2 3 3 3" xfId="4418"/>
    <cellStyle name="40% - Accent5 2 3 3 3 2" xfId="12965"/>
    <cellStyle name="40% - Accent5 2 3 3 3 2 2" xfId="26677"/>
    <cellStyle name="40% - Accent5 2 3 3 3 3" xfId="29156"/>
    <cellStyle name="40% - Accent5 2 3 3 4" xfId="4419"/>
    <cellStyle name="40% - Accent5 2 3 3 4 2" xfId="15405"/>
    <cellStyle name="40% - Accent5 2 3 3 4 2 2" xfId="28954"/>
    <cellStyle name="40% - Accent5 2 3 3 4 3" xfId="22986"/>
    <cellStyle name="40% - Accent5 2 3 3 5" xfId="4420"/>
    <cellStyle name="40% - Accent5 2 3 3 5 2" xfId="16635"/>
    <cellStyle name="40% - Accent5 2 3 3 5 2 2" xfId="30042"/>
    <cellStyle name="40% - Accent5 2 3 3 5 3" xfId="22985"/>
    <cellStyle name="40% - Accent5 2 3 3 6" xfId="9457"/>
    <cellStyle name="40% - Accent5 2 3 3 6 2" xfId="23932"/>
    <cellStyle name="40% - Accent5 2 3 3 7" xfId="22988"/>
    <cellStyle name="40% - Accent5 2 3 4" xfId="4421"/>
    <cellStyle name="40% - Accent5 2 3 4 2" xfId="4422"/>
    <cellStyle name="40% - Accent5 2 3 4 2 2" xfId="15406"/>
    <cellStyle name="40% - Accent5 2 3 4 2 2 2" xfId="28955"/>
    <cellStyle name="40% - Accent5 2 3 4 2 3" xfId="22984"/>
    <cellStyle name="40% - Accent5 2 3 4 3" xfId="11181"/>
    <cellStyle name="40% - Accent5 2 3 4 3 2" xfId="25123"/>
    <cellStyle name="40% - Accent5 2 3 4 4" xfId="24263"/>
    <cellStyle name="40% - Accent5 2 3 5" xfId="4423"/>
    <cellStyle name="40% - Accent5 2 3 5 2" xfId="12012"/>
    <cellStyle name="40% - Accent5 2 3 5 2 2" xfId="25727"/>
    <cellStyle name="40% - Accent5 2 3 5 3" xfId="25280"/>
    <cellStyle name="40% - Accent5 2 3 6" xfId="4424"/>
    <cellStyle name="40% - Accent5 2 3 6 2" xfId="12962"/>
    <cellStyle name="40% - Accent5 2 3 6 2 2" xfId="26674"/>
    <cellStyle name="40% - Accent5 2 3 6 3" xfId="22983"/>
    <cellStyle name="40% - Accent5 2 3 7" xfId="4425"/>
    <cellStyle name="40% - Accent5 2 3 7 2" xfId="13587"/>
    <cellStyle name="40% - Accent5 2 3 7 2 2" xfId="27136"/>
    <cellStyle name="40% - Accent5 2 3 7 3" xfId="22982"/>
    <cellStyle name="40% - Accent5 2 3 8" xfId="4426"/>
    <cellStyle name="40% - Accent5 2 3 8 2" xfId="14168"/>
    <cellStyle name="40% - Accent5 2 3 8 2 2" xfId="27717"/>
    <cellStyle name="40% - Accent5 2 3 8 3" xfId="24262"/>
    <cellStyle name="40% - Accent5 2 3 9" xfId="4427"/>
    <cellStyle name="40% - Accent5 2 3 9 2" xfId="15401"/>
    <cellStyle name="40% - Accent5 2 3 9 2 2" xfId="28950"/>
    <cellStyle name="40% - Accent5 2 3 9 3" xfId="22981"/>
    <cellStyle name="40% - Accent5 2 4" xfId="4428"/>
    <cellStyle name="40% - Accent5 2 4 10" xfId="9458"/>
    <cellStyle name="40% - Accent5 2 4 10 2" xfId="23933"/>
    <cellStyle name="40% - Accent5 2 4 11" xfId="26850"/>
    <cellStyle name="40% - Accent5 2 4 2" xfId="4429"/>
    <cellStyle name="40% - Accent5 2 4 2 2" xfId="4430"/>
    <cellStyle name="40% - Accent5 2 4 2 2 2" xfId="11186"/>
    <cellStyle name="40% - Accent5 2 4 2 2 2 2" xfId="25128"/>
    <cellStyle name="40% - Accent5 2 4 2 2 3" xfId="22979"/>
    <cellStyle name="40% - Accent5 2 4 2 3" xfId="4431"/>
    <cellStyle name="40% - Accent5 2 4 2 3 2" xfId="12967"/>
    <cellStyle name="40% - Accent5 2 4 2 3 2 2" xfId="26679"/>
    <cellStyle name="40% - Accent5 2 4 2 3 3" xfId="24260"/>
    <cellStyle name="40% - Accent5 2 4 2 4" xfId="4432"/>
    <cellStyle name="40% - Accent5 2 4 2 4 2" xfId="15408"/>
    <cellStyle name="40% - Accent5 2 4 2 4 2 2" xfId="28957"/>
    <cellStyle name="40% - Accent5 2 4 2 4 3" xfId="22978"/>
    <cellStyle name="40% - Accent5 2 4 2 5" xfId="4433"/>
    <cellStyle name="40% - Accent5 2 4 2 5 2" xfId="16781"/>
    <cellStyle name="40% - Accent5 2 4 2 5 2 2" xfId="30188"/>
    <cellStyle name="40% - Accent5 2 4 2 5 3" xfId="22977"/>
    <cellStyle name="40% - Accent5 2 4 2 6" xfId="9459"/>
    <cellStyle name="40% - Accent5 2 4 2 6 2" xfId="23934"/>
    <cellStyle name="40% - Accent5 2 4 2 7" xfId="22980"/>
    <cellStyle name="40% - Accent5 2 4 3" xfId="4434"/>
    <cellStyle name="40% - Accent5 2 4 3 2" xfId="4435"/>
    <cellStyle name="40% - Accent5 2 4 3 2 2" xfId="15409"/>
    <cellStyle name="40% - Accent5 2 4 3 2 2 2" xfId="28958"/>
    <cellStyle name="40% - Accent5 2 4 3 2 3" xfId="22976"/>
    <cellStyle name="40% - Accent5 2 4 3 3" xfId="11185"/>
    <cellStyle name="40% - Accent5 2 4 3 3 2" xfId="25127"/>
    <cellStyle name="40% - Accent5 2 4 3 4" xfId="29155"/>
    <cellStyle name="40% - Accent5 2 4 4" xfId="4436"/>
    <cellStyle name="40% - Accent5 2 4 4 2" xfId="12169"/>
    <cellStyle name="40% - Accent5 2 4 4 2 2" xfId="25881"/>
    <cellStyle name="40% - Accent5 2 4 4 3" xfId="22975"/>
    <cellStyle name="40% - Accent5 2 4 5" xfId="4437"/>
    <cellStyle name="40% - Accent5 2 4 5 2" xfId="12966"/>
    <cellStyle name="40% - Accent5 2 4 5 2 2" xfId="26678"/>
    <cellStyle name="40% - Accent5 2 4 5 3" xfId="26849"/>
    <cellStyle name="40% - Accent5 2 4 6" xfId="4438"/>
    <cellStyle name="40% - Accent5 2 4 6 2" xfId="13733"/>
    <cellStyle name="40% - Accent5 2 4 6 2 2" xfId="27282"/>
    <cellStyle name="40% - Accent5 2 4 6 3" xfId="22974"/>
    <cellStyle name="40% - Accent5 2 4 7" xfId="4439"/>
    <cellStyle name="40% - Accent5 2 4 7 2" xfId="14314"/>
    <cellStyle name="40% - Accent5 2 4 7 2 2" xfId="27863"/>
    <cellStyle name="40% - Accent5 2 4 7 3" xfId="22973"/>
    <cellStyle name="40% - Accent5 2 4 8" xfId="4440"/>
    <cellStyle name="40% - Accent5 2 4 8 2" xfId="15407"/>
    <cellStyle name="40% - Accent5 2 4 8 2 2" xfId="28956"/>
    <cellStyle name="40% - Accent5 2 4 8 3" xfId="24261"/>
    <cellStyle name="40% - Accent5 2 4 9" xfId="4441"/>
    <cellStyle name="40% - Accent5 2 4 9 2" xfId="16200"/>
    <cellStyle name="40% - Accent5 2 4 9 2 2" xfId="29607"/>
    <cellStyle name="40% - Accent5 2 4 9 3" xfId="22972"/>
    <cellStyle name="40% - Accent5 2 5" xfId="4442"/>
    <cellStyle name="40% - Accent5 2 5 2" xfId="4443"/>
    <cellStyle name="40% - Accent5 2 5 2 2" xfId="4444"/>
    <cellStyle name="40% - Accent5 2 5 2 2 2" xfId="11188"/>
    <cellStyle name="40% - Accent5 2 5 2 2 2 2" xfId="25130"/>
    <cellStyle name="40% - Accent5 2 5 2 2 3" xfId="22970"/>
    <cellStyle name="40% - Accent5 2 5 2 3" xfId="4445"/>
    <cellStyle name="40% - Accent5 2 5 2 3 2" xfId="12969"/>
    <cellStyle name="40% - Accent5 2 5 2 3 2 2" xfId="26681"/>
    <cellStyle name="40% - Accent5 2 5 2 3 3" xfId="22969"/>
    <cellStyle name="40% - Accent5 2 5 2 4" xfId="4446"/>
    <cellStyle name="40% - Accent5 2 5 2 4 2" xfId="15411"/>
    <cellStyle name="40% - Accent5 2 5 2 4 2 2" xfId="28960"/>
    <cellStyle name="40% - Accent5 2 5 2 4 3" xfId="24256"/>
    <cellStyle name="40% - Accent5 2 5 2 5" xfId="9461"/>
    <cellStyle name="40% - Accent5 2 5 2 5 2" xfId="23936"/>
    <cellStyle name="40% - Accent5 2 5 2 6" xfId="22971"/>
    <cellStyle name="40% - Accent5 2 5 3" xfId="4447"/>
    <cellStyle name="40% - Accent5 2 5 3 2" xfId="11187"/>
    <cellStyle name="40% - Accent5 2 5 3 2 2" xfId="25129"/>
    <cellStyle name="40% - Accent5 2 5 3 3" xfId="22968"/>
    <cellStyle name="40% - Accent5 2 5 4" xfId="4448"/>
    <cellStyle name="40% - Accent5 2 5 4 2" xfId="12968"/>
    <cellStyle name="40% - Accent5 2 5 4 2 2" xfId="26680"/>
    <cellStyle name="40% - Accent5 2 5 4 3" xfId="22967"/>
    <cellStyle name="40% - Accent5 2 5 5" xfId="4449"/>
    <cellStyle name="40% - Accent5 2 5 5 2" xfId="15410"/>
    <cellStyle name="40% - Accent5 2 5 5 2 2" xfId="28959"/>
    <cellStyle name="40% - Accent5 2 5 5 3" xfId="29154"/>
    <cellStyle name="40% - Accent5 2 5 6" xfId="4450"/>
    <cellStyle name="40% - Accent5 2 5 6 2" xfId="17017"/>
    <cellStyle name="40% - Accent5 2 5 6 2 2" xfId="30424"/>
    <cellStyle name="40% - Accent5 2 5 6 3" xfId="22966"/>
    <cellStyle name="40% - Accent5 2 5 7" xfId="9460"/>
    <cellStyle name="40% - Accent5 2 5 7 2" xfId="23935"/>
    <cellStyle name="40% - Accent5 2 5 8" xfId="25279"/>
    <cellStyle name="40% - Accent5 2 6" xfId="4451"/>
    <cellStyle name="40% - Accent5 2 6 2" xfId="4452"/>
    <cellStyle name="40% - Accent5 2 6 2 2" xfId="11189"/>
    <cellStyle name="40% - Accent5 2 6 2 2 2" xfId="25131"/>
    <cellStyle name="40% - Accent5 2 6 2 3" xfId="26848"/>
    <cellStyle name="40% - Accent5 2 6 3" xfId="4453"/>
    <cellStyle name="40% - Accent5 2 6 3 2" xfId="12970"/>
    <cellStyle name="40% - Accent5 2 6 3 2 2" xfId="26682"/>
    <cellStyle name="40% - Accent5 2 6 3 3" xfId="22964"/>
    <cellStyle name="40% - Accent5 2 6 4" xfId="4454"/>
    <cellStyle name="40% - Accent5 2 6 4 2" xfId="15412"/>
    <cellStyle name="40% - Accent5 2 6 4 2 2" xfId="28961"/>
    <cellStyle name="40% - Accent5 2 6 4 3" xfId="22963"/>
    <cellStyle name="40% - Accent5 2 6 5" xfId="4455"/>
    <cellStyle name="40% - Accent5 2 6 5 2" xfId="17128"/>
    <cellStyle name="40% - Accent5 2 6 5 2 2" xfId="30487"/>
    <cellStyle name="40% - Accent5 2 6 5 3" xfId="24259"/>
    <cellStyle name="40% - Accent5 2 6 6" xfId="9462"/>
    <cellStyle name="40% - Accent5 2 6 6 2" xfId="23937"/>
    <cellStyle name="40% - Accent5 2 6 7" xfId="22965"/>
    <cellStyle name="40% - Accent5 2 7" xfId="4456"/>
    <cellStyle name="40% - Accent5 2 7 2" xfId="4457"/>
    <cellStyle name="40% - Accent5 2 7 2 2" xfId="11190"/>
    <cellStyle name="40% - Accent5 2 7 2 2 2" xfId="25132"/>
    <cellStyle name="40% - Accent5 2 7 2 3" xfId="25278"/>
    <cellStyle name="40% - Accent5 2 7 3" xfId="4458"/>
    <cellStyle name="40% - Accent5 2 7 3 2" xfId="12971"/>
    <cellStyle name="40% - Accent5 2 7 3 2 2" xfId="26683"/>
    <cellStyle name="40% - Accent5 2 7 3 3" xfId="22961"/>
    <cellStyle name="40% - Accent5 2 7 4" xfId="4459"/>
    <cellStyle name="40% - Accent5 2 7 4 2" xfId="15413"/>
    <cellStyle name="40% - Accent5 2 7 4 2 2" xfId="28962"/>
    <cellStyle name="40% - Accent5 2 7 4 3" xfId="22960"/>
    <cellStyle name="40% - Accent5 2 7 5" xfId="4460"/>
    <cellStyle name="40% - Accent5 2 7 5 2" xfId="17217"/>
    <cellStyle name="40% - Accent5 2 7 5 2 2" xfId="30576"/>
    <cellStyle name="40% - Accent5 2 7 5 3" xfId="24257"/>
    <cellStyle name="40% - Accent5 2 7 6" xfId="9463"/>
    <cellStyle name="40% - Accent5 2 7 6 2" xfId="23938"/>
    <cellStyle name="40% - Accent5 2 7 7" xfId="22962"/>
    <cellStyle name="40% - Accent5 2 8" xfId="4461"/>
    <cellStyle name="40% - Accent5 2 8 2" xfId="4462"/>
    <cellStyle name="40% - Accent5 2 8 2 2" xfId="12972"/>
    <cellStyle name="40% - Accent5 2 8 2 2 2" xfId="26684"/>
    <cellStyle name="40% - Accent5 2 8 2 3" xfId="22958"/>
    <cellStyle name="40% - Accent5 2 8 3" xfId="4463"/>
    <cellStyle name="40% - Accent5 2 8 3 2" xfId="15414"/>
    <cellStyle name="40% - Accent5 2 8 3 2 2" xfId="28963"/>
    <cellStyle name="40% - Accent5 2 8 3 3" xfId="29153"/>
    <cellStyle name="40% - Accent5 2 8 4" xfId="4464"/>
    <cellStyle name="40% - Accent5 2 8 4 2" xfId="16492"/>
    <cellStyle name="40% - Accent5 2 8 4 2 2" xfId="29899"/>
    <cellStyle name="40% - Accent5 2 8 4 3" xfId="22957"/>
    <cellStyle name="40% - Accent5 2 8 5" xfId="10538"/>
    <cellStyle name="40% - Accent5 2 8 5 2" xfId="24480"/>
    <cellStyle name="40% - Accent5 2 8 6" xfId="22959"/>
    <cellStyle name="40% - Accent5 2 9" xfId="4465"/>
    <cellStyle name="40% - Accent5 2 9 2" xfId="4466"/>
    <cellStyle name="40% - Accent5 2 9 2 2" xfId="12973"/>
    <cellStyle name="40% - Accent5 2 9 2 2 2" xfId="26685"/>
    <cellStyle name="40% - Accent5 2 9 2 3" xfId="26847"/>
    <cellStyle name="40% - Accent5 2 9 3" xfId="4467"/>
    <cellStyle name="40% - Accent5 2 9 3 2" xfId="15415"/>
    <cellStyle name="40% - Accent5 2 9 3 2 2" xfId="28964"/>
    <cellStyle name="40% - Accent5 2 9 3 3" xfId="22955"/>
    <cellStyle name="40% - Accent5 2 9 4" xfId="11172"/>
    <cellStyle name="40% - Accent5 2 9 4 2" xfId="25114"/>
    <cellStyle name="40% - Accent5 2 9 5" xfId="22956"/>
    <cellStyle name="40% - Accent5 20" xfId="4468"/>
    <cellStyle name="40% - Accent5 20 2" xfId="4469"/>
    <cellStyle name="40% - Accent5 20 2 2" xfId="12974"/>
    <cellStyle name="40% - Accent5 20 2 2 2" xfId="26686"/>
    <cellStyle name="40% - Accent5 20 2 3" xfId="24258"/>
    <cellStyle name="40% - Accent5 20 3" xfId="4470"/>
    <cellStyle name="40% - Accent5 20 3 2" xfId="15416"/>
    <cellStyle name="40% - Accent5 20 3 2 2" xfId="28965"/>
    <cellStyle name="40% - Accent5 20 3 3" xfId="22953"/>
    <cellStyle name="40% - Accent5 20 4" xfId="10513"/>
    <cellStyle name="40% - Accent5 20 4 2" xfId="24461"/>
    <cellStyle name="40% - Accent5 20 5" xfId="22954"/>
    <cellStyle name="40% - Accent5 21" xfId="4471"/>
    <cellStyle name="40% - Accent5 21 2" xfId="4472"/>
    <cellStyle name="40% - Accent5 21 2 2" xfId="12975"/>
    <cellStyle name="40% - Accent5 21 2 2 2" xfId="26687"/>
    <cellStyle name="40% - Accent5 21 2 3" xfId="22952"/>
    <cellStyle name="40% - Accent5 21 3" xfId="4473"/>
    <cellStyle name="40% - Accent5 21 3 2" xfId="15417"/>
    <cellStyle name="40% - Accent5 21 3 2 2" xfId="28966"/>
    <cellStyle name="40% - Accent5 21 3 3" xfId="22951"/>
    <cellStyle name="40% - Accent5 21 4" xfId="11161"/>
    <cellStyle name="40% - Accent5 21 4 2" xfId="25103"/>
    <cellStyle name="40% - Accent5 21 5" xfId="25277"/>
    <cellStyle name="40% - Accent5 22" xfId="4474"/>
    <cellStyle name="40% - Accent5 22 2" xfId="11749"/>
    <cellStyle name="40% - Accent5 22 2 2" xfId="25464"/>
    <cellStyle name="40% - Accent5 22 3" xfId="22950"/>
    <cellStyle name="40% - Accent5 23" xfId="4475"/>
    <cellStyle name="40% - Accent5 23 2" xfId="12940"/>
    <cellStyle name="40% - Accent5 23 2 2" xfId="26652"/>
    <cellStyle name="40% - Accent5 23 3" xfId="22949"/>
    <cellStyle name="40% - Accent5 24" xfId="4476"/>
    <cellStyle name="40% - Accent5 24 2" xfId="13388"/>
    <cellStyle name="40% - Accent5 24 2 2" xfId="26937"/>
    <cellStyle name="40% - Accent5 24 3" xfId="24255"/>
    <cellStyle name="40% - Accent5 25" xfId="4477"/>
    <cellStyle name="40% - Accent5 25 2" xfId="13969"/>
    <cellStyle name="40% - Accent5 25 2 2" xfId="27518"/>
    <cellStyle name="40% - Accent5 25 3" xfId="23241"/>
    <cellStyle name="40% - Accent5 26" xfId="4478"/>
    <cellStyle name="40% - Accent5 26 2" xfId="15374"/>
    <cellStyle name="40% - Accent5 26 2 2" xfId="28923"/>
    <cellStyle name="40% - Accent5 26 3" xfId="30682"/>
    <cellStyle name="40% - Accent5 27" xfId="4479"/>
    <cellStyle name="40% - Accent5 27 2" xfId="15831"/>
    <cellStyle name="40% - Accent5 27 2 2" xfId="29238"/>
    <cellStyle name="40% - Accent5 27 3" xfId="22948"/>
    <cellStyle name="40% - Accent5 28" xfId="4480"/>
    <cellStyle name="40% - Accent5 28 2" xfId="15855"/>
    <cellStyle name="40% - Accent5 28 2 2" xfId="29262"/>
    <cellStyle name="40% - Accent5 28 3" xfId="22947"/>
    <cellStyle name="40% - Accent5 29" xfId="4481"/>
    <cellStyle name="40% - Accent5 29 2" xfId="9434"/>
    <cellStyle name="40% - Accent5 29 2 2" xfId="23909"/>
    <cellStyle name="40% - Accent5 29 3" xfId="24221"/>
    <cellStyle name="40% - Accent5 3" xfId="4482"/>
    <cellStyle name="40% - Accent5 3 10" xfId="4483"/>
    <cellStyle name="40% - Accent5 3 10 2" xfId="14048"/>
    <cellStyle name="40% - Accent5 3 10 2 2" xfId="27597"/>
    <cellStyle name="40% - Accent5 3 10 3" xfId="22946"/>
    <cellStyle name="40% - Accent5 3 11" xfId="4484"/>
    <cellStyle name="40% - Accent5 3 11 2" xfId="15418"/>
    <cellStyle name="40% - Accent5 3 11 2 2" xfId="28967"/>
    <cellStyle name="40% - Accent5 3 11 3" xfId="22945"/>
    <cellStyle name="40% - Accent5 3 12" xfId="4485"/>
    <cellStyle name="40% - Accent5 3 12 2" xfId="15934"/>
    <cellStyle name="40% - Accent5 3 12 2 2" xfId="29341"/>
    <cellStyle name="40% - Accent5 3 12 3" xfId="22944"/>
    <cellStyle name="40% - Accent5 3 13" xfId="9464"/>
    <cellStyle name="40% - Accent5 3 13 2" xfId="23939"/>
    <cellStyle name="40% - Accent5 3 14" xfId="23204"/>
    <cellStyle name="40% - Accent5 3 2" xfId="4486"/>
    <cellStyle name="40% - Accent5 3 2 10" xfId="4487"/>
    <cellStyle name="40% - Accent5 3 2 10 2" xfId="16077"/>
    <cellStyle name="40% - Accent5 3 2 10 2 2" xfId="29484"/>
    <cellStyle name="40% - Accent5 3 2 10 3" xfId="22942"/>
    <cellStyle name="40% - Accent5 3 2 11" xfId="9465"/>
    <cellStyle name="40% - Accent5 3 2 11 2" xfId="23940"/>
    <cellStyle name="40% - Accent5 3 2 12" xfId="22943"/>
    <cellStyle name="40% - Accent5 3 2 2" xfId="4488"/>
    <cellStyle name="40% - Accent5 3 2 2 10" xfId="9466"/>
    <cellStyle name="40% - Accent5 3 2 2 10 2" xfId="23941"/>
    <cellStyle name="40% - Accent5 3 2 2 11" xfId="25256"/>
    <cellStyle name="40% - Accent5 3 2 2 2" xfId="4489"/>
    <cellStyle name="40% - Accent5 3 2 2 2 2" xfId="4490"/>
    <cellStyle name="40% - Accent5 3 2 2 2 2 2" xfId="11194"/>
    <cellStyle name="40% - Accent5 3 2 2 2 2 2 2" xfId="25136"/>
    <cellStyle name="40% - Accent5 3 2 2 2 2 3" xfId="29152"/>
    <cellStyle name="40% - Accent5 3 2 2 2 3" xfId="4491"/>
    <cellStyle name="40% - Accent5 3 2 2 2 3 2" xfId="12979"/>
    <cellStyle name="40% - Accent5 3 2 2 2 3 2 2" xfId="26691"/>
    <cellStyle name="40% - Accent5 3 2 2 2 3 3" xfId="22940"/>
    <cellStyle name="40% - Accent5 3 2 2 2 4" xfId="4492"/>
    <cellStyle name="40% - Accent5 3 2 2 2 4 2" xfId="15421"/>
    <cellStyle name="40% - Accent5 3 2 2 2 4 2 2" xfId="28970"/>
    <cellStyle name="40% - Accent5 3 2 2 2 4 3" xfId="22939"/>
    <cellStyle name="40% - Accent5 3 2 2 2 5" xfId="4493"/>
    <cellStyle name="40% - Accent5 3 2 2 2 5 2" xfId="16947"/>
    <cellStyle name="40% - Accent5 3 2 2 2 5 2 2" xfId="30354"/>
    <cellStyle name="40% - Accent5 3 2 2 2 5 3" xfId="22938"/>
    <cellStyle name="40% - Accent5 3 2 2 2 6" xfId="9467"/>
    <cellStyle name="40% - Accent5 3 2 2 2 6 2" xfId="23942"/>
    <cellStyle name="40% - Accent5 3 2 2 2 7" xfId="22941"/>
    <cellStyle name="40% - Accent5 3 2 2 3" xfId="4494"/>
    <cellStyle name="40% - Accent5 3 2 2 3 2" xfId="4495"/>
    <cellStyle name="40% - Accent5 3 2 2 3 2 2" xfId="15422"/>
    <cellStyle name="40% - Accent5 3 2 2 3 2 2 2" xfId="28971"/>
    <cellStyle name="40% - Accent5 3 2 2 3 2 3" xfId="22937"/>
    <cellStyle name="40% - Accent5 3 2 2 3 3" xfId="11193"/>
    <cellStyle name="40% - Accent5 3 2 2 3 3 2" xfId="25135"/>
    <cellStyle name="40% - Accent5 3 2 2 3 4" xfId="29151"/>
    <cellStyle name="40% - Accent5 3 2 2 4" xfId="4496"/>
    <cellStyle name="40% - Accent5 3 2 2 4 2" xfId="12335"/>
    <cellStyle name="40% - Accent5 3 2 2 4 2 2" xfId="26047"/>
    <cellStyle name="40% - Accent5 3 2 2 4 3" xfId="22936"/>
    <cellStyle name="40% - Accent5 3 2 2 5" xfId="4497"/>
    <cellStyle name="40% - Accent5 3 2 2 5 2" xfId="12978"/>
    <cellStyle name="40% - Accent5 3 2 2 5 2 2" xfId="26690"/>
    <cellStyle name="40% - Accent5 3 2 2 5 3" xfId="22935"/>
    <cellStyle name="40% - Accent5 3 2 2 6" xfId="4498"/>
    <cellStyle name="40% - Accent5 3 2 2 6 2" xfId="13899"/>
    <cellStyle name="40% - Accent5 3 2 2 6 2 2" xfId="27448"/>
    <cellStyle name="40% - Accent5 3 2 2 6 3" xfId="22934"/>
    <cellStyle name="40% - Accent5 3 2 2 7" xfId="4499"/>
    <cellStyle name="40% - Accent5 3 2 2 7 2" xfId="14480"/>
    <cellStyle name="40% - Accent5 3 2 2 7 2 2" xfId="28029"/>
    <cellStyle name="40% - Accent5 3 2 2 7 3" xfId="24254"/>
    <cellStyle name="40% - Accent5 3 2 2 8" xfId="4500"/>
    <cellStyle name="40% - Accent5 3 2 2 8 2" xfId="15420"/>
    <cellStyle name="40% - Accent5 3 2 2 8 2 2" xfId="28969"/>
    <cellStyle name="40% - Accent5 3 2 2 8 3" xfId="25276"/>
    <cellStyle name="40% - Accent5 3 2 2 9" xfId="4501"/>
    <cellStyle name="40% - Accent5 3 2 2 9 2" xfId="16366"/>
    <cellStyle name="40% - Accent5 3 2 2 9 2 2" xfId="29773"/>
    <cellStyle name="40% - Accent5 3 2 2 9 3" xfId="22933"/>
    <cellStyle name="40% - Accent5 3 2 3" xfId="4502"/>
    <cellStyle name="40% - Accent5 3 2 3 2" xfId="4503"/>
    <cellStyle name="40% - Accent5 3 2 3 2 2" xfId="11195"/>
    <cellStyle name="40% - Accent5 3 2 3 2 2 2" xfId="25137"/>
    <cellStyle name="40% - Accent5 3 2 3 2 3" xfId="29150"/>
    <cellStyle name="40% - Accent5 3 2 3 3" xfId="4504"/>
    <cellStyle name="40% - Accent5 3 2 3 3 2" xfId="12980"/>
    <cellStyle name="40% - Accent5 3 2 3 3 2 2" xfId="26692"/>
    <cellStyle name="40% - Accent5 3 2 3 3 3" xfId="22931"/>
    <cellStyle name="40% - Accent5 3 2 3 4" xfId="4505"/>
    <cellStyle name="40% - Accent5 3 2 3 4 2" xfId="15423"/>
    <cellStyle name="40% - Accent5 3 2 3 4 2 2" xfId="28972"/>
    <cellStyle name="40% - Accent5 3 2 3 4 3" xfId="22930"/>
    <cellStyle name="40% - Accent5 3 2 3 5" xfId="4506"/>
    <cellStyle name="40% - Accent5 3 2 3 5 2" xfId="16658"/>
    <cellStyle name="40% - Accent5 3 2 3 5 2 2" xfId="30065"/>
    <cellStyle name="40% - Accent5 3 2 3 5 3" xfId="22929"/>
    <cellStyle name="40% - Accent5 3 2 3 6" xfId="9468"/>
    <cellStyle name="40% - Accent5 3 2 3 6 2" xfId="23943"/>
    <cellStyle name="40% - Accent5 3 2 3 7" xfId="22932"/>
    <cellStyle name="40% - Accent5 3 2 4" xfId="4507"/>
    <cellStyle name="40% - Accent5 3 2 4 2" xfId="4508"/>
    <cellStyle name="40% - Accent5 3 2 4 2 2" xfId="15424"/>
    <cellStyle name="40% - Accent5 3 2 4 2 2 2" xfId="28973"/>
    <cellStyle name="40% - Accent5 3 2 4 2 3" xfId="22928"/>
    <cellStyle name="40% - Accent5 3 2 4 3" xfId="11192"/>
    <cellStyle name="40% - Accent5 3 2 4 3 2" xfId="25134"/>
    <cellStyle name="40% - Accent5 3 2 4 4" xfId="24253"/>
    <cellStyle name="40% - Accent5 3 2 5" xfId="4509"/>
    <cellStyle name="40% - Accent5 3 2 5 2" xfId="12035"/>
    <cellStyle name="40% - Accent5 3 2 5 2 2" xfId="25750"/>
    <cellStyle name="40% - Accent5 3 2 5 3" xfId="25275"/>
    <cellStyle name="40% - Accent5 3 2 6" xfId="4510"/>
    <cellStyle name="40% - Accent5 3 2 6 2" xfId="12977"/>
    <cellStyle name="40% - Accent5 3 2 6 2 2" xfId="26689"/>
    <cellStyle name="40% - Accent5 3 2 6 3" xfId="22927"/>
    <cellStyle name="40% - Accent5 3 2 7" xfId="4511"/>
    <cellStyle name="40% - Accent5 3 2 7 2" xfId="13610"/>
    <cellStyle name="40% - Accent5 3 2 7 2 2" xfId="27159"/>
    <cellStyle name="40% - Accent5 3 2 7 3" xfId="22926"/>
    <cellStyle name="40% - Accent5 3 2 8" xfId="4512"/>
    <cellStyle name="40% - Accent5 3 2 8 2" xfId="14191"/>
    <cellStyle name="40% - Accent5 3 2 8 2 2" xfId="27740"/>
    <cellStyle name="40% - Accent5 3 2 8 3" xfId="24252"/>
    <cellStyle name="40% - Accent5 3 2 9" xfId="4513"/>
    <cellStyle name="40% - Accent5 3 2 9 2" xfId="15419"/>
    <cellStyle name="40% - Accent5 3 2 9 2 2" xfId="28968"/>
    <cellStyle name="40% - Accent5 3 2 9 3" xfId="22925"/>
    <cellStyle name="40% - Accent5 3 3" xfId="4514"/>
    <cellStyle name="40% - Accent5 3 3 10" xfId="9469"/>
    <cellStyle name="40% - Accent5 3 3 10 2" xfId="23944"/>
    <cellStyle name="40% - Accent5 3 3 11" xfId="25274"/>
    <cellStyle name="40% - Accent5 3 3 2" xfId="4515"/>
    <cellStyle name="40% - Accent5 3 3 2 2" xfId="4516"/>
    <cellStyle name="40% - Accent5 3 3 2 2 2" xfId="11197"/>
    <cellStyle name="40% - Accent5 3 3 2 2 2 2" xfId="25139"/>
    <cellStyle name="40% - Accent5 3 3 2 2 3" xfId="22923"/>
    <cellStyle name="40% - Accent5 3 3 2 3" xfId="4517"/>
    <cellStyle name="40% - Accent5 3 3 2 3 2" xfId="12982"/>
    <cellStyle name="40% - Accent5 3 3 2 3 2 2" xfId="26694"/>
    <cellStyle name="40% - Accent5 3 3 2 3 3" xfId="24251"/>
    <cellStyle name="40% - Accent5 3 3 2 4" xfId="4518"/>
    <cellStyle name="40% - Accent5 3 3 2 4 2" xfId="15426"/>
    <cellStyle name="40% - Accent5 3 3 2 4 2 2" xfId="28975"/>
    <cellStyle name="40% - Accent5 3 3 2 4 3" xfId="22922"/>
    <cellStyle name="40% - Accent5 3 3 2 5" xfId="4519"/>
    <cellStyle name="40% - Accent5 3 3 2 5 2" xfId="16804"/>
    <cellStyle name="40% - Accent5 3 3 2 5 2 2" xfId="30211"/>
    <cellStyle name="40% - Accent5 3 3 2 5 3" xfId="22921"/>
    <cellStyle name="40% - Accent5 3 3 2 6" xfId="9470"/>
    <cellStyle name="40% - Accent5 3 3 2 6 2" xfId="23945"/>
    <cellStyle name="40% - Accent5 3 3 2 7" xfId="22924"/>
    <cellStyle name="40% - Accent5 3 3 3" xfId="4520"/>
    <cellStyle name="40% - Accent5 3 3 3 2" xfId="4521"/>
    <cellStyle name="40% - Accent5 3 3 3 2 2" xfId="15427"/>
    <cellStyle name="40% - Accent5 3 3 3 2 2 2" xfId="28976"/>
    <cellStyle name="40% - Accent5 3 3 3 2 3" xfId="22920"/>
    <cellStyle name="40% - Accent5 3 3 3 3" xfId="11196"/>
    <cellStyle name="40% - Accent5 3 3 3 3 2" xfId="25138"/>
    <cellStyle name="40% - Accent5 3 3 3 4" xfId="24249"/>
    <cellStyle name="40% - Accent5 3 3 4" xfId="4522"/>
    <cellStyle name="40% - Accent5 3 3 4 2" xfId="12192"/>
    <cellStyle name="40% - Accent5 3 3 4 2 2" xfId="25904"/>
    <cellStyle name="40% - Accent5 3 3 4 3" xfId="25272"/>
    <cellStyle name="40% - Accent5 3 3 5" xfId="4523"/>
    <cellStyle name="40% - Accent5 3 3 5 2" xfId="12981"/>
    <cellStyle name="40% - Accent5 3 3 5 2 2" xfId="26693"/>
    <cellStyle name="40% - Accent5 3 3 5 3" xfId="22919"/>
    <cellStyle name="40% - Accent5 3 3 6" xfId="4524"/>
    <cellStyle name="40% - Accent5 3 3 6 2" xfId="13756"/>
    <cellStyle name="40% - Accent5 3 3 6 2 2" xfId="27305"/>
    <cellStyle name="40% - Accent5 3 3 6 3" xfId="24250"/>
    <cellStyle name="40% - Accent5 3 3 7" xfId="4525"/>
    <cellStyle name="40% - Accent5 3 3 7 2" xfId="14337"/>
    <cellStyle name="40% - Accent5 3 3 7 2 2" xfId="27886"/>
    <cellStyle name="40% - Accent5 3 3 7 3" xfId="25273"/>
    <cellStyle name="40% - Accent5 3 3 8" xfId="4526"/>
    <cellStyle name="40% - Accent5 3 3 8 2" xfId="15425"/>
    <cellStyle name="40% - Accent5 3 3 8 2 2" xfId="28974"/>
    <cellStyle name="40% - Accent5 3 3 8 3" xfId="22918"/>
    <cellStyle name="40% - Accent5 3 3 9" xfId="4527"/>
    <cellStyle name="40% - Accent5 3 3 9 2" xfId="16223"/>
    <cellStyle name="40% - Accent5 3 3 9 2 2" xfId="29630"/>
    <cellStyle name="40% - Accent5 3 3 9 3" xfId="22917"/>
    <cellStyle name="40% - Accent5 3 4" xfId="4528"/>
    <cellStyle name="40% - Accent5 3 4 2" xfId="4529"/>
    <cellStyle name="40% - Accent5 3 4 2 2" xfId="11198"/>
    <cellStyle name="40% - Accent5 3 4 2 2 2" xfId="25140"/>
    <cellStyle name="40% - Accent5 3 4 2 3" xfId="24247"/>
    <cellStyle name="40% - Accent5 3 4 3" xfId="4530"/>
    <cellStyle name="40% - Accent5 3 4 3 2" xfId="12983"/>
    <cellStyle name="40% - Accent5 3 4 3 2 2" xfId="26695"/>
    <cellStyle name="40% - Accent5 3 4 3 3" xfId="22915"/>
    <cellStyle name="40% - Accent5 3 4 4" xfId="4531"/>
    <cellStyle name="40% - Accent5 3 4 4 2" xfId="15428"/>
    <cellStyle name="40% - Accent5 3 4 4 2 2" xfId="28977"/>
    <cellStyle name="40% - Accent5 3 4 4 3" xfId="22914"/>
    <cellStyle name="40% - Accent5 3 4 5" xfId="4532"/>
    <cellStyle name="40% - Accent5 3 4 5 2" xfId="17151"/>
    <cellStyle name="40% - Accent5 3 4 5 2 2" xfId="30510"/>
    <cellStyle name="40% - Accent5 3 4 5 3" xfId="29149"/>
    <cellStyle name="40% - Accent5 3 4 6" xfId="9471"/>
    <cellStyle name="40% - Accent5 3 4 6 2" xfId="23946"/>
    <cellStyle name="40% - Accent5 3 4 7" xfId="22916"/>
    <cellStyle name="40% - Accent5 3 5" xfId="4533"/>
    <cellStyle name="40% - Accent5 3 5 2" xfId="4534"/>
    <cellStyle name="40% - Accent5 3 5 2 2" xfId="11199"/>
    <cellStyle name="40% - Accent5 3 5 2 2 2" xfId="25141"/>
    <cellStyle name="40% - Accent5 3 5 2 3" xfId="22912"/>
    <cellStyle name="40% - Accent5 3 5 3" xfId="4535"/>
    <cellStyle name="40% - Accent5 3 5 3 2" xfId="12984"/>
    <cellStyle name="40% - Accent5 3 5 3 2 2" xfId="26696"/>
    <cellStyle name="40% - Accent5 3 5 3 3" xfId="26843"/>
    <cellStyle name="40% - Accent5 3 5 4" xfId="4536"/>
    <cellStyle name="40% - Accent5 3 5 4 2" xfId="15429"/>
    <cellStyle name="40% - Accent5 3 5 4 2 2" xfId="28978"/>
    <cellStyle name="40% - Accent5 3 5 4 3" xfId="22911"/>
    <cellStyle name="40% - Accent5 3 5 5" xfId="4537"/>
    <cellStyle name="40% - Accent5 3 5 5 2" xfId="17240"/>
    <cellStyle name="40% - Accent5 3 5 5 2 2" xfId="30599"/>
    <cellStyle name="40% - Accent5 3 5 5 3" xfId="22910"/>
    <cellStyle name="40% - Accent5 3 5 6" xfId="9472"/>
    <cellStyle name="40% - Accent5 3 5 6 2" xfId="23947"/>
    <cellStyle name="40% - Accent5 3 5 7" xfId="22913"/>
    <cellStyle name="40% - Accent5 3 6" xfId="4538"/>
    <cellStyle name="40% - Accent5 3 6 2" xfId="4539"/>
    <cellStyle name="40% - Accent5 3 6 2 2" xfId="15430"/>
    <cellStyle name="40% - Accent5 3 6 2 2 2" xfId="28979"/>
    <cellStyle name="40% - Accent5 3 6 2 3" xfId="22909"/>
    <cellStyle name="40% - Accent5 3 6 3" xfId="4540"/>
    <cellStyle name="40% - Accent5 3 6 3 2" xfId="16515"/>
    <cellStyle name="40% - Accent5 3 6 3 2 2" xfId="29922"/>
    <cellStyle name="40% - Accent5 3 6 3 3" xfId="25271"/>
    <cellStyle name="40% - Accent5 3 6 4" xfId="11191"/>
    <cellStyle name="40% - Accent5 3 6 4 2" xfId="25133"/>
    <cellStyle name="40% - Accent5 3 6 5" xfId="24248"/>
    <cellStyle name="40% - Accent5 3 7" xfId="4541"/>
    <cellStyle name="40% - Accent5 3 7 2" xfId="11887"/>
    <cellStyle name="40% - Accent5 3 7 2 2" xfId="25602"/>
    <cellStyle name="40% - Accent5 3 7 3" xfId="22908"/>
    <cellStyle name="40% - Accent5 3 8" xfId="4542"/>
    <cellStyle name="40% - Accent5 3 8 2" xfId="12976"/>
    <cellStyle name="40% - Accent5 3 8 2 2" xfId="26688"/>
    <cellStyle name="40% - Accent5 3 8 3" xfId="22907"/>
    <cellStyle name="40% - Accent5 3 9" xfId="4543"/>
    <cellStyle name="40% - Accent5 3 9 2" xfId="13467"/>
    <cellStyle name="40% - Accent5 3 9 2 2" xfId="27016"/>
    <cellStyle name="40% - Accent5 3 9 3" xfId="22906"/>
    <cellStyle name="40% - Accent5 30" xfId="23260"/>
    <cellStyle name="40% - Accent5 4" xfId="4544"/>
    <cellStyle name="40% - Accent5 4 10" xfId="4545"/>
    <cellStyle name="40% - Accent5 4 10 2" xfId="15431"/>
    <cellStyle name="40% - Accent5 4 10 2 2" xfId="28980"/>
    <cellStyle name="40% - Accent5 4 10 3" xfId="22905"/>
    <cellStyle name="40% - Accent5 4 11" xfId="4546"/>
    <cellStyle name="40% - Accent5 4 11 2" xfId="15889"/>
    <cellStyle name="40% - Accent5 4 11 2 2" xfId="29296"/>
    <cellStyle name="40% - Accent5 4 11 3" xfId="22904"/>
    <cellStyle name="40% - Accent5 4 12" xfId="9473"/>
    <cellStyle name="40% - Accent5 4 12 2" xfId="23948"/>
    <cellStyle name="40% - Accent5 4 13" xfId="24243"/>
    <cellStyle name="40% - Accent5 4 2" xfId="4547"/>
    <cellStyle name="40% - Accent5 4 2 10" xfId="4548"/>
    <cellStyle name="40% - Accent5 4 2 10 2" xfId="16032"/>
    <cellStyle name="40% - Accent5 4 2 10 2 2" xfId="29439"/>
    <cellStyle name="40% - Accent5 4 2 10 3" xfId="22903"/>
    <cellStyle name="40% - Accent5 4 2 11" xfId="9474"/>
    <cellStyle name="40% - Accent5 4 2 11 2" xfId="23949"/>
    <cellStyle name="40% - Accent5 4 2 12" xfId="29148"/>
    <cellStyle name="40% - Accent5 4 2 2" xfId="4549"/>
    <cellStyle name="40% - Accent5 4 2 2 10" xfId="9475"/>
    <cellStyle name="40% - Accent5 4 2 2 10 2" xfId="23950"/>
    <cellStyle name="40% - Accent5 4 2 2 11" xfId="22902"/>
    <cellStyle name="40% - Accent5 4 2 2 2" xfId="4550"/>
    <cellStyle name="40% - Accent5 4 2 2 2 2" xfId="4551"/>
    <cellStyle name="40% - Accent5 4 2 2 2 2 2" xfId="11203"/>
    <cellStyle name="40% - Accent5 4 2 2 2 2 2 2" xfId="25145"/>
    <cellStyle name="40% - Accent5 4 2 2 2 2 3" xfId="22901"/>
    <cellStyle name="40% - Accent5 4 2 2 2 3" xfId="4552"/>
    <cellStyle name="40% - Accent5 4 2 2 2 3 2" xfId="12988"/>
    <cellStyle name="40% - Accent5 4 2 2 2 3 2 2" xfId="26700"/>
    <cellStyle name="40% - Accent5 4 2 2 2 3 3" xfId="22900"/>
    <cellStyle name="40% - Accent5 4 2 2 2 4" xfId="4553"/>
    <cellStyle name="40% - Accent5 4 2 2 2 4 2" xfId="15434"/>
    <cellStyle name="40% - Accent5 4 2 2 2 4 2 2" xfId="28983"/>
    <cellStyle name="40% - Accent5 4 2 2 2 4 3" xfId="24246"/>
    <cellStyle name="40% - Accent5 4 2 2 2 5" xfId="4554"/>
    <cellStyle name="40% - Accent5 4 2 2 2 5 2" xfId="16902"/>
    <cellStyle name="40% - Accent5 4 2 2 2 5 2 2" xfId="30309"/>
    <cellStyle name="40% - Accent5 4 2 2 2 5 3" xfId="22899"/>
    <cellStyle name="40% - Accent5 4 2 2 2 6" xfId="9476"/>
    <cellStyle name="40% - Accent5 4 2 2 2 6 2" xfId="23951"/>
    <cellStyle name="40% - Accent5 4 2 2 2 7" xfId="26842"/>
    <cellStyle name="40% - Accent5 4 2 2 3" xfId="4555"/>
    <cellStyle name="40% - Accent5 4 2 2 3 2" xfId="4556"/>
    <cellStyle name="40% - Accent5 4 2 2 3 2 2" xfId="15435"/>
    <cellStyle name="40% - Accent5 4 2 2 3 2 2 2" xfId="28984"/>
    <cellStyle name="40% - Accent5 4 2 2 3 2 3" xfId="22898"/>
    <cellStyle name="40% - Accent5 4 2 2 3 3" xfId="11202"/>
    <cellStyle name="40% - Accent5 4 2 2 3 3 2" xfId="25144"/>
    <cellStyle name="40% - Accent5 4 2 2 3 4" xfId="25270"/>
    <cellStyle name="40% - Accent5 4 2 2 4" xfId="4557"/>
    <cellStyle name="40% - Accent5 4 2 2 4 2" xfId="12290"/>
    <cellStyle name="40% - Accent5 4 2 2 4 2 2" xfId="26002"/>
    <cellStyle name="40% - Accent5 4 2 2 4 3" xfId="22897"/>
    <cellStyle name="40% - Accent5 4 2 2 5" xfId="4558"/>
    <cellStyle name="40% - Accent5 4 2 2 5 2" xfId="12987"/>
    <cellStyle name="40% - Accent5 4 2 2 5 2 2" xfId="26699"/>
    <cellStyle name="40% - Accent5 4 2 2 5 3" xfId="24244"/>
    <cellStyle name="40% - Accent5 4 2 2 6" xfId="4559"/>
    <cellStyle name="40% - Accent5 4 2 2 6 2" xfId="13854"/>
    <cellStyle name="40% - Accent5 4 2 2 6 2 2" xfId="27403"/>
    <cellStyle name="40% - Accent5 4 2 2 6 3" xfId="22896"/>
    <cellStyle name="40% - Accent5 4 2 2 7" xfId="4560"/>
    <cellStyle name="40% - Accent5 4 2 2 7 2" xfId="14435"/>
    <cellStyle name="40% - Accent5 4 2 2 7 2 2" xfId="27984"/>
    <cellStyle name="40% - Accent5 4 2 2 7 3" xfId="22895"/>
    <cellStyle name="40% - Accent5 4 2 2 8" xfId="4561"/>
    <cellStyle name="40% - Accent5 4 2 2 8 2" xfId="15433"/>
    <cellStyle name="40% - Accent5 4 2 2 8 2 2" xfId="28982"/>
    <cellStyle name="40% - Accent5 4 2 2 8 3" xfId="29147"/>
    <cellStyle name="40% - Accent5 4 2 2 9" xfId="4562"/>
    <cellStyle name="40% - Accent5 4 2 2 9 2" xfId="16321"/>
    <cellStyle name="40% - Accent5 4 2 2 9 2 2" xfId="29728"/>
    <cellStyle name="40% - Accent5 4 2 2 9 3" xfId="22894"/>
    <cellStyle name="40% - Accent5 4 2 3" xfId="4563"/>
    <cellStyle name="40% - Accent5 4 2 3 2" xfId="4564"/>
    <cellStyle name="40% - Accent5 4 2 3 2 2" xfId="11204"/>
    <cellStyle name="40% - Accent5 4 2 3 2 2 2" xfId="25146"/>
    <cellStyle name="40% - Accent5 4 2 3 2 3" xfId="26841"/>
    <cellStyle name="40% - Accent5 4 2 3 3" xfId="4565"/>
    <cellStyle name="40% - Accent5 4 2 3 3 2" xfId="12989"/>
    <cellStyle name="40% - Accent5 4 2 3 3 2 2" xfId="26701"/>
    <cellStyle name="40% - Accent5 4 2 3 3 3" xfId="22892"/>
    <cellStyle name="40% - Accent5 4 2 3 4" xfId="4566"/>
    <cellStyle name="40% - Accent5 4 2 3 4 2" xfId="15436"/>
    <cellStyle name="40% - Accent5 4 2 3 4 2 2" xfId="28985"/>
    <cellStyle name="40% - Accent5 4 2 3 4 3" xfId="22891"/>
    <cellStyle name="40% - Accent5 4 2 3 5" xfId="4567"/>
    <cellStyle name="40% - Accent5 4 2 3 5 2" xfId="16613"/>
    <cellStyle name="40% - Accent5 4 2 3 5 2 2" xfId="30020"/>
    <cellStyle name="40% - Accent5 4 2 3 5 3" xfId="24245"/>
    <cellStyle name="40% - Accent5 4 2 3 6" xfId="9477"/>
    <cellStyle name="40% - Accent5 4 2 3 6 2" xfId="23952"/>
    <cellStyle name="40% - Accent5 4 2 3 7" xfId="22893"/>
    <cellStyle name="40% - Accent5 4 2 4" xfId="4568"/>
    <cellStyle name="40% - Accent5 4 2 4 2" xfId="4569"/>
    <cellStyle name="40% - Accent5 4 2 4 2 2" xfId="15437"/>
    <cellStyle name="40% - Accent5 4 2 4 2 2 2" xfId="28986"/>
    <cellStyle name="40% - Accent5 4 2 4 2 3" xfId="25269"/>
    <cellStyle name="40% - Accent5 4 2 4 3" xfId="11201"/>
    <cellStyle name="40% - Accent5 4 2 4 3 2" xfId="25143"/>
    <cellStyle name="40% - Accent5 4 2 4 4" xfId="22890"/>
    <cellStyle name="40% - Accent5 4 2 5" xfId="4570"/>
    <cellStyle name="40% - Accent5 4 2 5 2" xfId="11990"/>
    <cellStyle name="40% - Accent5 4 2 5 2 2" xfId="25705"/>
    <cellStyle name="40% - Accent5 4 2 5 3" xfId="22889"/>
    <cellStyle name="40% - Accent5 4 2 6" xfId="4571"/>
    <cellStyle name="40% - Accent5 4 2 6 2" xfId="12986"/>
    <cellStyle name="40% - Accent5 4 2 6 2 2" xfId="26698"/>
    <cellStyle name="40% - Accent5 4 2 6 3" xfId="22888"/>
    <cellStyle name="40% - Accent5 4 2 7" xfId="4572"/>
    <cellStyle name="40% - Accent5 4 2 7 2" xfId="13565"/>
    <cellStyle name="40% - Accent5 4 2 7 2 2" xfId="27114"/>
    <cellStyle name="40% - Accent5 4 2 7 3" xfId="22887"/>
    <cellStyle name="40% - Accent5 4 2 8" xfId="4573"/>
    <cellStyle name="40% - Accent5 4 2 8 2" xfId="14146"/>
    <cellStyle name="40% - Accent5 4 2 8 2 2" xfId="27695"/>
    <cellStyle name="40% - Accent5 4 2 8 3" xfId="22886"/>
    <cellStyle name="40% - Accent5 4 2 9" xfId="4574"/>
    <cellStyle name="40% - Accent5 4 2 9 2" xfId="15432"/>
    <cellStyle name="40% - Accent5 4 2 9 2 2" xfId="28981"/>
    <cellStyle name="40% - Accent5 4 2 9 3" xfId="22885"/>
    <cellStyle name="40% - Accent5 4 3" xfId="4575"/>
    <cellStyle name="40% - Accent5 4 3 10" xfId="9478"/>
    <cellStyle name="40% - Accent5 4 3 10 2" xfId="23953"/>
    <cellStyle name="40% - Accent5 4 3 11" xfId="22884"/>
    <cellStyle name="40% - Accent5 4 3 2" xfId="4576"/>
    <cellStyle name="40% - Accent5 4 3 2 2" xfId="4577"/>
    <cellStyle name="40% - Accent5 4 3 2 2 2" xfId="11206"/>
    <cellStyle name="40% - Accent5 4 3 2 2 2 2" xfId="25148"/>
    <cellStyle name="40% - Accent5 4 3 2 2 3" xfId="22883"/>
    <cellStyle name="40% - Accent5 4 3 2 3" xfId="4578"/>
    <cellStyle name="40% - Accent5 4 3 2 3 2" xfId="12991"/>
    <cellStyle name="40% - Accent5 4 3 2 3 2 2" xfId="26703"/>
    <cellStyle name="40% - Accent5 4 3 2 3 3" xfId="22882"/>
    <cellStyle name="40% - Accent5 4 3 2 4" xfId="4579"/>
    <cellStyle name="40% - Accent5 4 3 2 4 2" xfId="15439"/>
    <cellStyle name="40% - Accent5 4 3 2 4 2 2" xfId="28988"/>
    <cellStyle name="40% - Accent5 4 3 2 4 3" xfId="22881"/>
    <cellStyle name="40% - Accent5 4 3 2 5" xfId="4580"/>
    <cellStyle name="40% - Accent5 4 3 2 5 2" xfId="16762"/>
    <cellStyle name="40% - Accent5 4 3 2 5 2 2" xfId="30169"/>
    <cellStyle name="40% - Accent5 4 3 2 5 3" xfId="26840"/>
    <cellStyle name="40% - Accent5 4 3 2 6" xfId="9479"/>
    <cellStyle name="40% - Accent5 4 3 2 6 2" xfId="23954"/>
    <cellStyle name="40% - Accent5 4 3 2 7" xfId="29146"/>
    <cellStyle name="40% - Accent5 4 3 3" xfId="4581"/>
    <cellStyle name="40% - Accent5 4 3 3 2" xfId="4582"/>
    <cellStyle name="40% - Accent5 4 3 3 2 2" xfId="15440"/>
    <cellStyle name="40% - Accent5 4 3 3 2 2 2" xfId="28989"/>
    <cellStyle name="40% - Accent5 4 3 3 2 3" xfId="22879"/>
    <cellStyle name="40% - Accent5 4 3 3 3" xfId="11205"/>
    <cellStyle name="40% - Accent5 4 3 3 3 2" xfId="25147"/>
    <cellStyle name="40% - Accent5 4 3 3 4" xfId="22880"/>
    <cellStyle name="40% - Accent5 4 3 4" xfId="4583"/>
    <cellStyle name="40% - Accent5 4 3 4 2" xfId="12150"/>
    <cellStyle name="40% - Accent5 4 3 4 2 2" xfId="25862"/>
    <cellStyle name="40% - Accent5 4 3 4 3" xfId="24242"/>
    <cellStyle name="40% - Accent5 4 3 5" xfId="4584"/>
    <cellStyle name="40% - Accent5 4 3 5 2" xfId="12990"/>
    <cellStyle name="40% - Accent5 4 3 5 2 2" xfId="26702"/>
    <cellStyle name="40% - Accent5 4 3 5 3" xfId="22878"/>
    <cellStyle name="40% - Accent5 4 3 6" xfId="4585"/>
    <cellStyle name="40% - Accent5 4 3 6 2" xfId="13714"/>
    <cellStyle name="40% - Accent5 4 3 6 2 2" xfId="27263"/>
    <cellStyle name="40% - Accent5 4 3 6 3" xfId="25268"/>
    <cellStyle name="40% - Accent5 4 3 7" xfId="4586"/>
    <cellStyle name="40% - Accent5 4 3 7 2" xfId="14295"/>
    <cellStyle name="40% - Accent5 4 3 7 2 2" xfId="27844"/>
    <cellStyle name="40% - Accent5 4 3 7 3" xfId="22877"/>
    <cellStyle name="40% - Accent5 4 3 8" xfId="4587"/>
    <cellStyle name="40% - Accent5 4 3 8 2" xfId="15438"/>
    <cellStyle name="40% - Accent5 4 3 8 2 2" xfId="28987"/>
    <cellStyle name="40% - Accent5 4 3 8 3" xfId="22876"/>
    <cellStyle name="40% - Accent5 4 3 9" xfId="4588"/>
    <cellStyle name="40% - Accent5 4 3 9 2" xfId="16181"/>
    <cellStyle name="40% - Accent5 4 3 9 2 2" xfId="29588"/>
    <cellStyle name="40% - Accent5 4 3 9 3" xfId="24241"/>
    <cellStyle name="40% - Accent5 4 4" xfId="4589"/>
    <cellStyle name="40% - Accent5 4 4 2" xfId="4590"/>
    <cellStyle name="40% - Accent5 4 4 2 2" xfId="11207"/>
    <cellStyle name="40% - Accent5 4 4 2 2 2" xfId="25149"/>
    <cellStyle name="40% - Accent5 4 4 2 3" xfId="22874"/>
    <cellStyle name="40% - Accent5 4 4 3" xfId="4591"/>
    <cellStyle name="40% - Accent5 4 4 3 2" xfId="12992"/>
    <cellStyle name="40% - Accent5 4 4 3 2 2" xfId="26704"/>
    <cellStyle name="40% - Accent5 4 4 3 3" xfId="24239"/>
    <cellStyle name="40% - Accent5 4 4 4" xfId="4592"/>
    <cellStyle name="40% - Accent5 4 4 4 2" xfId="15441"/>
    <cellStyle name="40% - Accent5 4 4 4 2 2" xfId="28990"/>
    <cellStyle name="40% - Accent5 4 4 4 3" xfId="22873"/>
    <cellStyle name="40% - Accent5 4 4 5" xfId="4593"/>
    <cellStyle name="40% - Accent5 4 4 5 2" xfId="16470"/>
    <cellStyle name="40% - Accent5 4 4 5 2 2" xfId="29877"/>
    <cellStyle name="40% - Accent5 4 4 5 3" xfId="22872"/>
    <cellStyle name="40% - Accent5 4 4 6" xfId="9480"/>
    <cellStyle name="40% - Accent5 4 4 6 2" xfId="23955"/>
    <cellStyle name="40% - Accent5 4 4 7" xfId="22875"/>
    <cellStyle name="40% - Accent5 4 5" xfId="4594"/>
    <cellStyle name="40% - Accent5 4 5 2" xfId="4595"/>
    <cellStyle name="40% - Accent5 4 5 2 2" xfId="15442"/>
    <cellStyle name="40% - Accent5 4 5 2 2 2" xfId="28991"/>
    <cellStyle name="40% - Accent5 4 5 2 3" xfId="22871"/>
    <cellStyle name="40% - Accent5 4 5 3" xfId="11200"/>
    <cellStyle name="40% - Accent5 4 5 3 2" xfId="25142"/>
    <cellStyle name="40% - Accent5 4 5 4" xfId="29145"/>
    <cellStyle name="40% - Accent5 4 6" xfId="4596"/>
    <cellStyle name="40% - Accent5 4 6 2" xfId="11821"/>
    <cellStyle name="40% - Accent5 4 6 2 2" xfId="25536"/>
    <cellStyle name="40% - Accent5 4 6 3" xfId="22870"/>
    <cellStyle name="40% - Accent5 4 7" xfId="4597"/>
    <cellStyle name="40% - Accent5 4 7 2" xfId="12985"/>
    <cellStyle name="40% - Accent5 4 7 2 2" xfId="26697"/>
    <cellStyle name="40% - Accent5 4 7 3" xfId="26839"/>
    <cellStyle name="40% - Accent5 4 8" xfId="4598"/>
    <cellStyle name="40% - Accent5 4 8 2" xfId="13422"/>
    <cellStyle name="40% - Accent5 4 8 2 2" xfId="26971"/>
    <cellStyle name="40% - Accent5 4 8 3" xfId="22869"/>
    <cellStyle name="40% - Accent5 4 9" xfId="4599"/>
    <cellStyle name="40% - Accent5 4 9 2" xfId="14003"/>
    <cellStyle name="40% - Accent5 4 9 2 2" xfId="27552"/>
    <cellStyle name="40% - Accent5 4 9 3" xfId="22868"/>
    <cellStyle name="40% - Accent5 5" xfId="4600"/>
    <cellStyle name="40% - Accent5 5 10" xfId="4601"/>
    <cellStyle name="40% - Accent5 5 10 2" xfId="15443"/>
    <cellStyle name="40% - Accent5 5 10 2 2" xfId="28992"/>
    <cellStyle name="40% - Accent5 5 10 3" xfId="22867"/>
    <cellStyle name="40% - Accent5 5 11" xfId="4602"/>
    <cellStyle name="40% - Accent5 5 11 2" xfId="15872"/>
    <cellStyle name="40% - Accent5 5 11 2 2" xfId="29279"/>
    <cellStyle name="40% - Accent5 5 11 3" xfId="25267"/>
    <cellStyle name="40% - Accent5 5 12" xfId="9481"/>
    <cellStyle name="40% - Accent5 5 12 2" xfId="23956"/>
    <cellStyle name="40% - Accent5 5 13" xfId="24240"/>
    <cellStyle name="40% - Accent5 5 2" xfId="4603"/>
    <cellStyle name="40% - Accent5 5 2 10" xfId="4604"/>
    <cellStyle name="40% - Accent5 5 2 10 2" xfId="16015"/>
    <cellStyle name="40% - Accent5 5 2 10 2 2" xfId="29422"/>
    <cellStyle name="40% - Accent5 5 2 10 3" xfId="22865"/>
    <cellStyle name="40% - Accent5 5 2 11" xfId="9482"/>
    <cellStyle name="40% - Accent5 5 2 11 2" xfId="23957"/>
    <cellStyle name="40% - Accent5 5 2 12" xfId="22866"/>
    <cellStyle name="40% - Accent5 5 2 2" xfId="4605"/>
    <cellStyle name="40% - Accent5 5 2 2 10" xfId="9483"/>
    <cellStyle name="40% - Accent5 5 2 2 10 2" xfId="23958"/>
    <cellStyle name="40% - Accent5 5 2 2 11" xfId="22864"/>
    <cellStyle name="40% - Accent5 5 2 2 2" xfId="4606"/>
    <cellStyle name="40% - Accent5 5 2 2 2 2" xfId="4607"/>
    <cellStyle name="40% - Accent5 5 2 2 2 2 2" xfId="11211"/>
    <cellStyle name="40% - Accent5 5 2 2 2 2 2 2" xfId="25153"/>
    <cellStyle name="40% - Accent5 5 2 2 2 2 3" xfId="22863"/>
    <cellStyle name="40% - Accent5 5 2 2 2 3" xfId="4608"/>
    <cellStyle name="40% - Accent5 5 2 2 2 3 2" xfId="12996"/>
    <cellStyle name="40% - Accent5 5 2 2 2 3 2 2" xfId="26708"/>
    <cellStyle name="40% - Accent5 5 2 2 2 3 3" xfId="22862"/>
    <cellStyle name="40% - Accent5 5 2 2 2 4" xfId="4609"/>
    <cellStyle name="40% - Accent5 5 2 2 2 4 2" xfId="15446"/>
    <cellStyle name="40% - Accent5 5 2 2 2 4 2 2" xfId="28995"/>
    <cellStyle name="40% - Accent5 5 2 2 2 4 3" xfId="29144"/>
    <cellStyle name="40% - Accent5 5 2 2 2 5" xfId="4610"/>
    <cellStyle name="40% - Accent5 5 2 2 2 5 2" xfId="16885"/>
    <cellStyle name="40% - Accent5 5 2 2 2 5 2 2" xfId="30292"/>
    <cellStyle name="40% - Accent5 5 2 2 2 5 3" xfId="22861"/>
    <cellStyle name="40% - Accent5 5 2 2 2 6" xfId="9484"/>
    <cellStyle name="40% - Accent5 5 2 2 2 6 2" xfId="23959"/>
    <cellStyle name="40% - Accent5 5 2 2 2 7" xfId="24235"/>
    <cellStyle name="40% - Accent5 5 2 2 3" xfId="4611"/>
    <cellStyle name="40% - Accent5 5 2 2 3 2" xfId="4612"/>
    <cellStyle name="40% - Accent5 5 2 2 3 2 2" xfId="15447"/>
    <cellStyle name="40% - Accent5 5 2 2 3 2 2 2" xfId="28996"/>
    <cellStyle name="40% - Accent5 5 2 2 3 2 3" xfId="26838"/>
    <cellStyle name="40% - Accent5 5 2 2 3 3" xfId="11210"/>
    <cellStyle name="40% - Accent5 5 2 2 3 3 2" xfId="25152"/>
    <cellStyle name="40% - Accent5 5 2 2 3 4" xfId="22860"/>
    <cellStyle name="40% - Accent5 5 2 2 4" xfId="4613"/>
    <cellStyle name="40% - Accent5 5 2 2 4 2" xfId="12273"/>
    <cellStyle name="40% - Accent5 5 2 2 4 2 2" xfId="25985"/>
    <cellStyle name="40% - Accent5 5 2 2 4 3" xfId="22859"/>
    <cellStyle name="40% - Accent5 5 2 2 5" xfId="4614"/>
    <cellStyle name="40% - Accent5 5 2 2 5 2" xfId="12995"/>
    <cellStyle name="40% - Accent5 5 2 2 5 2 2" xfId="26707"/>
    <cellStyle name="40% - Accent5 5 2 2 5 3" xfId="22858"/>
    <cellStyle name="40% - Accent5 5 2 2 6" xfId="4615"/>
    <cellStyle name="40% - Accent5 5 2 2 6 2" xfId="13837"/>
    <cellStyle name="40% - Accent5 5 2 2 6 2 2" xfId="27386"/>
    <cellStyle name="40% - Accent5 5 2 2 6 3" xfId="24238"/>
    <cellStyle name="40% - Accent5 5 2 2 7" xfId="4616"/>
    <cellStyle name="40% - Accent5 5 2 2 7 2" xfId="14418"/>
    <cellStyle name="40% - Accent5 5 2 2 7 2 2" xfId="27967"/>
    <cellStyle name="40% - Accent5 5 2 2 7 3" xfId="22857"/>
    <cellStyle name="40% - Accent5 5 2 2 8" xfId="4617"/>
    <cellStyle name="40% - Accent5 5 2 2 8 2" xfId="15445"/>
    <cellStyle name="40% - Accent5 5 2 2 8 2 2" xfId="28994"/>
    <cellStyle name="40% - Accent5 5 2 2 8 3" xfId="25266"/>
    <cellStyle name="40% - Accent5 5 2 2 9" xfId="4618"/>
    <cellStyle name="40% - Accent5 5 2 2 9 2" xfId="16304"/>
    <cellStyle name="40% - Accent5 5 2 2 9 2 2" xfId="29711"/>
    <cellStyle name="40% - Accent5 5 2 2 9 3" xfId="22856"/>
    <cellStyle name="40% - Accent5 5 2 3" xfId="4619"/>
    <cellStyle name="40% - Accent5 5 2 3 2" xfId="4620"/>
    <cellStyle name="40% - Accent5 5 2 3 2 2" xfId="11212"/>
    <cellStyle name="40% - Accent5 5 2 3 2 2 2" xfId="25154"/>
    <cellStyle name="40% - Accent5 5 2 3 2 3" xfId="24236"/>
    <cellStyle name="40% - Accent5 5 2 3 3" xfId="4621"/>
    <cellStyle name="40% - Accent5 5 2 3 3 2" xfId="12997"/>
    <cellStyle name="40% - Accent5 5 2 3 3 2 2" xfId="26709"/>
    <cellStyle name="40% - Accent5 5 2 3 3 3" xfId="22854"/>
    <cellStyle name="40% - Accent5 5 2 3 4" xfId="4622"/>
    <cellStyle name="40% - Accent5 5 2 3 4 2" xfId="15448"/>
    <cellStyle name="40% - Accent5 5 2 3 4 2 2" xfId="28997"/>
    <cellStyle name="40% - Accent5 5 2 3 4 3" xfId="22853"/>
    <cellStyle name="40% - Accent5 5 2 3 5" xfId="4623"/>
    <cellStyle name="40% - Accent5 5 2 3 5 2" xfId="16596"/>
    <cellStyle name="40% - Accent5 5 2 3 5 2 2" xfId="30003"/>
    <cellStyle name="40% - Accent5 5 2 3 5 3" xfId="29143"/>
    <cellStyle name="40% - Accent5 5 2 3 6" xfId="9485"/>
    <cellStyle name="40% - Accent5 5 2 3 6 2" xfId="23960"/>
    <cellStyle name="40% - Accent5 5 2 3 7" xfId="22855"/>
    <cellStyle name="40% - Accent5 5 2 4" xfId="4624"/>
    <cellStyle name="40% - Accent5 5 2 4 2" xfId="4625"/>
    <cellStyle name="40% - Accent5 5 2 4 2 2" xfId="15449"/>
    <cellStyle name="40% - Accent5 5 2 4 2 2 2" xfId="28998"/>
    <cellStyle name="40% - Accent5 5 2 4 2 3" xfId="22851"/>
    <cellStyle name="40% - Accent5 5 2 4 3" xfId="11209"/>
    <cellStyle name="40% - Accent5 5 2 4 3 2" xfId="25151"/>
    <cellStyle name="40% - Accent5 5 2 4 4" xfId="22852"/>
    <cellStyle name="40% - Accent5 5 2 5" xfId="4626"/>
    <cellStyle name="40% - Accent5 5 2 5 2" xfId="11973"/>
    <cellStyle name="40% - Accent5 5 2 5 2 2" xfId="25688"/>
    <cellStyle name="40% - Accent5 5 2 5 3" xfId="26837"/>
    <cellStyle name="40% - Accent5 5 2 6" xfId="4627"/>
    <cellStyle name="40% - Accent5 5 2 6 2" xfId="12994"/>
    <cellStyle name="40% - Accent5 5 2 6 2 2" xfId="26706"/>
    <cellStyle name="40% - Accent5 5 2 6 3" xfId="22850"/>
    <cellStyle name="40% - Accent5 5 2 7" xfId="4628"/>
    <cellStyle name="40% - Accent5 5 2 7 2" xfId="13548"/>
    <cellStyle name="40% - Accent5 5 2 7 2 2" xfId="27097"/>
    <cellStyle name="40% - Accent5 5 2 7 3" xfId="22849"/>
    <cellStyle name="40% - Accent5 5 2 8" xfId="4629"/>
    <cellStyle name="40% - Accent5 5 2 8 2" xfId="14129"/>
    <cellStyle name="40% - Accent5 5 2 8 2 2" xfId="27678"/>
    <cellStyle name="40% - Accent5 5 2 8 3" xfId="24237"/>
    <cellStyle name="40% - Accent5 5 2 9" xfId="4630"/>
    <cellStyle name="40% - Accent5 5 2 9 2" xfId="15444"/>
    <cellStyle name="40% - Accent5 5 2 9 2 2" xfId="28993"/>
    <cellStyle name="40% - Accent5 5 2 9 3" xfId="22848"/>
    <cellStyle name="40% - Accent5 5 3" xfId="4631"/>
    <cellStyle name="40% - Accent5 5 3 10" xfId="9486"/>
    <cellStyle name="40% - Accent5 5 3 10 2" xfId="23961"/>
    <cellStyle name="40% - Accent5 5 3 11" xfId="25265"/>
    <cellStyle name="40% - Accent5 5 3 2" xfId="4632"/>
    <cellStyle name="40% - Accent5 5 3 2 2" xfId="4633"/>
    <cellStyle name="40% - Accent5 5 3 2 2 2" xfId="11214"/>
    <cellStyle name="40% - Accent5 5 3 2 2 2 2" xfId="25156"/>
    <cellStyle name="40% - Accent5 5 3 2 2 3" xfId="22846"/>
    <cellStyle name="40% - Accent5 5 3 2 3" xfId="4634"/>
    <cellStyle name="40% - Accent5 5 3 2 3 2" xfId="12999"/>
    <cellStyle name="40% - Accent5 5 3 2 3 2 2" xfId="26711"/>
    <cellStyle name="40% - Accent5 5 3 2 3 3" xfId="22845"/>
    <cellStyle name="40% - Accent5 5 3 2 4" xfId="4635"/>
    <cellStyle name="40% - Accent5 5 3 2 4 2" xfId="15451"/>
    <cellStyle name="40% - Accent5 5 3 2 4 2 2" xfId="29000"/>
    <cellStyle name="40% - Accent5 5 3 2 4 3" xfId="22844"/>
    <cellStyle name="40% - Accent5 5 3 2 5" xfId="4636"/>
    <cellStyle name="40% - Accent5 5 3 2 5 2" xfId="16745"/>
    <cellStyle name="40% - Accent5 5 3 2 5 2 2" xfId="30152"/>
    <cellStyle name="40% - Accent5 5 3 2 5 3" xfId="24234"/>
    <cellStyle name="40% - Accent5 5 3 2 6" xfId="9487"/>
    <cellStyle name="40% - Accent5 5 3 2 6 2" xfId="23962"/>
    <cellStyle name="40% - Accent5 5 3 2 7" xfId="22847"/>
    <cellStyle name="40% - Accent5 5 3 3" xfId="4637"/>
    <cellStyle name="40% - Accent5 5 3 3 2" xfId="4638"/>
    <cellStyle name="40% - Accent5 5 3 3 2 2" xfId="15452"/>
    <cellStyle name="40% - Accent5 5 3 3 2 2 2" xfId="29001"/>
    <cellStyle name="40% - Accent5 5 3 3 2 3" xfId="23231"/>
    <cellStyle name="40% - Accent5 5 3 3 3" xfId="11213"/>
    <cellStyle name="40% - Accent5 5 3 3 3 2" xfId="25155"/>
    <cellStyle name="40% - Accent5 5 3 3 4" xfId="22843"/>
    <cellStyle name="40% - Accent5 5 3 4" xfId="4639"/>
    <cellStyle name="40% - Accent5 5 3 4 2" xfId="12133"/>
    <cellStyle name="40% - Accent5 5 3 4 2 2" xfId="25845"/>
    <cellStyle name="40% - Accent5 5 3 4 3" xfId="24233"/>
    <cellStyle name="40% - Accent5 5 3 5" xfId="4640"/>
    <cellStyle name="40% - Accent5 5 3 5 2" xfId="12998"/>
    <cellStyle name="40% - Accent5 5 3 5 2 2" xfId="26710"/>
    <cellStyle name="40% - Accent5 5 3 5 3" xfId="22842"/>
    <cellStyle name="40% - Accent5 5 3 6" xfId="4641"/>
    <cellStyle name="40% - Accent5 5 3 6 2" xfId="13697"/>
    <cellStyle name="40% - Accent5 5 3 6 2 2" xfId="27246"/>
    <cellStyle name="40% - Accent5 5 3 6 3" xfId="22841"/>
    <cellStyle name="40% - Accent5 5 3 7" xfId="4642"/>
    <cellStyle name="40% - Accent5 5 3 7 2" xfId="14278"/>
    <cellStyle name="40% - Accent5 5 3 7 2 2" xfId="27827"/>
    <cellStyle name="40% - Accent5 5 3 7 3" xfId="22840"/>
    <cellStyle name="40% - Accent5 5 3 8" xfId="4643"/>
    <cellStyle name="40% - Accent5 5 3 8 2" xfId="15450"/>
    <cellStyle name="40% - Accent5 5 3 8 2 2" xfId="28999"/>
    <cellStyle name="40% - Accent5 5 3 8 3" xfId="22839"/>
    <cellStyle name="40% - Accent5 5 3 9" xfId="4644"/>
    <cellStyle name="40% - Accent5 5 3 9 2" xfId="16164"/>
    <cellStyle name="40% - Accent5 5 3 9 2 2" xfId="29571"/>
    <cellStyle name="40% - Accent5 5 3 9 3" xfId="22838"/>
    <cellStyle name="40% - Accent5 5 4" xfId="4645"/>
    <cellStyle name="40% - Accent5 5 4 2" xfId="4646"/>
    <cellStyle name="40% - Accent5 5 4 2 2" xfId="11215"/>
    <cellStyle name="40% - Accent5 5 4 2 2 2" xfId="25157"/>
    <cellStyle name="40% - Accent5 5 4 2 3" xfId="29142"/>
    <cellStyle name="40% - Accent5 5 4 3" xfId="4647"/>
    <cellStyle name="40% - Accent5 5 4 3 2" xfId="13000"/>
    <cellStyle name="40% - Accent5 5 4 3 2 2" xfId="26712"/>
    <cellStyle name="40% - Accent5 5 4 3 3" xfId="22837"/>
    <cellStyle name="40% - Accent5 5 4 4" xfId="4648"/>
    <cellStyle name="40% - Accent5 5 4 4 2" xfId="15453"/>
    <cellStyle name="40% - Accent5 5 4 4 2 2" xfId="29002"/>
    <cellStyle name="40% - Accent5 5 4 4 3" xfId="22836"/>
    <cellStyle name="40% - Accent5 5 4 5" xfId="4649"/>
    <cellStyle name="40% - Accent5 5 4 5 2" xfId="16453"/>
    <cellStyle name="40% - Accent5 5 4 5 2 2" xfId="29860"/>
    <cellStyle name="40% - Accent5 5 4 5 3" xfId="22835"/>
    <cellStyle name="40% - Accent5 5 4 6" xfId="9488"/>
    <cellStyle name="40% - Accent5 5 4 6 2" xfId="23963"/>
    <cellStyle name="40% - Accent5 5 4 7" xfId="25451"/>
    <cellStyle name="40% - Accent5 5 5" xfId="4650"/>
    <cellStyle name="40% - Accent5 5 5 2" xfId="4651"/>
    <cellStyle name="40% - Accent5 5 5 2 2" xfId="15454"/>
    <cellStyle name="40% - Accent5 5 5 2 2 2" xfId="29003"/>
    <cellStyle name="40% - Accent5 5 5 2 3" xfId="22834"/>
    <cellStyle name="40% - Accent5 5 5 3" xfId="11208"/>
    <cellStyle name="40% - Accent5 5 5 3 2" xfId="25150"/>
    <cellStyle name="40% - Accent5 5 5 4" xfId="25264"/>
    <cellStyle name="40% - Accent5 5 6" xfId="4652"/>
    <cellStyle name="40% - Accent5 5 6 2" xfId="11804"/>
    <cellStyle name="40% - Accent5 5 6 2 2" xfId="25519"/>
    <cellStyle name="40% - Accent5 5 6 3" xfId="22833"/>
    <cellStyle name="40% - Accent5 5 7" xfId="4653"/>
    <cellStyle name="40% - Accent5 5 7 2" xfId="12993"/>
    <cellStyle name="40% - Accent5 5 7 2 2" xfId="26705"/>
    <cellStyle name="40% - Accent5 5 7 3" xfId="24232"/>
    <cellStyle name="40% - Accent5 5 8" xfId="4654"/>
    <cellStyle name="40% - Accent5 5 8 2" xfId="13405"/>
    <cellStyle name="40% - Accent5 5 8 2 2" xfId="26954"/>
    <cellStyle name="40% - Accent5 5 8 3" xfId="25263"/>
    <cellStyle name="40% - Accent5 5 9" xfId="4655"/>
    <cellStyle name="40% - Accent5 5 9 2" xfId="13986"/>
    <cellStyle name="40% - Accent5 5 9 2 2" xfId="27535"/>
    <cellStyle name="40% - Accent5 5 9 3" xfId="22832"/>
    <cellStyle name="40% - Accent5 6" xfId="4656"/>
    <cellStyle name="40% - Accent5 6 10" xfId="4657"/>
    <cellStyle name="40% - Accent5 6 10 2" xfId="15455"/>
    <cellStyle name="40% - Accent5 6 10 2 2" xfId="29004"/>
    <cellStyle name="40% - Accent5 6 10 3" xfId="24231"/>
    <cellStyle name="40% - Accent5 6 11" xfId="4658"/>
    <cellStyle name="40% - Accent5 6 11 2" xfId="15978"/>
    <cellStyle name="40% - Accent5 6 11 2 2" xfId="29385"/>
    <cellStyle name="40% - Accent5 6 11 3" xfId="25262"/>
    <cellStyle name="40% - Accent5 6 12" xfId="9489"/>
    <cellStyle name="40% - Accent5 6 12 2" xfId="23964"/>
    <cellStyle name="40% - Accent5 6 13" xfId="22831"/>
    <cellStyle name="40% - Accent5 6 2" xfId="4659"/>
    <cellStyle name="40% - Accent5 6 2 10" xfId="4660"/>
    <cellStyle name="40% - Accent5 6 2 10 2" xfId="16121"/>
    <cellStyle name="40% - Accent5 6 2 10 2 2" xfId="29528"/>
    <cellStyle name="40% - Accent5 6 2 10 3" xfId="22829"/>
    <cellStyle name="40% - Accent5 6 2 11" xfId="9490"/>
    <cellStyle name="40% - Accent5 6 2 11 2" xfId="23965"/>
    <cellStyle name="40% - Accent5 6 2 12" xfId="22830"/>
    <cellStyle name="40% - Accent5 6 2 2" xfId="4661"/>
    <cellStyle name="40% - Accent5 6 2 2 10" xfId="9491"/>
    <cellStyle name="40% - Accent5 6 2 2 10 2" xfId="23966"/>
    <cellStyle name="40% - Accent5 6 2 2 11" xfId="24230"/>
    <cellStyle name="40% - Accent5 6 2 2 2" xfId="4662"/>
    <cellStyle name="40% - Accent5 6 2 2 2 2" xfId="4663"/>
    <cellStyle name="40% - Accent5 6 2 2 2 2 2" xfId="11219"/>
    <cellStyle name="40% - Accent5 6 2 2 2 2 2 2" xfId="25161"/>
    <cellStyle name="40% - Accent5 6 2 2 2 2 3" xfId="22828"/>
    <cellStyle name="40% - Accent5 6 2 2 2 3" xfId="4664"/>
    <cellStyle name="40% - Accent5 6 2 2 2 3 2" xfId="13004"/>
    <cellStyle name="40% - Accent5 6 2 2 2 3 2 2" xfId="26716"/>
    <cellStyle name="40% - Accent5 6 2 2 2 3 3" xfId="22827"/>
    <cellStyle name="40% - Accent5 6 2 2 2 4" xfId="4665"/>
    <cellStyle name="40% - Accent5 6 2 2 2 4 2" xfId="15458"/>
    <cellStyle name="40% - Accent5 6 2 2 2 4 2 2" xfId="29007"/>
    <cellStyle name="40% - Accent5 6 2 2 2 4 3" xfId="24229"/>
    <cellStyle name="40% - Accent5 6 2 2 2 5" xfId="4666"/>
    <cellStyle name="40% - Accent5 6 2 2 2 5 2" xfId="16991"/>
    <cellStyle name="40% - Accent5 6 2 2 2 5 2 2" xfId="30398"/>
    <cellStyle name="40% - Accent5 6 2 2 2 5 3" xfId="25260"/>
    <cellStyle name="40% - Accent5 6 2 2 2 6" xfId="9492"/>
    <cellStyle name="40% - Accent5 6 2 2 2 6 2" xfId="23967"/>
    <cellStyle name="40% - Accent5 6 2 2 2 7" xfId="25261"/>
    <cellStyle name="40% - Accent5 6 2 2 3" xfId="4667"/>
    <cellStyle name="40% - Accent5 6 2 2 3 2" xfId="4668"/>
    <cellStyle name="40% - Accent5 6 2 2 3 2 2" xfId="15459"/>
    <cellStyle name="40% - Accent5 6 2 2 3 2 2 2" xfId="29008"/>
    <cellStyle name="40% - Accent5 6 2 2 3 2 3" xfId="22825"/>
    <cellStyle name="40% - Accent5 6 2 2 3 3" xfId="11218"/>
    <cellStyle name="40% - Accent5 6 2 2 3 3 2" xfId="25160"/>
    <cellStyle name="40% - Accent5 6 2 2 3 4" xfId="22826"/>
    <cellStyle name="40% - Accent5 6 2 2 4" xfId="4669"/>
    <cellStyle name="40% - Accent5 6 2 2 4 2" xfId="12379"/>
    <cellStyle name="40% - Accent5 6 2 2 4 2 2" xfId="26091"/>
    <cellStyle name="40% - Accent5 6 2 2 4 3" xfId="24228"/>
    <cellStyle name="40% - Accent5 6 2 2 5" xfId="4670"/>
    <cellStyle name="40% - Accent5 6 2 2 5 2" xfId="13003"/>
    <cellStyle name="40% - Accent5 6 2 2 5 2 2" xfId="26715"/>
    <cellStyle name="40% - Accent5 6 2 2 5 3" xfId="22824"/>
    <cellStyle name="40% - Accent5 6 2 2 6" xfId="4671"/>
    <cellStyle name="40% - Accent5 6 2 2 6 2" xfId="13943"/>
    <cellStyle name="40% - Accent5 6 2 2 6 2 2" xfId="27492"/>
    <cellStyle name="40% - Accent5 6 2 2 6 3" xfId="25259"/>
    <cellStyle name="40% - Accent5 6 2 2 7" xfId="4672"/>
    <cellStyle name="40% - Accent5 6 2 2 7 2" xfId="14524"/>
    <cellStyle name="40% - Accent5 6 2 2 7 2 2" xfId="28073"/>
    <cellStyle name="40% - Accent5 6 2 2 7 3" xfId="22823"/>
    <cellStyle name="40% - Accent5 6 2 2 8" xfId="4673"/>
    <cellStyle name="40% - Accent5 6 2 2 8 2" xfId="15457"/>
    <cellStyle name="40% - Accent5 6 2 2 8 2 2" xfId="29006"/>
    <cellStyle name="40% - Accent5 6 2 2 8 3" xfId="22822"/>
    <cellStyle name="40% - Accent5 6 2 2 9" xfId="4674"/>
    <cellStyle name="40% - Accent5 6 2 2 9 2" xfId="16410"/>
    <cellStyle name="40% - Accent5 6 2 2 9 2 2" xfId="29817"/>
    <cellStyle name="40% - Accent5 6 2 2 9 3" xfId="24226"/>
    <cellStyle name="40% - Accent5 6 2 3" xfId="4675"/>
    <cellStyle name="40% - Accent5 6 2 3 2" xfId="4676"/>
    <cellStyle name="40% - Accent5 6 2 3 2 2" xfId="11220"/>
    <cellStyle name="40% - Accent5 6 2 3 2 2 2" xfId="25162"/>
    <cellStyle name="40% - Accent5 6 2 3 2 3" xfId="25257"/>
    <cellStyle name="40% - Accent5 6 2 3 3" xfId="4677"/>
    <cellStyle name="40% - Accent5 6 2 3 3 2" xfId="13005"/>
    <cellStyle name="40% - Accent5 6 2 3 3 2 2" xfId="26717"/>
    <cellStyle name="40% - Accent5 6 2 3 3 3" xfId="22820"/>
    <cellStyle name="40% - Accent5 6 2 3 4" xfId="4678"/>
    <cellStyle name="40% - Accent5 6 2 3 4 2" xfId="15460"/>
    <cellStyle name="40% - Accent5 6 2 3 4 2 2" xfId="29009"/>
    <cellStyle name="40% - Accent5 6 2 3 4 3" xfId="24227"/>
    <cellStyle name="40% - Accent5 6 2 3 5" xfId="4679"/>
    <cellStyle name="40% - Accent5 6 2 3 5 2" xfId="16702"/>
    <cellStyle name="40% - Accent5 6 2 3 5 2 2" xfId="30109"/>
    <cellStyle name="40% - Accent5 6 2 3 5 3" xfId="25258"/>
    <cellStyle name="40% - Accent5 6 2 3 6" xfId="9493"/>
    <cellStyle name="40% - Accent5 6 2 3 6 2" xfId="23968"/>
    <cellStyle name="40% - Accent5 6 2 3 7" xfId="22821"/>
    <cellStyle name="40% - Accent5 6 2 4" xfId="4680"/>
    <cellStyle name="40% - Accent5 6 2 4 2" xfId="4681"/>
    <cellStyle name="40% - Accent5 6 2 4 2 2" xfId="15461"/>
    <cellStyle name="40% - Accent5 6 2 4 2 2 2" xfId="29010"/>
    <cellStyle name="40% - Accent5 6 2 4 2 3" xfId="22818"/>
    <cellStyle name="40% - Accent5 6 2 4 3" xfId="11217"/>
    <cellStyle name="40% - Accent5 6 2 4 3 2" xfId="25159"/>
    <cellStyle name="40% - Accent5 6 2 4 4" xfId="22819"/>
    <cellStyle name="40% - Accent5 6 2 5" xfId="4682"/>
    <cellStyle name="40% - Accent5 6 2 5 2" xfId="12079"/>
    <cellStyle name="40% - Accent5 6 2 5 2 2" xfId="25794"/>
    <cellStyle name="40% - Accent5 6 2 5 3" xfId="22817"/>
    <cellStyle name="40% - Accent5 6 2 6" xfId="4683"/>
    <cellStyle name="40% - Accent5 6 2 6 2" xfId="13002"/>
    <cellStyle name="40% - Accent5 6 2 6 2 2" xfId="26714"/>
    <cellStyle name="40% - Accent5 6 2 6 3" xfId="24225"/>
    <cellStyle name="40% - Accent5 6 2 7" xfId="4684"/>
    <cellStyle name="40% - Accent5 6 2 7 2" xfId="13654"/>
    <cellStyle name="40% - Accent5 6 2 7 2 2" xfId="27203"/>
    <cellStyle name="40% - Accent5 6 2 7 3" xfId="22816"/>
    <cellStyle name="40% - Accent5 6 2 8" xfId="4685"/>
    <cellStyle name="40% - Accent5 6 2 8 2" xfId="14235"/>
    <cellStyle name="40% - Accent5 6 2 8 2 2" xfId="27784"/>
    <cellStyle name="40% - Accent5 6 2 8 3" xfId="22815"/>
    <cellStyle name="40% - Accent5 6 2 9" xfId="4686"/>
    <cellStyle name="40% - Accent5 6 2 9 2" xfId="15456"/>
    <cellStyle name="40% - Accent5 6 2 9 2 2" xfId="29005"/>
    <cellStyle name="40% - Accent5 6 2 9 3" xfId="24224"/>
    <cellStyle name="40% - Accent5 6 3" xfId="4687"/>
    <cellStyle name="40% - Accent5 6 3 10" xfId="9494"/>
    <cellStyle name="40% - Accent5 6 3 10 2" xfId="23969"/>
    <cellStyle name="40% - Accent5 6 3 11" xfId="22814"/>
    <cellStyle name="40% - Accent5 6 3 2" xfId="4688"/>
    <cellStyle name="40% - Accent5 6 3 2 2" xfId="4689"/>
    <cellStyle name="40% - Accent5 6 3 2 2 2" xfId="11222"/>
    <cellStyle name="40% - Accent5 6 3 2 2 2 2" xfId="25164"/>
    <cellStyle name="40% - Accent5 6 3 2 2 3" xfId="26835"/>
    <cellStyle name="40% - Accent5 6 3 2 3" xfId="4690"/>
    <cellStyle name="40% - Accent5 6 3 2 3 2" xfId="13007"/>
    <cellStyle name="40% - Accent5 6 3 2 3 2 2" xfId="26719"/>
    <cellStyle name="40% - Accent5 6 3 2 3 3" xfId="22812"/>
    <cellStyle name="40% - Accent5 6 3 2 4" xfId="4691"/>
    <cellStyle name="40% - Accent5 6 3 2 4 2" xfId="15463"/>
    <cellStyle name="40% - Accent5 6 3 2 4 2 2" xfId="29012"/>
    <cellStyle name="40% - Accent5 6 3 2 4 3" xfId="22811"/>
    <cellStyle name="40% - Accent5 6 3 2 5" xfId="4692"/>
    <cellStyle name="40% - Accent5 6 3 2 5 2" xfId="16848"/>
    <cellStyle name="40% - Accent5 6 3 2 5 2 2" xfId="30255"/>
    <cellStyle name="40% - Accent5 6 3 2 5 3" xfId="24223"/>
    <cellStyle name="40% - Accent5 6 3 2 6" xfId="9495"/>
    <cellStyle name="40% - Accent5 6 3 2 6 2" xfId="23970"/>
    <cellStyle name="40% - Accent5 6 3 2 7" xfId="22813"/>
    <cellStyle name="40% - Accent5 6 3 3" xfId="4693"/>
    <cellStyle name="40% - Accent5 6 3 3 2" xfId="4694"/>
    <cellStyle name="40% - Accent5 6 3 3 2 2" xfId="15464"/>
    <cellStyle name="40% - Accent5 6 3 3 2 2 2" xfId="29013"/>
    <cellStyle name="40% - Accent5 6 3 3 2 3" xfId="26833"/>
    <cellStyle name="40% - Accent5 6 3 3 3" xfId="11221"/>
    <cellStyle name="40% - Accent5 6 3 3 3 2" xfId="25163"/>
    <cellStyle name="40% - Accent5 6 3 3 4" xfId="22810"/>
    <cellStyle name="40% - Accent5 6 3 4" xfId="4695"/>
    <cellStyle name="40% - Accent5 6 3 4 2" xfId="12236"/>
    <cellStyle name="40% - Accent5 6 3 4 2 2" xfId="25948"/>
    <cellStyle name="40% - Accent5 6 3 4 3" xfId="22809"/>
    <cellStyle name="40% - Accent5 6 3 5" xfId="4696"/>
    <cellStyle name="40% - Accent5 6 3 5 2" xfId="13006"/>
    <cellStyle name="40% - Accent5 6 3 5 2 2" xfId="26718"/>
    <cellStyle name="40% - Accent5 6 3 5 3" xfId="22808"/>
    <cellStyle name="40% - Accent5 6 3 6" xfId="4697"/>
    <cellStyle name="40% - Accent5 6 3 6 2" xfId="13800"/>
    <cellStyle name="40% - Accent5 6 3 6 2 2" xfId="27349"/>
    <cellStyle name="40% - Accent5 6 3 6 3" xfId="24222"/>
    <cellStyle name="40% - Accent5 6 3 7" xfId="4698"/>
    <cellStyle name="40% - Accent5 6 3 7 2" xfId="14381"/>
    <cellStyle name="40% - Accent5 6 3 7 2 2" xfId="27930"/>
    <cellStyle name="40% - Accent5 6 3 7 3" xfId="22807"/>
    <cellStyle name="40% - Accent5 6 3 8" xfId="4699"/>
    <cellStyle name="40% - Accent5 6 3 8 2" xfId="15462"/>
    <cellStyle name="40% - Accent5 6 3 8 2 2" xfId="29011"/>
    <cellStyle name="40% - Accent5 6 3 8 3" xfId="22806"/>
    <cellStyle name="40% - Accent5 6 3 9" xfId="4700"/>
    <cellStyle name="40% - Accent5 6 3 9 2" xfId="16267"/>
    <cellStyle name="40% - Accent5 6 3 9 2 2" xfId="29674"/>
    <cellStyle name="40% - Accent5 6 3 9 3" xfId="23203"/>
    <cellStyle name="40% - Accent5 6 4" xfId="4701"/>
    <cellStyle name="40% - Accent5 6 4 2" xfId="4702"/>
    <cellStyle name="40% - Accent5 6 4 2 2" xfId="11223"/>
    <cellStyle name="40% - Accent5 6 4 2 2 2" xfId="25165"/>
    <cellStyle name="40% - Accent5 6 4 2 3" xfId="30686"/>
    <cellStyle name="40% - Accent5 6 4 3" xfId="4703"/>
    <cellStyle name="40% - Accent5 6 4 3 2" xfId="13008"/>
    <cellStyle name="40% - Accent5 6 4 3 2 2" xfId="26720"/>
    <cellStyle name="40% - Accent5 6 4 3 3" xfId="22805"/>
    <cellStyle name="40% - Accent5 6 4 4" xfId="4704"/>
    <cellStyle name="40% - Accent5 6 4 4 2" xfId="15465"/>
    <cellStyle name="40% - Accent5 6 4 4 2 2" xfId="29014"/>
    <cellStyle name="40% - Accent5 6 4 4 3" xfId="26832"/>
    <cellStyle name="40% - Accent5 6 4 5" xfId="4705"/>
    <cellStyle name="40% - Accent5 6 4 5 2" xfId="16559"/>
    <cellStyle name="40% - Accent5 6 4 5 2 2" xfId="29966"/>
    <cellStyle name="40% - Accent5 6 4 5 3" xfId="22804"/>
    <cellStyle name="40% - Accent5 6 4 6" xfId="9496"/>
    <cellStyle name="40% - Accent5 6 4 6 2" xfId="23971"/>
    <cellStyle name="40% - Accent5 6 4 7" xfId="23237"/>
    <cellStyle name="40% - Accent5 6 5" xfId="4706"/>
    <cellStyle name="40% - Accent5 6 5 2" xfId="4707"/>
    <cellStyle name="40% - Accent5 6 5 2 2" xfId="15466"/>
    <cellStyle name="40% - Accent5 6 5 2 2 2" xfId="29015"/>
    <cellStyle name="40% - Accent5 6 5 2 3" xfId="23208"/>
    <cellStyle name="40% - Accent5 6 5 3" xfId="11216"/>
    <cellStyle name="40% - Accent5 6 5 3 2" xfId="25158"/>
    <cellStyle name="40% - Accent5 6 5 4" xfId="22803"/>
    <cellStyle name="40% - Accent5 6 6" xfId="4708"/>
    <cellStyle name="40% - Accent5 6 6 2" xfId="11934"/>
    <cellStyle name="40% - Accent5 6 6 2 2" xfId="25649"/>
    <cellStyle name="40% - Accent5 6 6 3" xfId="26831"/>
    <cellStyle name="40% - Accent5 6 7" xfId="4709"/>
    <cellStyle name="40% - Accent5 6 7 2" xfId="13001"/>
    <cellStyle name="40% - Accent5 6 7 2 2" xfId="26713"/>
    <cellStyle name="40% - Accent5 6 7 3" xfId="22802"/>
    <cellStyle name="40% - Accent5 6 8" xfId="4710"/>
    <cellStyle name="40% - Accent5 6 8 2" xfId="13511"/>
    <cellStyle name="40% - Accent5 6 8 2 2" xfId="27060"/>
    <cellStyle name="40% - Accent5 6 8 3" xfId="24220"/>
    <cellStyle name="40% - Accent5 6 9" xfId="4711"/>
    <cellStyle name="40% - Accent5 6 9 2" xfId="14092"/>
    <cellStyle name="40% - Accent5 6 9 2 2" xfId="27641"/>
    <cellStyle name="40% - Accent5 6 9 3" xfId="22801"/>
    <cellStyle name="40% - Accent5 7" xfId="4712"/>
    <cellStyle name="40% - Accent5 7 10" xfId="4713"/>
    <cellStyle name="40% - Accent5 7 10 2" xfId="15997"/>
    <cellStyle name="40% - Accent5 7 10 2 2" xfId="29404"/>
    <cellStyle name="40% - Accent5 7 10 3" xfId="23230"/>
    <cellStyle name="40% - Accent5 7 11" xfId="9497"/>
    <cellStyle name="40% - Accent5 7 11 2" xfId="23972"/>
    <cellStyle name="40% - Accent5 7 12" xfId="22800"/>
    <cellStyle name="40% - Accent5 7 2" xfId="4714"/>
    <cellStyle name="40% - Accent5 7 2 10" xfId="9498"/>
    <cellStyle name="40% - Accent5 7 2 10 2" xfId="23973"/>
    <cellStyle name="40% - Accent5 7 2 11" xfId="24219"/>
    <cellStyle name="40% - Accent5 7 2 2" xfId="4715"/>
    <cellStyle name="40% - Accent5 7 2 2 2" xfId="4716"/>
    <cellStyle name="40% - Accent5 7 2 2 2 2" xfId="11226"/>
    <cellStyle name="40% - Accent5 7 2 2 2 2 2" xfId="25168"/>
    <cellStyle name="40% - Accent5 7 2 2 2 3" xfId="24218"/>
    <cellStyle name="40% - Accent5 7 2 2 3" xfId="4717"/>
    <cellStyle name="40% - Accent5 7 2 2 3 2" xfId="13011"/>
    <cellStyle name="40% - Accent5 7 2 2 3 2 2" xfId="26723"/>
    <cellStyle name="40% - Accent5 7 2 2 3 3" xfId="22798"/>
    <cellStyle name="40% - Accent5 7 2 2 4" xfId="4718"/>
    <cellStyle name="40% - Accent5 7 2 2 4 2" xfId="15469"/>
    <cellStyle name="40% - Accent5 7 2 2 4 2 2" xfId="29018"/>
    <cellStyle name="40% - Accent5 7 2 2 4 3" xfId="22797"/>
    <cellStyle name="40% - Accent5 7 2 2 5" xfId="4719"/>
    <cellStyle name="40% - Accent5 7 2 2 5 2" xfId="16867"/>
    <cellStyle name="40% - Accent5 7 2 2 5 2 2" xfId="30274"/>
    <cellStyle name="40% - Accent5 7 2 2 5 3" xfId="22796"/>
    <cellStyle name="40% - Accent5 7 2 2 6" xfId="9499"/>
    <cellStyle name="40% - Accent5 7 2 2 6 2" xfId="23974"/>
    <cellStyle name="40% - Accent5 7 2 2 7" xfId="22799"/>
    <cellStyle name="40% - Accent5 7 2 3" xfId="4720"/>
    <cellStyle name="40% - Accent5 7 2 3 2" xfId="4721"/>
    <cellStyle name="40% - Accent5 7 2 3 2 2" xfId="15470"/>
    <cellStyle name="40% - Accent5 7 2 3 2 2 2" xfId="29019"/>
    <cellStyle name="40% - Accent5 7 2 3 2 3" xfId="26830"/>
    <cellStyle name="40% - Accent5 7 2 3 3" xfId="11225"/>
    <cellStyle name="40% - Accent5 7 2 3 3 2" xfId="25167"/>
    <cellStyle name="40% - Accent5 7 2 3 4" xfId="24463"/>
    <cellStyle name="40% - Accent5 7 2 4" xfId="4722"/>
    <cellStyle name="40% - Accent5 7 2 4 2" xfId="12255"/>
    <cellStyle name="40% - Accent5 7 2 4 2 2" xfId="25967"/>
    <cellStyle name="40% - Accent5 7 2 4 3" xfId="22795"/>
    <cellStyle name="40% - Accent5 7 2 5" xfId="4723"/>
    <cellStyle name="40% - Accent5 7 2 5 2" xfId="13010"/>
    <cellStyle name="40% - Accent5 7 2 5 2 2" xfId="26722"/>
    <cellStyle name="40% - Accent5 7 2 5 3" xfId="22794"/>
    <cellStyle name="40% - Accent5 7 2 6" xfId="4724"/>
    <cellStyle name="40% - Accent5 7 2 6 2" xfId="13819"/>
    <cellStyle name="40% - Accent5 7 2 6 2 2" xfId="27368"/>
    <cellStyle name="40% - Accent5 7 2 6 3" xfId="23242"/>
    <cellStyle name="40% - Accent5 7 2 7" xfId="4725"/>
    <cellStyle name="40% - Accent5 7 2 7 2" xfId="14400"/>
    <cellStyle name="40% - Accent5 7 2 7 2 2" xfId="27949"/>
    <cellStyle name="40% - Accent5 7 2 7 3" xfId="23291"/>
    <cellStyle name="40% - Accent5 7 2 8" xfId="4726"/>
    <cellStyle name="40% - Accent5 7 2 8 2" xfId="15468"/>
    <cellStyle name="40% - Accent5 7 2 8 2 2" xfId="29017"/>
    <cellStyle name="40% - Accent5 7 2 8 3" xfId="22793"/>
    <cellStyle name="40% - Accent5 7 2 9" xfId="4727"/>
    <cellStyle name="40% - Accent5 7 2 9 2" xfId="16286"/>
    <cellStyle name="40% - Accent5 7 2 9 2 2" xfId="29693"/>
    <cellStyle name="40% - Accent5 7 2 9 3" xfId="24217"/>
    <cellStyle name="40% - Accent5 7 3" xfId="4728"/>
    <cellStyle name="40% - Accent5 7 3 2" xfId="4729"/>
    <cellStyle name="40% - Accent5 7 3 2 2" xfId="11227"/>
    <cellStyle name="40% - Accent5 7 3 2 2 2" xfId="25169"/>
    <cellStyle name="40% - Accent5 7 3 2 3" xfId="24216"/>
    <cellStyle name="40% - Accent5 7 3 3" xfId="4730"/>
    <cellStyle name="40% - Accent5 7 3 3 2" xfId="13012"/>
    <cellStyle name="40% - Accent5 7 3 3 2 2" xfId="26724"/>
    <cellStyle name="40% - Accent5 7 3 3 3" xfId="22791"/>
    <cellStyle name="40% - Accent5 7 3 4" xfId="4731"/>
    <cellStyle name="40% - Accent5 7 3 4 2" xfId="15471"/>
    <cellStyle name="40% - Accent5 7 3 4 2 2" xfId="29020"/>
    <cellStyle name="40% - Accent5 7 3 4 3" xfId="24215"/>
    <cellStyle name="40% - Accent5 7 3 5" xfId="4732"/>
    <cellStyle name="40% - Accent5 7 3 5 2" xfId="16578"/>
    <cellStyle name="40% - Accent5 7 3 5 2 2" xfId="29985"/>
    <cellStyle name="40% - Accent5 7 3 5 3" xfId="22790"/>
    <cellStyle name="40% - Accent5 7 3 6" xfId="9500"/>
    <cellStyle name="40% - Accent5 7 3 6 2" xfId="23975"/>
    <cellStyle name="40% - Accent5 7 3 7" xfId="22792"/>
    <cellStyle name="40% - Accent5 7 4" xfId="4733"/>
    <cellStyle name="40% - Accent5 7 4 2" xfId="4734"/>
    <cellStyle name="40% - Accent5 7 4 2 2" xfId="15472"/>
    <cellStyle name="40% - Accent5 7 4 2 2 2" xfId="29021"/>
    <cellStyle name="40% - Accent5 7 4 2 3" xfId="22789"/>
    <cellStyle name="40% - Accent5 7 4 3" xfId="11224"/>
    <cellStyle name="40% - Accent5 7 4 3 2" xfId="25166"/>
    <cellStyle name="40% - Accent5 7 4 4" xfId="24214"/>
    <cellStyle name="40% - Accent5 7 5" xfId="4735"/>
    <cellStyle name="40% - Accent5 7 5 2" xfId="11953"/>
    <cellStyle name="40% - Accent5 7 5 2 2" xfId="25668"/>
    <cellStyle name="40% - Accent5 7 5 3" xfId="24212"/>
    <cellStyle name="40% - Accent5 7 6" xfId="4736"/>
    <cellStyle name="40% - Accent5 7 6 2" xfId="13009"/>
    <cellStyle name="40% - Accent5 7 6 2 2" xfId="26721"/>
    <cellStyle name="40% - Accent5 7 6 3" xfId="24213"/>
    <cellStyle name="40% - Accent5 7 7" xfId="4737"/>
    <cellStyle name="40% - Accent5 7 7 2" xfId="13530"/>
    <cellStyle name="40% - Accent5 7 7 2 2" xfId="27079"/>
    <cellStyle name="40% - Accent5 7 7 3" xfId="22788"/>
    <cellStyle name="40% - Accent5 7 8" xfId="4738"/>
    <cellStyle name="40% - Accent5 7 8 2" xfId="14111"/>
    <cellStyle name="40% - Accent5 7 8 2 2" xfId="27660"/>
    <cellStyle name="40% - Accent5 7 8 3" xfId="22787"/>
    <cellStyle name="40% - Accent5 7 9" xfId="4739"/>
    <cellStyle name="40% - Accent5 7 9 2" xfId="15467"/>
    <cellStyle name="40% - Accent5 7 9 2 2" xfId="29016"/>
    <cellStyle name="40% - Accent5 7 9 3" xfId="24211"/>
    <cellStyle name="40% - Accent5 8" xfId="4740"/>
    <cellStyle name="40% - Accent5 8 10" xfId="9501"/>
    <cellStyle name="40% - Accent5 8 10 2" xfId="23976"/>
    <cellStyle name="40% - Accent5 8 11" xfId="26828"/>
    <cellStyle name="40% - Accent5 8 2" xfId="4741"/>
    <cellStyle name="40% - Accent5 8 2 2" xfId="4742"/>
    <cellStyle name="40% - Accent5 8 2 2 2" xfId="11229"/>
    <cellStyle name="40% - Accent5 8 2 2 2 2" xfId="25171"/>
    <cellStyle name="40% - Accent5 8 2 2 3" xfId="26829"/>
    <cellStyle name="40% - Accent5 8 2 3" xfId="4743"/>
    <cellStyle name="40% - Accent5 8 2 3 2" xfId="13014"/>
    <cellStyle name="40% - Accent5 8 2 3 2 2" xfId="26726"/>
    <cellStyle name="40% - Accent5 8 2 3 3" xfId="22785"/>
    <cellStyle name="40% - Accent5 8 2 4" xfId="4744"/>
    <cellStyle name="40% - Accent5 8 2 4 2" xfId="15474"/>
    <cellStyle name="40% - Accent5 8 2 4 2 2" xfId="29023"/>
    <cellStyle name="40% - Accent5 8 2 4 3" xfId="22784"/>
    <cellStyle name="40% - Accent5 8 2 5" xfId="4745"/>
    <cellStyle name="40% - Accent5 8 2 5 2" xfId="16722"/>
    <cellStyle name="40% - Accent5 8 2 5 2 2" xfId="30129"/>
    <cellStyle name="40% - Accent5 8 2 5 3" xfId="24209"/>
    <cellStyle name="40% - Accent5 8 2 6" xfId="9502"/>
    <cellStyle name="40% - Accent5 8 2 6 2" xfId="23977"/>
    <cellStyle name="40% - Accent5 8 2 7" xfId="22786"/>
    <cellStyle name="40% - Accent5 8 3" xfId="4746"/>
    <cellStyle name="40% - Accent5 8 3 2" xfId="4747"/>
    <cellStyle name="40% - Accent5 8 3 2 2" xfId="15475"/>
    <cellStyle name="40% - Accent5 8 3 2 2 2" xfId="29024"/>
    <cellStyle name="40% - Accent5 8 3 2 3" xfId="22783"/>
    <cellStyle name="40% - Accent5 8 3 3" xfId="11228"/>
    <cellStyle name="40% - Accent5 8 3 3 2" xfId="25170"/>
    <cellStyle name="40% - Accent5 8 3 4" xfId="24210"/>
    <cellStyle name="40% - Accent5 8 4" xfId="4748"/>
    <cellStyle name="40% - Accent5 8 4 2" xfId="12100"/>
    <cellStyle name="40% - Accent5 8 4 2 2" xfId="25814"/>
    <cellStyle name="40% - Accent5 8 4 3" xfId="22782"/>
    <cellStyle name="40% - Accent5 8 5" xfId="4749"/>
    <cellStyle name="40% - Accent5 8 5 2" xfId="13013"/>
    <cellStyle name="40% - Accent5 8 5 2 2" xfId="26725"/>
    <cellStyle name="40% - Accent5 8 5 3" xfId="24208"/>
    <cellStyle name="40% - Accent5 8 6" xfId="4750"/>
    <cellStyle name="40% - Accent5 8 6 2" xfId="13674"/>
    <cellStyle name="40% - Accent5 8 6 2 2" xfId="27223"/>
    <cellStyle name="40% - Accent5 8 6 3" xfId="22781"/>
    <cellStyle name="40% - Accent5 8 7" xfId="4751"/>
    <cellStyle name="40% - Accent5 8 7 2" xfId="14255"/>
    <cellStyle name="40% - Accent5 8 7 2 2" xfId="27804"/>
    <cellStyle name="40% - Accent5 8 7 3" xfId="24205"/>
    <cellStyle name="40% - Accent5 8 8" xfId="4752"/>
    <cellStyle name="40% - Accent5 8 8 2" xfId="15473"/>
    <cellStyle name="40% - Accent5 8 8 2 2" xfId="29022"/>
    <cellStyle name="40% - Accent5 8 8 3" xfId="22780"/>
    <cellStyle name="40% - Accent5 8 9" xfId="4753"/>
    <cellStyle name="40% - Accent5 8 9 2" xfId="16141"/>
    <cellStyle name="40% - Accent5 8 9 2 2" xfId="29548"/>
    <cellStyle name="40% - Accent5 8 9 3" xfId="25255"/>
    <cellStyle name="40% - Accent5 9" xfId="4754"/>
    <cellStyle name="40% - Accent5 9 2" xfId="4755"/>
    <cellStyle name="40% - Accent5 9 2 2" xfId="11230"/>
    <cellStyle name="40% - Accent5 9 2 2 2" xfId="25172"/>
    <cellStyle name="40% - Accent5 9 2 3" xfId="24445"/>
    <cellStyle name="40% - Accent5 9 3" xfId="4756"/>
    <cellStyle name="40% - Accent5 9 3 2" xfId="13015"/>
    <cellStyle name="40% - Accent5 9 3 2 2" xfId="26727"/>
    <cellStyle name="40% - Accent5 9 3 3" xfId="29141"/>
    <cellStyle name="40% - Accent5 9 4" xfId="4757"/>
    <cellStyle name="40% - Accent5 9 4 2" xfId="15476"/>
    <cellStyle name="40% - Accent5 9 4 2 2" xfId="29025"/>
    <cellStyle name="40% - Accent5 9 4 3" xfId="22778"/>
    <cellStyle name="40% - Accent5 9 5" xfId="4758"/>
    <cellStyle name="40% - Accent5 9 5 2" xfId="17106"/>
    <cellStyle name="40% - Accent5 9 5 2 2" xfId="30465"/>
    <cellStyle name="40% - Accent5 9 5 3" xfId="22777"/>
    <cellStyle name="40% - Accent5 9 6" xfId="9503"/>
    <cellStyle name="40% - Accent5 9 6 2" xfId="23978"/>
    <cellStyle name="40% - Accent5 9 7" xfId="22779"/>
    <cellStyle name="40% - Accent6" xfId="48" builtinId="51" customBuiltin="1"/>
    <cellStyle name="40% - Accent6 10" xfId="4759"/>
    <cellStyle name="40% - Accent6 10 2" xfId="4760"/>
    <cellStyle name="40% - Accent6 10 2 2" xfId="4761"/>
    <cellStyle name="40% - Accent6 10 2 2 2" xfId="13018"/>
    <cellStyle name="40% - Accent6 10 2 2 2 2" xfId="26730"/>
    <cellStyle name="40% - Accent6 10 2 2 3" xfId="24206"/>
    <cellStyle name="40% - Accent6 10 2 3" xfId="4762"/>
    <cellStyle name="40% - Accent6 10 2 3 2" xfId="15479"/>
    <cellStyle name="40% - Accent6 10 2 3 2 2" xfId="29028"/>
    <cellStyle name="40% - Accent6 10 2 3 3" xfId="22775"/>
    <cellStyle name="40% - Accent6 10 2 4" xfId="11232"/>
    <cellStyle name="40% - Accent6 10 2 4 2" xfId="25174"/>
    <cellStyle name="40% - Accent6 10 2 5" xfId="22776"/>
    <cellStyle name="40% - Accent6 10 3" xfId="4763"/>
    <cellStyle name="40% - Accent6 10 3 2" xfId="13017"/>
    <cellStyle name="40% - Accent6 10 3 2 2" xfId="26729"/>
    <cellStyle name="40% - Accent6 10 3 3" xfId="23244"/>
    <cellStyle name="40% - Accent6 10 4" xfId="4764"/>
    <cellStyle name="40% - Accent6 10 4 2" xfId="15478"/>
    <cellStyle name="40% - Accent6 10 4 2 2" xfId="29027"/>
    <cellStyle name="40% - Accent6 10 4 3" xfId="24204"/>
    <cellStyle name="40% - Accent6 10 5" xfId="4765"/>
    <cellStyle name="40% - Accent6 10 5 2" xfId="17196"/>
    <cellStyle name="40% - Accent6 10 5 2 2" xfId="30555"/>
    <cellStyle name="40% - Accent6 10 5 3" xfId="22774"/>
    <cellStyle name="40% - Accent6 10 6" xfId="9505"/>
    <cellStyle name="40% - Accent6 10 6 2" xfId="23980"/>
    <cellStyle name="40% - Accent6 10 7" xfId="24207"/>
    <cellStyle name="40% - Accent6 11" xfId="4766"/>
    <cellStyle name="40% - Accent6 11 2" xfId="4767"/>
    <cellStyle name="40% - Accent6 11 2 2" xfId="11233"/>
    <cellStyle name="40% - Accent6 11 2 2 2" xfId="25175"/>
    <cellStyle name="40% - Accent6 11 2 3" xfId="22773"/>
    <cellStyle name="40% - Accent6 11 3" xfId="4768"/>
    <cellStyle name="40% - Accent6 11 3 2" xfId="13019"/>
    <cellStyle name="40% - Accent6 11 3 2 2" xfId="26731"/>
    <cellStyle name="40% - Accent6 11 3 3" xfId="24202"/>
    <cellStyle name="40% - Accent6 11 4" xfId="4769"/>
    <cellStyle name="40% - Accent6 11 4 2" xfId="15480"/>
    <cellStyle name="40% - Accent6 11 4 2 2" xfId="29029"/>
    <cellStyle name="40% - Accent6 11 4 3" xfId="22772"/>
    <cellStyle name="40% - Accent6 11 5" xfId="4770"/>
    <cellStyle name="40% - Accent6 11 5 2" xfId="17285"/>
    <cellStyle name="40% - Accent6 11 5 2 2" xfId="30644"/>
    <cellStyle name="40% - Accent6 11 5 3" xfId="24201"/>
    <cellStyle name="40% - Accent6 11 6" xfId="9506"/>
    <cellStyle name="40% - Accent6 11 6 2" xfId="23981"/>
    <cellStyle name="40% - Accent6 11 7" xfId="24203"/>
    <cellStyle name="40% - Accent6 12" xfId="4771"/>
    <cellStyle name="40% - Accent6 12 2" xfId="4772"/>
    <cellStyle name="40% - Accent6 12 2 2" xfId="4773"/>
    <cellStyle name="40% - Accent6 12 2 2 2" xfId="11235"/>
    <cellStyle name="40% - Accent6 12 2 2 2 2" xfId="25177"/>
    <cellStyle name="40% - Accent6 12 2 2 3" xfId="24200"/>
    <cellStyle name="40% - Accent6 12 2 3" xfId="4774"/>
    <cellStyle name="40% - Accent6 12 2 3 2" xfId="13021"/>
    <cellStyle name="40% - Accent6 12 2 3 2 2" xfId="26733"/>
    <cellStyle name="40% - Accent6 12 2 3 3" xfId="22770"/>
    <cellStyle name="40% - Accent6 12 2 4" xfId="4775"/>
    <cellStyle name="40% - Accent6 12 2 4 2" xfId="15482"/>
    <cellStyle name="40% - Accent6 12 2 4 2 2" xfId="29031"/>
    <cellStyle name="40% - Accent6 12 2 4 3" xfId="22769"/>
    <cellStyle name="40% - Accent6 12 2 5" xfId="9508"/>
    <cellStyle name="40% - Accent6 12 2 5 2" xfId="23983"/>
    <cellStyle name="40% - Accent6 12 2 6" xfId="24199"/>
    <cellStyle name="40% - Accent6 12 3" xfId="4776"/>
    <cellStyle name="40% - Accent6 12 3 2" xfId="11234"/>
    <cellStyle name="40% - Accent6 12 3 2 2" xfId="25176"/>
    <cellStyle name="40% - Accent6 12 3 3" xfId="24198"/>
    <cellStyle name="40% - Accent6 12 4" xfId="4777"/>
    <cellStyle name="40% - Accent6 12 4 2" xfId="13020"/>
    <cellStyle name="40% - Accent6 12 4 2 2" xfId="26732"/>
    <cellStyle name="40% - Accent6 12 4 3" xfId="26826"/>
    <cellStyle name="40% - Accent6 12 5" xfId="4778"/>
    <cellStyle name="40% - Accent6 12 5 2" xfId="15481"/>
    <cellStyle name="40% - Accent6 12 5 2 2" xfId="29030"/>
    <cellStyle name="40% - Accent6 12 5 3" xfId="22768"/>
    <cellStyle name="40% - Accent6 12 6" xfId="4779"/>
    <cellStyle name="40% - Accent6 12 6 2" xfId="16437"/>
    <cellStyle name="40% - Accent6 12 6 2 2" xfId="29844"/>
    <cellStyle name="40% - Accent6 12 6 3" xfId="26827"/>
    <cellStyle name="40% - Accent6 12 7" xfId="9507"/>
    <cellStyle name="40% - Accent6 12 7 2" xfId="23982"/>
    <cellStyle name="40% - Accent6 12 8" xfId="22771"/>
    <cellStyle name="40% - Accent6 13" xfId="4780"/>
    <cellStyle name="40% - Accent6 13 2" xfId="4781"/>
    <cellStyle name="40% - Accent6 13 2 2" xfId="11236"/>
    <cellStyle name="40% - Accent6 13 2 2 2" xfId="25178"/>
    <cellStyle name="40% - Accent6 13 2 3" xfId="22766"/>
    <cellStyle name="40% - Accent6 13 3" xfId="4782"/>
    <cellStyle name="40% - Accent6 13 3 2" xfId="13022"/>
    <cellStyle name="40% - Accent6 13 3 2 2" xfId="26734"/>
    <cellStyle name="40% - Accent6 13 3 3" xfId="24196"/>
    <cellStyle name="40% - Accent6 13 4" xfId="4783"/>
    <cellStyle name="40% - Accent6 13 4 2" xfId="15483"/>
    <cellStyle name="40% - Accent6 13 4 2 2" xfId="29032"/>
    <cellStyle name="40% - Accent6 13 4 3" xfId="24197"/>
    <cellStyle name="40% - Accent6 13 5" xfId="9509"/>
    <cellStyle name="40% - Accent6 13 5 2" xfId="23984"/>
    <cellStyle name="40% - Accent6 13 6" xfId="22767"/>
    <cellStyle name="40% - Accent6 14" xfId="4784"/>
    <cellStyle name="40% - Accent6 14 2" xfId="4785"/>
    <cellStyle name="40% - Accent6 14 2 2" xfId="11237"/>
    <cellStyle name="40% - Accent6 14 2 2 2" xfId="25179"/>
    <cellStyle name="40% - Accent6 14 2 3" xfId="22764"/>
    <cellStyle name="40% - Accent6 14 3" xfId="4786"/>
    <cellStyle name="40% - Accent6 14 3 2" xfId="13023"/>
    <cellStyle name="40% - Accent6 14 3 2 2" xfId="26735"/>
    <cellStyle name="40% - Accent6 14 3 3" xfId="24195"/>
    <cellStyle name="40% - Accent6 14 4" xfId="4787"/>
    <cellStyle name="40% - Accent6 14 4 2" xfId="15484"/>
    <cellStyle name="40% - Accent6 14 4 2 2" xfId="29033"/>
    <cellStyle name="40% - Accent6 14 4 3" xfId="22763"/>
    <cellStyle name="40% - Accent6 14 5" xfId="9510"/>
    <cellStyle name="40% - Accent6 14 5 2" xfId="23985"/>
    <cellStyle name="40% - Accent6 14 6" xfId="22765"/>
    <cellStyle name="40% - Accent6 15" xfId="4788"/>
    <cellStyle name="40% - Accent6 15 2" xfId="4789"/>
    <cellStyle name="40% - Accent6 15 2 2" xfId="11238"/>
    <cellStyle name="40% - Accent6 15 2 2 2" xfId="25180"/>
    <cellStyle name="40% - Accent6 15 2 3" xfId="22762"/>
    <cellStyle name="40% - Accent6 15 3" xfId="4790"/>
    <cellStyle name="40% - Accent6 15 3 2" xfId="13024"/>
    <cellStyle name="40% - Accent6 15 3 2 2" xfId="26736"/>
    <cellStyle name="40% - Accent6 15 3 3" xfId="25254"/>
    <cellStyle name="40% - Accent6 15 4" xfId="4791"/>
    <cellStyle name="40% - Accent6 15 4 2" xfId="15485"/>
    <cellStyle name="40% - Accent6 15 4 2 2" xfId="29034"/>
    <cellStyle name="40% - Accent6 15 4 3" xfId="22761"/>
    <cellStyle name="40% - Accent6 15 5" xfId="9511"/>
    <cellStyle name="40% - Accent6 15 5 2" xfId="23986"/>
    <cellStyle name="40% - Accent6 15 6" xfId="24192"/>
    <cellStyle name="40% - Accent6 16" xfId="4792"/>
    <cellStyle name="40% - Accent6 16 2" xfId="4793"/>
    <cellStyle name="40% - Accent6 16 2 2" xfId="11239"/>
    <cellStyle name="40% - Accent6 16 2 2 2" xfId="25181"/>
    <cellStyle name="40% - Accent6 16 2 3" xfId="29140"/>
    <cellStyle name="40% - Accent6 16 3" xfId="4794"/>
    <cellStyle name="40% - Accent6 16 3 2" xfId="13025"/>
    <cellStyle name="40% - Accent6 16 3 2 2" xfId="26737"/>
    <cellStyle name="40% - Accent6 16 3 3" xfId="22760"/>
    <cellStyle name="40% - Accent6 16 4" xfId="4795"/>
    <cellStyle name="40% - Accent6 16 4 2" xfId="15486"/>
    <cellStyle name="40% - Accent6 16 4 2 2" xfId="29035"/>
    <cellStyle name="40% - Accent6 16 4 3" xfId="22759"/>
    <cellStyle name="40% - Accent6 16 5" xfId="9512"/>
    <cellStyle name="40% - Accent6 16 5 2" xfId="23987"/>
    <cellStyle name="40% - Accent6 16 6" xfId="24444"/>
    <cellStyle name="40% - Accent6 17" xfId="4796"/>
    <cellStyle name="40% - Accent6 17 2" xfId="4797"/>
    <cellStyle name="40% - Accent6 17 2 2" xfId="11240"/>
    <cellStyle name="40% - Accent6 17 2 2 2" xfId="25182"/>
    <cellStyle name="40% - Accent6 17 2 3" xfId="22758"/>
    <cellStyle name="40% - Accent6 17 3" xfId="4798"/>
    <cellStyle name="40% - Accent6 17 3 2" xfId="13026"/>
    <cellStyle name="40% - Accent6 17 3 2 2" xfId="26738"/>
    <cellStyle name="40% - Accent6 17 3 3" xfId="24193"/>
    <cellStyle name="40% - Accent6 17 4" xfId="4799"/>
    <cellStyle name="40% - Accent6 17 4 2" xfId="15487"/>
    <cellStyle name="40% - Accent6 17 4 2 2" xfId="29036"/>
    <cellStyle name="40% - Accent6 17 4 3" xfId="22757"/>
    <cellStyle name="40% - Accent6 17 5" xfId="9513"/>
    <cellStyle name="40% - Accent6 17 5 2" xfId="23988"/>
    <cellStyle name="40% - Accent6 17 6" xfId="24194"/>
    <cellStyle name="40% - Accent6 18" xfId="4800"/>
    <cellStyle name="40% - Accent6 18 2" xfId="4801"/>
    <cellStyle name="40% - Accent6 18 2 2" xfId="11241"/>
    <cellStyle name="40% - Accent6 18 2 2 2" xfId="25183"/>
    <cellStyle name="40% - Accent6 18 2 3" xfId="24191"/>
    <cellStyle name="40% - Accent6 18 3" xfId="4802"/>
    <cellStyle name="40% - Accent6 18 3 2" xfId="13027"/>
    <cellStyle name="40% - Accent6 18 3 2 2" xfId="26739"/>
    <cellStyle name="40% - Accent6 18 3 3" xfId="22756"/>
    <cellStyle name="40% - Accent6 18 4" xfId="4803"/>
    <cellStyle name="40% - Accent6 18 4 2" xfId="15488"/>
    <cellStyle name="40% - Accent6 18 4 2 2" xfId="29037"/>
    <cellStyle name="40% - Accent6 18 4 3" xfId="24190"/>
    <cellStyle name="40% - Accent6 18 5" xfId="9514"/>
    <cellStyle name="40% - Accent6 18 5 2" xfId="23989"/>
    <cellStyle name="40% - Accent6 18 6" xfId="23243"/>
    <cellStyle name="40% - Accent6 19" xfId="4804"/>
    <cellStyle name="40% - Accent6 19 2" xfId="4805"/>
    <cellStyle name="40% - Accent6 19 2 2" xfId="11721"/>
    <cellStyle name="40% - Accent6 19 2 2 2" xfId="25441"/>
    <cellStyle name="40% - Accent6 19 2 3" xfId="24189"/>
    <cellStyle name="40% - Accent6 19 3" xfId="4806"/>
    <cellStyle name="40% - Accent6 19 3 2" xfId="13028"/>
    <cellStyle name="40% - Accent6 19 3 2 2" xfId="26740"/>
    <cellStyle name="40% - Accent6 19 3 3" xfId="22754"/>
    <cellStyle name="40% - Accent6 19 4" xfId="4807"/>
    <cellStyle name="40% - Accent6 19 4 2" xfId="15489"/>
    <cellStyle name="40% - Accent6 19 4 2 2" xfId="29038"/>
    <cellStyle name="40% - Accent6 19 4 3" xfId="24188"/>
    <cellStyle name="40% - Accent6 19 5" xfId="10473"/>
    <cellStyle name="40% - Accent6 19 5 2" xfId="24432"/>
    <cellStyle name="40% - Accent6 19 6" xfId="22755"/>
    <cellStyle name="40% - Accent6 2" xfId="4808"/>
    <cellStyle name="40% - Accent6 2 10" xfId="4809"/>
    <cellStyle name="40% - Accent6 2 10 2" xfId="4810"/>
    <cellStyle name="40% - Accent6 2 10 2 2" xfId="15491"/>
    <cellStyle name="40% - Accent6 2 10 2 2 2" xfId="29040"/>
    <cellStyle name="40% - Accent6 2 10 2 3" xfId="24187"/>
    <cellStyle name="40% - Accent6 2 10 3" xfId="11849"/>
    <cellStyle name="40% - Accent6 2 10 3 2" xfId="25564"/>
    <cellStyle name="40% - Accent6 2 10 4" xfId="24186"/>
    <cellStyle name="40% - Accent6 2 11" xfId="4811"/>
    <cellStyle name="40% - Accent6 2 11 2" xfId="13029"/>
    <cellStyle name="40% - Accent6 2 11 2 2" xfId="26741"/>
    <cellStyle name="40% - Accent6 2 11 3" xfId="22752"/>
    <cellStyle name="40% - Accent6 2 12" xfId="4812"/>
    <cellStyle name="40% - Accent6 2 12 2" xfId="13446"/>
    <cellStyle name="40% - Accent6 2 12 2 2" xfId="26995"/>
    <cellStyle name="40% - Accent6 2 12 3" xfId="22751"/>
    <cellStyle name="40% - Accent6 2 13" xfId="4813"/>
    <cellStyle name="40% - Accent6 2 13 2" xfId="14027"/>
    <cellStyle name="40% - Accent6 2 13 2 2" xfId="27576"/>
    <cellStyle name="40% - Accent6 2 13 3" xfId="24185"/>
    <cellStyle name="40% - Accent6 2 14" xfId="4814"/>
    <cellStyle name="40% - Accent6 2 14 2" xfId="15490"/>
    <cellStyle name="40% - Accent6 2 14 2 2" xfId="29039"/>
    <cellStyle name="40% - Accent6 2 14 3" xfId="26824"/>
    <cellStyle name="40% - Accent6 2 15" xfId="4815"/>
    <cellStyle name="40% - Accent6 2 15 2" xfId="15913"/>
    <cellStyle name="40% - Accent6 2 15 2 2" xfId="29320"/>
    <cellStyle name="40% - Accent6 2 15 3" xfId="22750"/>
    <cellStyle name="40% - Accent6 2 16" xfId="9515"/>
    <cellStyle name="40% - Accent6 2 16 2" xfId="23990"/>
    <cellStyle name="40% - Accent6 2 17" xfId="22753"/>
    <cellStyle name="40% - Accent6 2 18" xfId="33083"/>
    <cellStyle name="40% - Accent6 2 2" xfId="4816"/>
    <cellStyle name="40% - Accent6 2 2 10" xfId="4817"/>
    <cellStyle name="40% - Accent6 2 2 10 2" xfId="15492"/>
    <cellStyle name="40% - Accent6 2 2 10 2 2" xfId="29041"/>
    <cellStyle name="40% - Accent6 2 2 10 3" xfId="22749"/>
    <cellStyle name="40% - Accent6 2 2 11" xfId="4818"/>
    <cellStyle name="40% - Accent6 2 2 11 2" xfId="15959"/>
    <cellStyle name="40% - Accent6 2 2 11 2 2" xfId="29366"/>
    <cellStyle name="40% - Accent6 2 2 11 3" xfId="22748"/>
    <cellStyle name="40% - Accent6 2 2 12" xfId="9516"/>
    <cellStyle name="40% - Accent6 2 2 12 2" xfId="23991"/>
    <cellStyle name="40% - Accent6 2 2 13" xfId="26825"/>
    <cellStyle name="40% - Accent6 2 2 2" xfId="4819"/>
    <cellStyle name="40% - Accent6 2 2 2 10" xfId="4820"/>
    <cellStyle name="40% - Accent6 2 2 2 10 2" xfId="16102"/>
    <cellStyle name="40% - Accent6 2 2 2 10 2 2" xfId="29509"/>
    <cellStyle name="40% - Accent6 2 2 2 10 3" xfId="24184"/>
    <cellStyle name="40% - Accent6 2 2 2 11" xfId="9517"/>
    <cellStyle name="40% - Accent6 2 2 2 11 2" xfId="23992"/>
    <cellStyle name="40% - Accent6 2 2 2 12" xfId="24183"/>
    <cellStyle name="40% - Accent6 2 2 2 2" xfId="4821"/>
    <cellStyle name="40% - Accent6 2 2 2 2 10" xfId="9518"/>
    <cellStyle name="40% - Accent6 2 2 2 2 10 2" xfId="23993"/>
    <cellStyle name="40% - Accent6 2 2 2 2 11" xfId="22747"/>
    <cellStyle name="40% - Accent6 2 2 2 2 2" xfId="4822"/>
    <cellStyle name="40% - Accent6 2 2 2 2 2 2" xfId="4823"/>
    <cellStyle name="40% - Accent6 2 2 2 2 2 2 2" xfId="11246"/>
    <cellStyle name="40% - Accent6 2 2 2 2 2 2 2 2" xfId="25188"/>
    <cellStyle name="40% - Accent6 2 2 2 2 2 2 3" xfId="24182"/>
    <cellStyle name="40% - Accent6 2 2 2 2 2 3" xfId="4824"/>
    <cellStyle name="40% - Accent6 2 2 2 2 2 3 2" xfId="13033"/>
    <cellStyle name="40% - Accent6 2 2 2 2 2 3 2 2" xfId="26745"/>
    <cellStyle name="40% - Accent6 2 2 2 2 2 3 3" xfId="22745"/>
    <cellStyle name="40% - Accent6 2 2 2 2 2 4" xfId="4825"/>
    <cellStyle name="40% - Accent6 2 2 2 2 2 4 2" xfId="15495"/>
    <cellStyle name="40% - Accent6 2 2 2 2 2 4 2 2" xfId="29044"/>
    <cellStyle name="40% - Accent6 2 2 2 2 2 4 3" xfId="24179"/>
    <cellStyle name="40% - Accent6 2 2 2 2 2 5" xfId="4826"/>
    <cellStyle name="40% - Accent6 2 2 2 2 2 5 2" xfId="16972"/>
    <cellStyle name="40% - Accent6 2 2 2 2 2 5 2 2" xfId="30379"/>
    <cellStyle name="40% - Accent6 2 2 2 2 2 5 3" xfId="22744"/>
    <cellStyle name="40% - Accent6 2 2 2 2 2 6" xfId="9519"/>
    <cellStyle name="40% - Accent6 2 2 2 2 2 6 2" xfId="23994"/>
    <cellStyle name="40% - Accent6 2 2 2 2 2 7" xfId="22746"/>
    <cellStyle name="40% - Accent6 2 2 2 2 3" xfId="4827"/>
    <cellStyle name="40% - Accent6 2 2 2 2 3 2" xfId="4828"/>
    <cellStyle name="40% - Accent6 2 2 2 2 3 2 2" xfId="15496"/>
    <cellStyle name="40% - Accent6 2 2 2 2 3 2 2 2" xfId="29045"/>
    <cellStyle name="40% - Accent6 2 2 2 2 3 2 3" xfId="22743"/>
    <cellStyle name="40% - Accent6 2 2 2 2 3 3" xfId="11245"/>
    <cellStyle name="40% - Accent6 2 2 2 2 3 3 2" xfId="25187"/>
    <cellStyle name="40% - Accent6 2 2 2 2 3 4" xfId="25253"/>
    <cellStyle name="40% - Accent6 2 2 2 2 4" xfId="4829"/>
    <cellStyle name="40% - Accent6 2 2 2 2 4 2" xfId="12360"/>
    <cellStyle name="40% - Accent6 2 2 2 2 4 2 2" xfId="26072"/>
    <cellStyle name="40% - Accent6 2 2 2 2 4 3" xfId="24443"/>
    <cellStyle name="40% - Accent6 2 2 2 2 5" xfId="4830"/>
    <cellStyle name="40% - Accent6 2 2 2 2 5 2" xfId="13032"/>
    <cellStyle name="40% - Accent6 2 2 2 2 5 2 2" xfId="26744"/>
    <cellStyle name="40% - Accent6 2 2 2 2 5 3" xfId="29139"/>
    <cellStyle name="40% - Accent6 2 2 2 2 6" xfId="4831"/>
    <cellStyle name="40% - Accent6 2 2 2 2 6 2" xfId="13924"/>
    <cellStyle name="40% - Accent6 2 2 2 2 6 2 2" xfId="27473"/>
    <cellStyle name="40% - Accent6 2 2 2 2 6 3" xfId="22742"/>
    <cellStyle name="40% - Accent6 2 2 2 2 7" xfId="4832"/>
    <cellStyle name="40% - Accent6 2 2 2 2 7 2" xfId="14505"/>
    <cellStyle name="40% - Accent6 2 2 2 2 7 2 2" xfId="28054"/>
    <cellStyle name="40% - Accent6 2 2 2 2 7 3" xfId="22741"/>
    <cellStyle name="40% - Accent6 2 2 2 2 8" xfId="4833"/>
    <cellStyle name="40% - Accent6 2 2 2 2 8 2" xfId="15494"/>
    <cellStyle name="40% - Accent6 2 2 2 2 8 2 2" xfId="29043"/>
    <cellStyle name="40% - Accent6 2 2 2 2 8 3" xfId="24181"/>
    <cellStyle name="40% - Accent6 2 2 2 2 9" xfId="4834"/>
    <cellStyle name="40% - Accent6 2 2 2 2 9 2" xfId="16391"/>
    <cellStyle name="40% - Accent6 2 2 2 2 9 2 2" xfId="29798"/>
    <cellStyle name="40% - Accent6 2 2 2 2 9 3" xfId="22740"/>
    <cellStyle name="40% - Accent6 2 2 2 3" xfId="4835"/>
    <cellStyle name="40% - Accent6 2 2 2 3 2" xfId="4836"/>
    <cellStyle name="40% - Accent6 2 2 2 3 2 2" xfId="11247"/>
    <cellStyle name="40% - Accent6 2 2 2 3 2 2 2" xfId="25189"/>
    <cellStyle name="40% - Accent6 2 2 2 3 2 3" xfId="22739"/>
    <cellStyle name="40% - Accent6 2 2 2 3 3" xfId="4837"/>
    <cellStyle name="40% - Accent6 2 2 2 3 3 2" xfId="13034"/>
    <cellStyle name="40% - Accent6 2 2 2 3 3 2 2" xfId="26746"/>
    <cellStyle name="40% - Accent6 2 2 2 3 3 3" xfId="23262"/>
    <cellStyle name="40% - Accent6 2 2 2 3 4" xfId="4838"/>
    <cellStyle name="40% - Accent6 2 2 2 3 4 2" xfId="15497"/>
    <cellStyle name="40% - Accent6 2 2 2 3 4 2 2" xfId="29046"/>
    <cellStyle name="40% - Accent6 2 2 2 3 4 3" xfId="23293"/>
    <cellStyle name="40% - Accent6 2 2 2 3 5" xfId="4839"/>
    <cellStyle name="40% - Accent6 2 2 2 3 5 2" xfId="16683"/>
    <cellStyle name="40% - Accent6 2 2 2 3 5 2 2" xfId="30090"/>
    <cellStyle name="40% - Accent6 2 2 2 3 5 3" xfId="22738"/>
    <cellStyle name="40% - Accent6 2 2 2 3 6" xfId="9520"/>
    <cellStyle name="40% - Accent6 2 2 2 3 6 2" xfId="23995"/>
    <cellStyle name="40% - Accent6 2 2 2 3 7" xfId="24180"/>
    <cellStyle name="40% - Accent6 2 2 2 4" xfId="4840"/>
    <cellStyle name="40% - Accent6 2 2 2 4 2" xfId="4841"/>
    <cellStyle name="40% - Accent6 2 2 2 4 2 2" xfId="15498"/>
    <cellStyle name="40% - Accent6 2 2 2 4 2 2 2" xfId="29047"/>
    <cellStyle name="40% - Accent6 2 2 2 4 2 3" xfId="22737"/>
    <cellStyle name="40% - Accent6 2 2 2 4 3" xfId="11244"/>
    <cellStyle name="40% - Accent6 2 2 2 4 3 2" xfId="25186"/>
    <cellStyle name="40% - Accent6 2 2 2 4 4" xfId="24178"/>
    <cellStyle name="40% - Accent6 2 2 2 5" xfId="4842"/>
    <cellStyle name="40% - Accent6 2 2 2 5 2" xfId="12060"/>
    <cellStyle name="40% - Accent6 2 2 2 5 2 2" xfId="25775"/>
    <cellStyle name="40% - Accent6 2 2 2 5 3" xfId="24177"/>
    <cellStyle name="40% - Accent6 2 2 2 6" xfId="4843"/>
    <cellStyle name="40% - Accent6 2 2 2 6 2" xfId="13031"/>
    <cellStyle name="40% - Accent6 2 2 2 6 2 2" xfId="26743"/>
    <cellStyle name="40% - Accent6 2 2 2 6 3" xfId="22736"/>
    <cellStyle name="40% - Accent6 2 2 2 7" xfId="4844"/>
    <cellStyle name="40% - Accent6 2 2 2 7 2" xfId="13635"/>
    <cellStyle name="40% - Accent6 2 2 2 7 2 2" xfId="27184"/>
    <cellStyle name="40% - Accent6 2 2 2 7 3" xfId="24176"/>
    <cellStyle name="40% - Accent6 2 2 2 8" xfId="4845"/>
    <cellStyle name="40% - Accent6 2 2 2 8 2" xfId="14216"/>
    <cellStyle name="40% - Accent6 2 2 2 8 2 2" xfId="27765"/>
    <cellStyle name="40% - Accent6 2 2 2 8 3" xfId="22735"/>
    <cellStyle name="40% - Accent6 2 2 2 9" xfId="4846"/>
    <cellStyle name="40% - Accent6 2 2 2 9 2" xfId="15493"/>
    <cellStyle name="40% - Accent6 2 2 2 9 2 2" xfId="29042"/>
    <cellStyle name="40% - Accent6 2 2 2 9 3" xfId="24175"/>
    <cellStyle name="40% - Accent6 2 2 3" xfId="4847"/>
    <cellStyle name="40% - Accent6 2 2 3 10" xfId="9521"/>
    <cellStyle name="40% - Accent6 2 2 3 10 2" xfId="23996"/>
    <cellStyle name="40% - Accent6 2 2 3 11" xfId="22734"/>
    <cellStyle name="40% - Accent6 2 2 3 2" xfId="4848"/>
    <cellStyle name="40% - Accent6 2 2 3 2 2" xfId="4849"/>
    <cellStyle name="40% - Accent6 2 2 3 2 2 2" xfId="11249"/>
    <cellStyle name="40% - Accent6 2 2 3 2 2 2 2" xfId="25191"/>
    <cellStyle name="40% - Accent6 2 2 3 2 2 3" xfId="24174"/>
    <cellStyle name="40% - Accent6 2 2 3 2 3" xfId="4850"/>
    <cellStyle name="40% - Accent6 2 2 3 2 3 2" xfId="13036"/>
    <cellStyle name="40% - Accent6 2 2 3 2 3 2 2" xfId="26748"/>
    <cellStyle name="40% - Accent6 2 2 3 2 3 3" xfId="22733"/>
    <cellStyle name="40% - Accent6 2 2 3 2 4" xfId="4851"/>
    <cellStyle name="40% - Accent6 2 2 3 2 4 2" xfId="15500"/>
    <cellStyle name="40% - Accent6 2 2 3 2 4 2 2" xfId="29049"/>
    <cellStyle name="40% - Accent6 2 2 3 2 4 3" xfId="22732"/>
    <cellStyle name="40% - Accent6 2 2 3 2 5" xfId="4852"/>
    <cellStyle name="40% - Accent6 2 2 3 2 5 2" xfId="16829"/>
    <cellStyle name="40% - Accent6 2 2 3 2 5 2 2" xfId="30236"/>
    <cellStyle name="40% - Accent6 2 2 3 2 5 3" xfId="24172"/>
    <cellStyle name="40% - Accent6 2 2 3 2 6" xfId="9522"/>
    <cellStyle name="40% - Accent6 2 2 3 2 6 2" xfId="23997"/>
    <cellStyle name="40% - Accent6 2 2 3 2 7" xfId="24173"/>
    <cellStyle name="40% - Accent6 2 2 3 3" xfId="4853"/>
    <cellStyle name="40% - Accent6 2 2 3 3 2" xfId="4854"/>
    <cellStyle name="40% - Accent6 2 2 3 3 2 2" xfId="15501"/>
    <cellStyle name="40% - Accent6 2 2 3 3 2 2 2" xfId="29050"/>
    <cellStyle name="40% - Accent6 2 2 3 3 2 3" xfId="22731"/>
    <cellStyle name="40% - Accent6 2 2 3 3 3" xfId="11248"/>
    <cellStyle name="40% - Accent6 2 2 3 3 3 2" xfId="25190"/>
    <cellStyle name="40% - Accent6 2 2 3 3 4" xfId="26822"/>
    <cellStyle name="40% - Accent6 2 2 3 4" xfId="4855"/>
    <cellStyle name="40% - Accent6 2 2 3 4 2" xfId="12217"/>
    <cellStyle name="40% - Accent6 2 2 3 4 2 2" xfId="25929"/>
    <cellStyle name="40% - Accent6 2 2 3 4 3" xfId="26823"/>
    <cellStyle name="40% - Accent6 2 2 3 5" xfId="4856"/>
    <cellStyle name="40% - Accent6 2 2 3 5 2" xfId="13035"/>
    <cellStyle name="40% - Accent6 2 2 3 5 2 2" xfId="26747"/>
    <cellStyle name="40% - Accent6 2 2 3 5 3" xfId="22730"/>
    <cellStyle name="40% - Accent6 2 2 3 6" xfId="4857"/>
    <cellStyle name="40% - Accent6 2 2 3 6 2" xfId="13781"/>
    <cellStyle name="40% - Accent6 2 2 3 6 2 2" xfId="27330"/>
    <cellStyle name="40% - Accent6 2 2 3 6 3" xfId="22729"/>
    <cellStyle name="40% - Accent6 2 2 3 7" xfId="4858"/>
    <cellStyle name="40% - Accent6 2 2 3 7 2" xfId="14362"/>
    <cellStyle name="40% - Accent6 2 2 3 7 2 2" xfId="27911"/>
    <cellStyle name="40% - Accent6 2 2 3 7 3" xfId="24170"/>
    <cellStyle name="40% - Accent6 2 2 3 8" xfId="4859"/>
    <cellStyle name="40% - Accent6 2 2 3 8 2" xfId="15499"/>
    <cellStyle name="40% - Accent6 2 2 3 8 2 2" xfId="29048"/>
    <cellStyle name="40% - Accent6 2 2 3 8 3" xfId="24171"/>
    <cellStyle name="40% - Accent6 2 2 3 9" xfId="4860"/>
    <cellStyle name="40% - Accent6 2 2 3 9 2" xfId="16248"/>
    <cellStyle name="40% - Accent6 2 2 3 9 2 2" xfId="29655"/>
    <cellStyle name="40% - Accent6 2 2 3 9 3" xfId="22728"/>
    <cellStyle name="40% - Accent6 2 2 4" xfId="4861"/>
    <cellStyle name="40% - Accent6 2 2 4 2" xfId="4862"/>
    <cellStyle name="40% - Accent6 2 2 4 2 2" xfId="11250"/>
    <cellStyle name="40% - Accent6 2 2 4 2 2 2" xfId="25192"/>
    <cellStyle name="40% - Accent6 2 2 4 2 3" xfId="24169"/>
    <cellStyle name="40% - Accent6 2 2 4 3" xfId="4863"/>
    <cellStyle name="40% - Accent6 2 2 4 3 2" xfId="13037"/>
    <cellStyle name="40% - Accent6 2 2 4 3 2 2" xfId="26749"/>
    <cellStyle name="40% - Accent6 2 2 4 3 3" xfId="22726"/>
    <cellStyle name="40% - Accent6 2 2 4 4" xfId="4864"/>
    <cellStyle name="40% - Accent6 2 2 4 4 2" xfId="15502"/>
    <cellStyle name="40% - Accent6 2 2 4 4 2 2" xfId="29051"/>
    <cellStyle name="40% - Accent6 2 2 4 4 3" xfId="24166"/>
    <cellStyle name="40% - Accent6 2 2 4 5" xfId="4865"/>
    <cellStyle name="40% - Accent6 2 2 4 5 2" xfId="17176"/>
    <cellStyle name="40% - Accent6 2 2 4 5 2 2" xfId="30535"/>
    <cellStyle name="40% - Accent6 2 2 4 5 3" xfId="22725"/>
    <cellStyle name="40% - Accent6 2 2 4 6" xfId="9523"/>
    <cellStyle name="40% - Accent6 2 2 4 6 2" xfId="23998"/>
    <cellStyle name="40% - Accent6 2 2 4 7" xfId="22727"/>
    <cellStyle name="40% - Accent6 2 2 5" xfId="4866"/>
    <cellStyle name="40% - Accent6 2 2 5 2" xfId="4867"/>
    <cellStyle name="40% - Accent6 2 2 5 2 2" xfId="15503"/>
    <cellStyle name="40% - Accent6 2 2 5 2 2 2" xfId="29052"/>
    <cellStyle name="40% - Accent6 2 2 5 2 3" xfId="22724"/>
    <cellStyle name="40% - Accent6 2 2 5 3" xfId="4868"/>
    <cellStyle name="40% - Accent6 2 2 5 3 2" xfId="17265"/>
    <cellStyle name="40% - Accent6 2 2 5 3 2 2" xfId="30624"/>
    <cellStyle name="40% - Accent6 2 2 5 3 3" xfId="24442"/>
    <cellStyle name="40% - Accent6 2 2 5 4" xfId="11243"/>
    <cellStyle name="40% - Accent6 2 2 5 4 2" xfId="25185"/>
    <cellStyle name="40% - Accent6 2 2 5 5" xfId="25252"/>
    <cellStyle name="40% - Accent6 2 2 6" xfId="4869"/>
    <cellStyle name="40% - Accent6 2 2 6 2" xfId="4870"/>
    <cellStyle name="40% - Accent6 2 2 6 2 2" xfId="16540"/>
    <cellStyle name="40% - Accent6 2 2 6 2 2 2" xfId="29947"/>
    <cellStyle name="40% - Accent6 2 2 6 2 3" xfId="22723"/>
    <cellStyle name="40% - Accent6 2 2 6 3" xfId="11915"/>
    <cellStyle name="40% - Accent6 2 2 6 3 2" xfId="25630"/>
    <cellStyle name="40% - Accent6 2 2 6 4" xfId="29138"/>
    <cellStyle name="40% - Accent6 2 2 7" xfId="4871"/>
    <cellStyle name="40% - Accent6 2 2 7 2" xfId="13030"/>
    <cellStyle name="40% - Accent6 2 2 7 2 2" xfId="26742"/>
    <cellStyle name="40% - Accent6 2 2 7 3" xfId="22722"/>
    <cellStyle name="40% - Accent6 2 2 8" xfId="4872"/>
    <cellStyle name="40% - Accent6 2 2 8 2" xfId="13492"/>
    <cellStyle name="40% - Accent6 2 2 8 2 2" xfId="27041"/>
    <cellStyle name="40% - Accent6 2 2 8 3" xfId="24168"/>
    <cellStyle name="40% - Accent6 2 2 9" xfId="4873"/>
    <cellStyle name="40% - Accent6 2 2 9 2" xfId="14073"/>
    <cellStyle name="40% - Accent6 2 2 9 2 2" xfId="27622"/>
    <cellStyle name="40% - Accent6 2 2 9 3" xfId="22721"/>
    <cellStyle name="40% - Accent6 2 3" xfId="4874"/>
    <cellStyle name="40% - Accent6 2 3 10" xfId="4875"/>
    <cellStyle name="40% - Accent6 2 3 10 2" xfId="16056"/>
    <cellStyle name="40% - Accent6 2 3 10 2 2" xfId="29463"/>
    <cellStyle name="40% - Accent6 2 3 10 3" xfId="22720"/>
    <cellStyle name="40% - Accent6 2 3 11" xfId="9524"/>
    <cellStyle name="40% - Accent6 2 3 11 2" xfId="23999"/>
    <cellStyle name="40% - Accent6 2 3 12" xfId="24167"/>
    <cellStyle name="40% - Accent6 2 3 2" xfId="4876"/>
    <cellStyle name="40% - Accent6 2 3 2 10" xfId="9525"/>
    <cellStyle name="40% - Accent6 2 3 2 10 2" xfId="24000"/>
    <cellStyle name="40% - Accent6 2 3 2 11" xfId="23256"/>
    <cellStyle name="40% - Accent6 2 3 2 2" xfId="4877"/>
    <cellStyle name="40% - Accent6 2 3 2 2 2" xfId="4878"/>
    <cellStyle name="40% - Accent6 2 3 2 2 2 2" xfId="11253"/>
    <cellStyle name="40% - Accent6 2 3 2 2 2 2 2" xfId="25195"/>
    <cellStyle name="40% - Accent6 2 3 2 2 2 3" xfId="22719"/>
    <cellStyle name="40% - Accent6 2 3 2 2 3" xfId="4879"/>
    <cellStyle name="40% - Accent6 2 3 2 2 3 2" xfId="13040"/>
    <cellStyle name="40% - Accent6 2 3 2 2 3 2 2" xfId="26752"/>
    <cellStyle name="40% - Accent6 2 3 2 2 3 3" xfId="24164"/>
    <cellStyle name="40% - Accent6 2 3 2 2 4" xfId="4880"/>
    <cellStyle name="40% - Accent6 2 3 2 2 4 2" xfId="15506"/>
    <cellStyle name="40% - Accent6 2 3 2 2 4 2 2" xfId="29055"/>
    <cellStyle name="40% - Accent6 2 3 2 2 4 3" xfId="22718"/>
    <cellStyle name="40% - Accent6 2 3 2 2 5" xfId="4881"/>
    <cellStyle name="40% - Accent6 2 3 2 2 5 2" xfId="16926"/>
    <cellStyle name="40% - Accent6 2 3 2 2 5 2 2" xfId="30333"/>
    <cellStyle name="40% - Accent6 2 3 2 2 5 3" xfId="24163"/>
    <cellStyle name="40% - Accent6 2 3 2 2 6" xfId="9526"/>
    <cellStyle name="40% - Accent6 2 3 2 2 6 2" xfId="24001"/>
    <cellStyle name="40% - Accent6 2 3 2 2 7" xfId="24165"/>
    <cellStyle name="40% - Accent6 2 3 2 3" xfId="4882"/>
    <cellStyle name="40% - Accent6 2 3 2 3 2" xfId="4883"/>
    <cellStyle name="40% - Accent6 2 3 2 3 2 2" xfId="15507"/>
    <cellStyle name="40% - Accent6 2 3 2 3 2 2 2" xfId="29056"/>
    <cellStyle name="40% - Accent6 2 3 2 3 2 3" xfId="24162"/>
    <cellStyle name="40% - Accent6 2 3 2 3 3" xfId="11252"/>
    <cellStyle name="40% - Accent6 2 3 2 3 3 2" xfId="25194"/>
    <cellStyle name="40% - Accent6 2 3 2 3 4" xfId="22717"/>
    <cellStyle name="40% - Accent6 2 3 2 4" xfId="4884"/>
    <cellStyle name="40% - Accent6 2 3 2 4 2" xfId="12314"/>
    <cellStyle name="40% - Accent6 2 3 2 4 2 2" xfId="26026"/>
    <cellStyle name="40% - Accent6 2 3 2 4 3" xfId="22716"/>
    <cellStyle name="40% - Accent6 2 3 2 5" xfId="4885"/>
    <cellStyle name="40% - Accent6 2 3 2 5 2" xfId="13039"/>
    <cellStyle name="40% - Accent6 2 3 2 5 2 2" xfId="26751"/>
    <cellStyle name="40% - Accent6 2 3 2 5 3" xfId="24160"/>
    <cellStyle name="40% - Accent6 2 3 2 6" xfId="4886"/>
    <cellStyle name="40% - Accent6 2 3 2 6 2" xfId="13878"/>
    <cellStyle name="40% - Accent6 2 3 2 6 2 2" xfId="27427"/>
    <cellStyle name="40% - Accent6 2 3 2 6 3" xfId="24161"/>
    <cellStyle name="40% - Accent6 2 3 2 7" xfId="4887"/>
    <cellStyle name="40% - Accent6 2 3 2 7 2" xfId="14459"/>
    <cellStyle name="40% - Accent6 2 3 2 7 2 2" xfId="28008"/>
    <cellStyle name="40% - Accent6 2 3 2 7 3" xfId="22715"/>
    <cellStyle name="40% - Accent6 2 3 2 8" xfId="4888"/>
    <cellStyle name="40% - Accent6 2 3 2 8 2" xfId="15505"/>
    <cellStyle name="40% - Accent6 2 3 2 8 2 2" xfId="29054"/>
    <cellStyle name="40% - Accent6 2 3 2 8 3" xfId="22714"/>
    <cellStyle name="40% - Accent6 2 3 2 9" xfId="4889"/>
    <cellStyle name="40% - Accent6 2 3 2 9 2" xfId="16345"/>
    <cellStyle name="40% - Accent6 2 3 2 9 2 2" xfId="29752"/>
    <cellStyle name="40% - Accent6 2 3 2 9 3" xfId="24159"/>
    <cellStyle name="40% - Accent6 2 3 3" xfId="4890"/>
    <cellStyle name="40% - Accent6 2 3 3 2" xfId="4891"/>
    <cellStyle name="40% - Accent6 2 3 3 2 2" xfId="11254"/>
    <cellStyle name="40% - Accent6 2 3 3 2 2 2" xfId="25196"/>
    <cellStyle name="40% - Accent6 2 3 3 2 3" xfId="22713"/>
    <cellStyle name="40% - Accent6 2 3 3 3" xfId="4892"/>
    <cellStyle name="40% - Accent6 2 3 3 3 2" xfId="13041"/>
    <cellStyle name="40% - Accent6 2 3 3 3 2 2" xfId="26753"/>
    <cellStyle name="40% - Accent6 2 3 3 3 3" xfId="26821"/>
    <cellStyle name="40% - Accent6 2 3 3 4" xfId="4893"/>
    <cellStyle name="40% - Accent6 2 3 3 4 2" xfId="15508"/>
    <cellStyle name="40% - Accent6 2 3 3 4 2 2" xfId="29057"/>
    <cellStyle name="40% - Accent6 2 3 3 4 3" xfId="22712"/>
    <cellStyle name="40% - Accent6 2 3 3 5" xfId="4894"/>
    <cellStyle name="40% - Accent6 2 3 3 5 2" xfId="16637"/>
    <cellStyle name="40% - Accent6 2 3 3 5 2 2" xfId="30044"/>
    <cellStyle name="40% - Accent6 2 3 3 5 3" xfId="22711"/>
    <cellStyle name="40% - Accent6 2 3 3 6" xfId="9527"/>
    <cellStyle name="40% - Accent6 2 3 3 6 2" xfId="24002"/>
    <cellStyle name="40% - Accent6 2 3 3 7" xfId="26820"/>
    <cellStyle name="40% - Accent6 2 3 4" xfId="4895"/>
    <cellStyle name="40% - Accent6 2 3 4 2" xfId="4896"/>
    <cellStyle name="40% - Accent6 2 3 4 2 2" xfId="15509"/>
    <cellStyle name="40% - Accent6 2 3 4 2 2 2" xfId="29058"/>
    <cellStyle name="40% - Accent6 2 3 4 2 3" xfId="24158"/>
    <cellStyle name="40% - Accent6 2 3 4 3" xfId="11251"/>
    <cellStyle name="40% - Accent6 2 3 4 3 2" xfId="25193"/>
    <cellStyle name="40% - Accent6 2 3 4 4" xfId="24157"/>
    <cellStyle name="40% - Accent6 2 3 5" xfId="4897"/>
    <cellStyle name="40% - Accent6 2 3 5 2" xfId="12014"/>
    <cellStyle name="40% - Accent6 2 3 5 2 2" xfId="25729"/>
    <cellStyle name="40% - Accent6 2 3 5 3" xfId="22710"/>
    <cellStyle name="40% - Accent6 2 3 6" xfId="4898"/>
    <cellStyle name="40% - Accent6 2 3 6 2" xfId="13038"/>
    <cellStyle name="40% - Accent6 2 3 6 2 2" xfId="26750"/>
    <cellStyle name="40% - Accent6 2 3 6 3" xfId="22709"/>
    <cellStyle name="40% - Accent6 2 3 7" xfId="4899"/>
    <cellStyle name="40% - Accent6 2 3 7 2" xfId="13589"/>
    <cellStyle name="40% - Accent6 2 3 7 2 2" xfId="27138"/>
    <cellStyle name="40% - Accent6 2 3 7 3" xfId="24156"/>
    <cellStyle name="40% - Accent6 2 3 8" xfId="4900"/>
    <cellStyle name="40% - Accent6 2 3 8 2" xfId="14170"/>
    <cellStyle name="40% - Accent6 2 3 8 2 2" xfId="27719"/>
    <cellStyle name="40% - Accent6 2 3 8 3" xfId="22708"/>
    <cellStyle name="40% - Accent6 2 3 9" xfId="4901"/>
    <cellStyle name="40% - Accent6 2 3 9 2" xfId="15504"/>
    <cellStyle name="40% - Accent6 2 3 9 2 2" xfId="29053"/>
    <cellStyle name="40% - Accent6 2 3 9 3" xfId="24153"/>
    <cellStyle name="40% - Accent6 2 4" xfId="4902"/>
    <cellStyle name="40% - Accent6 2 4 10" xfId="9528"/>
    <cellStyle name="40% - Accent6 2 4 10 2" xfId="24003"/>
    <cellStyle name="40% - Accent6 2 4 11" xfId="22707"/>
    <cellStyle name="40% - Accent6 2 4 2" xfId="4903"/>
    <cellStyle name="40% - Accent6 2 4 2 2" xfId="4904"/>
    <cellStyle name="40% - Accent6 2 4 2 2 2" xfId="11256"/>
    <cellStyle name="40% - Accent6 2 4 2 2 2 2" xfId="25198"/>
    <cellStyle name="40% - Accent6 2 4 2 2 3" xfId="22706"/>
    <cellStyle name="40% - Accent6 2 4 2 3" xfId="4905"/>
    <cellStyle name="40% - Accent6 2 4 2 3 2" xfId="13043"/>
    <cellStyle name="40% - Accent6 2 4 2 3 2 2" xfId="26755"/>
    <cellStyle name="40% - Accent6 2 4 2 3 3" xfId="24441"/>
    <cellStyle name="40% - Accent6 2 4 2 4" xfId="4906"/>
    <cellStyle name="40% - Accent6 2 4 2 4 2" xfId="15511"/>
    <cellStyle name="40% - Accent6 2 4 2 4 2 2" xfId="29060"/>
    <cellStyle name="40% - Accent6 2 4 2 4 3" xfId="29137"/>
    <cellStyle name="40% - Accent6 2 4 2 5" xfId="4907"/>
    <cellStyle name="40% - Accent6 2 4 2 5 2" xfId="16783"/>
    <cellStyle name="40% - Accent6 2 4 2 5 2 2" xfId="30190"/>
    <cellStyle name="40% - Accent6 2 4 2 5 3" xfId="22705"/>
    <cellStyle name="40% - Accent6 2 4 2 6" xfId="9529"/>
    <cellStyle name="40% - Accent6 2 4 2 6 2" xfId="24004"/>
    <cellStyle name="40% - Accent6 2 4 2 7" xfId="25251"/>
    <cellStyle name="40% - Accent6 2 4 3" xfId="4908"/>
    <cellStyle name="40% - Accent6 2 4 3 2" xfId="4909"/>
    <cellStyle name="40% - Accent6 2 4 3 2 2" xfId="15512"/>
    <cellStyle name="40% - Accent6 2 4 3 2 2 2" xfId="29061"/>
    <cellStyle name="40% - Accent6 2 4 3 2 3" xfId="24155"/>
    <cellStyle name="40% - Accent6 2 4 3 3" xfId="11255"/>
    <cellStyle name="40% - Accent6 2 4 3 3 2" xfId="25197"/>
    <cellStyle name="40% - Accent6 2 4 3 4" xfId="22704"/>
    <cellStyle name="40% - Accent6 2 4 4" xfId="4910"/>
    <cellStyle name="40% - Accent6 2 4 4 2" xfId="12171"/>
    <cellStyle name="40% - Accent6 2 4 4 2 2" xfId="25883"/>
    <cellStyle name="40% - Accent6 2 4 4 3" xfId="22703"/>
    <cellStyle name="40% - Accent6 2 4 5" xfId="4911"/>
    <cellStyle name="40% - Accent6 2 4 5 2" xfId="13042"/>
    <cellStyle name="40% - Accent6 2 4 5 2 2" xfId="26754"/>
    <cellStyle name="40% - Accent6 2 4 5 3" xfId="24154"/>
    <cellStyle name="40% - Accent6 2 4 6" xfId="4912"/>
    <cellStyle name="40% - Accent6 2 4 6 2" xfId="13735"/>
    <cellStyle name="40% - Accent6 2 4 6 2 2" xfId="27284"/>
    <cellStyle name="40% - Accent6 2 4 6 3" xfId="22702"/>
    <cellStyle name="40% - Accent6 2 4 7" xfId="4913"/>
    <cellStyle name="40% - Accent6 2 4 7 2" xfId="14316"/>
    <cellStyle name="40% - Accent6 2 4 7 2 2" xfId="27865"/>
    <cellStyle name="40% - Accent6 2 4 7 3" xfId="23252"/>
    <cellStyle name="40% - Accent6 2 4 8" xfId="4914"/>
    <cellStyle name="40% - Accent6 2 4 8 2" xfId="15510"/>
    <cellStyle name="40% - Accent6 2 4 8 2 2" xfId="29059"/>
    <cellStyle name="40% - Accent6 2 4 8 3" xfId="24152"/>
    <cellStyle name="40% - Accent6 2 4 9" xfId="4915"/>
    <cellStyle name="40% - Accent6 2 4 9 2" xfId="16202"/>
    <cellStyle name="40% - Accent6 2 4 9 2 2" xfId="29609"/>
    <cellStyle name="40% - Accent6 2 4 9 3" xfId="22701"/>
    <cellStyle name="40% - Accent6 2 5" xfId="4916"/>
    <cellStyle name="40% - Accent6 2 5 2" xfId="4917"/>
    <cellStyle name="40% - Accent6 2 5 2 2" xfId="4918"/>
    <cellStyle name="40% - Accent6 2 5 2 2 2" xfId="11258"/>
    <cellStyle name="40% - Accent6 2 5 2 2 2 2" xfId="25200"/>
    <cellStyle name="40% - Accent6 2 5 2 2 3" xfId="24150"/>
    <cellStyle name="40% - Accent6 2 5 2 3" xfId="4919"/>
    <cellStyle name="40% - Accent6 2 5 2 3 2" xfId="13045"/>
    <cellStyle name="40% - Accent6 2 5 2 3 2 2" xfId="26757"/>
    <cellStyle name="40% - Accent6 2 5 2 3 3" xfId="22699"/>
    <cellStyle name="40% - Accent6 2 5 2 4" xfId="4920"/>
    <cellStyle name="40% - Accent6 2 5 2 4 2" xfId="15514"/>
    <cellStyle name="40% - Accent6 2 5 2 4 2 2" xfId="29063"/>
    <cellStyle name="40% - Accent6 2 5 2 4 3" xfId="24149"/>
    <cellStyle name="40% - Accent6 2 5 2 5" xfId="9531"/>
    <cellStyle name="40% - Accent6 2 5 2 5 2" xfId="24006"/>
    <cellStyle name="40% - Accent6 2 5 2 6" xfId="22700"/>
    <cellStyle name="40% - Accent6 2 5 3" xfId="4921"/>
    <cellStyle name="40% - Accent6 2 5 3 2" xfId="11257"/>
    <cellStyle name="40% - Accent6 2 5 3 2 2" xfId="25199"/>
    <cellStyle name="40% - Accent6 2 5 3 3" xfId="22698"/>
    <cellStyle name="40% - Accent6 2 5 4" xfId="4922"/>
    <cellStyle name="40% - Accent6 2 5 4 2" xfId="13044"/>
    <cellStyle name="40% - Accent6 2 5 4 2 2" xfId="26756"/>
    <cellStyle name="40% - Accent6 2 5 4 3" xfId="24147"/>
    <cellStyle name="40% - Accent6 2 5 5" xfId="4923"/>
    <cellStyle name="40% - Accent6 2 5 5 2" xfId="15513"/>
    <cellStyle name="40% - Accent6 2 5 5 2 2" xfId="29062"/>
    <cellStyle name="40% - Accent6 2 5 5 3" xfId="24148"/>
    <cellStyle name="40% - Accent6 2 5 6" xfId="4924"/>
    <cellStyle name="40% - Accent6 2 5 6 2" xfId="17018"/>
    <cellStyle name="40% - Accent6 2 5 6 2 2" xfId="30425"/>
    <cellStyle name="40% - Accent6 2 5 6 3" xfId="22697"/>
    <cellStyle name="40% - Accent6 2 5 7" xfId="9530"/>
    <cellStyle name="40% - Accent6 2 5 7 2" xfId="24005"/>
    <cellStyle name="40% - Accent6 2 5 8" xfId="24151"/>
    <cellStyle name="40% - Accent6 2 6" xfId="4925"/>
    <cellStyle name="40% - Accent6 2 6 2" xfId="4926"/>
    <cellStyle name="40% - Accent6 2 6 2 2" xfId="11259"/>
    <cellStyle name="40% - Accent6 2 6 2 2 2" xfId="25201"/>
    <cellStyle name="40% - Accent6 2 6 2 3" xfId="24146"/>
    <cellStyle name="40% - Accent6 2 6 3" xfId="4927"/>
    <cellStyle name="40% - Accent6 2 6 3 2" xfId="13046"/>
    <cellStyle name="40% - Accent6 2 6 3 2 2" xfId="26758"/>
    <cellStyle name="40% - Accent6 2 6 3 3" xfId="26818"/>
    <cellStyle name="40% - Accent6 2 6 4" xfId="4928"/>
    <cellStyle name="40% - Accent6 2 6 4 2" xfId="15515"/>
    <cellStyle name="40% - Accent6 2 6 4 2 2" xfId="29064"/>
    <cellStyle name="40% - Accent6 2 6 4 3" xfId="22695"/>
    <cellStyle name="40% - Accent6 2 6 5" xfId="4929"/>
    <cellStyle name="40% - Accent6 2 6 5 2" xfId="17130"/>
    <cellStyle name="40% - Accent6 2 6 5 2 2" xfId="30489"/>
    <cellStyle name="40% - Accent6 2 6 5 3" xfId="26819"/>
    <cellStyle name="40% - Accent6 2 6 6" xfId="9532"/>
    <cellStyle name="40% - Accent6 2 6 6 2" xfId="24007"/>
    <cellStyle name="40% - Accent6 2 6 7" xfId="22696"/>
    <cellStyle name="40% - Accent6 2 7" xfId="4930"/>
    <cellStyle name="40% - Accent6 2 7 2" xfId="4931"/>
    <cellStyle name="40% - Accent6 2 7 2 2" xfId="11260"/>
    <cellStyle name="40% - Accent6 2 7 2 2 2" xfId="25202"/>
    <cellStyle name="40% - Accent6 2 7 2 3" xfId="22693"/>
    <cellStyle name="40% - Accent6 2 7 3" xfId="4932"/>
    <cellStyle name="40% - Accent6 2 7 3 2" xfId="13047"/>
    <cellStyle name="40% - Accent6 2 7 3 2 2" xfId="26759"/>
    <cellStyle name="40% - Accent6 2 7 3 3" xfId="24144"/>
    <cellStyle name="40% - Accent6 2 7 4" xfId="4933"/>
    <cellStyle name="40% - Accent6 2 7 4 2" xfId="15516"/>
    <cellStyle name="40% - Accent6 2 7 4 2 2" xfId="29065"/>
    <cellStyle name="40% - Accent6 2 7 4 3" xfId="24145"/>
    <cellStyle name="40% - Accent6 2 7 5" xfId="4934"/>
    <cellStyle name="40% - Accent6 2 7 5 2" xfId="17219"/>
    <cellStyle name="40% - Accent6 2 7 5 2 2" xfId="30578"/>
    <cellStyle name="40% - Accent6 2 7 5 3" xfId="22692"/>
    <cellStyle name="40% - Accent6 2 7 6" xfId="9533"/>
    <cellStyle name="40% - Accent6 2 7 6 2" xfId="24008"/>
    <cellStyle name="40% - Accent6 2 7 7" xfId="22694"/>
    <cellStyle name="40% - Accent6 2 8" xfId="4935"/>
    <cellStyle name="40% - Accent6 2 8 2" xfId="4936"/>
    <cellStyle name="40% - Accent6 2 8 2 2" xfId="13048"/>
    <cellStyle name="40% - Accent6 2 8 2 2 2" xfId="26760"/>
    <cellStyle name="40% - Accent6 2 8 2 3" xfId="24143"/>
    <cellStyle name="40% - Accent6 2 8 3" xfId="4937"/>
    <cellStyle name="40% - Accent6 2 8 3 2" xfId="15517"/>
    <cellStyle name="40% - Accent6 2 8 3 2 2" xfId="29066"/>
    <cellStyle name="40% - Accent6 2 8 3 3" xfId="22690"/>
    <cellStyle name="40% - Accent6 2 8 4" xfId="4938"/>
    <cellStyle name="40% - Accent6 2 8 4 2" xfId="16494"/>
    <cellStyle name="40% - Accent6 2 8 4 2 2" xfId="29901"/>
    <cellStyle name="40% - Accent6 2 8 4 3" xfId="24140"/>
    <cellStyle name="40% - Accent6 2 8 5" xfId="10539"/>
    <cellStyle name="40% - Accent6 2 8 5 2" xfId="24481"/>
    <cellStyle name="40% - Accent6 2 8 6" xfId="22691"/>
    <cellStyle name="40% - Accent6 2 9" xfId="4939"/>
    <cellStyle name="40% - Accent6 2 9 2" xfId="4940"/>
    <cellStyle name="40% - Accent6 2 9 2 2" xfId="13049"/>
    <cellStyle name="40% - Accent6 2 9 2 2 2" xfId="26761"/>
    <cellStyle name="40% - Accent6 2 9 2 3" xfId="25250"/>
    <cellStyle name="40% - Accent6 2 9 3" xfId="4941"/>
    <cellStyle name="40% - Accent6 2 9 3 2" xfId="15518"/>
    <cellStyle name="40% - Accent6 2 9 3 2 2" xfId="29067"/>
    <cellStyle name="40% - Accent6 2 9 3 3" xfId="22688"/>
    <cellStyle name="40% - Accent6 2 9 4" xfId="11242"/>
    <cellStyle name="40% - Accent6 2 9 4 2" xfId="25184"/>
    <cellStyle name="40% - Accent6 2 9 5" xfId="22689"/>
    <cellStyle name="40% - Accent6 20" xfId="4942"/>
    <cellStyle name="40% - Accent6 20 2" xfId="4943"/>
    <cellStyle name="40% - Accent6 20 2 2" xfId="13050"/>
    <cellStyle name="40% - Accent6 20 2 2 2" xfId="26762"/>
    <cellStyle name="40% - Accent6 20 2 3" xfId="29136"/>
    <cellStyle name="40% - Accent6 20 3" xfId="4944"/>
    <cellStyle name="40% - Accent6 20 3 2" xfId="15519"/>
    <cellStyle name="40% - Accent6 20 3 2 2" xfId="29068"/>
    <cellStyle name="40% - Accent6 20 3 3" xfId="22687"/>
    <cellStyle name="40% - Accent6 20 4" xfId="10514"/>
    <cellStyle name="40% - Accent6 20 4 2" xfId="24462"/>
    <cellStyle name="40% - Accent6 20 5" xfId="24440"/>
    <cellStyle name="40% - Accent6 21" xfId="4945"/>
    <cellStyle name="40% - Accent6 21 2" xfId="4946"/>
    <cellStyle name="40% - Accent6 21 2 2" xfId="13051"/>
    <cellStyle name="40% - Accent6 21 2 2 2" xfId="26763"/>
    <cellStyle name="40% - Accent6 21 2 3" xfId="24142"/>
    <cellStyle name="40% - Accent6 21 3" xfId="4947"/>
    <cellStyle name="40% - Accent6 21 3 2" xfId="15520"/>
    <cellStyle name="40% - Accent6 21 3 2 2" xfId="29069"/>
    <cellStyle name="40% - Accent6 21 3 3" xfId="22685"/>
    <cellStyle name="40% - Accent6 21 4" xfId="11231"/>
    <cellStyle name="40% - Accent6 21 4 2" xfId="25173"/>
    <cellStyle name="40% - Accent6 21 5" xfId="22686"/>
    <cellStyle name="40% - Accent6 22" xfId="4948"/>
    <cellStyle name="40% - Accent6 22 2" xfId="11750"/>
    <cellStyle name="40% - Accent6 22 2 2" xfId="25465"/>
    <cellStyle name="40% - Accent6 22 3" xfId="24141"/>
    <cellStyle name="40% - Accent6 23" xfId="4949"/>
    <cellStyle name="40% - Accent6 23 2" xfId="13016"/>
    <cellStyle name="40% - Accent6 23 2 2" xfId="26728"/>
    <cellStyle name="40% - Accent6 23 3" xfId="22684"/>
    <cellStyle name="40% - Accent6 24" xfId="4950"/>
    <cellStyle name="40% - Accent6 24 2" xfId="13389"/>
    <cellStyle name="40% - Accent6 24 2 2" xfId="26938"/>
    <cellStyle name="40% - Accent6 24 3" xfId="23249"/>
    <cellStyle name="40% - Accent6 25" xfId="4951"/>
    <cellStyle name="40% - Accent6 25 2" xfId="13970"/>
    <cellStyle name="40% - Accent6 25 2 2" xfId="27519"/>
    <cellStyle name="40% - Accent6 25 3" xfId="24139"/>
    <cellStyle name="40% - Accent6 26" xfId="4952"/>
    <cellStyle name="40% - Accent6 26 2" xfId="15477"/>
    <cellStyle name="40% - Accent6 26 2 2" xfId="29026"/>
    <cellStyle name="40% - Accent6 26 3" xfId="22683"/>
    <cellStyle name="40% - Accent6 27" xfId="4953"/>
    <cellStyle name="40% - Accent6 27 2" xfId="15830"/>
    <cellStyle name="40% - Accent6 27 2 2" xfId="29237"/>
    <cellStyle name="40% - Accent6 27 3" xfId="24138"/>
    <cellStyle name="40% - Accent6 28" xfId="4954"/>
    <cellStyle name="40% - Accent6 28 2" xfId="15856"/>
    <cellStyle name="40% - Accent6 28 2 2" xfId="29263"/>
    <cellStyle name="40% - Accent6 28 3" xfId="22682"/>
    <cellStyle name="40% - Accent6 29" xfId="4955"/>
    <cellStyle name="40% - Accent6 29 2" xfId="9504"/>
    <cellStyle name="40% - Accent6 29 2 2" xfId="23979"/>
    <cellStyle name="40% - Accent6 29 3" xfId="24137"/>
    <cellStyle name="40% - Accent6 3" xfId="4956"/>
    <cellStyle name="40% - Accent6 3 10" xfId="4957"/>
    <cellStyle name="40% - Accent6 3 10 2" xfId="14050"/>
    <cellStyle name="40% - Accent6 3 10 2 2" xfId="27599"/>
    <cellStyle name="40% - Accent6 3 10 3" xfId="24136"/>
    <cellStyle name="40% - Accent6 3 11" xfId="4958"/>
    <cellStyle name="40% - Accent6 3 11 2" xfId="15521"/>
    <cellStyle name="40% - Accent6 3 11 2 2" xfId="29070"/>
    <cellStyle name="40% - Accent6 3 11 3" xfId="22680"/>
    <cellStyle name="40% - Accent6 3 12" xfId="4959"/>
    <cellStyle name="40% - Accent6 3 12 2" xfId="15936"/>
    <cellStyle name="40% - Accent6 3 12 2 2" xfId="29343"/>
    <cellStyle name="40% - Accent6 3 12 3" xfId="24134"/>
    <cellStyle name="40% - Accent6 3 13" xfId="9534"/>
    <cellStyle name="40% - Accent6 3 13 2" xfId="24009"/>
    <cellStyle name="40% - Accent6 3 14" xfId="22681"/>
    <cellStyle name="40% - Accent6 3 2" xfId="4960"/>
    <cellStyle name="40% - Accent6 3 2 10" xfId="4961"/>
    <cellStyle name="40% - Accent6 3 2 10 2" xfId="16079"/>
    <cellStyle name="40% - Accent6 3 2 10 2 2" xfId="29486"/>
    <cellStyle name="40% - Accent6 3 2 10 3" xfId="22679"/>
    <cellStyle name="40% - Accent6 3 2 11" xfId="9535"/>
    <cellStyle name="40% - Accent6 3 2 11 2" xfId="24010"/>
    <cellStyle name="40% - Accent6 3 2 12" xfId="24135"/>
    <cellStyle name="40% - Accent6 3 2 2" xfId="4962"/>
    <cellStyle name="40% - Accent6 3 2 2 10" xfId="9536"/>
    <cellStyle name="40% - Accent6 3 2 2 10 2" xfId="24011"/>
    <cellStyle name="40% - Accent6 3 2 2 11" xfId="22678"/>
    <cellStyle name="40% - Accent6 3 2 2 2" xfId="4963"/>
    <cellStyle name="40% - Accent6 3 2 2 2 2" xfId="4964"/>
    <cellStyle name="40% - Accent6 3 2 2 2 2 2" xfId="11264"/>
    <cellStyle name="40% - Accent6 3 2 2 2 2 2 2" xfId="25206"/>
    <cellStyle name="40% - Accent6 3 2 2 2 2 3" xfId="26816"/>
    <cellStyle name="40% - Accent6 3 2 2 2 3" xfId="4965"/>
    <cellStyle name="40% - Accent6 3 2 2 2 3 2" xfId="13055"/>
    <cellStyle name="40% - Accent6 3 2 2 2 3 2 2" xfId="26767"/>
    <cellStyle name="40% - Accent6 3 2 2 2 3 3" xfId="22677"/>
    <cellStyle name="40% - Accent6 3 2 2 2 4" xfId="4966"/>
    <cellStyle name="40% - Accent6 3 2 2 2 4 2" xfId="15524"/>
    <cellStyle name="40% - Accent6 3 2 2 2 4 2 2" xfId="29073"/>
    <cellStyle name="40% - Accent6 3 2 2 2 4 3" xfId="26817"/>
    <cellStyle name="40% - Accent6 3 2 2 2 5" xfId="4967"/>
    <cellStyle name="40% - Accent6 3 2 2 2 5 2" xfId="16949"/>
    <cellStyle name="40% - Accent6 3 2 2 2 5 2 2" xfId="30356"/>
    <cellStyle name="40% - Accent6 3 2 2 2 5 3" xfId="22676"/>
    <cellStyle name="40% - Accent6 3 2 2 2 6" xfId="9537"/>
    <cellStyle name="40% - Accent6 3 2 2 2 6 2" xfId="24012"/>
    <cellStyle name="40% - Accent6 3 2 2 2 7" xfId="24133"/>
    <cellStyle name="40% - Accent6 3 2 2 3" xfId="4968"/>
    <cellStyle name="40% - Accent6 3 2 2 3 2" xfId="4969"/>
    <cellStyle name="40% - Accent6 3 2 2 3 2 2" xfId="15525"/>
    <cellStyle name="40% - Accent6 3 2 2 3 2 2 2" xfId="29074"/>
    <cellStyle name="40% - Accent6 3 2 2 3 2 3" xfId="24131"/>
    <cellStyle name="40% - Accent6 3 2 2 3 3" xfId="11263"/>
    <cellStyle name="40% - Accent6 3 2 2 3 3 2" xfId="25205"/>
    <cellStyle name="40% - Accent6 3 2 2 3 4" xfId="22675"/>
    <cellStyle name="40% - Accent6 3 2 2 4" xfId="4970"/>
    <cellStyle name="40% - Accent6 3 2 2 4 2" xfId="12337"/>
    <cellStyle name="40% - Accent6 3 2 2 4 2 2" xfId="26049"/>
    <cellStyle name="40% - Accent6 3 2 2 4 3" xfId="24132"/>
    <cellStyle name="40% - Accent6 3 2 2 5" xfId="4971"/>
    <cellStyle name="40% - Accent6 3 2 2 5 2" xfId="13054"/>
    <cellStyle name="40% - Accent6 3 2 2 5 2 2" xfId="26766"/>
    <cellStyle name="40% - Accent6 3 2 2 5 3" xfId="22674"/>
    <cellStyle name="40% - Accent6 3 2 2 6" xfId="4972"/>
    <cellStyle name="40% - Accent6 3 2 2 6 2" xfId="13901"/>
    <cellStyle name="40% - Accent6 3 2 2 6 2 2" xfId="27450"/>
    <cellStyle name="40% - Accent6 3 2 2 6 3" xfId="22673"/>
    <cellStyle name="40% - Accent6 3 2 2 7" xfId="4973"/>
    <cellStyle name="40% - Accent6 3 2 2 7 2" xfId="14482"/>
    <cellStyle name="40% - Accent6 3 2 2 7 2 2" xfId="28031"/>
    <cellStyle name="40% - Accent6 3 2 2 7 3" xfId="24130"/>
    <cellStyle name="40% - Accent6 3 2 2 8" xfId="4974"/>
    <cellStyle name="40% - Accent6 3 2 2 8 2" xfId="15523"/>
    <cellStyle name="40% - Accent6 3 2 2 8 2 2" xfId="29072"/>
    <cellStyle name="40% - Accent6 3 2 2 8 3" xfId="22672"/>
    <cellStyle name="40% - Accent6 3 2 2 9" xfId="4975"/>
    <cellStyle name="40% - Accent6 3 2 2 9 2" xfId="16368"/>
    <cellStyle name="40% - Accent6 3 2 2 9 2 2" xfId="29775"/>
    <cellStyle name="40% - Accent6 3 2 2 9 3" xfId="24127"/>
    <cellStyle name="40% - Accent6 3 2 3" xfId="4976"/>
    <cellStyle name="40% - Accent6 3 2 3 2" xfId="4977"/>
    <cellStyle name="40% - Accent6 3 2 3 2 2" xfId="11265"/>
    <cellStyle name="40% - Accent6 3 2 3 2 2 2" xfId="25207"/>
    <cellStyle name="40% - Accent6 3 2 3 2 3" xfId="25249"/>
    <cellStyle name="40% - Accent6 3 2 3 3" xfId="4978"/>
    <cellStyle name="40% - Accent6 3 2 3 3 2" xfId="13056"/>
    <cellStyle name="40% - Accent6 3 2 3 3 2 2" xfId="26768"/>
    <cellStyle name="40% - Accent6 3 2 3 3 3" xfId="22670"/>
    <cellStyle name="40% - Accent6 3 2 3 4" xfId="4979"/>
    <cellStyle name="40% - Accent6 3 2 3 4 2" xfId="15526"/>
    <cellStyle name="40% - Accent6 3 2 3 4 2 2" xfId="29075"/>
    <cellStyle name="40% - Accent6 3 2 3 4 3" xfId="24439"/>
    <cellStyle name="40% - Accent6 3 2 3 5" xfId="4980"/>
    <cellStyle name="40% - Accent6 3 2 3 5 2" xfId="16660"/>
    <cellStyle name="40% - Accent6 3 2 3 5 2 2" xfId="30067"/>
    <cellStyle name="40% - Accent6 3 2 3 5 3" xfId="29135"/>
    <cellStyle name="40% - Accent6 3 2 3 6" xfId="9538"/>
    <cellStyle name="40% - Accent6 3 2 3 6 2" xfId="24013"/>
    <cellStyle name="40% - Accent6 3 2 3 7" xfId="22671"/>
    <cellStyle name="40% - Accent6 3 2 4" xfId="4981"/>
    <cellStyle name="40% - Accent6 3 2 4 2" xfId="4982"/>
    <cellStyle name="40% - Accent6 3 2 4 2 2" xfId="15527"/>
    <cellStyle name="40% - Accent6 3 2 4 2 2 2" xfId="29076"/>
    <cellStyle name="40% - Accent6 3 2 4 2 3" xfId="22668"/>
    <cellStyle name="40% - Accent6 3 2 4 3" xfId="11262"/>
    <cellStyle name="40% - Accent6 3 2 4 3 2" xfId="25204"/>
    <cellStyle name="40% - Accent6 3 2 4 4" xfId="22669"/>
    <cellStyle name="40% - Accent6 3 2 5" xfId="4983"/>
    <cellStyle name="40% - Accent6 3 2 5 2" xfId="12037"/>
    <cellStyle name="40% - Accent6 3 2 5 2 2" xfId="25752"/>
    <cellStyle name="40% - Accent6 3 2 5 3" xfId="24129"/>
    <cellStyle name="40% - Accent6 3 2 6" xfId="4984"/>
    <cellStyle name="40% - Accent6 3 2 6 2" xfId="13053"/>
    <cellStyle name="40% - Accent6 3 2 6 2 2" xfId="26765"/>
    <cellStyle name="40% - Accent6 3 2 6 3" xfId="22667"/>
    <cellStyle name="40% - Accent6 3 2 7" xfId="4985"/>
    <cellStyle name="40% - Accent6 3 2 7 2" xfId="13612"/>
    <cellStyle name="40% - Accent6 3 2 7 2 2" xfId="27161"/>
    <cellStyle name="40% - Accent6 3 2 7 3" xfId="24128"/>
    <cellStyle name="40% - Accent6 3 2 8" xfId="4986"/>
    <cellStyle name="40% - Accent6 3 2 8 2" xfId="14193"/>
    <cellStyle name="40% - Accent6 3 2 8 2 2" xfId="27742"/>
    <cellStyle name="40% - Accent6 3 2 8 3" xfId="22666"/>
    <cellStyle name="40% - Accent6 3 2 9" xfId="4987"/>
    <cellStyle name="40% - Accent6 3 2 9 2" xfId="15522"/>
    <cellStyle name="40% - Accent6 3 2 9 2 2" xfId="29071"/>
    <cellStyle name="40% - Accent6 3 2 9 3" xfId="23245"/>
    <cellStyle name="40% - Accent6 3 3" xfId="4988"/>
    <cellStyle name="40% - Accent6 3 3 10" xfId="9539"/>
    <cellStyle name="40% - Accent6 3 3 10 2" xfId="24014"/>
    <cellStyle name="40% - Accent6 3 3 11" xfId="24126"/>
    <cellStyle name="40% - Accent6 3 3 2" xfId="4989"/>
    <cellStyle name="40% - Accent6 3 3 2 2" xfId="4990"/>
    <cellStyle name="40% - Accent6 3 3 2 2 2" xfId="11267"/>
    <cellStyle name="40% - Accent6 3 3 2 2 2 2" xfId="25209"/>
    <cellStyle name="40% - Accent6 3 3 2 2 3" xfId="24125"/>
    <cellStyle name="40% - Accent6 3 3 2 3" xfId="4991"/>
    <cellStyle name="40% - Accent6 3 3 2 3 2" xfId="13058"/>
    <cellStyle name="40% - Accent6 3 3 2 3 2 2" xfId="26770"/>
    <cellStyle name="40% - Accent6 3 3 2 3 3" xfId="22664"/>
    <cellStyle name="40% - Accent6 3 3 2 4" xfId="4992"/>
    <cellStyle name="40% - Accent6 3 3 2 4 2" xfId="15529"/>
    <cellStyle name="40% - Accent6 3 3 2 4 2 2" xfId="29078"/>
    <cellStyle name="40% - Accent6 3 3 2 4 3" xfId="24124"/>
    <cellStyle name="40% - Accent6 3 3 2 5" xfId="4993"/>
    <cellStyle name="40% - Accent6 3 3 2 5 2" xfId="16806"/>
    <cellStyle name="40% - Accent6 3 3 2 5 2 2" xfId="30213"/>
    <cellStyle name="40% - Accent6 3 3 2 5 3" xfId="22663"/>
    <cellStyle name="40% - Accent6 3 3 2 6" xfId="9540"/>
    <cellStyle name="40% - Accent6 3 3 2 6 2" xfId="24015"/>
    <cellStyle name="40% - Accent6 3 3 2 7" xfId="22665"/>
    <cellStyle name="40% - Accent6 3 3 3" xfId="4994"/>
    <cellStyle name="40% - Accent6 3 3 3 2" xfId="4995"/>
    <cellStyle name="40% - Accent6 3 3 3 2 2" xfId="15530"/>
    <cellStyle name="40% - Accent6 3 3 3 2 2 2" xfId="29079"/>
    <cellStyle name="40% - Accent6 3 3 3 2 3" xfId="22662"/>
    <cellStyle name="40% - Accent6 3 3 3 3" xfId="11266"/>
    <cellStyle name="40% - Accent6 3 3 3 3 2" xfId="25208"/>
    <cellStyle name="40% - Accent6 3 3 3 4" xfId="24123"/>
    <cellStyle name="40% - Accent6 3 3 4" xfId="4996"/>
    <cellStyle name="40% - Accent6 3 3 4 2" xfId="12194"/>
    <cellStyle name="40% - Accent6 3 3 4 2 2" xfId="25906"/>
    <cellStyle name="40% - Accent6 3 3 4 3" xfId="24121"/>
    <cellStyle name="40% - Accent6 3 3 5" xfId="4997"/>
    <cellStyle name="40% - Accent6 3 3 5 2" xfId="13057"/>
    <cellStyle name="40% - Accent6 3 3 5 2 2" xfId="26769"/>
    <cellStyle name="40% - Accent6 3 3 5 3" xfId="24122"/>
    <cellStyle name="40% - Accent6 3 3 6" xfId="4998"/>
    <cellStyle name="40% - Accent6 3 3 6 2" xfId="13758"/>
    <cellStyle name="40% - Accent6 3 3 6 2 2" xfId="27307"/>
    <cellStyle name="40% - Accent6 3 3 6 3" xfId="22661"/>
    <cellStyle name="40% - Accent6 3 3 7" xfId="4999"/>
    <cellStyle name="40% - Accent6 3 3 7 2" xfId="14339"/>
    <cellStyle name="40% - Accent6 3 3 7 2 2" xfId="27888"/>
    <cellStyle name="40% - Accent6 3 3 7 3" xfId="22660"/>
    <cellStyle name="40% - Accent6 3 3 8" xfId="5000"/>
    <cellStyle name="40% - Accent6 3 3 8 2" xfId="15528"/>
    <cellStyle name="40% - Accent6 3 3 8 2 2" xfId="29077"/>
    <cellStyle name="40% - Accent6 3 3 8 3" xfId="24120"/>
    <cellStyle name="40% - Accent6 3 3 9" xfId="5001"/>
    <cellStyle name="40% - Accent6 3 3 9 2" xfId="16225"/>
    <cellStyle name="40% - Accent6 3 3 9 2 2" xfId="29632"/>
    <cellStyle name="40% - Accent6 3 3 9 3" xfId="26814"/>
    <cellStyle name="40% - Accent6 3 4" xfId="5002"/>
    <cellStyle name="40% - Accent6 3 4 2" xfId="5003"/>
    <cellStyle name="40% - Accent6 3 4 2 2" xfId="11268"/>
    <cellStyle name="40% - Accent6 3 4 2 2 2" xfId="25210"/>
    <cellStyle name="40% - Accent6 3 4 2 3" xfId="26815"/>
    <cellStyle name="40% - Accent6 3 4 3" xfId="5004"/>
    <cellStyle name="40% - Accent6 3 4 3 2" xfId="13059"/>
    <cellStyle name="40% - Accent6 3 4 3 2 2" xfId="26771"/>
    <cellStyle name="40% - Accent6 3 4 3 3" xfId="22658"/>
    <cellStyle name="40% - Accent6 3 4 4" xfId="5005"/>
    <cellStyle name="40% - Accent6 3 4 4 2" xfId="15531"/>
    <cellStyle name="40% - Accent6 3 4 4 2 2" xfId="29080"/>
    <cellStyle name="40% - Accent6 3 4 4 3" xfId="22657"/>
    <cellStyle name="40% - Accent6 3 4 5" xfId="5006"/>
    <cellStyle name="40% - Accent6 3 4 5 2" xfId="17153"/>
    <cellStyle name="40% - Accent6 3 4 5 2 2" xfId="30512"/>
    <cellStyle name="40% - Accent6 3 4 5 3" xfId="24118"/>
    <cellStyle name="40% - Accent6 3 4 6" xfId="9541"/>
    <cellStyle name="40% - Accent6 3 4 6 2" xfId="24016"/>
    <cellStyle name="40% - Accent6 3 4 7" xfId="22659"/>
    <cellStyle name="40% - Accent6 3 5" xfId="5007"/>
    <cellStyle name="40% - Accent6 3 5 2" xfId="5008"/>
    <cellStyle name="40% - Accent6 3 5 2 2" xfId="11269"/>
    <cellStyle name="40% - Accent6 3 5 2 2 2" xfId="25211"/>
    <cellStyle name="40% - Accent6 3 5 2 3" xfId="22656"/>
    <cellStyle name="40% - Accent6 3 5 3" xfId="5009"/>
    <cellStyle name="40% - Accent6 3 5 3 2" xfId="13060"/>
    <cellStyle name="40% - Accent6 3 5 3 2 2" xfId="26772"/>
    <cellStyle name="40% - Accent6 3 5 3 3" xfId="22655"/>
    <cellStyle name="40% - Accent6 3 5 4" xfId="5010"/>
    <cellStyle name="40% - Accent6 3 5 4 2" xfId="15532"/>
    <cellStyle name="40% - Accent6 3 5 4 2 2" xfId="29081"/>
    <cellStyle name="40% - Accent6 3 5 4 3" xfId="24117"/>
    <cellStyle name="40% - Accent6 3 5 5" xfId="5011"/>
    <cellStyle name="40% - Accent6 3 5 5 2" xfId="17242"/>
    <cellStyle name="40% - Accent6 3 5 5 2 2" xfId="30601"/>
    <cellStyle name="40% - Accent6 3 5 5 3" xfId="22654"/>
    <cellStyle name="40% - Accent6 3 5 6" xfId="9542"/>
    <cellStyle name="40% - Accent6 3 5 6 2" xfId="24017"/>
    <cellStyle name="40% - Accent6 3 5 7" xfId="24119"/>
    <cellStyle name="40% - Accent6 3 6" xfId="5012"/>
    <cellStyle name="40% - Accent6 3 6 2" xfId="5013"/>
    <cellStyle name="40% - Accent6 3 6 2 2" xfId="15533"/>
    <cellStyle name="40% - Accent6 3 6 2 2 2" xfId="29082"/>
    <cellStyle name="40% - Accent6 3 6 2 3" xfId="22653"/>
    <cellStyle name="40% - Accent6 3 6 3" xfId="5014"/>
    <cellStyle name="40% - Accent6 3 6 3 2" xfId="16517"/>
    <cellStyle name="40% - Accent6 3 6 3 2 2" xfId="29924"/>
    <cellStyle name="40% - Accent6 3 6 3 3" xfId="25248"/>
    <cellStyle name="40% - Accent6 3 6 4" xfId="11261"/>
    <cellStyle name="40% - Accent6 3 6 4 2" xfId="25203"/>
    <cellStyle name="40% - Accent6 3 6 5" xfId="24114"/>
    <cellStyle name="40% - Accent6 3 7" xfId="5015"/>
    <cellStyle name="40% - Accent6 3 7 2" xfId="11889"/>
    <cellStyle name="40% - Accent6 3 7 2 2" xfId="25604"/>
    <cellStyle name="40% - Accent6 3 7 3" xfId="22652"/>
    <cellStyle name="40% - Accent6 3 8" xfId="5016"/>
    <cellStyle name="40% - Accent6 3 8 2" xfId="13052"/>
    <cellStyle name="40% - Accent6 3 8 2 2" xfId="26764"/>
    <cellStyle name="40% - Accent6 3 8 3" xfId="24438"/>
    <cellStyle name="40% - Accent6 3 9" xfId="5017"/>
    <cellStyle name="40% - Accent6 3 9 2" xfId="13469"/>
    <cellStyle name="40% - Accent6 3 9 2 2" xfId="27018"/>
    <cellStyle name="40% - Accent6 3 9 3" xfId="29134"/>
    <cellStyle name="40% - Accent6 30" xfId="23264"/>
    <cellStyle name="40% - Accent6 4" xfId="5018"/>
    <cellStyle name="40% - Accent6 4 10" xfId="5019"/>
    <cellStyle name="40% - Accent6 4 10 2" xfId="15534"/>
    <cellStyle name="40% - Accent6 4 10 2 2" xfId="29083"/>
    <cellStyle name="40% - Accent6 4 10 3" xfId="22650"/>
    <cellStyle name="40% - Accent6 4 11" xfId="5020"/>
    <cellStyle name="40% - Accent6 4 11 2" xfId="15890"/>
    <cellStyle name="40% - Accent6 4 11 2 2" xfId="29297"/>
    <cellStyle name="40% - Accent6 4 11 3" xfId="24116"/>
    <cellStyle name="40% - Accent6 4 12" xfId="9543"/>
    <cellStyle name="40% - Accent6 4 12 2" xfId="24018"/>
    <cellStyle name="40% - Accent6 4 13" xfId="22651"/>
    <cellStyle name="40% - Accent6 4 2" xfId="5021"/>
    <cellStyle name="40% - Accent6 4 2 10" xfId="5022"/>
    <cellStyle name="40% - Accent6 4 2 10 2" xfId="16033"/>
    <cellStyle name="40% - Accent6 4 2 10 2 2" xfId="29440"/>
    <cellStyle name="40% - Accent6 4 2 10 3" xfId="24115"/>
    <cellStyle name="40% - Accent6 4 2 11" xfId="9544"/>
    <cellStyle name="40% - Accent6 4 2 11 2" xfId="24019"/>
    <cellStyle name="40% - Accent6 4 2 12" xfId="22649"/>
    <cellStyle name="40% - Accent6 4 2 2" xfId="5023"/>
    <cellStyle name="40% - Accent6 4 2 2 10" xfId="9545"/>
    <cellStyle name="40% - Accent6 4 2 2 10 2" xfId="24020"/>
    <cellStyle name="40% - Accent6 4 2 2 11" xfId="22648"/>
    <cellStyle name="40% - Accent6 4 2 2 2" xfId="5024"/>
    <cellStyle name="40% - Accent6 4 2 2 2 2" xfId="5025"/>
    <cellStyle name="40% - Accent6 4 2 2 2 2 2" xfId="11273"/>
    <cellStyle name="40% - Accent6 4 2 2 2 2 2 2" xfId="25215"/>
    <cellStyle name="40% - Accent6 4 2 2 2 2 3" xfId="24113"/>
    <cellStyle name="40% - Accent6 4 2 2 2 3" xfId="5026"/>
    <cellStyle name="40% - Accent6 4 2 2 2 3 2" xfId="13064"/>
    <cellStyle name="40% - Accent6 4 2 2 2 3 2 2" xfId="26776"/>
    <cellStyle name="40% - Accent6 4 2 2 2 3 3" xfId="22647"/>
    <cellStyle name="40% - Accent6 4 2 2 2 4" xfId="5027"/>
    <cellStyle name="40% - Accent6 4 2 2 2 4 2" xfId="15537"/>
    <cellStyle name="40% - Accent6 4 2 2 2 4 2 2" xfId="29086"/>
    <cellStyle name="40% - Accent6 4 2 2 2 4 3" xfId="24112"/>
    <cellStyle name="40% - Accent6 4 2 2 2 5" xfId="5028"/>
    <cellStyle name="40% - Accent6 4 2 2 2 5 2" xfId="16903"/>
    <cellStyle name="40% - Accent6 4 2 2 2 5 2 2" xfId="30310"/>
    <cellStyle name="40% - Accent6 4 2 2 2 5 3" xfId="22646"/>
    <cellStyle name="40% - Accent6 4 2 2 2 6" xfId="9546"/>
    <cellStyle name="40% - Accent6 4 2 2 2 6 2" xfId="24021"/>
    <cellStyle name="40% - Accent6 4 2 2 2 7" xfId="23265"/>
    <cellStyle name="40% - Accent6 4 2 2 3" xfId="5029"/>
    <cellStyle name="40% - Accent6 4 2 2 3 2" xfId="5030"/>
    <cellStyle name="40% - Accent6 4 2 2 3 2 2" xfId="15538"/>
    <cellStyle name="40% - Accent6 4 2 2 3 2 2 2" xfId="29087"/>
    <cellStyle name="40% - Accent6 4 2 2 3 2 3" xfId="22645"/>
    <cellStyle name="40% - Accent6 4 2 2 3 3" xfId="11272"/>
    <cellStyle name="40% - Accent6 4 2 2 3 3 2" xfId="25214"/>
    <cellStyle name="40% - Accent6 4 2 2 3 4" xfId="24111"/>
    <cellStyle name="40% - Accent6 4 2 2 4" xfId="5031"/>
    <cellStyle name="40% - Accent6 4 2 2 4 2" xfId="12291"/>
    <cellStyle name="40% - Accent6 4 2 2 4 2 2" xfId="26003"/>
    <cellStyle name="40% - Accent6 4 2 2 4 3" xfId="24110"/>
    <cellStyle name="40% - Accent6 4 2 2 5" xfId="5032"/>
    <cellStyle name="40% - Accent6 4 2 2 5 2" xfId="13063"/>
    <cellStyle name="40% - Accent6 4 2 2 5 2 2" xfId="26775"/>
    <cellStyle name="40% - Accent6 4 2 2 5 3" xfId="22644"/>
    <cellStyle name="40% - Accent6 4 2 2 6" xfId="5033"/>
    <cellStyle name="40% - Accent6 4 2 2 6 2" xfId="13855"/>
    <cellStyle name="40% - Accent6 4 2 2 6 2 2" xfId="27404"/>
    <cellStyle name="40% - Accent6 4 2 2 6 3" xfId="24108"/>
    <cellStyle name="40% - Accent6 4 2 2 7" xfId="5034"/>
    <cellStyle name="40% - Accent6 4 2 2 7 2" xfId="14436"/>
    <cellStyle name="40% - Accent6 4 2 2 7 2 2" xfId="27985"/>
    <cellStyle name="40% - Accent6 4 2 2 7 3" xfId="24109"/>
    <cellStyle name="40% - Accent6 4 2 2 8" xfId="5035"/>
    <cellStyle name="40% - Accent6 4 2 2 8 2" xfId="15536"/>
    <cellStyle name="40% - Accent6 4 2 2 8 2 2" xfId="29085"/>
    <cellStyle name="40% - Accent6 4 2 2 8 3" xfId="22643"/>
    <cellStyle name="40% - Accent6 4 2 2 9" xfId="5036"/>
    <cellStyle name="40% - Accent6 4 2 2 9 2" xfId="16322"/>
    <cellStyle name="40% - Accent6 4 2 2 9 2 2" xfId="29729"/>
    <cellStyle name="40% - Accent6 4 2 2 9 3" xfId="22642"/>
    <cellStyle name="40% - Accent6 4 2 3" xfId="5037"/>
    <cellStyle name="40% - Accent6 4 2 3 2" xfId="5038"/>
    <cellStyle name="40% - Accent6 4 2 3 2 2" xfId="11274"/>
    <cellStyle name="40% - Accent6 4 2 3 2 2 2" xfId="25216"/>
    <cellStyle name="40% - Accent6 4 2 3 2 3" xfId="26812"/>
    <cellStyle name="40% - Accent6 4 2 3 3" xfId="5039"/>
    <cellStyle name="40% - Accent6 4 2 3 3 2" xfId="13065"/>
    <cellStyle name="40% - Accent6 4 2 3 3 2 2" xfId="26777"/>
    <cellStyle name="40% - Accent6 4 2 3 3 3" xfId="22641"/>
    <cellStyle name="40% - Accent6 4 2 3 4" xfId="5040"/>
    <cellStyle name="40% - Accent6 4 2 3 4 2" xfId="15539"/>
    <cellStyle name="40% - Accent6 4 2 3 4 2 2" xfId="29088"/>
    <cellStyle name="40% - Accent6 4 2 3 4 3" xfId="26813"/>
    <cellStyle name="40% - Accent6 4 2 3 5" xfId="5041"/>
    <cellStyle name="40% - Accent6 4 2 3 5 2" xfId="16614"/>
    <cellStyle name="40% - Accent6 4 2 3 5 2 2" xfId="30021"/>
    <cellStyle name="40% - Accent6 4 2 3 5 3" xfId="22640"/>
    <cellStyle name="40% - Accent6 4 2 3 6" xfId="9547"/>
    <cellStyle name="40% - Accent6 4 2 3 6 2" xfId="24022"/>
    <cellStyle name="40% - Accent6 4 2 3 7" xfId="24107"/>
    <cellStyle name="40% - Accent6 4 2 4" xfId="5042"/>
    <cellStyle name="40% - Accent6 4 2 4 2" xfId="5043"/>
    <cellStyle name="40% - Accent6 4 2 4 2 2" xfId="15540"/>
    <cellStyle name="40% - Accent6 4 2 4 2 2 2" xfId="29089"/>
    <cellStyle name="40% - Accent6 4 2 4 2 3" xfId="24105"/>
    <cellStyle name="40% - Accent6 4 2 4 3" xfId="11271"/>
    <cellStyle name="40% - Accent6 4 2 4 3 2" xfId="25213"/>
    <cellStyle name="40% - Accent6 4 2 4 4" xfId="22639"/>
    <cellStyle name="40% - Accent6 4 2 5" xfId="5044"/>
    <cellStyle name="40% - Accent6 4 2 5 2" xfId="11991"/>
    <cellStyle name="40% - Accent6 4 2 5 2 2" xfId="25706"/>
    <cellStyle name="40% - Accent6 4 2 5 3" xfId="24106"/>
    <cellStyle name="40% - Accent6 4 2 6" xfId="5045"/>
    <cellStyle name="40% - Accent6 4 2 6 2" xfId="13062"/>
    <cellStyle name="40% - Accent6 4 2 6 2 2" xfId="26774"/>
    <cellStyle name="40% - Accent6 4 2 6 3" xfId="22638"/>
    <cellStyle name="40% - Accent6 4 2 7" xfId="5046"/>
    <cellStyle name="40% - Accent6 4 2 7 2" xfId="13566"/>
    <cellStyle name="40% - Accent6 4 2 7 2 2" xfId="27115"/>
    <cellStyle name="40% - Accent6 4 2 7 3" xfId="22637"/>
    <cellStyle name="40% - Accent6 4 2 8" xfId="5047"/>
    <cellStyle name="40% - Accent6 4 2 8 2" xfId="14147"/>
    <cellStyle name="40% - Accent6 4 2 8 2 2" xfId="27696"/>
    <cellStyle name="40% - Accent6 4 2 8 3" xfId="24104"/>
    <cellStyle name="40% - Accent6 4 2 9" xfId="5048"/>
    <cellStyle name="40% - Accent6 4 2 9 2" xfId="15535"/>
    <cellStyle name="40% - Accent6 4 2 9 2 2" xfId="29084"/>
    <cellStyle name="40% - Accent6 4 2 9 3" xfId="22636"/>
    <cellStyle name="40% - Accent6 4 3" xfId="5049"/>
    <cellStyle name="40% - Accent6 4 3 10" xfId="9548"/>
    <cellStyle name="40% - Accent6 4 3 10 2" xfId="24023"/>
    <cellStyle name="40% - Accent6 4 3 11" xfId="24101"/>
    <cellStyle name="40% - Accent6 4 3 2" xfId="5050"/>
    <cellStyle name="40% - Accent6 4 3 2 2" xfId="5051"/>
    <cellStyle name="40% - Accent6 4 3 2 2 2" xfId="11276"/>
    <cellStyle name="40% - Accent6 4 3 2 2 2 2" xfId="25218"/>
    <cellStyle name="40% - Accent6 4 3 2 2 3" xfId="25247"/>
    <cellStyle name="40% - Accent6 4 3 2 3" xfId="5052"/>
    <cellStyle name="40% - Accent6 4 3 2 3 2" xfId="13067"/>
    <cellStyle name="40% - Accent6 4 3 2 3 2 2" xfId="26779"/>
    <cellStyle name="40% - Accent6 4 3 2 3 3" xfId="22634"/>
    <cellStyle name="40% - Accent6 4 3 2 4" xfId="5053"/>
    <cellStyle name="40% - Accent6 4 3 2 4 2" xfId="15542"/>
    <cellStyle name="40% - Accent6 4 3 2 4 2 2" xfId="29091"/>
    <cellStyle name="40% - Accent6 4 3 2 4 3" xfId="24437"/>
    <cellStyle name="40% - Accent6 4 3 2 5" xfId="5054"/>
    <cellStyle name="40% - Accent6 4 3 2 5 2" xfId="16763"/>
    <cellStyle name="40% - Accent6 4 3 2 5 2 2" xfId="30170"/>
    <cellStyle name="40% - Accent6 4 3 2 5 3" xfId="29133"/>
    <cellStyle name="40% - Accent6 4 3 2 6" xfId="9549"/>
    <cellStyle name="40% - Accent6 4 3 2 6 2" xfId="24024"/>
    <cellStyle name="40% - Accent6 4 3 2 7" xfId="22635"/>
    <cellStyle name="40% - Accent6 4 3 3" xfId="5055"/>
    <cellStyle name="40% - Accent6 4 3 3 2" xfId="5056"/>
    <cellStyle name="40% - Accent6 4 3 3 2 2" xfId="15543"/>
    <cellStyle name="40% - Accent6 4 3 3 2 2 2" xfId="29092"/>
    <cellStyle name="40% - Accent6 4 3 3 2 3" xfId="22632"/>
    <cellStyle name="40% - Accent6 4 3 3 3" xfId="11275"/>
    <cellStyle name="40% - Accent6 4 3 3 3 2" xfId="25217"/>
    <cellStyle name="40% - Accent6 4 3 3 4" xfId="22633"/>
    <cellStyle name="40% - Accent6 4 3 4" xfId="5057"/>
    <cellStyle name="40% - Accent6 4 3 4 2" xfId="12151"/>
    <cellStyle name="40% - Accent6 4 3 4 2 2" xfId="25863"/>
    <cellStyle name="40% - Accent6 4 3 4 3" xfId="24103"/>
    <cellStyle name="40% - Accent6 4 3 5" xfId="5058"/>
    <cellStyle name="40% - Accent6 4 3 5 2" xfId="13066"/>
    <cellStyle name="40% - Accent6 4 3 5 2 2" xfId="26778"/>
    <cellStyle name="40% - Accent6 4 3 5 3" xfId="22631"/>
    <cellStyle name="40% - Accent6 4 3 6" xfId="5059"/>
    <cellStyle name="40% - Accent6 4 3 6 2" xfId="13715"/>
    <cellStyle name="40% - Accent6 4 3 6 2 2" xfId="27264"/>
    <cellStyle name="40% - Accent6 4 3 6 3" xfId="24102"/>
    <cellStyle name="40% - Accent6 4 3 7" xfId="5060"/>
    <cellStyle name="40% - Accent6 4 3 7 2" xfId="14296"/>
    <cellStyle name="40% - Accent6 4 3 7 2 2" xfId="27845"/>
    <cellStyle name="40% - Accent6 4 3 7 3" xfId="22630"/>
    <cellStyle name="40% - Accent6 4 3 8" xfId="5061"/>
    <cellStyle name="40% - Accent6 4 3 8 2" xfId="15541"/>
    <cellStyle name="40% - Accent6 4 3 8 2 2" xfId="29090"/>
    <cellStyle name="40% - Accent6 4 3 8 3" xfId="23261"/>
    <cellStyle name="40% - Accent6 4 3 9" xfId="5062"/>
    <cellStyle name="40% - Accent6 4 3 9 2" xfId="16182"/>
    <cellStyle name="40% - Accent6 4 3 9 2 2" xfId="29589"/>
    <cellStyle name="40% - Accent6 4 3 9 3" xfId="24100"/>
    <cellStyle name="40% - Accent6 4 4" xfId="5063"/>
    <cellStyle name="40% - Accent6 4 4 2" xfId="5064"/>
    <cellStyle name="40% - Accent6 4 4 2 2" xfId="11277"/>
    <cellStyle name="40% - Accent6 4 4 2 2 2" xfId="25219"/>
    <cellStyle name="40% - Accent6 4 4 2 3" xfId="24099"/>
    <cellStyle name="40% - Accent6 4 4 3" xfId="5065"/>
    <cellStyle name="40% - Accent6 4 4 3 2" xfId="13068"/>
    <cellStyle name="40% - Accent6 4 4 3 2 2" xfId="26780"/>
    <cellStyle name="40% - Accent6 4 4 3 3" xfId="22628"/>
    <cellStyle name="40% - Accent6 4 4 4" xfId="5066"/>
    <cellStyle name="40% - Accent6 4 4 4 2" xfId="15544"/>
    <cellStyle name="40% - Accent6 4 4 4 2 2" xfId="29093"/>
    <cellStyle name="40% - Accent6 4 4 4 3" xfId="24098"/>
    <cellStyle name="40% - Accent6 4 4 5" xfId="5067"/>
    <cellStyle name="40% - Accent6 4 4 5 2" xfId="16471"/>
    <cellStyle name="40% - Accent6 4 4 5 2 2" xfId="29878"/>
    <cellStyle name="40% - Accent6 4 4 5 3" xfId="22627"/>
    <cellStyle name="40% - Accent6 4 4 6" xfId="9550"/>
    <cellStyle name="40% - Accent6 4 4 6 2" xfId="24025"/>
    <cellStyle name="40% - Accent6 4 4 7" xfId="22629"/>
    <cellStyle name="40% - Accent6 4 5" xfId="5068"/>
    <cellStyle name="40% - Accent6 4 5 2" xfId="5069"/>
    <cellStyle name="40% - Accent6 4 5 2 2" xfId="15545"/>
    <cellStyle name="40% - Accent6 4 5 2 2 2" xfId="29094"/>
    <cellStyle name="40% - Accent6 4 5 2 3" xfId="22626"/>
    <cellStyle name="40% - Accent6 4 5 3" xfId="11270"/>
    <cellStyle name="40% - Accent6 4 5 3 2" xfId="25212"/>
    <cellStyle name="40% - Accent6 4 5 4" xfId="24097"/>
    <cellStyle name="40% - Accent6 4 6" xfId="5070"/>
    <cellStyle name="40% - Accent6 4 6 2" xfId="11822"/>
    <cellStyle name="40% - Accent6 4 6 2 2" xfId="25537"/>
    <cellStyle name="40% - Accent6 4 6 3" xfId="24095"/>
    <cellStyle name="40% - Accent6 4 7" xfId="5071"/>
    <cellStyle name="40% - Accent6 4 7 2" xfId="13061"/>
    <cellStyle name="40% - Accent6 4 7 2 2" xfId="26773"/>
    <cellStyle name="40% - Accent6 4 7 3" xfId="24096"/>
    <cellStyle name="40% - Accent6 4 8" xfId="5072"/>
    <cellStyle name="40% - Accent6 4 8 2" xfId="13423"/>
    <cellStyle name="40% - Accent6 4 8 2 2" xfId="26972"/>
    <cellStyle name="40% - Accent6 4 8 3" xfId="22625"/>
    <cellStyle name="40% - Accent6 4 9" xfId="5073"/>
    <cellStyle name="40% - Accent6 4 9 2" xfId="14004"/>
    <cellStyle name="40% - Accent6 4 9 2 2" xfId="27553"/>
    <cellStyle name="40% - Accent6 4 9 3" xfId="22624"/>
    <cellStyle name="40% - Accent6 5" xfId="5074"/>
    <cellStyle name="40% - Accent6 5 10" xfId="5075"/>
    <cellStyle name="40% - Accent6 5 10 2" xfId="15546"/>
    <cellStyle name="40% - Accent6 5 10 2 2" xfId="29095"/>
    <cellStyle name="40% - Accent6 5 10 3" xfId="26810"/>
    <cellStyle name="40% - Accent6 5 11" xfId="5076"/>
    <cellStyle name="40% - Accent6 5 11 2" xfId="15873"/>
    <cellStyle name="40% - Accent6 5 11 2 2" xfId="29280"/>
    <cellStyle name="40% - Accent6 5 11 3" xfId="22623"/>
    <cellStyle name="40% - Accent6 5 12" xfId="9551"/>
    <cellStyle name="40% - Accent6 5 12 2" xfId="24026"/>
    <cellStyle name="40% - Accent6 5 13" xfId="24094"/>
    <cellStyle name="40% - Accent6 5 2" xfId="5077"/>
    <cellStyle name="40% - Accent6 5 2 10" xfId="5078"/>
    <cellStyle name="40% - Accent6 5 2 10 2" xfId="16016"/>
    <cellStyle name="40% - Accent6 5 2 10 2 2" xfId="29423"/>
    <cellStyle name="40% - Accent6 5 2 10 3" xfId="22622"/>
    <cellStyle name="40% - Accent6 5 2 11" xfId="9552"/>
    <cellStyle name="40% - Accent6 5 2 11 2" xfId="24027"/>
    <cellStyle name="40% - Accent6 5 2 12" xfId="26811"/>
    <cellStyle name="40% - Accent6 5 2 2" xfId="5079"/>
    <cellStyle name="40% - Accent6 5 2 2 10" xfId="9553"/>
    <cellStyle name="40% - Accent6 5 2 2 10 2" xfId="24028"/>
    <cellStyle name="40% - Accent6 5 2 2 11" xfId="22621"/>
    <cellStyle name="40% - Accent6 5 2 2 2" xfId="5080"/>
    <cellStyle name="40% - Accent6 5 2 2 2 2" xfId="5081"/>
    <cellStyle name="40% - Accent6 5 2 2 2 2 2" xfId="11281"/>
    <cellStyle name="40% - Accent6 5 2 2 2 2 2 2" xfId="25223"/>
    <cellStyle name="40% - Accent6 5 2 2 2 2 3" xfId="24093"/>
    <cellStyle name="40% - Accent6 5 2 2 2 3" xfId="5082"/>
    <cellStyle name="40% - Accent6 5 2 2 2 3 2" xfId="13072"/>
    <cellStyle name="40% - Accent6 5 2 2 2 3 2 2" xfId="26784"/>
    <cellStyle name="40% - Accent6 5 2 2 2 3 3" xfId="22620"/>
    <cellStyle name="40% - Accent6 5 2 2 2 4" xfId="5083"/>
    <cellStyle name="40% - Accent6 5 2 2 2 4 2" xfId="15549"/>
    <cellStyle name="40% - Accent6 5 2 2 2 4 2 2" xfId="29098"/>
    <cellStyle name="40% - Accent6 5 2 2 2 4 3" xfId="22619"/>
    <cellStyle name="40% - Accent6 5 2 2 2 5" xfId="5084"/>
    <cellStyle name="40% - Accent6 5 2 2 2 5 2" xfId="16886"/>
    <cellStyle name="40% - Accent6 5 2 2 2 5 2 2" xfId="30293"/>
    <cellStyle name="40% - Accent6 5 2 2 2 5 3" xfId="24091"/>
    <cellStyle name="40% - Accent6 5 2 2 2 6" xfId="9554"/>
    <cellStyle name="40% - Accent6 5 2 2 2 6 2" xfId="24029"/>
    <cellStyle name="40% - Accent6 5 2 2 2 7" xfId="24092"/>
    <cellStyle name="40% - Accent6 5 2 2 3" xfId="5085"/>
    <cellStyle name="40% - Accent6 5 2 2 3 2" xfId="5086"/>
    <cellStyle name="40% - Accent6 5 2 2 3 2 2" xfId="15550"/>
    <cellStyle name="40% - Accent6 5 2 2 3 2 2 2" xfId="29099"/>
    <cellStyle name="40% - Accent6 5 2 2 3 2 3" xfId="24088"/>
    <cellStyle name="40% - Accent6 5 2 2 3 3" xfId="11280"/>
    <cellStyle name="40% - Accent6 5 2 2 3 3 2" xfId="25222"/>
    <cellStyle name="40% - Accent6 5 2 2 3 4" xfId="22618"/>
    <cellStyle name="40% - Accent6 5 2 2 4" xfId="5087"/>
    <cellStyle name="40% - Accent6 5 2 2 4 2" xfId="12274"/>
    <cellStyle name="40% - Accent6 5 2 2 4 2 2" xfId="25986"/>
    <cellStyle name="40% - Accent6 5 2 2 4 3" xfId="22617"/>
    <cellStyle name="40% - Accent6 5 2 2 5" xfId="5088"/>
    <cellStyle name="40% - Accent6 5 2 2 5 2" xfId="13071"/>
    <cellStyle name="40% - Accent6 5 2 2 5 2 2" xfId="26783"/>
    <cellStyle name="40% - Accent6 5 2 2 5 3" xfId="25246"/>
    <cellStyle name="40% - Accent6 5 2 2 6" xfId="5089"/>
    <cellStyle name="40% - Accent6 5 2 2 6 2" xfId="13838"/>
    <cellStyle name="40% - Accent6 5 2 2 6 2 2" xfId="27387"/>
    <cellStyle name="40% - Accent6 5 2 2 6 3" xfId="22616"/>
    <cellStyle name="40% - Accent6 5 2 2 7" xfId="5090"/>
    <cellStyle name="40% - Accent6 5 2 2 7 2" xfId="14419"/>
    <cellStyle name="40% - Accent6 5 2 2 7 2 2" xfId="27968"/>
    <cellStyle name="40% - Accent6 5 2 2 7 3" xfId="24436"/>
    <cellStyle name="40% - Accent6 5 2 2 8" xfId="5091"/>
    <cellStyle name="40% - Accent6 5 2 2 8 2" xfId="15548"/>
    <cellStyle name="40% - Accent6 5 2 2 8 2 2" xfId="29097"/>
    <cellStyle name="40% - Accent6 5 2 2 8 3" xfId="29132"/>
    <cellStyle name="40% - Accent6 5 2 2 9" xfId="5092"/>
    <cellStyle name="40% - Accent6 5 2 2 9 2" xfId="16305"/>
    <cellStyle name="40% - Accent6 5 2 2 9 2 2" xfId="29712"/>
    <cellStyle name="40% - Accent6 5 2 2 9 3" xfId="22615"/>
    <cellStyle name="40% - Accent6 5 2 3" xfId="5093"/>
    <cellStyle name="40% - Accent6 5 2 3 2" xfId="5094"/>
    <cellStyle name="40% - Accent6 5 2 3 2 2" xfId="11282"/>
    <cellStyle name="40% - Accent6 5 2 3 2 2 2" xfId="25224"/>
    <cellStyle name="40% - Accent6 5 2 3 2 3" xfId="24090"/>
    <cellStyle name="40% - Accent6 5 2 3 3" xfId="5095"/>
    <cellStyle name="40% - Accent6 5 2 3 3 2" xfId="13073"/>
    <cellStyle name="40% - Accent6 5 2 3 3 2 2" xfId="26785"/>
    <cellStyle name="40% - Accent6 5 2 3 3 3" xfId="22613"/>
    <cellStyle name="40% - Accent6 5 2 3 4" xfId="5096"/>
    <cellStyle name="40% - Accent6 5 2 3 4 2" xfId="15551"/>
    <cellStyle name="40% - Accent6 5 2 3 4 2 2" xfId="29100"/>
    <cellStyle name="40% - Accent6 5 2 3 4 3" xfId="24089"/>
    <cellStyle name="40% - Accent6 5 2 3 5" xfId="5097"/>
    <cellStyle name="40% - Accent6 5 2 3 5 2" xfId="16597"/>
    <cellStyle name="40% - Accent6 5 2 3 5 2 2" xfId="30004"/>
    <cellStyle name="40% - Accent6 5 2 3 5 3" xfId="22612"/>
    <cellStyle name="40% - Accent6 5 2 3 6" xfId="9555"/>
    <cellStyle name="40% - Accent6 5 2 3 6 2" xfId="24030"/>
    <cellStyle name="40% - Accent6 5 2 3 7" xfId="22614"/>
    <cellStyle name="40% - Accent6 5 2 4" xfId="5098"/>
    <cellStyle name="40% - Accent6 5 2 4 2" xfId="5099"/>
    <cellStyle name="40% - Accent6 5 2 4 2 2" xfId="15552"/>
    <cellStyle name="40% - Accent6 5 2 4 2 2 2" xfId="29101"/>
    <cellStyle name="40% - Accent6 5 2 4 2 3" xfId="24087"/>
    <cellStyle name="40% - Accent6 5 2 4 3" xfId="11279"/>
    <cellStyle name="40% - Accent6 5 2 4 3 2" xfId="25221"/>
    <cellStyle name="40% - Accent6 5 2 4 4" xfId="23259"/>
    <cellStyle name="40% - Accent6 5 2 5" xfId="5100"/>
    <cellStyle name="40% - Accent6 5 2 5 2" xfId="11974"/>
    <cellStyle name="40% - Accent6 5 2 5 2 2" xfId="25689"/>
    <cellStyle name="40% - Accent6 5 2 5 3" xfId="22611"/>
    <cellStyle name="40% - Accent6 5 2 6" xfId="5101"/>
    <cellStyle name="40% - Accent6 5 2 6 2" xfId="13070"/>
    <cellStyle name="40% - Accent6 5 2 6 2 2" xfId="26782"/>
    <cellStyle name="40% - Accent6 5 2 6 3" xfId="24086"/>
    <cellStyle name="40% - Accent6 5 2 7" xfId="5102"/>
    <cellStyle name="40% - Accent6 5 2 7 2" xfId="13549"/>
    <cellStyle name="40% - Accent6 5 2 7 2 2" xfId="27098"/>
    <cellStyle name="40% - Accent6 5 2 7 3" xfId="22610"/>
    <cellStyle name="40% - Accent6 5 2 8" xfId="5103"/>
    <cellStyle name="40% - Accent6 5 2 8 2" xfId="14130"/>
    <cellStyle name="40% - Accent6 5 2 8 2 2" xfId="27679"/>
    <cellStyle name="40% - Accent6 5 2 8 3" xfId="24085"/>
    <cellStyle name="40% - Accent6 5 2 9" xfId="5104"/>
    <cellStyle name="40% - Accent6 5 2 9 2" xfId="15547"/>
    <cellStyle name="40% - Accent6 5 2 9 2 2" xfId="29096"/>
    <cellStyle name="40% - Accent6 5 2 9 3" xfId="22609"/>
    <cellStyle name="40% - Accent6 5 3" xfId="5105"/>
    <cellStyle name="40% - Accent6 5 3 10" xfId="9556"/>
    <cellStyle name="40% - Accent6 5 3 10 2" xfId="24031"/>
    <cellStyle name="40% - Accent6 5 3 11" xfId="24084"/>
    <cellStyle name="40% - Accent6 5 3 2" xfId="5106"/>
    <cellStyle name="40% - Accent6 5 3 2 2" xfId="5107"/>
    <cellStyle name="40% - Accent6 5 3 2 2 2" xfId="11284"/>
    <cellStyle name="40% - Accent6 5 3 2 2 2 2" xfId="25226"/>
    <cellStyle name="40% - Accent6 5 3 2 2 3" xfId="24082"/>
    <cellStyle name="40% - Accent6 5 3 2 3" xfId="5108"/>
    <cellStyle name="40% - Accent6 5 3 2 3 2" xfId="13075"/>
    <cellStyle name="40% - Accent6 5 3 2 3 2 2" xfId="26787"/>
    <cellStyle name="40% - Accent6 5 3 2 3 3" xfId="24083"/>
    <cellStyle name="40% - Accent6 5 3 2 4" xfId="5109"/>
    <cellStyle name="40% - Accent6 5 3 2 4 2" xfId="15554"/>
    <cellStyle name="40% - Accent6 5 3 2 4 2 2" xfId="29103"/>
    <cellStyle name="40% - Accent6 5 3 2 4 3" xfId="22607"/>
    <cellStyle name="40% - Accent6 5 3 2 5" xfId="5110"/>
    <cellStyle name="40% - Accent6 5 3 2 5 2" xfId="16746"/>
    <cellStyle name="40% - Accent6 5 3 2 5 2 2" xfId="30153"/>
    <cellStyle name="40% - Accent6 5 3 2 5 3" xfId="22606"/>
    <cellStyle name="40% - Accent6 5 3 2 6" xfId="9557"/>
    <cellStyle name="40% - Accent6 5 3 2 6 2" xfId="24032"/>
    <cellStyle name="40% - Accent6 5 3 2 7" xfId="22608"/>
    <cellStyle name="40% - Accent6 5 3 3" xfId="5111"/>
    <cellStyle name="40% - Accent6 5 3 3 2" xfId="5112"/>
    <cellStyle name="40% - Accent6 5 3 3 2 2" xfId="15555"/>
    <cellStyle name="40% - Accent6 5 3 3 2 2 2" xfId="29104"/>
    <cellStyle name="40% - Accent6 5 3 3 2 3" xfId="26808"/>
    <cellStyle name="40% - Accent6 5 3 3 3" xfId="11283"/>
    <cellStyle name="40% - Accent6 5 3 3 3 2" xfId="25225"/>
    <cellStyle name="40% - Accent6 5 3 3 4" xfId="24081"/>
    <cellStyle name="40% - Accent6 5 3 4" xfId="5113"/>
    <cellStyle name="40% - Accent6 5 3 4 2" xfId="12134"/>
    <cellStyle name="40% - Accent6 5 3 4 2 2" xfId="25846"/>
    <cellStyle name="40% - Accent6 5 3 4 3" xfId="22605"/>
    <cellStyle name="40% - Accent6 5 3 5" xfId="5114"/>
    <cellStyle name="40% - Accent6 5 3 5 2" xfId="13074"/>
    <cellStyle name="40% - Accent6 5 3 5 2 2" xfId="26786"/>
    <cellStyle name="40% - Accent6 5 3 5 3" xfId="26809"/>
    <cellStyle name="40% - Accent6 5 3 6" xfId="5115"/>
    <cellStyle name="40% - Accent6 5 3 6 2" xfId="13698"/>
    <cellStyle name="40% - Accent6 5 3 6 2 2" xfId="27247"/>
    <cellStyle name="40% - Accent6 5 3 6 3" xfId="22604"/>
    <cellStyle name="40% - Accent6 5 3 7" xfId="5116"/>
    <cellStyle name="40% - Accent6 5 3 7 2" xfId="14279"/>
    <cellStyle name="40% - Accent6 5 3 7 2 2" xfId="27828"/>
    <cellStyle name="40% - Accent6 5 3 7 3" xfId="22603"/>
    <cellStyle name="40% - Accent6 5 3 8" xfId="5117"/>
    <cellStyle name="40% - Accent6 5 3 8 2" xfId="15553"/>
    <cellStyle name="40% - Accent6 5 3 8 2 2" xfId="29102"/>
    <cellStyle name="40% - Accent6 5 3 8 3" xfId="24079"/>
    <cellStyle name="40% - Accent6 5 3 9" xfId="5118"/>
    <cellStyle name="40% - Accent6 5 3 9 2" xfId="16165"/>
    <cellStyle name="40% - Accent6 5 3 9 2 2" xfId="29572"/>
    <cellStyle name="40% - Accent6 5 3 9 3" xfId="24080"/>
    <cellStyle name="40% - Accent6 5 4" xfId="5119"/>
    <cellStyle name="40% - Accent6 5 4 2" xfId="5120"/>
    <cellStyle name="40% - Accent6 5 4 2 2" xfId="11285"/>
    <cellStyle name="40% - Accent6 5 4 2 2 2" xfId="25227"/>
    <cellStyle name="40% - Accent6 5 4 2 3" xfId="22601"/>
    <cellStyle name="40% - Accent6 5 4 3" xfId="5121"/>
    <cellStyle name="40% - Accent6 5 4 3 2" xfId="13076"/>
    <cellStyle name="40% - Accent6 5 4 3 2 2" xfId="26788"/>
    <cellStyle name="40% - Accent6 5 4 3 3" xfId="24078"/>
    <cellStyle name="40% - Accent6 5 4 4" xfId="5122"/>
    <cellStyle name="40% - Accent6 5 4 4 2" xfId="15556"/>
    <cellStyle name="40% - Accent6 5 4 4 2 2" xfId="29105"/>
    <cellStyle name="40% - Accent6 5 4 4 3" xfId="22600"/>
    <cellStyle name="40% - Accent6 5 4 5" xfId="5123"/>
    <cellStyle name="40% - Accent6 5 4 5 2" xfId="16454"/>
    <cellStyle name="40% - Accent6 5 4 5 2 2" xfId="29861"/>
    <cellStyle name="40% - Accent6 5 4 5 3" xfId="24075"/>
    <cellStyle name="40% - Accent6 5 4 6" xfId="9558"/>
    <cellStyle name="40% - Accent6 5 4 6 2" xfId="24033"/>
    <cellStyle name="40% - Accent6 5 4 7" xfId="22602"/>
    <cellStyle name="40% - Accent6 5 5" xfId="5124"/>
    <cellStyle name="40% - Accent6 5 5 2" xfId="5125"/>
    <cellStyle name="40% - Accent6 5 5 2 2" xfId="15557"/>
    <cellStyle name="40% - Accent6 5 5 2 2 2" xfId="29106"/>
    <cellStyle name="40% - Accent6 5 5 2 3" xfId="25245"/>
    <cellStyle name="40% - Accent6 5 5 3" xfId="11278"/>
    <cellStyle name="40% - Accent6 5 5 3 2" xfId="25220"/>
    <cellStyle name="40% - Accent6 5 5 4" xfId="22599"/>
    <cellStyle name="40% - Accent6 5 6" xfId="5126"/>
    <cellStyle name="40% - Accent6 5 6 2" xfId="11805"/>
    <cellStyle name="40% - Accent6 5 6 2 2" xfId="25520"/>
    <cellStyle name="40% - Accent6 5 6 3" xfId="22598"/>
    <cellStyle name="40% - Accent6 5 7" xfId="5127"/>
    <cellStyle name="40% - Accent6 5 7 2" xfId="13069"/>
    <cellStyle name="40% - Accent6 5 7 2 2" xfId="26781"/>
    <cellStyle name="40% - Accent6 5 7 3" xfId="24435"/>
    <cellStyle name="40% - Accent6 5 8" xfId="5128"/>
    <cellStyle name="40% - Accent6 5 8 2" xfId="13406"/>
    <cellStyle name="40% - Accent6 5 8 2 2" xfId="26955"/>
    <cellStyle name="40% - Accent6 5 8 3" xfId="29131"/>
    <cellStyle name="40% - Accent6 5 9" xfId="5129"/>
    <cellStyle name="40% - Accent6 5 9 2" xfId="13987"/>
    <cellStyle name="40% - Accent6 5 9 2 2" xfId="27536"/>
    <cellStyle name="40% - Accent6 5 9 3" xfId="22597"/>
    <cellStyle name="40% - Accent6 6" xfId="5130"/>
    <cellStyle name="40% - Accent6 6 10" xfId="5131"/>
    <cellStyle name="40% - Accent6 6 10 2" xfId="15558"/>
    <cellStyle name="40% - Accent6 6 10 2 2" xfId="29107"/>
    <cellStyle name="40% - Accent6 6 10 3" xfId="24077"/>
    <cellStyle name="40% - Accent6 6 11" xfId="5132"/>
    <cellStyle name="40% - Accent6 6 11 2" xfId="15979"/>
    <cellStyle name="40% - Accent6 6 11 2 2" xfId="29386"/>
    <cellStyle name="40% - Accent6 6 11 3" xfId="22595"/>
    <cellStyle name="40% - Accent6 6 12" xfId="9559"/>
    <cellStyle name="40% - Accent6 6 12 2" xfId="24034"/>
    <cellStyle name="40% - Accent6 6 13" xfId="22596"/>
    <cellStyle name="40% - Accent6 6 2" xfId="5133"/>
    <cellStyle name="40% - Accent6 6 2 10" xfId="5134"/>
    <cellStyle name="40% - Accent6 6 2 10 2" xfId="16122"/>
    <cellStyle name="40% - Accent6 6 2 10 2 2" xfId="29529"/>
    <cellStyle name="40% - Accent6 6 2 10 3" xfId="22594"/>
    <cellStyle name="40% - Accent6 6 2 11" xfId="9560"/>
    <cellStyle name="40% - Accent6 6 2 11 2" xfId="24035"/>
    <cellStyle name="40% - Accent6 6 2 12" xfId="24076"/>
    <cellStyle name="40% - Accent6 6 2 2" xfId="5135"/>
    <cellStyle name="40% - Accent6 6 2 2 10" xfId="9561"/>
    <cellStyle name="40% - Accent6 6 2 2 10 2" xfId="24036"/>
    <cellStyle name="40% - Accent6 6 2 2 11" xfId="23255"/>
    <cellStyle name="40% - Accent6 6 2 2 2" xfId="5136"/>
    <cellStyle name="40% - Accent6 6 2 2 2 2" xfId="5137"/>
    <cellStyle name="40% - Accent6 6 2 2 2 2 2" xfId="11289"/>
    <cellStyle name="40% - Accent6 6 2 2 2 2 2 2" xfId="25231"/>
    <cellStyle name="40% - Accent6 6 2 2 2 2 3" xfId="22593"/>
    <cellStyle name="40% - Accent6 6 2 2 2 3" xfId="5138"/>
    <cellStyle name="40% - Accent6 6 2 2 2 3 2" xfId="13080"/>
    <cellStyle name="40% - Accent6 6 2 2 2 3 2 2" xfId="26792"/>
    <cellStyle name="40% - Accent6 6 2 2 2 3 3" xfId="24073"/>
    <cellStyle name="40% - Accent6 6 2 2 2 4" xfId="5139"/>
    <cellStyle name="40% - Accent6 6 2 2 2 4 2" xfId="15561"/>
    <cellStyle name="40% - Accent6 6 2 2 2 4 2 2" xfId="29110"/>
    <cellStyle name="40% - Accent6 6 2 2 2 4 3" xfId="22592"/>
    <cellStyle name="40% - Accent6 6 2 2 2 5" xfId="5140"/>
    <cellStyle name="40% - Accent6 6 2 2 2 5 2" xfId="16992"/>
    <cellStyle name="40% - Accent6 6 2 2 2 5 2 2" xfId="30399"/>
    <cellStyle name="40% - Accent6 6 2 2 2 5 3" xfId="24072"/>
    <cellStyle name="40% - Accent6 6 2 2 2 6" xfId="9562"/>
    <cellStyle name="40% - Accent6 6 2 2 2 6 2" xfId="24037"/>
    <cellStyle name="40% - Accent6 6 2 2 2 7" xfId="24074"/>
    <cellStyle name="40% - Accent6 6 2 2 3" xfId="5141"/>
    <cellStyle name="40% - Accent6 6 2 2 3 2" xfId="5142"/>
    <cellStyle name="40% - Accent6 6 2 2 3 2 2" xfId="15562"/>
    <cellStyle name="40% - Accent6 6 2 2 3 2 2 2" xfId="29111"/>
    <cellStyle name="40% - Accent6 6 2 2 3 2 3" xfId="24071"/>
    <cellStyle name="40% - Accent6 6 2 2 3 3" xfId="11288"/>
    <cellStyle name="40% - Accent6 6 2 2 3 3 2" xfId="25230"/>
    <cellStyle name="40% - Accent6 6 2 2 3 4" xfId="22591"/>
    <cellStyle name="40% - Accent6 6 2 2 4" xfId="5143"/>
    <cellStyle name="40% - Accent6 6 2 2 4 2" xfId="12380"/>
    <cellStyle name="40% - Accent6 6 2 2 4 2 2" xfId="26092"/>
    <cellStyle name="40% - Accent6 6 2 2 4 3" xfId="22590"/>
    <cellStyle name="40% - Accent6 6 2 2 5" xfId="5144"/>
    <cellStyle name="40% - Accent6 6 2 2 5 2" xfId="13079"/>
    <cellStyle name="40% - Accent6 6 2 2 5 2 2" xfId="26791"/>
    <cellStyle name="40% - Accent6 6 2 2 5 3" xfId="24069"/>
    <cellStyle name="40% - Accent6 6 2 2 6" xfId="5145"/>
    <cellStyle name="40% - Accent6 6 2 2 6 2" xfId="13944"/>
    <cellStyle name="40% - Accent6 6 2 2 6 2 2" xfId="27493"/>
    <cellStyle name="40% - Accent6 6 2 2 6 3" xfId="24070"/>
    <cellStyle name="40% - Accent6 6 2 2 7" xfId="5146"/>
    <cellStyle name="40% - Accent6 6 2 2 7 2" xfId="14525"/>
    <cellStyle name="40% - Accent6 6 2 2 7 2 2" xfId="28074"/>
    <cellStyle name="40% - Accent6 6 2 2 7 3" xfId="22589"/>
    <cellStyle name="40% - Accent6 6 2 2 8" xfId="5147"/>
    <cellStyle name="40% - Accent6 6 2 2 8 2" xfId="15560"/>
    <cellStyle name="40% - Accent6 6 2 2 8 2 2" xfId="29109"/>
    <cellStyle name="40% - Accent6 6 2 2 8 3" xfId="22588"/>
    <cellStyle name="40% - Accent6 6 2 2 9" xfId="5148"/>
    <cellStyle name="40% - Accent6 6 2 2 9 2" xfId="16411"/>
    <cellStyle name="40% - Accent6 6 2 2 9 2 2" xfId="29818"/>
    <cellStyle name="40% - Accent6 6 2 2 9 3" xfId="24068"/>
    <cellStyle name="40% - Accent6 6 2 3" xfId="5149"/>
    <cellStyle name="40% - Accent6 6 2 3 2" xfId="5150"/>
    <cellStyle name="40% - Accent6 6 2 3 2 2" xfId="11290"/>
    <cellStyle name="40% - Accent6 6 2 3 2 2 2" xfId="25232"/>
    <cellStyle name="40% - Accent6 6 2 3 2 3" xfId="22587"/>
    <cellStyle name="40% - Accent6 6 2 3 3" xfId="5151"/>
    <cellStyle name="40% - Accent6 6 2 3 3 2" xfId="13081"/>
    <cellStyle name="40% - Accent6 6 2 3 3 2 2" xfId="26793"/>
    <cellStyle name="40% - Accent6 6 2 3 3 3" xfId="26807"/>
    <cellStyle name="40% - Accent6 6 2 3 4" xfId="5152"/>
    <cellStyle name="40% - Accent6 6 2 3 4 2" xfId="15563"/>
    <cellStyle name="40% - Accent6 6 2 3 4 2 2" xfId="29112"/>
    <cellStyle name="40% - Accent6 6 2 3 4 3" xfId="22586"/>
    <cellStyle name="40% - Accent6 6 2 3 5" xfId="5153"/>
    <cellStyle name="40% - Accent6 6 2 3 5 2" xfId="16703"/>
    <cellStyle name="40% - Accent6 6 2 3 5 2 2" xfId="30110"/>
    <cellStyle name="40% - Accent6 6 2 3 5 3" xfId="22585"/>
    <cellStyle name="40% - Accent6 6 2 3 6" xfId="9563"/>
    <cellStyle name="40% - Accent6 6 2 3 6 2" xfId="24038"/>
    <cellStyle name="40% - Accent6 6 2 3 7" xfId="26806"/>
    <cellStyle name="40% - Accent6 6 2 4" xfId="5154"/>
    <cellStyle name="40% - Accent6 6 2 4 2" xfId="5155"/>
    <cellStyle name="40% - Accent6 6 2 4 2 2" xfId="15564"/>
    <cellStyle name="40% - Accent6 6 2 4 2 2 2" xfId="29113"/>
    <cellStyle name="40% - Accent6 6 2 4 2 3" xfId="24067"/>
    <cellStyle name="40% - Accent6 6 2 4 3" xfId="11287"/>
    <cellStyle name="40% - Accent6 6 2 4 3 2" xfId="25229"/>
    <cellStyle name="40% - Accent6 6 2 4 4" xfId="24066"/>
    <cellStyle name="40% - Accent6 6 2 5" xfId="5156"/>
    <cellStyle name="40% - Accent6 6 2 5 2" xfId="12080"/>
    <cellStyle name="40% - Accent6 6 2 5 2 2" xfId="25795"/>
    <cellStyle name="40% - Accent6 6 2 5 3" xfId="22584"/>
    <cellStyle name="40% - Accent6 6 2 6" xfId="5157"/>
    <cellStyle name="40% - Accent6 6 2 6 2" xfId="13078"/>
    <cellStyle name="40% - Accent6 6 2 6 2 2" xfId="26790"/>
    <cellStyle name="40% - Accent6 6 2 6 3" xfId="22583"/>
    <cellStyle name="40% - Accent6 6 2 7" xfId="5158"/>
    <cellStyle name="40% - Accent6 6 2 7 2" xfId="13655"/>
    <cellStyle name="40% - Accent6 6 2 7 2 2" xfId="27204"/>
    <cellStyle name="40% - Accent6 6 2 7 3" xfId="24065"/>
    <cellStyle name="40% - Accent6 6 2 8" xfId="5159"/>
    <cellStyle name="40% - Accent6 6 2 8 2" xfId="14236"/>
    <cellStyle name="40% - Accent6 6 2 8 2 2" xfId="27785"/>
    <cellStyle name="40% - Accent6 6 2 8 3" xfId="22582"/>
    <cellStyle name="40% - Accent6 6 2 9" xfId="5160"/>
    <cellStyle name="40% - Accent6 6 2 9 2" xfId="15559"/>
    <cellStyle name="40% - Accent6 6 2 9 2 2" xfId="29108"/>
    <cellStyle name="40% - Accent6 6 2 9 3" xfId="24062"/>
    <cellStyle name="40% - Accent6 6 3" xfId="5161"/>
    <cellStyle name="40% - Accent6 6 3 10" xfId="9564"/>
    <cellStyle name="40% - Accent6 6 3 10 2" xfId="24039"/>
    <cellStyle name="40% - Accent6 6 3 11" xfId="22581"/>
    <cellStyle name="40% - Accent6 6 3 2" xfId="5162"/>
    <cellStyle name="40% - Accent6 6 3 2 2" xfId="5163"/>
    <cellStyle name="40% - Accent6 6 3 2 2 2" xfId="11292"/>
    <cellStyle name="40% - Accent6 6 3 2 2 2 2" xfId="25234"/>
    <cellStyle name="40% - Accent6 6 3 2 2 3" xfId="22580"/>
    <cellStyle name="40% - Accent6 6 3 2 3" xfId="5164"/>
    <cellStyle name="40% - Accent6 6 3 2 3 2" xfId="13083"/>
    <cellStyle name="40% - Accent6 6 3 2 3 2 2" xfId="26795"/>
    <cellStyle name="40% - Accent6 6 3 2 3 3" xfId="24434"/>
    <cellStyle name="40% - Accent6 6 3 2 4" xfId="5165"/>
    <cellStyle name="40% - Accent6 6 3 2 4 2" xfId="15566"/>
    <cellStyle name="40% - Accent6 6 3 2 4 2 2" xfId="29115"/>
    <cellStyle name="40% - Accent6 6 3 2 4 3" xfId="29130"/>
    <cellStyle name="40% - Accent6 6 3 2 5" xfId="5166"/>
    <cellStyle name="40% - Accent6 6 3 2 5 2" xfId="16849"/>
    <cellStyle name="40% - Accent6 6 3 2 5 2 2" xfId="30256"/>
    <cellStyle name="40% - Accent6 6 3 2 5 3" xfId="22579"/>
    <cellStyle name="40% - Accent6 6 3 2 6" xfId="9565"/>
    <cellStyle name="40% - Accent6 6 3 2 6 2" xfId="24040"/>
    <cellStyle name="40% - Accent6 6 3 2 7" xfId="25244"/>
    <cellStyle name="40% - Accent6 6 3 3" xfId="5167"/>
    <cellStyle name="40% - Accent6 6 3 3 2" xfId="5168"/>
    <cellStyle name="40% - Accent6 6 3 3 2 2" xfId="15567"/>
    <cellStyle name="40% - Accent6 6 3 3 2 2 2" xfId="29116"/>
    <cellStyle name="40% - Accent6 6 3 3 2 3" xfId="24064"/>
    <cellStyle name="40% - Accent6 6 3 3 3" xfId="11291"/>
    <cellStyle name="40% - Accent6 6 3 3 3 2" xfId="25233"/>
    <cellStyle name="40% - Accent6 6 3 3 4" xfId="22578"/>
    <cellStyle name="40% - Accent6 6 3 4" xfId="5169"/>
    <cellStyle name="40% - Accent6 6 3 4 2" xfId="12237"/>
    <cellStyle name="40% - Accent6 6 3 4 2 2" xfId="25949"/>
    <cellStyle name="40% - Accent6 6 3 4 3" xfId="22577"/>
    <cellStyle name="40% - Accent6 6 3 5" xfId="5170"/>
    <cellStyle name="40% - Accent6 6 3 5 2" xfId="13082"/>
    <cellStyle name="40% - Accent6 6 3 5 2 2" xfId="26794"/>
    <cellStyle name="40% - Accent6 6 3 5 3" xfId="24063"/>
    <cellStyle name="40% - Accent6 6 3 6" xfId="5171"/>
    <cellStyle name="40% - Accent6 6 3 6 2" xfId="13801"/>
    <cellStyle name="40% - Accent6 6 3 6 2 2" xfId="27350"/>
    <cellStyle name="40% - Accent6 6 3 6 3" xfId="22576"/>
    <cellStyle name="40% - Accent6 6 3 7" xfId="5172"/>
    <cellStyle name="40% - Accent6 6 3 7 2" xfId="14382"/>
    <cellStyle name="40% - Accent6 6 3 7 2 2" xfId="27931"/>
    <cellStyle name="40% - Accent6 6 3 7 3" xfId="23251"/>
    <cellStyle name="40% - Accent6 6 3 8" xfId="5173"/>
    <cellStyle name="40% - Accent6 6 3 8 2" xfId="15565"/>
    <cellStyle name="40% - Accent6 6 3 8 2 2" xfId="29114"/>
    <cellStyle name="40% - Accent6 6 3 8 3" xfId="24061"/>
    <cellStyle name="40% - Accent6 6 3 9" xfId="5174"/>
    <cellStyle name="40% - Accent6 6 3 9 2" xfId="16268"/>
    <cellStyle name="40% - Accent6 6 3 9 2 2" xfId="29675"/>
    <cellStyle name="40% - Accent6 6 3 9 3" xfId="22575"/>
    <cellStyle name="40% - Accent6 6 4" xfId="5175"/>
    <cellStyle name="40% - Accent6 6 4 2" xfId="5176"/>
    <cellStyle name="40% - Accent6 6 4 2 2" xfId="11293"/>
    <cellStyle name="40% - Accent6 6 4 2 2 2" xfId="25235"/>
    <cellStyle name="40% - Accent6 6 4 2 3" xfId="22574"/>
    <cellStyle name="40% - Accent6 6 4 3" xfId="5177"/>
    <cellStyle name="40% - Accent6 6 4 3 2" xfId="13084"/>
    <cellStyle name="40% - Accent6 6 4 3 2 2" xfId="26796"/>
    <cellStyle name="40% - Accent6 6 4 3 3" xfId="24059"/>
    <cellStyle name="40% - Accent6 6 4 4" xfId="5178"/>
    <cellStyle name="40% - Accent6 6 4 4 2" xfId="15568"/>
    <cellStyle name="40% - Accent6 6 4 4 2 2" xfId="29117"/>
    <cellStyle name="40% - Accent6 6 4 4 3" xfId="22573"/>
    <cellStyle name="40% - Accent6 6 4 5" xfId="5179"/>
    <cellStyle name="40% - Accent6 6 4 5 2" xfId="16560"/>
    <cellStyle name="40% - Accent6 6 4 5 2 2" xfId="29967"/>
    <cellStyle name="40% - Accent6 6 4 5 3" xfId="24058"/>
    <cellStyle name="40% - Accent6 6 4 6" xfId="9566"/>
    <cellStyle name="40% - Accent6 6 4 6 2" xfId="24041"/>
    <cellStyle name="40% - Accent6 6 4 7" xfId="24060"/>
    <cellStyle name="40% - Accent6 6 5" xfId="5180"/>
    <cellStyle name="40% - Accent6 6 5 2" xfId="5181"/>
    <cellStyle name="40% - Accent6 6 5 2 2" xfId="15569"/>
    <cellStyle name="40% - Accent6 6 5 2 2 2" xfId="29118"/>
    <cellStyle name="40% - Accent6 6 5 2 3" xfId="24056"/>
    <cellStyle name="40% - Accent6 6 5 3" xfId="11286"/>
    <cellStyle name="40% - Accent6 6 5 3 2" xfId="25228"/>
    <cellStyle name="40% - Accent6 6 5 4" xfId="22572"/>
    <cellStyle name="40% - Accent6 6 6" xfId="5182"/>
    <cellStyle name="40% - Accent6 6 6 2" xfId="11935"/>
    <cellStyle name="40% - Accent6 6 6 2 2" xfId="25650"/>
    <cellStyle name="40% - Accent6 6 6 3" xfId="24057"/>
    <cellStyle name="40% - Accent6 6 7" xfId="5183"/>
    <cellStyle name="40% - Accent6 6 7 2" xfId="13077"/>
    <cellStyle name="40% - Accent6 6 7 2 2" xfId="26789"/>
    <cellStyle name="40% - Accent6 6 7 3" xfId="22571"/>
    <cellStyle name="40% - Accent6 6 8" xfId="5184"/>
    <cellStyle name="40% - Accent6 6 8 2" xfId="13512"/>
    <cellStyle name="40% - Accent6 6 8 2 2" xfId="27061"/>
    <cellStyle name="40% - Accent6 6 8 3" xfId="22570"/>
    <cellStyle name="40% - Accent6 6 9" xfId="5185"/>
    <cellStyle name="40% - Accent6 6 9 2" xfId="14093"/>
    <cellStyle name="40% - Accent6 6 9 2 2" xfId="27642"/>
    <cellStyle name="40% - Accent6 6 9 3" xfId="24055"/>
    <cellStyle name="40% - Accent6 7" xfId="5186"/>
    <cellStyle name="40% - Accent6 7 10" xfId="5187"/>
    <cellStyle name="40% - Accent6 7 10 2" xfId="15999"/>
    <cellStyle name="40% - Accent6 7 10 2 2" xfId="29406"/>
    <cellStyle name="40% - Accent6 7 10 3" xfId="22569"/>
    <cellStyle name="40% - Accent6 7 11" xfId="9567"/>
    <cellStyle name="40% - Accent6 7 11 2" xfId="24042"/>
    <cellStyle name="40% - Accent6 7 12" xfId="26804"/>
    <cellStyle name="40% - Accent6 7 2" xfId="5188"/>
    <cellStyle name="40% - Accent6 7 2 10" xfId="9568"/>
    <cellStyle name="40% - Accent6 7 2 10 2" xfId="24043"/>
    <cellStyle name="40% - Accent6 7 2 11" xfId="26805"/>
    <cellStyle name="40% - Accent6 7 2 2" xfId="5189"/>
    <cellStyle name="40% - Accent6 7 2 2 2" xfId="5190"/>
    <cellStyle name="40% - Accent6 7 2 2 2 2" xfId="11296"/>
    <cellStyle name="40% - Accent6 7 2 2 2 2 2" xfId="25238"/>
    <cellStyle name="40% - Accent6 7 2 2 2 3" xfId="22567"/>
    <cellStyle name="40% - Accent6 7 2 2 3" xfId="5191"/>
    <cellStyle name="40% - Accent6 7 2 2 3 2" xfId="13087"/>
    <cellStyle name="40% - Accent6 7 2 2 3 2 2" xfId="26799"/>
    <cellStyle name="40% - Accent6 7 2 2 3 3" xfId="24053"/>
    <cellStyle name="40% - Accent6 7 2 2 4" xfId="5192"/>
    <cellStyle name="40% - Accent6 7 2 2 4 2" xfId="15572"/>
    <cellStyle name="40% - Accent6 7 2 2 4 2 2" xfId="29121"/>
    <cellStyle name="40% - Accent6 7 2 2 4 3" xfId="24054"/>
    <cellStyle name="40% - Accent6 7 2 2 5" xfId="5193"/>
    <cellStyle name="40% - Accent6 7 2 2 5 2" xfId="16869"/>
    <cellStyle name="40% - Accent6 7 2 2 5 2 2" xfId="30276"/>
    <cellStyle name="40% - Accent6 7 2 2 5 3" xfId="22566"/>
    <cellStyle name="40% - Accent6 7 2 2 6" xfId="9569"/>
    <cellStyle name="40% - Accent6 7 2 2 6 2" xfId="24044"/>
    <cellStyle name="40% - Accent6 7 2 2 7" xfId="22568"/>
    <cellStyle name="40% - Accent6 7 2 3" xfId="5194"/>
    <cellStyle name="40% - Accent6 7 2 3 2" xfId="5195"/>
    <cellStyle name="40% - Accent6 7 2 3 2 2" xfId="15573"/>
    <cellStyle name="40% - Accent6 7 2 3 2 2 2" xfId="29122"/>
    <cellStyle name="40% - Accent6 7 2 3 2 3" xfId="24052"/>
    <cellStyle name="40% - Accent6 7 2 3 3" xfId="11295"/>
    <cellStyle name="40% - Accent6 7 2 3 3 2" xfId="25237"/>
    <cellStyle name="40% - Accent6 7 2 3 4" xfId="22565"/>
    <cellStyle name="40% - Accent6 7 2 4" xfId="5196"/>
    <cellStyle name="40% - Accent6 7 2 4 2" xfId="12257"/>
    <cellStyle name="40% - Accent6 7 2 4 2 2" xfId="25969"/>
    <cellStyle name="40% - Accent6 7 2 4 3" xfId="22564"/>
    <cellStyle name="40% - Accent6 7 2 5" xfId="5197"/>
    <cellStyle name="40% - Accent6 7 2 5 2" xfId="13086"/>
    <cellStyle name="40% - Accent6 7 2 5 2 2" xfId="26798"/>
    <cellStyle name="40% - Accent6 7 2 5 3" xfId="24049"/>
    <cellStyle name="40% - Accent6 7 2 6" xfId="5198"/>
    <cellStyle name="40% - Accent6 7 2 6 2" xfId="13821"/>
    <cellStyle name="40% - Accent6 7 2 6 2 2" xfId="27370"/>
    <cellStyle name="40% - Accent6 7 2 6 3" xfId="22563"/>
    <cellStyle name="40% - Accent6 7 2 7" xfId="5199"/>
    <cellStyle name="40% - Accent6 7 2 7 2" xfId="14402"/>
    <cellStyle name="40% - Accent6 7 2 7 2 2" xfId="27951"/>
    <cellStyle name="40% - Accent6 7 2 7 3" xfId="25243"/>
    <cellStyle name="40% - Accent6 7 2 8" xfId="5200"/>
    <cellStyle name="40% - Accent6 7 2 8 2" xfId="15571"/>
    <cellStyle name="40% - Accent6 7 2 8 2 2" xfId="29120"/>
    <cellStyle name="40% - Accent6 7 2 8 3" xfId="22562"/>
    <cellStyle name="40% - Accent6 7 2 9" xfId="5201"/>
    <cellStyle name="40% - Accent6 7 2 9 2" xfId="16288"/>
    <cellStyle name="40% - Accent6 7 2 9 2 2" xfId="29695"/>
    <cellStyle name="40% - Accent6 7 2 9 3" xfId="24433"/>
    <cellStyle name="40% - Accent6 7 3" xfId="5202"/>
    <cellStyle name="40% - Accent6 7 3 2" xfId="5203"/>
    <cellStyle name="40% - Accent6 7 3 2 2" xfId="11297"/>
    <cellStyle name="40% - Accent6 7 3 2 2 2" xfId="25239"/>
    <cellStyle name="40% - Accent6 7 3 2 3" xfId="22561"/>
    <cellStyle name="40% - Accent6 7 3 3" xfId="5204"/>
    <cellStyle name="40% - Accent6 7 3 3 2" xfId="13088"/>
    <cellStyle name="40% - Accent6 7 3 3 2 2" xfId="26800"/>
    <cellStyle name="40% - Accent6 7 3 3 3" xfId="22560"/>
    <cellStyle name="40% - Accent6 7 3 4" xfId="5205"/>
    <cellStyle name="40% - Accent6 7 3 4 2" xfId="15574"/>
    <cellStyle name="40% - Accent6 7 3 4 2 2" xfId="29123"/>
    <cellStyle name="40% - Accent6 7 3 4 3" xfId="24051"/>
    <cellStyle name="40% - Accent6 7 3 5" xfId="5206"/>
    <cellStyle name="40% - Accent6 7 3 5 2" xfId="16580"/>
    <cellStyle name="40% - Accent6 7 3 5 2 2" xfId="29987"/>
    <cellStyle name="40% - Accent6 7 3 5 3" xfId="22559"/>
    <cellStyle name="40% - Accent6 7 3 6" xfId="9570"/>
    <cellStyle name="40% - Accent6 7 3 6 2" xfId="24045"/>
    <cellStyle name="40% - Accent6 7 3 7" xfId="29129"/>
    <cellStyle name="40% - Accent6 7 4" xfId="5207"/>
    <cellStyle name="40% - Accent6 7 4 2" xfId="5208"/>
    <cellStyle name="40% - Accent6 7 4 2 2" xfId="15575"/>
    <cellStyle name="40% - Accent6 7 4 2 2 2" xfId="29124"/>
    <cellStyle name="40% - Accent6 7 4 2 3" xfId="22558"/>
    <cellStyle name="40% - Accent6 7 4 3" xfId="11294"/>
    <cellStyle name="40% - Accent6 7 4 3 2" xfId="25236"/>
    <cellStyle name="40% - Accent6 7 4 4" xfId="24050"/>
    <cellStyle name="40% - Accent6 7 5" xfId="5209"/>
    <cellStyle name="40% - Accent6 7 5 2" xfId="11955"/>
    <cellStyle name="40% - Accent6 7 5 2 2" xfId="25670"/>
    <cellStyle name="40% - Accent6 7 5 3" xfId="23248"/>
    <cellStyle name="40% - Accent6 7 6" xfId="5210"/>
    <cellStyle name="40% - Accent6 7 6 2" xfId="13085"/>
    <cellStyle name="40% - Accent6 7 6 2 2" xfId="26797"/>
    <cellStyle name="40% - Accent6 7 6 3" xfId="22557"/>
    <cellStyle name="40% - Accent6 7 7" xfId="5211"/>
    <cellStyle name="40% - Accent6 7 7 2" xfId="13532"/>
    <cellStyle name="40% - Accent6 7 7 2 2" xfId="27081"/>
    <cellStyle name="40% - Accent6 7 7 3" xfId="22556"/>
    <cellStyle name="40% - Accent6 7 8" xfId="5212"/>
    <cellStyle name="40% - Accent6 7 8 2" xfId="14113"/>
    <cellStyle name="40% - Accent6 7 8 2 2" xfId="27662"/>
    <cellStyle name="40% - Accent6 7 8 3" xfId="22555"/>
    <cellStyle name="40% - Accent6 7 9" xfId="5213"/>
    <cellStyle name="40% - Accent6 7 9 2" xfId="15570"/>
    <cellStyle name="40% - Accent6 7 9 2 2" xfId="29119"/>
    <cellStyle name="40% - Accent6 7 9 3" xfId="22554"/>
    <cellStyle name="40% - Accent6 8" xfId="5214"/>
    <cellStyle name="40% - Accent6 8 10" xfId="9571"/>
    <cellStyle name="40% - Accent6 8 10 2" xfId="24046"/>
    <cellStyle name="40% - Accent6 8 11" xfId="22553"/>
    <cellStyle name="40% - Accent6 8 2" xfId="5215"/>
    <cellStyle name="40% - Accent6 8 2 2" xfId="5216"/>
    <cellStyle name="40% - Accent6 8 2 2 2" xfId="11299"/>
    <cellStyle name="40% - Accent6 8 2 2 2 2" xfId="25241"/>
    <cellStyle name="40% - Accent6 8 2 2 3" xfId="22551"/>
    <cellStyle name="40% - Accent6 8 2 3" xfId="5217"/>
    <cellStyle name="40% - Accent6 8 2 3 2" xfId="13090"/>
    <cellStyle name="40% - Accent6 8 2 3 2 2" xfId="26802"/>
    <cellStyle name="40% - Accent6 8 2 3 3" xfId="22550"/>
    <cellStyle name="40% - Accent6 8 2 4" xfId="5218"/>
    <cellStyle name="40% - Accent6 8 2 4 2" xfId="15577"/>
    <cellStyle name="40% - Accent6 8 2 4 2 2" xfId="29126"/>
    <cellStyle name="40% - Accent6 8 2 4 3" xfId="22549"/>
    <cellStyle name="40% - Accent6 8 2 5" xfId="5219"/>
    <cellStyle name="40% - Accent6 8 2 5 2" xfId="16723"/>
    <cellStyle name="40% - Accent6 8 2 5 2 2" xfId="30130"/>
    <cellStyle name="40% - Accent6 8 2 5 3" xfId="22548"/>
    <cellStyle name="40% - Accent6 8 2 6" xfId="9572"/>
    <cellStyle name="40% - Accent6 8 2 6 2" xfId="24047"/>
    <cellStyle name="40% - Accent6 8 2 7" xfId="22552"/>
    <cellStyle name="40% - Accent6 8 3" xfId="5220"/>
    <cellStyle name="40% - Accent6 8 3 2" xfId="5221"/>
    <cellStyle name="40% - Accent6 8 3 2 2" xfId="15578"/>
    <cellStyle name="40% - Accent6 8 3 2 2 2" xfId="29127"/>
    <cellStyle name="40% - Accent6 8 3 2 3" xfId="22546"/>
    <cellStyle name="40% - Accent6 8 3 3" xfId="11298"/>
    <cellStyle name="40% - Accent6 8 3 3 2" xfId="25240"/>
    <cellStyle name="40% - Accent6 8 3 4" xfId="22547"/>
    <cellStyle name="40% - Accent6 8 4" xfId="5222"/>
    <cellStyle name="40% - Accent6 8 4 2" xfId="12101"/>
    <cellStyle name="40% - Accent6 8 4 2 2" xfId="25815"/>
    <cellStyle name="40% - Accent6 8 4 3" xfId="22545"/>
    <cellStyle name="40% - Accent6 8 5" xfId="5223"/>
    <cellStyle name="40% - Accent6 8 5 2" xfId="13089"/>
    <cellStyle name="40% - Accent6 8 5 2 2" xfId="26801"/>
    <cellStyle name="40% - Accent6 8 5 3" xfId="22544"/>
    <cellStyle name="40% - Accent6 8 6" xfId="5224"/>
    <cellStyle name="40% - Accent6 8 6 2" xfId="13675"/>
    <cellStyle name="40% - Accent6 8 6 2 2" xfId="27224"/>
    <cellStyle name="40% - Accent6 8 6 3" xfId="22543"/>
    <cellStyle name="40% - Accent6 8 7" xfId="5225"/>
    <cellStyle name="40% - Accent6 8 7 2" xfId="14256"/>
    <cellStyle name="40% - Accent6 8 7 2 2" xfId="27805"/>
    <cellStyle name="40% - Accent6 8 7 3" xfId="22542"/>
    <cellStyle name="40% - Accent6 8 8" xfId="5226"/>
    <cellStyle name="40% - Accent6 8 8 2" xfId="15576"/>
    <cellStyle name="40% - Accent6 8 8 2 2" xfId="29125"/>
    <cellStyle name="40% - Accent6 8 8 3" xfId="22541"/>
    <cellStyle name="40% - Accent6 8 9" xfId="5227"/>
    <cellStyle name="40% - Accent6 8 9 2" xfId="16142"/>
    <cellStyle name="40% - Accent6 8 9 2 2" xfId="29549"/>
    <cellStyle name="40% - Accent6 8 9 3" xfId="22540"/>
    <cellStyle name="40% - Accent6 9" xfId="5228"/>
    <cellStyle name="40% - Accent6 9 2" xfId="5229"/>
    <cellStyle name="40% - Accent6 9 2 2" xfId="11300"/>
    <cellStyle name="40% - Accent6 9 2 2 2" xfId="25242"/>
    <cellStyle name="40% - Accent6 9 2 3" xfId="22538"/>
    <cellStyle name="40% - Accent6 9 3" xfId="5230"/>
    <cellStyle name="40% - Accent6 9 3 2" xfId="13091"/>
    <cellStyle name="40% - Accent6 9 3 2 2" xfId="26803"/>
    <cellStyle name="40% - Accent6 9 3 3" xfId="22537"/>
    <cellStyle name="40% - Accent6 9 4" xfId="5231"/>
    <cellStyle name="40% - Accent6 9 4 2" xfId="15579"/>
    <cellStyle name="40% - Accent6 9 4 2 2" xfId="29128"/>
    <cellStyle name="40% - Accent6 9 4 3" xfId="22536"/>
    <cellStyle name="40% - Accent6 9 5" xfId="5232"/>
    <cellStyle name="40% - Accent6 9 5 2" xfId="17107"/>
    <cellStyle name="40% - Accent6 9 5 2 2" xfId="30466"/>
    <cellStyle name="40% - Accent6 9 5 3" xfId="22535"/>
    <cellStyle name="40% - Accent6 9 6" xfId="9573"/>
    <cellStyle name="40% - Accent6 9 6 2" xfId="24048"/>
    <cellStyle name="40% - Accent6 9 7" xfId="22539"/>
    <cellStyle name="60% - Accent1" xfId="30" builtinId="32" customBuiltin="1"/>
    <cellStyle name="60% - Accent1 10" xfId="5233"/>
    <cellStyle name="60% - Accent1 10 2" xfId="9575"/>
    <cellStyle name="60% - Accent1 10 3" xfId="22534"/>
    <cellStyle name="60% - Accent1 11" xfId="5234"/>
    <cellStyle name="60% - Accent1 11 2" xfId="9576"/>
    <cellStyle name="60% - Accent1 11 3" xfId="22533"/>
    <cellStyle name="60% - Accent1 12" xfId="5235"/>
    <cellStyle name="60% - Accent1 12 2" xfId="5236"/>
    <cellStyle name="60% - Accent1 12 2 2" xfId="15580"/>
    <cellStyle name="60% - Accent1 12 2 3" xfId="22531"/>
    <cellStyle name="60% - Accent1 12 3" xfId="10474"/>
    <cellStyle name="60% - Accent1 12 4" xfId="22532"/>
    <cellStyle name="60% - Accent1 13" xfId="5237"/>
    <cellStyle name="60% - Accent1 13 2" xfId="11301"/>
    <cellStyle name="60% - Accent1 13 3" xfId="22530"/>
    <cellStyle name="60% - Accent1 14" xfId="5238"/>
    <cellStyle name="60% - Accent1 14 2" xfId="9574"/>
    <cellStyle name="60% - Accent1 14 3" xfId="22529"/>
    <cellStyle name="60% - Accent1 2" xfId="5239"/>
    <cellStyle name="60% - Accent1 2 2" xfId="9577"/>
    <cellStyle name="60% - Accent1 2 3" xfId="22528"/>
    <cellStyle name="60% - Accent1 2 4" xfId="33064"/>
    <cellStyle name="60% - Accent1 3" xfId="5240"/>
    <cellStyle name="60% - Accent1 3 2" xfId="5241"/>
    <cellStyle name="60% - Accent1 3 2 2" xfId="9579"/>
    <cellStyle name="60% - Accent1 3 2 3" xfId="22526"/>
    <cellStyle name="60% - Accent1 3 3" xfId="9578"/>
    <cellStyle name="60% - Accent1 3 4" xfId="22527"/>
    <cellStyle name="60% - Accent1 3 5" xfId="33104"/>
    <cellStyle name="60% - Accent1 4" xfId="5242"/>
    <cellStyle name="60% - Accent1 4 2" xfId="5243"/>
    <cellStyle name="60% - Accent1 4 2 2" xfId="13093"/>
    <cellStyle name="60% - Accent1 4 2 3" xfId="22524"/>
    <cellStyle name="60% - Accent1 4 3" xfId="5244"/>
    <cellStyle name="60% - Accent1 4 3 2" xfId="13092"/>
    <cellStyle name="60% - Accent1 4 3 3" xfId="22523"/>
    <cellStyle name="60% - Accent1 4 4" xfId="9580"/>
    <cellStyle name="60% - Accent1 4 5" xfId="22525"/>
    <cellStyle name="60% - Accent1 5" xfId="5245"/>
    <cellStyle name="60% - Accent1 5 2" xfId="5246"/>
    <cellStyle name="60% - Accent1 5 2 2" xfId="9582"/>
    <cellStyle name="60% - Accent1 5 2 3" xfId="22521"/>
    <cellStyle name="60% - Accent1 5 3" xfId="9581"/>
    <cellStyle name="60% - Accent1 5 4" xfId="22522"/>
    <cellStyle name="60% - Accent1 6" xfId="5247"/>
    <cellStyle name="60% - Accent1 6 2" xfId="9583"/>
    <cellStyle name="60% - Accent1 6 3" xfId="22520"/>
    <cellStyle name="60% - Accent1 7" xfId="5248"/>
    <cellStyle name="60% - Accent1 7 2" xfId="9584"/>
    <cellStyle name="60% - Accent1 7 3" xfId="22519"/>
    <cellStyle name="60% - Accent1 8" xfId="5249"/>
    <cellStyle name="60% - Accent1 8 2" xfId="9585"/>
    <cellStyle name="60% - Accent1 8 3" xfId="22518"/>
    <cellStyle name="60% - Accent1 9" xfId="5250"/>
    <cellStyle name="60% - Accent1 9 2" xfId="9586"/>
    <cellStyle name="60% - Accent1 9 3" xfId="22517"/>
    <cellStyle name="60% - Accent2" xfId="34" builtinId="36" customBuiltin="1"/>
    <cellStyle name="60% - Accent2 10" xfId="5251"/>
    <cellStyle name="60% - Accent2 10 2" xfId="9588"/>
    <cellStyle name="60% - Accent2 10 3" xfId="22516"/>
    <cellStyle name="60% - Accent2 11" xfId="5252"/>
    <cellStyle name="60% - Accent2 11 2" xfId="9589"/>
    <cellStyle name="60% - Accent2 11 3" xfId="22515"/>
    <cellStyle name="60% - Accent2 12" xfId="5253"/>
    <cellStyle name="60% - Accent2 12 2" xfId="5254"/>
    <cellStyle name="60% - Accent2 12 2 2" xfId="15581"/>
    <cellStyle name="60% - Accent2 12 2 3" xfId="22513"/>
    <cellStyle name="60% - Accent2 12 3" xfId="10475"/>
    <cellStyle name="60% - Accent2 12 4" xfId="22514"/>
    <cellStyle name="60% - Accent2 13" xfId="5255"/>
    <cellStyle name="60% - Accent2 13 2" xfId="11302"/>
    <cellStyle name="60% - Accent2 13 3" xfId="22512"/>
    <cellStyle name="60% - Accent2 14" xfId="5256"/>
    <cellStyle name="60% - Accent2 14 2" xfId="9587"/>
    <cellStyle name="60% - Accent2 14 3" xfId="22511"/>
    <cellStyle name="60% - Accent2 2" xfId="5257"/>
    <cellStyle name="60% - Accent2 2 2" xfId="9590"/>
    <cellStyle name="60% - Accent2 2 3" xfId="22510"/>
    <cellStyle name="60% - Accent2 2 4" xfId="33068"/>
    <cellStyle name="60% - Accent2 3" xfId="5258"/>
    <cellStyle name="60% - Accent2 3 2" xfId="5259"/>
    <cellStyle name="60% - Accent2 3 2 2" xfId="9592"/>
    <cellStyle name="60% - Accent2 3 2 3" xfId="22508"/>
    <cellStyle name="60% - Accent2 3 3" xfId="9591"/>
    <cellStyle name="60% - Accent2 3 4" xfId="22509"/>
    <cellStyle name="60% - Accent2 3 5" xfId="33105"/>
    <cellStyle name="60% - Accent2 4" xfId="5260"/>
    <cellStyle name="60% - Accent2 4 2" xfId="5261"/>
    <cellStyle name="60% - Accent2 4 2 2" xfId="13095"/>
    <cellStyle name="60% - Accent2 4 2 3" xfId="22506"/>
    <cellStyle name="60% - Accent2 4 3" xfId="5262"/>
    <cellStyle name="60% - Accent2 4 3 2" xfId="13094"/>
    <cellStyle name="60% - Accent2 4 3 3" xfId="22505"/>
    <cellStyle name="60% - Accent2 4 4" xfId="9593"/>
    <cellStyle name="60% - Accent2 4 5" xfId="22507"/>
    <cellStyle name="60% - Accent2 5" xfId="5263"/>
    <cellStyle name="60% - Accent2 5 2" xfId="5264"/>
    <cellStyle name="60% - Accent2 5 2 2" xfId="9595"/>
    <cellStyle name="60% - Accent2 5 2 3" xfId="22503"/>
    <cellStyle name="60% - Accent2 5 3" xfId="9594"/>
    <cellStyle name="60% - Accent2 5 4" xfId="22504"/>
    <cellStyle name="60% - Accent2 6" xfId="5265"/>
    <cellStyle name="60% - Accent2 6 2" xfId="9596"/>
    <cellStyle name="60% - Accent2 6 3" xfId="22502"/>
    <cellStyle name="60% - Accent2 7" xfId="5266"/>
    <cellStyle name="60% - Accent2 7 2" xfId="9597"/>
    <cellStyle name="60% - Accent2 7 3" xfId="22501"/>
    <cellStyle name="60% - Accent2 8" xfId="5267"/>
    <cellStyle name="60% - Accent2 8 2" xfId="9598"/>
    <cellStyle name="60% - Accent2 8 3" xfId="22500"/>
    <cellStyle name="60% - Accent2 9" xfId="5268"/>
    <cellStyle name="60% - Accent2 9 2" xfId="9599"/>
    <cellStyle name="60% - Accent2 9 3" xfId="22499"/>
    <cellStyle name="60% - Accent3" xfId="38" builtinId="40" customBuiltin="1"/>
    <cellStyle name="60% - Accent3 10" xfId="5269"/>
    <cellStyle name="60% - Accent3 10 2" xfId="9601"/>
    <cellStyle name="60% - Accent3 10 3" xfId="22498"/>
    <cellStyle name="60% - Accent3 11" xfId="5270"/>
    <cellStyle name="60% - Accent3 11 2" xfId="9602"/>
    <cellStyle name="60% - Accent3 11 3" xfId="22497"/>
    <cellStyle name="60% - Accent3 12" xfId="5271"/>
    <cellStyle name="60% - Accent3 12 2" xfId="5272"/>
    <cellStyle name="60% - Accent3 12 2 2" xfId="15582"/>
    <cellStyle name="60% - Accent3 12 2 3" xfId="22495"/>
    <cellStyle name="60% - Accent3 12 3" xfId="10476"/>
    <cellStyle name="60% - Accent3 12 4" xfId="22496"/>
    <cellStyle name="60% - Accent3 13" xfId="5273"/>
    <cellStyle name="60% - Accent3 13 2" xfId="11303"/>
    <cellStyle name="60% - Accent3 13 3" xfId="22494"/>
    <cellStyle name="60% - Accent3 14" xfId="5274"/>
    <cellStyle name="60% - Accent3 14 2" xfId="9600"/>
    <cellStyle name="60% - Accent3 14 3" xfId="22493"/>
    <cellStyle name="60% - Accent3 2" xfId="5275"/>
    <cellStyle name="60% - Accent3 2 2" xfId="9603"/>
    <cellStyle name="60% - Accent3 2 3" xfId="22492"/>
    <cellStyle name="60% - Accent3 2 4" xfId="33072"/>
    <cellStyle name="60% - Accent3 3" xfId="5276"/>
    <cellStyle name="60% - Accent3 3 2" xfId="5277"/>
    <cellStyle name="60% - Accent3 3 2 2" xfId="9605"/>
    <cellStyle name="60% - Accent3 3 2 3" xfId="22490"/>
    <cellStyle name="60% - Accent3 3 3" xfId="9604"/>
    <cellStyle name="60% - Accent3 3 4" xfId="22491"/>
    <cellStyle name="60% - Accent3 3 5" xfId="33106"/>
    <cellStyle name="60% - Accent3 4" xfId="5278"/>
    <cellStyle name="60% - Accent3 4 2" xfId="5279"/>
    <cellStyle name="60% - Accent3 4 2 2" xfId="13097"/>
    <cellStyle name="60% - Accent3 4 2 3" xfId="22488"/>
    <cellStyle name="60% - Accent3 4 3" xfId="5280"/>
    <cellStyle name="60% - Accent3 4 3 2" xfId="13096"/>
    <cellStyle name="60% - Accent3 4 3 3" xfId="22487"/>
    <cellStyle name="60% - Accent3 4 4" xfId="9606"/>
    <cellStyle name="60% - Accent3 4 5" xfId="22489"/>
    <cellStyle name="60% - Accent3 5" xfId="5281"/>
    <cellStyle name="60% - Accent3 5 2" xfId="5282"/>
    <cellStyle name="60% - Accent3 5 2 2" xfId="9608"/>
    <cellStyle name="60% - Accent3 5 2 3" xfId="22485"/>
    <cellStyle name="60% - Accent3 5 3" xfId="9607"/>
    <cellStyle name="60% - Accent3 5 4" xfId="22486"/>
    <cellStyle name="60% - Accent3 6" xfId="5283"/>
    <cellStyle name="60% - Accent3 6 2" xfId="9609"/>
    <cellStyle name="60% - Accent3 6 3" xfId="22484"/>
    <cellStyle name="60% - Accent3 7" xfId="5284"/>
    <cellStyle name="60% - Accent3 7 2" xfId="9610"/>
    <cellStyle name="60% - Accent3 7 3" xfId="22483"/>
    <cellStyle name="60% - Accent3 8" xfId="5285"/>
    <cellStyle name="60% - Accent3 8 2" xfId="9611"/>
    <cellStyle name="60% - Accent3 8 3" xfId="22482"/>
    <cellStyle name="60% - Accent3 9" xfId="5286"/>
    <cellStyle name="60% - Accent3 9 2" xfId="9612"/>
    <cellStyle name="60% - Accent3 9 3" xfId="22481"/>
    <cellStyle name="60% - Accent4" xfId="42" builtinId="44" customBuiltin="1"/>
    <cellStyle name="60% - Accent4 10" xfId="5287"/>
    <cellStyle name="60% - Accent4 10 2" xfId="9614"/>
    <cellStyle name="60% - Accent4 10 3" xfId="22480"/>
    <cellStyle name="60% - Accent4 11" xfId="5288"/>
    <cellStyle name="60% - Accent4 11 2" xfId="9615"/>
    <cellStyle name="60% - Accent4 11 3" xfId="22479"/>
    <cellStyle name="60% - Accent4 12" xfId="5289"/>
    <cellStyle name="60% - Accent4 12 2" xfId="5290"/>
    <cellStyle name="60% - Accent4 12 2 2" xfId="15583"/>
    <cellStyle name="60% - Accent4 12 2 3" xfId="22477"/>
    <cellStyle name="60% - Accent4 12 3" xfId="10477"/>
    <cellStyle name="60% - Accent4 12 4" xfId="22478"/>
    <cellStyle name="60% - Accent4 13" xfId="5291"/>
    <cellStyle name="60% - Accent4 13 2" xfId="11304"/>
    <cellStyle name="60% - Accent4 13 3" xfId="22476"/>
    <cellStyle name="60% - Accent4 14" xfId="5292"/>
    <cellStyle name="60% - Accent4 14 2" xfId="9613"/>
    <cellStyle name="60% - Accent4 14 3" xfId="22475"/>
    <cellStyle name="60% - Accent4 2" xfId="5293"/>
    <cellStyle name="60% - Accent4 2 2" xfId="9616"/>
    <cellStyle name="60% - Accent4 2 3" xfId="22474"/>
    <cellStyle name="60% - Accent4 2 4" xfId="33076"/>
    <cellStyle name="60% - Accent4 3" xfId="5294"/>
    <cellStyle name="60% - Accent4 3 2" xfId="5295"/>
    <cellStyle name="60% - Accent4 3 2 2" xfId="9618"/>
    <cellStyle name="60% - Accent4 3 2 3" xfId="22472"/>
    <cellStyle name="60% - Accent4 3 3" xfId="9617"/>
    <cellStyle name="60% - Accent4 3 4" xfId="22473"/>
    <cellStyle name="60% - Accent4 3 5" xfId="33107"/>
    <cellStyle name="60% - Accent4 4" xfId="5296"/>
    <cellStyle name="60% - Accent4 4 2" xfId="5297"/>
    <cellStyle name="60% - Accent4 4 2 2" xfId="13099"/>
    <cellStyle name="60% - Accent4 4 2 3" xfId="22470"/>
    <cellStyle name="60% - Accent4 4 3" xfId="5298"/>
    <cellStyle name="60% - Accent4 4 3 2" xfId="13098"/>
    <cellStyle name="60% - Accent4 4 3 3" xfId="22469"/>
    <cellStyle name="60% - Accent4 4 4" xfId="9619"/>
    <cellStyle name="60% - Accent4 4 5" xfId="22471"/>
    <cellStyle name="60% - Accent4 5" xfId="5299"/>
    <cellStyle name="60% - Accent4 5 2" xfId="5300"/>
    <cellStyle name="60% - Accent4 5 2 2" xfId="9621"/>
    <cellStyle name="60% - Accent4 5 2 3" xfId="22467"/>
    <cellStyle name="60% - Accent4 5 3" xfId="9620"/>
    <cellStyle name="60% - Accent4 5 4" xfId="22468"/>
    <cellStyle name="60% - Accent4 6" xfId="5301"/>
    <cellStyle name="60% - Accent4 6 2" xfId="9622"/>
    <cellStyle name="60% - Accent4 6 3" xfId="22466"/>
    <cellStyle name="60% - Accent4 7" xfId="5302"/>
    <cellStyle name="60% - Accent4 7 2" xfId="9623"/>
    <cellStyle name="60% - Accent4 7 3" xfId="22465"/>
    <cellStyle name="60% - Accent4 8" xfId="5303"/>
    <cellStyle name="60% - Accent4 8 2" xfId="9624"/>
    <cellStyle name="60% - Accent4 8 3" xfId="22464"/>
    <cellStyle name="60% - Accent4 9" xfId="5304"/>
    <cellStyle name="60% - Accent4 9 2" xfId="9625"/>
    <cellStyle name="60% - Accent4 9 3" xfId="22463"/>
    <cellStyle name="60% - Accent5" xfId="45" builtinId="48" customBuiltin="1"/>
    <cellStyle name="60% - Accent5 10" xfId="5305"/>
    <cellStyle name="60% - Accent5 10 2" xfId="9627"/>
    <cellStyle name="60% - Accent5 10 3" xfId="22462"/>
    <cellStyle name="60% - Accent5 11" xfId="5306"/>
    <cellStyle name="60% - Accent5 11 2" xfId="9628"/>
    <cellStyle name="60% - Accent5 11 3" xfId="22461"/>
    <cellStyle name="60% - Accent5 12" xfId="5307"/>
    <cellStyle name="60% - Accent5 12 2" xfId="5308"/>
    <cellStyle name="60% - Accent5 12 2 2" xfId="15584"/>
    <cellStyle name="60% - Accent5 12 2 3" xfId="22459"/>
    <cellStyle name="60% - Accent5 12 3" xfId="10478"/>
    <cellStyle name="60% - Accent5 12 4" xfId="22460"/>
    <cellStyle name="60% - Accent5 13" xfId="5309"/>
    <cellStyle name="60% - Accent5 13 2" xfId="11305"/>
    <cellStyle name="60% - Accent5 13 3" xfId="22458"/>
    <cellStyle name="60% - Accent5 14" xfId="5310"/>
    <cellStyle name="60% - Accent5 14 2" xfId="9626"/>
    <cellStyle name="60% - Accent5 14 3" xfId="22457"/>
    <cellStyle name="60% - Accent5 2" xfId="5311"/>
    <cellStyle name="60% - Accent5 2 2" xfId="9629"/>
    <cellStyle name="60% - Accent5 2 3" xfId="22456"/>
    <cellStyle name="60% - Accent5 2 4" xfId="33080"/>
    <cellStyle name="60% - Accent5 3" xfId="5312"/>
    <cellStyle name="60% - Accent5 3 2" xfId="5313"/>
    <cellStyle name="60% - Accent5 3 2 2" xfId="9631"/>
    <cellStyle name="60% - Accent5 3 2 3" xfId="22454"/>
    <cellStyle name="60% - Accent5 3 3" xfId="9630"/>
    <cellStyle name="60% - Accent5 3 4" xfId="22455"/>
    <cellStyle name="60% - Accent5 3 5" xfId="33108"/>
    <cellStyle name="60% - Accent5 4" xfId="5314"/>
    <cellStyle name="60% - Accent5 4 2" xfId="5315"/>
    <cellStyle name="60% - Accent5 4 2 2" xfId="13101"/>
    <cellStyle name="60% - Accent5 4 2 3" xfId="22452"/>
    <cellStyle name="60% - Accent5 4 3" xfId="5316"/>
    <cellStyle name="60% - Accent5 4 3 2" xfId="13100"/>
    <cellStyle name="60% - Accent5 4 3 3" xfId="22451"/>
    <cellStyle name="60% - Accent5 4 4" xfId="9632"/>
    <cellStyle name="60% - Accent5 4 5" xfId="22453"/>
    <cellStyle name="60% - Accent5 5" xfId="5317"/>
    <cellStyle name="60% - Accent5 5 2" xfId="5318"/>
    <cellStyle name="60% - Accent5 5 2 2" xfId="9634"/>
    <cellStyle name="60% - Accent5 5 2 3" xfId="22449"/>
    <cellStyle name="60% - Accent5 5 3" xfId="9633"/>
    <cellStyle name="60% - Accent5 5 4" xfId="22450"/>
    <cellStyle name="60% - Accent5 6" xfId="5319"/>
    <cellStyle name="60% - Accent5 6 2" xfId="9635"/>
    <cellStyle name="60% - Accent5 6 3" xfId="22448"/>
    <cellStyle name="60% - Accent5 7" xfId="5320"/>
    <cellStyle name="60% - Accent5 7 2" xfId="9636"/>
    <cellStyle name="60% - Accent5 7 3" xfId="22447"/>
    <cellStyle name="60% - Accent5 8" xfId="5321"/>
    <cellStyle name="60% - Accent5 8 2" xfId="9637"/>
    <cellStyle name="60% - Accent5 8 3" xfId="22446"/>
    <cellStyle name="60% - Accent5 9" xfId="5322"/>
    <cellStyle name="60% - Accent5 9 2" xfId="9638"/>
    <cellStyle name="60% - Accent5 9 3" xfId="22445"/>
    <cellStyle name="60% - Accent6" xfId="49" builtinId="52" customBuiltin="1"/>
    <cellStyle name="60% - Accent6 10" xfId="5323"/>
    <cellStyle name="60% - Accent6 10 2" xfId="9640"/>
    <cellStyle name="60% - Accent6 10 3" xfId="22444"/>
    <cellStyle name="60% - Accent6 11" xfId="5324"/>
    <cellStyle name="60% - Accent6 11 2" xfId="9641"/>
    <cellStyle name="60% - Accent6 11 3" xfId="22443"/>
    <cellStyle name="60% - Accent6 12" xfId="5325"/>
    <cellStyle name="60% - Accent6 12 2" xfId="5326"/>
    <cellStyle name="60% - Accent6 12 2 2" xfId="15585"/>
    <cellStyle name="60% - Accent6 12 2 3" xfId="22441"/>
    <cellStyle name="60% - Accent6 12 3" xfId="10479"/>
    <cellStyle name="60% - Accent6 12 4" xfId="22442"/>
    <cellStyle name="60% - Accent6 13" xfId="5327"/>
    <cellStyle name="60% - Accent6 13 2" xfId="11306"/>
    <cellStyle name="60% - Accent6 13 3" xfId="22440"/>
    <cellStyle name="60% - Accent6 14" xfId="5328"/>
    <cellStyle name="60% - Accent6 14 2" xfId="9639"/>
    <cellStyle name="60% - Accent6 14 3" xfId="22439"/>
    <cellStyle name="60% - Accent6 2" xfId="5329"/>
    <cellStyle name="60% - Accent6 2 2" xfId="9642"/>
    <cellStyle name="60% - Accent6 2 3" xfId="22438"/>
    <cellStyle name="60% - Accent6 2 4" xfId="33084"/>
    <cellStyle name="60% - Accent6 3" xfId="5330"/>
    <cellStyle name="60% - Accent6 3 2" xfId="5331"/>
    <cellStyle name="60% - Accent6 3 2 2" xfId="9644"/>
    <cellStyle name="60% - Accent6 3 2 3" xfId="22436"/>
    <cellStyle name="60% - Accent6 3 3" xfId="9643"/>
    <cellStyle name="60% - Accent6 3 4" xfId="22437"/>
    <cellStyle name="60% - Accent6 3 5" xfId="33109"/>
    <cellStyle name="60% - Accent6 4" xfId="5332"/>
    <cellStyle name="60% - Accent6 4 2" xfId="5333"/>
    <cellStyle name="60% - Accent6 4 2 2" xfId="13103"/>
    <cellStyle name="60% - Accent6 4 2 3" xfId="22434"/>
    <cellStyle name="60% - Accent6 4 3" xfId="5334"/>
    <cellStyle name="60% - Accent6 4 3 2" xfId="13102"/>
    <cellStyle name="60% - Accent6 4 3 3" xfId="22433"/>
    <cellStyle name="60% - Accent6 4 4" xfId="9645"/>
    <cellStyle name="60% - Accent6 4 5" xfId="22435"/>
    <cellStyle name="60% - Accent6 5" xfId="5335"/>
    <cellStyle name="60% - Accent6 5 2" xfId="5336"/>
    <cellStyle name="60% - Accent6 5 2 2" xfId="9647"/>
    <cellStyle name="60% - Accent6 5 2 3" xfId="22431"/>
    <cellStyle name="60% - Accent6 5 3" xfId="9646"/>
    <cellStyle name="60% - Accent6 5 4" xfId="22432"/>
    <cellStyle name="60% - Accent6 6" xfId="5337"/>
    <cellStyle name="60% - Accent6 6 2" xfId="9648"/>
    <cellStyle name="60% - Accent6 6 3" xfId="22430"/>
    <cellStyle name="60% - Accent6 7" xfId="5338"/>
    <cellStyle name="60% - Accent6 7 2" xfId="9649"/>
    <cellStyle name="60% - Accent6 7 3" xfId="22429"/>
    <cellStyle name="60% - Accent6 8" xfId="5339"/>
    <cellStyle name="60% - Accent6 8 2" xfId="9650"/>
    <cellStyle name="60% - Accent6 8 3" xfId="22428"/>
    <cellStyle name="60% - Accent6 9" xfId="5340"/>
    <cellStyle name="60% - Accent6 9 2" xfId="9651"/>
    <cellStyle name="60% - Accent6 9 3" xfId="22427"/>
    <cellStyle name="Accent1" xfId="27" builtinId="29" customBuiltin="1"/>
    <cellStyle name="Accent1 10" xfId="5341"/>
    <cellStyle name="Accent1 10 2" xfId="9653"/>
    <cellStyle name="Accent1 10 3" xfId="22426"/>
    <cellStyle name="Accent1 11" xfId="5342"/>
    <cellStyle name="Accent1 11 2" xfId="9654"/>
    <cellStyle name="Accent1 11 3" xfId="22425"/>
    <cellStyle name="Accent1 12" xfId="5343"/>
    <cellStyle name="Accent1 12 2" xfId="5344"/>
    <cellStyle name="Accent1 12 2 2" xfId="15586"/>
    <cellStyle name="Accent1 12 2 3" xfId="22423"/>
    <cellStyle name="Accent1 12 3" xfId="10480"/>
    <cellStyle name="Accent1 12 4" xfId="22424"/>
    <cellStyle name="Accent1 13" xfId="5345"/>
    <cellStyle name="Accent1 13 2" xfId="11307"/>
    <cellStyle name="Accent1 13 3" xfId="22422"/>
    <cellStyle name="Accent1 14" xfId="5346"/>
    <cellStyle name="Accent1 14 2" xfId="9652"/>
    <cellStyle name="Accent1 14 3" xfId="22421"/>
    <cellStyle name="Accent1 2" xfId="5347"/>
    <cellStyle name="Accent1 2 2" xfId="9655"/>
    <cellStyle name="Accent1 2 3" xfId="22420"/>
    <cellStyle name="Accent1 2 4" xfId="33061"/>
    <cellStyle name="Accent1 3" xfId="5348"/>
    <cellStyle name="Accent1 3 2" xfId="5349"/>
    <cellStyle name="Accent1 3 2 2" xfId="9657"/>
    <cellStyle name="Accent1 3 2 3" xfId="22418"/>
    <cellStyle name="Accent1 3 3" xfId="9656"/>
    <cellStyle name="Accent1 3 4" xfId="22419"/>
    <cellStyle name="Accent1 4" xfId="5350"/>
    <cellStyle name="Accent1 4 2" xfId="5351"/>
    <cellStyle name="Accent1 4 2 2" xfId="13105"/>
    <cellStyle name="Accent1 4 2 3" xfId="22416"/>
    <cellStyle name="Accent1 4 3" xfId="5352"/>
    <cellStyle name="Accent1 4 3 2" xfId="13104"/>
    <cellStyle name="Accent1 4 3 3" xfId="22415"/>
    <cellStyle name="Accent1 4 4" xfId="9658"/>
    <cellStyle name="Accent1 4 5" xfId="22417"/>
    <cellStyle name="Accent1 5" xfId="5353"/>
    <cellStyle name="Accent1 5 2" xfId="5354"/>
    <cellStyle name="Accent1 5 2 2" xfId="9660"/>
    <cellStyle name="Accent1 5 2 3" xfId="22413"/>
    <cellStyle name="Accent1 5 3" xfId="9659"/>
    <cellStyle name="Accent1 5 4" xfId="22414"/>
    <cellStyle name="Accent1 6" xfId="5355"/>
    <cellStyle name="Accent1 6 2" xfId="9661"/>
    <cellStyle name="Accent1 6 3" xfId="22412"/>
    <cellStyle name="Accent1 7" xfId="5356"/>
    <cellStyle name="Accent1 7 2" xfId="9662"/>
    <cellStyle name="Accent1 7 3" xfId="22411"/>
    <cellStyle name="Accent1 8" xfId="5357"/>
    <cellStyle name="Accent1 8 2" xfId="9663"/>
    <cellStyle name="Accent1 8 3" xfId="22410"/>
    <cellStyle name="Accent1 9" xfId="5358"/>
    <cellStyle name="Accent1 9 2" xfId="9664"/>
    <cellStyle name="Accent1 9 3" xfId="22409"/>
    <cellStyle name="Accent2" xfId="31" builtinId="33" customBuiltin="1"/>
    <cellStyle name="Accent2 10" xfId="5359"/>
    <cellStyle name="Accent2 10 2" xfId="9666"/>
    <cellStyle name="Accent2 10 3" xfId="22408"/>
    <cellStyle name="Accent2 11" xfId="5360"/>
    <cellStyle name="Accent2 11 2" xfId="9667"/>
    <cellStyle name="Accent2 11 3" xfId="22407"/>
    <cellStyle name="Accent2 12" xfId="5361"/>
    <cellStyle name="Accent2 12 2" xfId="5362"/>
    <cellStyle name="Accent2 12 2 2" xfId="15587"/>
    <cellStyle name="Accent2 12 2 3" xfId="22405"/>
    <cellStyle name="Accent2 12 3" xfId="10481"/>
    <cellStyle name="Accent2 12 4" xfId="22406"/>
    <cellStyle name="Accent2 13" xfId="5363"/>
    <cellStyle name="Accent2 13 2" xfId="11308"/>
    <cellStyle name="Accent2 13 3" xfId="22404"/>
    <cellStyle name="Accent2 14" xfId="5364"/>
    <cellStyle name="Accent2 14 2" xfId="9665"/>
    <cellStyle name="Accent2 14 3" xfId="22403"/>
    <cellStyle name="Accent2 2" xfId="5365"/>
    <cellStyle name="Accent2 2 2" xfId="9668"/>
    <cellStyle name="Accent2 2 3" xfId="22402"/>
    <cellStyle name="Accent2 2 4" xfId="33065"/>
    <cellStyle name="Accent2 3" xfId="5366"/>
    <cellStyle name="Accent2 3 2" xfId="5367"/>
    <cellStyle name="Accent2 3 2 2" xfId="9670"/>
    <cellStyle name="Accent2 3 2 3" xfId="22400"/>
    <cellStyle name="Accent2 3 3" xfId="9669"/>
    <cellStyle name="Accent2 3 4" xfId="22401"/>
    <cellStyle name="Accent2 4" xfId="5368"/>
    <cellStyle name="Accent2 4 2" xfId="5369"/>
    <cellStyle name="Accent2 4 2 2" xfId="13107"/>
    <cellStyle name="Accent2 4 2 3" xfId="22398"/>
    <cellStyle name="Accent2 4 3" xfId="5370"/>
    <cellStyle name="Accent2 4 3 2" xfId="13106"/>
    <cellStyle name="Accent2 4 3 3" xfId="22397"/>
    <cellStyle name="Accent2 4 4" xfId="9671"/>
    <cellStyle name="Accent2 4 5" xfId="22399"/>
    <cellStyle name="Accent2 5" xfId="5371"/>
    <cellStyle name="Accent2 5 2" xfId="5372"/>
    <cellStyle name="Accent2 5 2 2" xfId="9673"/>
    <cellStyle name="Accent2 5 2 3" xfId="22395"/>
    <cellStyle name="Accent2 5 3" xfId="9672"/>
    <cellStyle name="Accent2 5 4" xfId="22396"/>
    <cellStyle name="Accent2 6" xfId="5373"/>
    <cellStyle name="Accent2 6 2" xfId="9674"/>
    <cellStyle name="Accent2 6 3" xfId="22394"/>
    <cellStyle name="Accent2 7" xfId="5374"/>
    <cellStyle name="Accent2 7 2" xfId="9675"/>
    <cellStyle name="Accent2 7 3" xfId="22393"/>
    <cellStyle name="Accent2 8" xfId="5375"/>
    <cellStyle name="Accent2 8 2" xfId="9676"/>
    <cellStyle name="Accent2 8 3" xfId="22392"/>
    <cellStyle name="Accent2 9" xfId="5376"/>
    <cellStyle name="Accent2 9 2" xfId="9677"/>
    <cellStyle name="Accent2 9 3" xfId="22391"/>
    <cellStyle name="Accent3" xfId="35" builtinId="37" customBuiltin="1"/>
    <cellStyle name="Accent3 10" xfId="5377"/>
    <cellStyle name="Accent3 10 2" xfId="9679"/>
    <cellStyle name="Accent3 10 3" xfId="22390"/>
    <cellStyle name="Accent3 11" xfId="5378"/>
    <cellStyle name="Accent3 11 2" xfId="9680"/>
    <cellStyle name="Accent3 11 3" xfId="22389"/>
    <cellStyle name="Accent3 12" xfId="5379"/>
    <cellStyle name="Accent3 12 2" xfId="5380"/>
    <cellStyle name="Accent3 12 2 2" xfId="15588"/>
    <cellStyle name="Accent3 12 2 3" xfId="22387"/>
    <cellStyle name="Accent3 12 3" xfId="10482"/>
    <cellStyle name="Accent3 12 4" xfId="22388"/>
    <cellStyle name="Accent3 13" xfId="5381"/>
    <cellStyle name="Accent3 13 2" xfId="11309"/>
    <cellStyle name="Accent3 13 3" xfId="22386"/>
    <cellStyle name="Accent3 14" xfId="5382"/>
    <cellStyle name="Accent3 14 2" xfId="9678"/>
    <cellStyle name="Accent3 14 3" xfId="22385"/>
    <cellStyle name="Accent3 2" xfId="5383"/>
    <cellStyle name="Accent3 2 2" xfId="9681"/>
    <cellStyle name="Accent3 2 3" xfId="22384"/>
    <cellStyle name="Accent3 2 4" xfId="33069"/>
    <cellStyle name="Accent3 3" xfId="5384"/>
    <cellStyle name="Accent3 3 2" xfId="5385"/>
    <cellStyle name="Accent3 3 2 2" xfId="9683"/>
    <cellStyle name="Accent3 3 2 3" xfId="22382"/>
    <cellStyle name="Accent3 3 3" xfId="9682"/>
    <cellStyle name="Accent3 3 4" xfId="22383"/>
    <cellStyle name="Accent3 4" xfId="5386"/>
    <cellStyle name="Accent3 4 2" xfId="5387"/>
    <cellStyle name="Accent3 4 2 2" xfId="13109"/>
    <cellStyle name="Accent3 4 2 3" xfId="22380"/>
    <cellStyle name="Accent3 4 3" xfId="5388"/>
    <cellStyle name="Accent3 4 3 2" xfId="13108"/>
    <cellStyle name="Accent3 4 3 3" xfId="22379"/>
    <cellStyle name="Accent3 4 4" xfId="9684"/>
    <cellStyle name="Accent3 4 5" xfId="22381"/>
    <cellStyle name="Accent3 5" xfId="5389"/>
    <cellStyle name="Accent3 5 2" xfId="5390"/>
    <cellStyle name="Accent3 5 2 2" xfId="9686"/>
    <cellStyle name="Accent3 5 2 3" xfId="22377"/>
    <cellStyle name="Accent3 5 3" xfId="9685"/>
    <cellStyle name="Accent3 5 4" xfId="22378"/>
    <cellStyle name="Accent3 6" xfId="5391"/>
    <cellStyle name="Accent3 6 2" xfId="9687"/>
    <cellStyle name="Accent3 6 3" xfId="22376"/>
    <cellStyle name="Accent3 7" xfId="5392"/>
    <cellStyle name="Accent3 7 2" xfId="9688"/>
    <cellStyle name="Accent3 7 3" xfId="22375"/>
    <cellStyle name="Accent3 8" xfId="5393"/>
    <cellStyle name="Accent3 8 2" xfId="9689"/>
    <cellStyle name="Accent3 8 3" xfId="22374"/>
    <cellStyle name="Accent3 9" xfId="5394"/>
    <cellStyle name="Accent3 9 2" xfId="9690"/>
    <cellStyle name="Accent3 9 3" xfId="22373"/>
    <cellStyle name="Accent4" xfId="39" builtinId="41" customBuiltin="1"/>
    <cellStyle name="Accent4 10" xfId="5395"/>
    <cellStyle name="Accent4 10 2" xfId="9692"/>
    <cellStyle name="Accent4 10 3" xfId="22372"/>
    <cellStyle name="Accent4 11" xfId="5396"/>
    <cellStyle name="Accent4 11 2" xfId="9693"/>
    <cellStyle name="Accent4 11 3" xfId="22371"/>
    <cellStyle name="Accent4 12" xfId="5397"/>
    <cellStyle name="Accent4 12 2" xfId="5398"/>
    <cellStyle name="Accent4 12 2 2" xfId="15589"/>
    <cellStyle name="Accent4 12 2 3" xfId="22369"/>
    <cellStyle name="Accent4 12 3" xfId="10483"/>
    <cellStyle name="Accent4 12 4" xfId="22370"/>
    <cellStyle name="Accent4 13" xfId="5399"/>
    <cellStyle name="Accent4 13 2" xfId="11310"/>
    <cellStyle name="Accent4 13 3" xfId="22368"/>
    <cellStyle name="Accent4 14" xfId="5400"/>
    <cellStyle name="Accent4 14 2" xfId="9691"/>
    <cellStyle name="Accent4 14 3" xfId="22367"/>
    <cellStyle name="Accent4 2" xfId="5401"/>
    <cellStyle name="Accent4 2 2" xfId="9694"/>
    <cellStyle name="Accent4 2 3" xfId="22366"/>
    <cellStyle name="Accent4 2 4" xfId="33073"/>
    <cellStyle name="Accent4 3" xfId="5402"/>
    <cellStyle name="Accent4 3 2" xfId="5403"/>
    <cellStyle name="Accent4 3 2 2" xfId="9696"/>
    <cellStyle name="Accent4 3 2 3" xfId="22364"/>
    <cellStyle name="Accent4 3 3" xfId="9695"/>
    <cellStyle name="Accent4 3 4" xfId="22365"/>
    <cellStyle name="Accent4 4" xfId="5404"/>
    <cellStyle name="Accent4 4 2" xfId="5405"/>
    <cellStyle name="Accent4 4 2 2" xfId="13111"/>
    <cellStyle name="Accent4 4 2 3" xfId="22362"/>
    <cellStyle name="Accent4 4 3" xfId="5406"/>
    <cellStyle name="Accent4 4 3 2" xfId="13110"/>
    <cellStyle name="Accent4 4 3 3" xfId="22361"/>
    <cellStyle name="Accent4 4 4" xfId="9697"/>
    <cellStyle name="Accent4 4 5" xfId="22363"/>
    <cellStyle name="Accent4 5" xfId="5407"/>
    <cellStyle name="Accent4 5 2" xfId="5408"/>
    <cellStyle name="Accent4 5 2 2" xfId="9699"/>
    <cellStyle name="Accent4 5 2 3" xfId="22359"/>
    <cellStyle name="Accent4 5 3" xfId="9698"/>
    <cellStyle name="Accent4 5 4" xfId="22360"/>
    <cellStyle name="Accent4 6" xfId="5409"/>
    <cellStyle name="Accent4 6 2" xfId="9700"/>
    <cellStyle name="Accent4 6 3" xfId="22358"/>
    <cellStyle name="Accent4 7" xfId="5410"/>
    <cellStyle name="Accent4 7 2" xfId="9701"/>
    <cellStyle name="Accent4 7 3" xfId="22357"/>
    <cellStyle name="Accent4 8" xfId="5411"/>
    <cellStyle name="Accent4 8 2" xfId="9702"/>
    <cellStyle name="Accent4 8 3" xfId="22356"/>
    <cellStyle name="Accent4 9" xfId="5412"/>
    <cellStyle name="Accent4 9 2" xfId="9703"/>
    <cellStyle name="Accent4 9 3" xfId="22355"/>
    <cellStyle name="Accent5" xfId="33037" builtinId="45" customBuiltin="1"/>
    <cellStyle name="Accent5 2" xfId="8817"/>
    <cellStyle name="Accent5 2 2" xfId="33077"/>
    <cellStyle name="Accent5 3" xfId="22354"/>
    <cellStyle name="Accent5 4" xfId="5413"/>
    <cellStyle name="Accent6" xfId="46" builtinId="49" customBuiltin="1"/>
    <cellStyle name="Accent6 10" xfId="5414"/>
    <cellStyle name="Accent6 10 2" xfId="9705"/>
    <cellStyle name="Accent6 10 3" xfId="22353"/>
    <cellStyle name="Accent6 11" xfId="5415"/>
    <cellStyle name="Accent6 11 2" xfId="9706"/>
    <cellStyle name="Accent6 11 3" xfId="22352"/>
    <cellStyle name="Accent6 12" xfId="5416"/>
    <cellStyle name="Accent6 12 2" xfId="5417"/>
    <cellStyle name="Accent6 12 2 2" xfId="15590"/>
    <cellStyle name="Accent6 12 2 3" xfId="22350"/>
    <cellStyle name="Accent6 12 3" xfId="10484"/>
    <cellStyle name="Accent6 12 4" xfId="22351"/>
    <cellStyle name="Accent6 13" xfId="5418"/>
    <cellStyle name="Accent6 13 2" xfId="11311"/>
    <cellStyle name="Accent6 13 3" xfId="22349"/>
    <cellStyle name="Accent6 14" xfId="5419"/>
    <cellStyle name="Accent6 14 2" xfId="9704"/>
    <cellStyle name="Accent6 14 3" xfId="22348"/>
    <cellStyle name="Accent6 2" xfId="5420"/>
    <cellStyle name="Accent6 2 2" xfId="9707"/>
    <cellStyle name="Accent6 2 3" xfId="22347"/>
    <cellStyle name="Accent6 2 4" xfId="33081"/>
    <cellStyle name="Accent6 3" xfId="5421"/>
    <cellStyle name="Accent6 3 2" xfId="5422"/>
    <cellStyle name="Accent6 3 2 2" xfId="9709"/>
    <cellStyle name="Accent6 3 2 3" xfId="22345"/>
    <cellStyle name="Accent6 3 3" xfId="9708"/>
    <cellStyle name="Accent6 3 4" xfId="22346"/>
    <cellStyle name="Accent6 4" xfId="5423"/>
    <cellStyle name="Accent6 4 2" xfId="5424"/>
    <cellStyle name="Accent6 4 2 2" xfId="13113"/>
    <cellStyle name="Accent6 4 2 3" xfId="22343"/>
    <cellStyle name="Accent6 4 3" xfId="5425"/>
    <cellStyle name="Accent6 4 3 2" xfId="13112"/>
    <cellStyle name="Accent6 4 3 3" xfId="22342"/>
    <cellStyle name="Accent6 4 4" xfId="9710"/>
    <cellStyle name="Accent6 4 5" xfId="22344"/>
    <cellStyle name="Accent6 5" xfId="5426"/>
    <cellStyle name="Accent6 5 2" xfId="5427"/>
    <cellStyle name="Accent6 5 2 2" xfId="9712"/>
    <cellStyle name="Accent6 5 2 3" xfId="22340"/>
    <cellStyle name="Accent6 5 3" xfId="9711"/>
    <cellStyle name="Accent6 5 4" xfId="22341"/>
    <cellStyle name="Accent6 6" xfId="5428"/>
    <cellStyle name="Accent6 6 2" xfId="9713"/>
    <cellStyle name="Accent6 6 3" xfId="22339"/>
    <cellStyle name="Accent6 7" xfId="5429"/>
    <cellStyle name="Accent6 7 2" xfId="9714"/>
    <cellStyle name="Accent6 7 3" xfId="22338"/>
    <cellStyle name="Accent6 8" xfId="5430"/>
    <cellStyle name="Accent6 8 2" xfId="9715"/>
    <cellStyle name="Accent6 8 3" xfId="22337"/>
    <cellStyle name="Accent6 9" xfId="5431"/>
    <cellStyle name="Accent6 9 2" xfId="9716"/>
    <cellStyle name="Accent6 9 3" xfId="22336"/>
    <cellStyle name="ALSTEC Currency" xfId="1"/>
    <cellStyle name="ALSTEC Detail Header" xfId="2"/>
    <cellStyle name="ALSTEC Normal_RU EXP" xfId="3"/>
    <cellStyle name="Bad" xfId="20" builtinId="27" customBuiltin="1"/>
    <cellStyle name="Bad 10" xfId="5432"/>
    <cellStyle name="Bad 10 2" xfId="9718"/>
    <cellStyle name="Bad 10 3" xfId="22335"/>
    <cellStyle name="Bad 11" xfId="5433"/>
    <cellStyle name="Bad 11 2" xfId="9719"/>
    <cellStyle name="Bad 11 3" xfId="22334"/>
    <cellStyle name="Bad 12" xfId="5434"/>
    <cellStyle name="Bad 12 2" xfId="5435"/>
    <cellStyle name="Bad 12 2 2" xfId="15591"/>
    <cellStyle name="Bad 12 2 3" xfId="22332"/>
    <cellStyle name="Bad 12 3" xfId="10485"/>
    <cellStyle name="Bad 12 4" xfId="22333"/>
    <cellStyle name="Bad 13" xfId="5436"/>
    <cellStyle name="Bad 13 2" xfId="11312"/>
    <cellStyle name="Bad 13 3" xfId="22331"/>
    <cellStyle name="Bad 14" xfId="5437"/>
    <cellStyle name="Bad 14 2" xfId="9717"/>
    <cellStyle name="Bad 14 3" xfId="22330"/>
    <cellStyle name="Bad 2" xfId="5438"/>
    <cellStyle name="Bad 2 2" xfId="9720"/>
    <cellStyle name="Bad 2 3" xfId="22329"/>
    <cellStyle name="Bad 2 4" xfId="33050"/>
    <cellStyle name="Bad 3" xfId="5439"/>
    <cellStyle name="Bad 3 2" xfId="5440"/>
    <cellStyle name="Bad 3 2 2" xfId="9722"/>
    <cellStyle name="Bad 3 2 3" xfId="22327"/>
    <cellStyle name="Bad 3 3" xfId="9721"/>
    <cellStyle name="Bad 3 4" xfId="22328"/>
    <cellStyle name="Bad 4" xfId="5441"/>
    <cellStyle name="Bad 4 2" xfId="5442"/>
    <cellStyle name="Bad 4 2 2" xfId="13115"/>
    <cellStyle name="Bad 4 2 3" xfId="22325"/>
    <cellStyle name="Bad 4 3" xfId="5443"/>
    <cellStyle name="Bad 4 3 2" xfId="13114"/>
    <cellStyle name="Bad 4 3 3" xfId="22324"/>
    <cellStyle name="Bad 4 4" xfId="9723"/>
    <cellStyle name="Bad 4 5" xfId="22326"/>
    <cellStyle name="Bad 5" xfId="5444"/>
    <cellStyle name="Bad 5 2" xfId="5445"/>
    <cellStyle name="Bad 5 2 2" xfId="9725"/>
    <cellStyle name="Bad 5 2 3" xfId="22322"/>
    <cellStyle name="Bad 5 3" xfId="9724"/>
    <cellStyle name="Bad 5 4" xfId="22323"/>
    <cellStyle name="Bad 6" xfId="5446"/>
    <cellStyle name="Bad 6 2" xfId="9726"/>
    <cellStyle name="Bad 6 3" xfId="22321"/>
    <cellStyle name="Bad 7" xfId="5447"/>
    <cellStyle name="Bad 7 2" xfId="9727"/>
    <cellStyle name="Bad 7 3" xfId="22320"/>
    <cellStyle name="Bad 8" xfId="5448"/>
    <cellStyle name="Bad 8 2" xfId="9728"/>
    <cellStyle name="Bad 8 3" xfId="22319"/>
    <cellStyle name="Bad 9" xfId="5449"/>
    <cellStyle name="Bad 9 2" xfId="9729"/>
    <cellStyle name="Bad 9 3" xfId="22318"/>
    <cellStyle name="Calculation" xfId="24" builtinId="22" customBuiltin="1"/>
    <cellStyle name="Calculation 10" xfId="5450"/>
    <cellStyle name="Calculation 10 2" xfId="9731"/>
    <cellStyle name="Calculation 10 3" xfId="22317"/>
    <cellStyle name="Calculation 11" xfId="5451"/>
    <cellStyle name="Calculation 11 2" xfId="9732"/>
    <cellStyle name="Calculation 11 3" xfId="22316"/>
    <cellStyle name="Calculation 12" xfId="5452"/>
    <cellStyle name="Calculation 12 2" xfId="5453"/>
    <cellStyle name="Calculation 12 2 2" xfId="15592"/>
    <cellStyle name="Calculation 12 2 3" xfId="22314"/>
    <cellStyle name="Calculation 12 3" xfId="10486"/>
    <cellStyle name="Calculation 12 4" xfId="22315"/>
    <cellStyle name="Calculation 13" xfId="5454"/>
    <cellStyle name="Calculation 13 2" xfId="11313"/>
    <cellStyle name="Calculation 13 3" xfId="22313"/>
    <cellStyle name="Calculation 14" xfId="5455"/>
    <cellStyle name="Calculation 14 2" xfId="9730"/>
    <cellStyle name="Calculation 14 3" xfId="22312"/>
    <cellStyle name="Calculation 2" xfId="5456"/>
    <cellStyle name="Calculation 2 2" xfId="9733"/>
    <cellStyle name="Calculation 2 3" xfId="22311"/>
    <cellStyle name="Calculation 2 4" xfId="33054"/>
    <cellStyle name="Calculation 3" xfId="5457"/>
    <cellStyle name="Calculation 3 2" xfId="5458"/>
    <cellStyle name="Calculation 3 2 2" xfId="9735"/>
    <cellStyle name="Calculation 3 2 3" xfId="22309"/>
    <cellStyle name="Calculation 3 3" xfId="9734"/>
    <cellStyle name="Calculation 3 4" xfId="22310"/>
    <cellStyle name="Calculation 4" xfId="5459"/>
    <cellStyle name="Calculation 4 2" xfId="5460"/>
    <cellStyle name="Calculation 4 2 2" xfId="13117"/>
    <cellStyle name="Calculation 4 2 3" xfId="22307"/>
    <cellStyle name="Calculation 4 3" xfId="5461"/>
    <cellStyle name="Calculation 4 3 2" xfId="13116"/>
    <cellStyle name="Calculation 4 3 3" xfId="22306"/>
    <cellStyle name="Calculation 4 4" xfId="9736"/>
    <cellStyle name="Calculation 4 5" xfId="22308"/>
    <cellStyle name="Calculation 5" xfId="5462"/>
    <cellStyle name="Calculation 5 2" xfId="5463"/>
    <cellStyle name="Calculation 5 2 2" xfId="9738"/>
    <cellStyle name="Calculation 5 2 3" xfId="22304"/>
    <cellStyle name="Calculation 5 3" xfId="9737"/>
    <cellStyle name="Calculation 5 4" xfId="22305"/>
    <cellStyle name="Calculation 6" xfId="5464"/>
    <cellStyle name="Calculation 6 2" xfId="9739"/>
    <cellStyle name="Calculation 6 3" xfId="22303"/>
    <cellStyle name="Calculation 7" xfId="5465"/>
    <cellStyle name="Calculation 7 2" xfId="9740"/>
    <cellStyle name="Calculation 7 3" xfId="22302"/>
    <cellStyle name="Calculation 8" xfId="5466"/>
    <cellStyle name="Calculation 8 2" xfId="9741"/>
    <cellStyle name="Calculation 8 3" xfId="22301"/>
    <cellStyle name="Calculation 9" xfId="5467"/>
    <cellStyle name="Calculation 9 2" xfId="9742"/>
    <cellStyle name="Calculation 9 3" xfId="22300"/>
    <cellStyle name="Check Cell" xfId="33033" builtinId="23" customBuiltin="1"/>
    <cellStyle name="Check Cell 2" xfId="8813"/>
    <cellStyle name="Check Cell 2 2" xfId="33056"/>
    <cellStyle name="Check Cell 3" xfId="22299"/>
    <cellStyle name="Check Cell 4" xfId="5468"/>
    <cellStyle name="Comma" xfId="4" builtinId="3"/>
    <cellStyle name="Comma 10" xfId="5469"/>
    <cellStyle name="Comma 10 2" xfId="5470"/>
    <cellStyle name="Comma 10 2 2" xfId="13118"/>
    <cellStyle name="Comma 10 2 3" xfId="22297"/>
    <cellStyle name="Comma 10 3" xfId="10515"/>
    <cellStyle name="Comma 10 4" xfId="22298"/>
    <cellStyle name="Comma 11" xfId="8786"/>
    <cellStyle name="Comma 12" xfId="50"/>
    <cellStyle name="Comma 2" xfId="5"/>
    <cellStyle name="Comma 2 2" xfId="5472"/>
    <cellStyle name="Comma 2 2 2" xfId="5473"/>
    <cellStyle name="Comma 2 2 2 2" xfId="9743"/>
    <cellStyle name="Comma 2 2 2 3" xfId="22294"/>
    <cellStyle name="Comma 2 2 3" xfId="5474"/>
    <cellStyle name="Comma 2 2 3 2" xfId="9744"/>
    <cellStyle name="Comma 2 2 3 3" xfId="22293"/>
    <cellStyle name="Comma 2 2 4" xfId="8711"/>
    <cellStyle name="Comma 2 2 5" xfId="22295"/>
    <cellStyle name="Comma 2 3" xfId="5475"/>
    <cellStyle name="Comma 2 3 2" xfId="5476"/>
    <cellStyle name="Comma 2 3 2 2" xfId="9745"/>
    <cellStyle name="Comma 2 3 2 3" xfId="22291"/>
    <cellStyle name="Comma 2 3 3" xfId="5477"/>
    <cellStyle name="Comma 2 3 3 2" xfId="13119"/>
    <cellStyle name="Comma 2 3 3 3" xfId="22290"/>
    <cellStyle name="Comma 2 3 4" xfId="8677"/>
    <cellStyle name="Comma 2 3 5" xfId="22292"/>
    <cellStyle name="Comma 2 4" xfId="5478"/>
    <cellStyle name="Comma 2 4 2" xfId="5479"/>
    <cellStyle name="Comma 2 4 2 2" xfId="13120"/>
    <cellStyle name="Comma 2 4 2 3" xfId="22288"/>
    <cellStyle name="Comma 2 4 3" xfId="5480"/>
    <cellStyle name="Comma 2 4 3 2" xfId="17369"/>
    <cellStyle name="Comma 2 4 3 3" xfId="22287"/>
    <cellStyle name="Comma 2 4 4" xfId="8726"/>
    <cellStyle name="Comma 2 4 5" xfId="22289"/>
    <cellStyle name="Comma 2 5" xfId="8658"/>
    <cellStyle name="Comma 2 6" xfId="22296"/>
    <cellStyle name="Comma 2 7" xfId="33031"/>
    <cellStyle name="Comma 2 8" xfId="5471"/>
    <cellStyle name="Comma 3" xfId="5481"/>
    <cellStyle name="Comma 3 10" xfId="5482"/>
    <cellStyle name="Comma 3 10 2" xfId="9747"/>
    <cellStyle name="Comma 3 10 3" xfId="22285"/>
    <cellStyle name="Comma 3 11" xfId="5483"/>
    <cellStyle name="Comma 3 11 2" xfId="5484"/>
    <cellStyle name="Comma 3 11 2 2" xfId="13121"/>
    <cellStyle name="Comma 3 11 2 3" xfId="22283"/>
    <cellStyle name="Comma 3 11 3" xfId="5485"/>
    <cellStyle name="Comma 3 11 3 2" xfId="17019"/>
    <cellStyle name="Comma 3 11 3 2 2" xfId="30426"/>
    <cellStyle name="Comma 3 11 3 3" xfId="22282"/>
    <cellStyle name="Comma 3 11 4" xfId="9748"/>
    <cellStyle name="Comma 3 11 5" xfId="22284"/>
    <cellStyle name="Comma 3 12" xfId="5486"/>
    <cellStyle name="Comma 3 12 2" xfId="5487"/>
    <cellStyle name="Comma 3 12 2 2" xfId="13123"/>
    <cellStyle name="Comma 3 12 2 3" xfId="22280"/>
    <cellStyle name="Comma 3 12 3" xfId="5488"/>
    <cellStyle name="Comma 3 12 3 2" xfId="13122"/>
    <cellStyle name="Comma 3 12 3 2 2" xfId="26834"/>
    <cellStyle name="Comma 3 12 3 3" xfId="22279"/>
    <cellStyle name="Comma 3 12 4" xfId="5489"/>
    <cellStyle name="Comma 3 12 4 2" xfId="17108"/>
    <cellStyle name="Comma 3 12 4 2 2" xfId="30467"/>
    <cellStyle name="Comma 3 12 4 3" xfId="22278"/>
    <cellStyle name="Comma 3 12 5" xfId="9749"/>
    <cellStyle name="Comma 3 12 6" xfId="22281"/>
    <cellStyle name="Comma 3 13" xfId="5490"/>
    <cellStyle name="Comma 3 13 2" xfId="5491"/>
    <cellStyle name="Comma 3 13 2 2" xfId="17197"/>
    <cellStyle name="Comma 3 13 2 2 2" xfId="30556"/>
    <cellStyle name="Comma 3 13 2 3" xfId="22276"/>
    <cellStyle name="Comma 3 13 3" xfId="9750"/>
    <cellStyle name="Comma 3 13 4" xfId="22277"/>
    <cellStyle name="Comma 3 14" xfId="5492"/>
    <cellStyle name="Comma 3 14 2" xfId="5493"/>
    <cellStyle name="Comma 3 14 2 2" xfId="5494"/>
    <cellStyle name="Comma 3 14 2 2 2" xfId="11316"/>
    <cellStyle name="Comma 3 14 2 2 3" xfId="22273"/>
    <cellStyle name="Comma 3 14 2 3" xfId="9752"/>
    <cellStyle name="Comma 3 14 2 4" xfId="22274"/>
    <cellStyle name="Comma 3 14 3" xfId="5495"/>
    <cellStyle name="Comma 3 14 3 2" xfId="11315"/>
    <cellStyle name="Comma 3 14 3 3" xfId="22272"/>
    <cellStyle name="Comma 3 14 4" xfId="5496"/>
    <cellStyle name="Comma 3 14 4 2" xfId="17286"/>
    <cellStyle name="Comma 3 14 4 2 2" xfId="30645"/>
    <cellStyle name="Comma 3 14 4 3" xfId="22271"/>
    <cellStyle name="Comma 3 14 5" xfId="9751"/>
    <cellStyle name="Comma 3 14 6" xfId="22275"/>
    <cellStyle name="Comma 3 15" xfId="5497"/>
    <cellStyle name="Comma 3 15 2" xfId="5498"/>
    <cellStyle name="Comma 3 15 2 2" xfId="11317"/>
    <cellStyle name="Comma 3 15 2 3" xfId="22269"/>
    <cellStyle name="Comma 3 15 3" xfId="5499"/>
    <cellStyle name="Comma 3 15 3 2" xfId="16438"/>
    <cellStyle name="Comma 3 15 3 2 2" xfId="29845"/>
    <cellStyle name="Comma 3 15 3 3" xfId="22268"/>
    <cellStyle name="Comma 3 15 4" xfId="9753"/>
    <cellStyle name="Comma 3 15 5" xfId="22270"/>
    <cellStyle name="Comma 3 16" xfId="5500"/>
    <cellStyle name="Comma 3 16 2" xfId="5501"/>
    <cellStyle name="Comma 3 16 2 2" xfId="11318"/>
    <cellStyle name="Comma 3 16 2 3" xfId="22266"/>
    <cellStyle name="Comma 3 16 3" xfId="9754"/>
    <cellStyle name="Comma 3 16 4" xfId="22267"/>
    <cellStyle name="Comma 3 17" xfId="5502"/>
    <cellStyle name="Comma 3 17 2" xfId="5503"/>
    <cellStyle name="Comma 3 17 2 2" xfId="11319"/>
    <cellStyle name="Comma 3 17 2 3" xfId="22264"/>
    <cellStyle name="Comma 3 17 3" xfId="9755"/>
    <cellStyle name="Comma 3 17 4" xfId="22265"/>
    <cellStyle name="Comma 3 18" xfId="5504"/>
    <cellStyle name="Comma 3 18 2" xfId="5505"/>
    <cellStyle name="Comma 3 18 2 2" xfId="11320"/>
    <cellStyle name="Comma 3 18 2 3" xfId="22262"/>
    <cellStyle name="Comma 3 18 3" xfId="9756"/>
    <cellStyle name="Comma 3 18 4" xfId="22263"/>
    <cellStyle name="Comma 3 19" xfId="5506"/>
    <cellStyle name="Comma 3 19 2" xfId="5507"/>
    <cellStyle name="Comma 3 19 2 2" xfId="11321"/>
    <cellStyle name="Comma 3 19 2 3" xfId="22260"/>
    <cellStyle name="Comma 3 19 3" xfId="9757"/>
    <cellStyle name="Comma 3 19 4" xfId="22261"/>
    <cellStyle name="Comma 3 2" xfId="5508"/>
    <cellStyle name="Comma 3 2 10" xfId="5509"/>
    <cellStyle name="Comma 3 2 10 2" xfId="11322"/>
    <cellStyle name="Comma 3 2 10 3" xfId="22258"/>
    <cellStyle name="Comma 3 2 11" xfId="5510"/>
    <cellStyle name="Comma 3 2 11 2" xfId="5511"/>
    <cellStyle name="Comma 3 2 11 2 2" xfId="13124"/>
    <cellStyle name="Comma 3 2 11 2 2 2" xfId="26836"/>
    <cellStyle name="Comma 3 2 11 2 3" xfId="22256"/>
    <cellStyle name="Comma 3 2 11 3" xfId="5512"/>
    <cellStyle name="Comma 3 2 11 3 2" xfId="15593"/>
    <cellStyle name="Comma 3 2 11 3 3" xfId="22255"/>
    <cellStyle name="Comma 3 2 11 4" xfId="11735"/>
    <cellStyle name="Comma 3 2 11 5" xfId="22257"/>
    <cellStyle name="Comma 3 2 12" xfId="5513"/>
    <cellStyle name="Comma 3 2 12 2" xfId="11853"/>
    <cellStyle name="Comma 3 2 12 2 2" xfId="25568"/>
    <cellStyle name="Comma 3 2 12 3" xfId="22254"/>
    <cellStyle name="Comma 3 2 13" xfId="5514"/>
    <cellStyle name="Comma 3 2 13 2" xfId="13447"/>
    <cellStyle name="Comma 3 2 13 2 2" xfId="26996"/>
    <cellStyle name="Comma 3 2 13 3" xfId="22253"/>
    <cellStyle name="Comma 3 2 14" xfId="5515"/>
    <cellStyle name="Comma 3 2 14 2" xfId="14028"/>
    <cellStyle name="Comma 3 2 14 2 2" xfId="27577"/>
    <cellStyle name="Comma 3 2 14 3" xfId="22252"/>
    <cellStyle name="Comma 3 2 15" xfId="5516"/>
    <cellStyle name="Comma 3 2 15 2" xfId="15914"/>
    <cellStyle name="Comma 3 2 15 2 2" xfId="29321"/>
    <cellStyle name="Comma 3 2 15 3" xfId="22251"/>
    <cellStyle name="Comma 3 2 16" xfId="5517"/>
    <cellStyle name="Comma 3 2 16 2" xfId="9758"/>
    <cellStyle name="Comma 3 2 16 3" xfId="22250"/>
    <cellStyle name="Comma 3 2 17" xfId="8712"/>
    <cellStyle name="Comma 3 2 18" xfId="22259"/>
    <cellStyle name="Comma 3 2 19" xfId="33088"/>
    <cellStyle name="Comma 3 2 2" xfId="5518"/>
    <cellStyle name="Comma 3 2 2 10" xfId="9759"/>
    <cellStyle name="Comma 3 2 2 11" xfId="22249"/>
    <cellStyle name="Comma 3 2 2 12" xfId="32938"/>
    <cellStyle name="Comma 3 2 2 2" xfId="5519"/>
    <cellStyle name="Comma 3 2 2 2 2" xfId="5520"/>
    <cellStyle name="Comma 3 2 2 2 2 2" xfId="5521"/>
    <cellStyle name="Comma 3 2 2 2 2 2 2" xfId="5522"/>
    <cellStyle name="Comma 3 2 2 2 2 2 2 2" xfId="11323"/>
    <cellStyle name="Comma 3 2 2 2 2 2 2 3" xfId="22245"/>
    <cellStyle name="Comma 3 2 2 2 2 2 3" xfId="5523"/>
    <cellStyle name="Comma 3 2 2 2 2 2 3 2" xfId="16973"/>
    <cellStyle name="Comma 3 2 2 2 2 2 3 2 2" xfId="30380"/>
    <cellStyle name="Comma 3 2 2 2 2 2 3 3" xfId="22244"/>
    <cellStyle name="Comma 3 2 2 2 2 2 4" xfId="9762"/>
    <cellStyle name="Comma 3 2 2 2 2 2 5" xfId="22246"/>
    <cellStyle name="Comma 3 2 2 2 2 3" xfId="5524"/>
    <cellStyle name="Comma 3 2 2 2 2 3 2" xfId="5525"/>
    <cellStyle name="Comma 3 2 2 2 2 3 2 2" xfId="13125"/>
    <cellStyle name="Comma 3 2 2 2 2 3 2 3" xfId="22242"/>
    <cellStyle name="Comma 3 2 2 2 2 3 3" xfId="12361"/>
    <cellStyle name="Comma 3 2 2 2 2 3 3 2" xfId="26073"/>
    <cellStyle name="Comma 3 2 2 2 2 3 4" xfId="22243"/>
    <cellStyle name="Comma 3 2 2 2 2 4" xfId="5526"/>
    <cellStyle name="Comma 3 2 2 2 2 4 2" xfId="5527"/>
    <cellStyle name="Comma 3 2 2 2 2 4 2 2" xfId="15594"/>
    <cellStyle name="Comma 3 2 2 2 2 4 2 3" xfId="22240"/>
    <cellStyle name="Comma 3 2 2 2 2 4 3" xfId="13925"/>
    <cellStyle name="Comma 3 2 2 2 2 4 3 2" xfId="27474"/>
    <cellStyle name="Comma 3 2 2 2 2 4 4" xfId="22241"/>
    <cellStyle name="Comma 3 2 2 2 2 5" xfId="5528"/>
    <cellStyle name="Comma 3 2 2 2 2 5 2" xfId="14506"/>
    <cellStyle name="Comma 3 2 2 2 2 5 2 2" xfId="28055"/>
    <cellStyle name="Comma 3 2 2 2 2 5 3" xfId="22239"/>
    <cellStyle name="Comma 3 2 2 2 2 6" xfId="5529"/>
    <cellStyle name="Comma 3 2 2 2 2 6 2" xfId="16392"/>
    <cellStyle name="Comma 3 2 2 2 2 6 2 2" xfId="29799"/>
    <cellStyle name="Comma 3 2 2 2 2 6 3" xfId="22238"/>
    <cellStyle name="Comma 3 2 2 2 2 7" xfId="9761"/>
    <cellStyle name="Comma 3 2 2 2 2 8" xfId="22247"/>
    <cellStyle name="Comma 3 2 2 2 3" xfId="5530"/>
    <cellStyle name="Comma 3 2 2 2 3 2" xfId="5531"/>
    <cellStyle name="Comma 3 2 2 2 3 2 2" xfId="11324"/>
    <cellStyle name="Comma 3 2 2 2 3 2 3" xfId="22236"/>
    <cellStyle name="Comma 3 2 2 2 3 3" xfId="5532"/>
    <cellStyle name="Comma 3 2 2 2 3 3 2" xfId="16684"/>
    <cellStyle name="Comma 3 2 2 2 3 3 2 2" xfId="30091"/>
    <cellStyle name="Comma 3 2 2 2 3 3 3" xfId="22235"/>
    <cellStyle name="Comma 3 2 2 2 3 4" xfId="9763"/>
    <cellStyle name="Comma 3 2 2 2 3 5" xfId="22237"/>
    <cellStyle name="Comma 3 2 2 2 4" xfId="5533"/>
    <cellStyle name="Comma 3 2 2 2 4 2" xfId="5534"/>
    <cellStyle name="Comma 3 2 2 2 4 2 2" xfId="13126"/>
    <cellStyle name="Comma 3 2 2 2 4 2 3" xfId="22233"/>
    <cellStyle name="Comma 3 2 2 2 4 3" xfId="12061"/>
    <cellStyle name="Comma 3 2 2 2 4 3 2" xfId="25776"/>
    <cellStyle name="Comma 3 2 2 2 4 4" xfId="22234"/>
    <cellStyle name="Comma 3 2 2 2 5" xfId="5535"/>
    <cellStyle name="Comma 3 2 2 2 5 2" xfId="5536"/>
    <cellStyle name="Comma 3 2 2 2 5 2 2" xfId="15595"/>
    <cellStyle name="Comma 3 2 2 2 5 2 3" xfId="22231"/>
    <cellStyle name="Comma 3 2 2 2 5 3" xfId="13636"/>
    <cellStyle name="Comma 3 2 2 2 5 3 2" xfId="27185"/>
    <cellStyle name="Comma 3 2 2 2 5 4" xfId="22232"/>
    <cellStyle name="Comma 3 2 2 2 6" xfId="5537"/>
    <cellStyle name="Comma 3 2 2 2 6 2" xfId="14217"/>
    <cellStyle name="Comma 3 2 2 2 6 2 2" xfId="27766"/>
    <cellStyle name="Comma 3 2 2 2 6 3" xfId="22230"/>
    <cellStyle name="Comma 3 2 2 2 7" xfId="5538"/>
    <cellStyle name="Comma 3 2 2 2 7 2" xfId="16103"/>
    <cellStyle name="Comma 3 2 2 2 7 2 2" xfId="29510"/>
    <cellStyle name="Comma 3 2 2 2 7 3" xfId="22229"/>
    <cellStyle name="Comma 3 2 2 2 8" xfId="9760"/>
    <cellStyle name="Comma 3 2 2 2 9" xfId="22248"/>
    <cellStyle name="Comma 3 2 2 3" xfId="5539"/>
    <cellStyle name="Comma 3 2 2 3 2" xfId="5540"/>
    <cellStyle name="Comma 3 2 2 3 2 2" xfId="5541"/>
    <cellStyle name="Comma 3 2 2 3 2 2 2" xfId="11325"/>
    <cellStyle name="Comma 3 2 2 3 2 2 3" xfId="22226"/>
    <cellStyle name="Comma 3 2 2 3 2 3" xfId="5542"/>
    <cellStyle name="Comma 3 2 2 3 2 3 2" xfId="16830"/>
    <cellStyle name="Comma 3 2 2 3 2 3 2 2" xfId="30237"/>
    <cellStyle name="Comma 3 2 2 3 2 3 3" xfId="22225"/>
    <cellStyle name="Comma 3 2 2 3 2 4" xfId="9765"/>
    <cellStyle name="Comma 3 2 2 3 2 5" xfId="22227"/>
    <cellStyle name="Comma 3 2 2 3 3" xfId="5543"/>
    <cellStyle name="Comma 3 2 2 3 3 2" xfId="5544"/>
    <cellStyle name="Comma 3 2 2 3 3 2 2" xfId="13127"/>
    <cellStyle name="Comma 3 2 2 3 3 2 3" xfId="22223"/>
    <cellStyle name="Comma 3 2 2 3 3 3" xfId="12218"/>
    <cellStyle name="Comma 3 2 2 3 3 3 2" xfId="25930"/>
    <cellStyle name="Comma 3 2 2 3 3 4" xfId="22224"/>
    <cellStyle name="Comma 3 2 2 3 4" xfId="5545"/>
    <cellStyle name="Comma 3 2 2 3 4 2" xfId="5546"/>
    <cellStyle name="Comma 3 2 2 3 4 2 2" xfId="15596"/>
    <cellStyle name="Comma 3 2 2 3 4 2 3" xfId="22221"/>
    <cellStyle name="Comma 3 2 2 3 4 3" xfId="13782"/>
    <cellStyle name="Comma 3 2 2 3 4 3 2" xfId="27331"/>
    <cellStyle name="Comma 3 2 2 3 4 4" xfId="22222"/>
    <cellStyle name="Comma 3 2 2 3 5" xfId="5547"/>
    <cellStyle name="Comma 3 2 2 3 5 2" xfId="14363"/>
    <cellStyle name="Comma 3 2 2 3 5 2 2" xfId="27912"/>
    <cellStyle name="Comma 3 2 2 3 5 3" xfId="22220"/>
    <cellStyle name="Comma 3 2 2 3 6" xfId="5548"/>
    <cellStyle name="Comma 3 2 2 3 6 2" xfId="16249"/>
    <cellStyle name="Comma 3 2 2 3 6 2 2" xfId="29656"/>
    <cellStyle name="Comma 3 2 2 3 6 3" xfId="22219"/>
    <cellStyle name="Comma 3 2 2 3 7" xfId="9764"/>
    <cellStyle name="Comma 3 2 2 3 8" xfId="22228"/>
    <cellStyle name="Comma 3 2 2 4" xfId="5549"/>
    <cellStyle name="Comma 3 2 2 4 2" xfId="5550"/>
    <cellStyle name="Comma 3 2 2 4 2 2" xfId="17177"/>
    <cellStyle name="Comma 3 2 2 4 2 2 2" xfId="30536"/>
    <cellStyle name="Comma 3 2 2 4 2 3" xfId="22217"/>
    <cellStyle name="Comma 3 2 2 4 3" xfId="9766"/>
    <cellStyle name="Comma 3 2 2 4 4" xfId="22218"/>
    <cellStyle name="Comma 3 2 2 5" xfId="5551"/>
    <cellStyle name="Comma 3 2 2 5 2" xfId="5552"/>
    <cellStyle name="Comma 3 2 2 5 2 2" xfId="11326"/>
    <cellStyle name="Comma 3 2 2 5 2 3" xfId="22215"/>
    <cellStyle name="Comma 3 2 2 5 3" xfId="5553"/>
    <cellStyle name="Comma 3 2 2 5 3 2" xfId="17266"/>
    <cellStyle name="Comma 3 2 2 5 3 2 2" xfId="30625"/>
    <cellStyle name="Comma 3 2 2 5 3 3" xfId="22214"/>
    <cellStyle name="Comma 3 2 2 5 4" xfId="9767"/>
    <cellStyle name="Comma 3 2 2 5 5" xfId="22216"/>
    <cellStyle name="Comma 3 2 2 6" xfId="5554"/>
    <cellStyle name="Comma 3 2 2 6 2" xfId="5555"/>
    <cellStyle name="Comma 3 2 2 6 2 2" xfId="13128"/>
    <cellStyle name="Comma 3 2 2 6 2 3" xfId="22212"/>
    <cellStyle name="Comma 3 2 2 6 3" xfId="5556"/>
    <cellStyle name="Comma 3 2 2 6 3 2" xfId="16541"/>
    <cellStyle name="Comma 3 2 2 6 3 2 2" xfId="29948"/>
    <cellStyle name="Comma 3 2 2 6 3 3" xfId="22211"/>
    <cellStyle name="Comma 3 2 2 6 4" xfId="11916"/>
    <cellStyle name="Comma 3 2 2 6 4 2" xfId="25631"/>
    <cellStyle name="Comma 3 2 2 6 5" xfId="22213"/>
    <cellStyle name="Comma 3 2 2 7" xfId="5557"/>
    <cellStyle name="Comma 3 2 2 7 2" xfId="5558"/>
    <cellStyle name="Comma 3 2 2 7 2 2" xfId="15597"/>
    <cellStyle name="Comma 3 2 2 7 2 3" xfId="22209"/>
    <cellStyle name="Comma 3 2 2 7 3" xfId="13493"/>
    <cellStyle name="Comma 3 2 2 7 3 2" xfId="27042"/>
    <cellStyle name="Comma 3 2 2 7 4" xfId="22210"/>
    <cellStyle name="Comma 3 2 2 8" xfId="5559"/>
    <cellStyle name="Comma 3 2 2 8 2" xfId="14074"/>
    <cellStyle name="Comma 3 2 2 8 2 2" xfId="27623"/>
    <cellStyle name="Comma 3 2 2 8 3" xfId="22208"/>
    <cellStyle name="Comma 3 2 2 9" xfId="5560"/>
    <cellStyle name="Comma 3 2 2 9 2" xfId="15960"/>
    <cellStyle name="Comma 3 2 2 9 2 2" xfId="29367"/>
    <cellStyle name="Comma 3 2 2 9 3" xfId="22207"/>
    <cellStyle name="Comma 3 2 3" xfId="5561"/>
    <cellStyle name="Comma 3 2 3 2" xfId="5562"/>
    <cellStyle name="Comma 3 2 3 2 2" xfId="5563"/>
    <cellStyle name="Comma 3 2 3 2 2 2" xfId="5564"/>
    <cellStyle name="Comma 3 2 3 2 2 2 2" xfId="11327"/>
    <cellStyle name="Comma 3 2 3 2 2 2 3" xfId="22203"/>
    <cellStyle name="Comma 3 2 3 2 2 3" xfId="5565"/>
    <cellStyle name="Comma 3 2 3 2 2 3 2" xfId="16927"/>
    <cellStyle name="Comma 3 2 3 2 2 3 2 2" xfId="30334"/>
    <cellStyle name="Comma 3 2 3 2 2 3 3" xfId="22202"/>
    <cellStyle name="Comma 3 2 3 2 2 4" xfId="9770"/>
    <cellStyle name="Comma 3 2 3 2 2 5" xfId="22204"/>
    <cellStyle name="Comma 3 2 3 2 3" xfId="5566"/>
    <cellStyle name="Comma 3 2 3 2 3 2" xfId="5567"/>
    <cellStyle name="Comma 3 2 3 2 3 2 2" xfId="13129"/>
    <cellStyle name="Comma 3 2 3 2 3 2 3" xfId="22200"/>
    <cellStyle name="Comma 3 2 3 2 3 3" xfId="12315"/>
    <cellStyle name="Comma 3 2 3 2 3 3 2" xfId="26027"/>
    <cellStyle name="Comma 3 2 3 2 3 4" xfId="22201"/>
    <cellStyle name="Comma 3 2 3 2 4" xfId="5568"/>
    <cellStyle name="Comma 3 2 3 2 4 2" xfId="5569"/>
    <cellStyle name="Comma 3 2 3 2 4 2 2" xfId="15598"/>
    <cellStyle name="Comma 3 2 3 2 4 2 3" xfId="22198"/>
    <cellStyle name="Comma 3 2 3 2 4 3" xfId="13879"/>
    <cellStyle name="Comma 3 2 3 2 4 3 2" xfId="27428"/>
    <cellStyle name="Comma 3 2 3 2 4 4" xfId="22199"/>
    <cellStyle name="Comma 3 2 3 2 5" xfId="5570"/>
    <cellStyle name="Comma 3 2 3 2 5 2" xfId="14460"/>
    <cellStyle name="Comma 3 2 3 2 5 2 2" xfId="28009"/>
    <cellStyle name="Comma 3 2 3 2 5 3" xfId="22197"/>
    <cellStyle name="Comma 3 2 3 2 6" xfId="5571"/>
    <cellStyle name="Comma 3 2 3 2 6 2" xfId="16346"/>
    <cellStyle name="Comma 3 2 3 2 6 2 2" xfId="29753"/>
    <cellStyle name="Comma 3 2 3 2 6 3" xfId="22196"/>
    <cellStyle name="Comma 3 2 3 2 7" xfId="9769"/>
    <cellStyle name="Comma 3 2 3 2 8" xfId="22205"/>
    <cellStyle name="Comma 3 2 3 3" xfId="5572"/>
    <cellStyle name="Comma 3 2 3 3 2" xfId="5573"/>
    <cellStyle name="Comma 3 2 3 3 2 2" xfId="11328"/>
    <cellStyle name="Comma 3 2 3 3 2 3" xfId="22194"/>
    <cellStyle name="Comma 3 2 3 3 3" xfId="5574"/>
    <cellStyle name="Comma 3 2 3 3 3 2" xfId="16638"/>
    <cellStyle name="Comma 3 2 3 3 3 2 2" xfId="30045"/>
    <cellStyle name="Comma 3 2 3 3 3 3" xfId="22193"/>
    <cellStyle name="Comma 3 2 3 3 4" xfId="9771"/>
    <cellStyle name="Comma 3 2 3 3 5" xfId="22195"/>
    <cellStyle name="Comma 3 2 3 4" xfId="5575"/>
    <cellStyle name="Comma 3 2 3 4 2" xfId="5576"/>
    <cellStyle name="Comma 3 2 3 4 2 2" xfId="13130"/>
    <cellStyle name="Comma 3 2 3 4 2 3" xfId="22191"/>
    <cellStyle name="Comma 3 2 3 4 3" xfId="12015"/>
    <cellStyle name="Comma 3 2 3 4 3 2" xfId="25730"/>
    <cellStyle name="Comma 3 2 3 4 4" xfId="22192"/>
    <cellStyle name="Comma 3 2 3 5" xfId="5577"/>
    <cellStyle name="Comma 3 2 3 5 2" xfId="5578"/>
    <cellStyle name="Comma 3 2 3 5 2 2" xfId="15599"/>
    <cellStyle name="Comma 3 2 3 5 2 3" xfId="22189"/>
    <cellStyle name="Comma 3 2 3 5 3" xfId="13590"/>
    <cellStyle name="Comma 3 2 3 5 3 2" xfId="27139"/>
    <cellStyle name="Comma 3 2 3 5 4" xfId="22190"/>
    <cellStyle name="Comma 3 2 3 6" xfId="5579"/>
    <cellStyle name="Comma 3 2 3 6 2" xfId="14171"/>
    <cellStyle name="Comma 3 2 3 6 2 2" xfId="27720"/>
    <cellStyle name="Comma 3 2 3 6 3" xfId="22188"/>
    <cellStyle name="Comma 3 2 3 7" xfId="5580"/>
    <cellStyle name="Comma 3 2 3 7 2" xfId="16057"/>
    <cellStyle name="Comma 3 2 3 7 2 2" xfId="29464"/>
    <cellStyle name="Comma 3 2 3 7 3" xfId="22187"/>
    <cellStyle name="Comma 3 2 3 8" xfId="9768"/>
    <cellStyle name="Comma 3 2 3 9" xfId="22206"/>
    <cellStyle name="Comma 3 2 4" xfId="5581"/>
    <cellStyle name="Comma 3 2 4 2" xfId="5582"/>
    <cellStyle name="Comma 3 2 4 2 2" xfId="5583"/>
    <cellStyle name="Comma 3 2 4 2 2 2" xfId="11329"/>
    <cellStyle name="Comma 3 2 4 2 2 3" xfId="22184"/>
    <cellStyle name="Comma 3 2 4 2 3" xfId="5584"/>
    <cellStyle name="Comma 3 2 4 2 3 2" xfId="16784"/>
    <cellStyle name="Comma 3 2 4 2 3 2 2" xfId="30191"/>
    <cellStyle name="Comma 3 2 4 2 3 3" xfId="22183"/>
    <cellStyle name="Comma 3 2 4 2 4" xfId="9773"/>
    <cellStyle name="Comma 3 2 4 2 5" xfId="22185"/>
    <cellStyle name="Comma 3 2 4 3" xfId="5585"/>
    <cellStyle name="Comma 3 2 4 3 2" xfId="5586"/>
    <cellStyle name="Comma 3 2 4 3 2 2" xfId="13131"/>
    <cellStyle name="Comma 3 2 4 3 2 3" xfId="22181"/>
    <cellStyle name="Comma 3 2 4 3 3" xfId="12172"/>
    <cellStyle name="Comma 3 2 4 3 3 2" xfId="25884"/>
    <cellStyle name="Comma 3 2 4 3 4" xfId="22182"/>
    <cellStyle name="Comma 3 2 4 4" xfId="5587"/>
    <cellStyle name="Comma 3 2 4 4 2" xfId="5588"/>
    <cellStyle name="Comma 3 2 4 4 2 2" xfId="15600"/>
    <cellStyle name="Comma 3 2 4 4 2 3" xfId="22179"/>
    <cellStyle name="Comma 3 2 4 4 3" xfId="13736"/>
    <cellStyle name="Comma 3 2 4 4 3 2" xfId="27285"/>
    <cellStyle name="Comma 3 2 4 4 4" xfId="22180"/>
    <cellStyle name="Comma 3 2 4 5" xfId="5589"/>
    <cellStyle name="Comma 3 2 4 5 2" xfId="14317"/>
    <cellStyle name="Comma 3 2 4 5 2 2" xfId="27866"/>
    <cellStyle name="Comma 3 2 4 5 3" xfId="22178"/>
    <cellStyle name="Comma 3 2 4 6" xfId="5590"/>
    <cellStyle name="Comma 3 2 4 6 2" xfId="16203"/>
    <cellStyle name="Comma 3 2 4 6 2 2" xfId="29610"/>
    <cellStyle name="Comma 3 2 4 6 3" xfId="22177"/>
    <cellStyle name="Comma 3 2 4 7" xfId="9772"/>
    <cellStyle name="Comma 3 2 4 8" xfId="22186"/>
    <cellStyle name="Comma 3 2 5" xfId="5591"/>
    <cellStyle name="Comma 3 2 5 2" xfId="5592"/>
    <cellStyle name="Comma 3 2 5 2 2" xfId="5593"/>
    <cellStyle name="Comma 3 2 5 2 2 2" xfId="11331"/>
    <cellStyle name="Comma 3 2 5 2 2 3" xfId="22174"/>
    <cellStyle name="Comma 3 2 5 2 3" xfId="9775"/>
    <cellStyle name="Comma 3 2 5 2 4" xfId="22175"/>
    <cellStyle name="Comma 3 2 5 3" xfId="5594"/>
    <cellStyle name="Comma 3 2 5 3 2" xfId="11330"/>
    <cellStyle name="Comma 3 2 5 3 3" xfId="22173"/>
    <cellStyle name="Comma 3 2 5 4" xfId="5595"/>
    <cellStyle name="Comma 3 2 5 4 2" xfId="17020"/>
    <cellStyle name="Comma 3 2 5 4 2 2" xfId="30427"/>
    <cellStyle name="Comma 3 2 5 4 3" xfId="22172"/>
    <cellStyle name="Comma 3 2 5 5" xfId="9774"/>
    <cellStyle name="Comma 3 2 5 6" xfId="22176"/>
    <cellStyle name="Comma 3 2 6" xfId="5596"/>
    <cellStyle name="Comma 3 2 6 2" xfId="5597"/>
    <cellStyle name="Comma 3 2 6 2 2" xfId="17131"/>
    <cellStyle name="Comma 3 2 6 2 2 2" xfId="30490"/>
    <cellStyle name="Comma 3 2 6 2 3" xfId="22170"/>
    <cellStyle name="Comma 3 2 6 3" xfId="9776"/>
    <cellStyle name="Comma 3 2 6 4" xfId="22171"/>
    <cellStyle name="Comma 3 2 7" xfId="5598"/>
    <cellStyle name="Comma 3 2 7 2" xfId="5599"/>
    <cellStyle name="Comma 3 2 7 2 2" xfId="11332"/>
    <cellStyle name="Comma 3 2 7 2 3" xfId="22168"/>
    <cellStyle name="Comma 3 2 7 3" xfId="5600"/>
    <cellStyle name="Comma 3 2 7 3 2" xfId="17220"/>
    <cellStyle name="Comma 3 2 7 3 2 2" xfId="30579"/>
    <cellStyle name="Comma 3 2 7 3 3" xfId="22167"/>
    <cellStyle name="Comma 3 2 7 4" xfId="9777"/>
    <cellStyle name="Comma 3 2 7 5" xfId="22169"/>
    <cellStyle name="Comma 3 2 8" xfId="5601"/>
    <cellStyle name="Comma 3 2 8 2" xfId="5602"/>
    <cellStyle name="Comma 3 2 8 2 2" xfId="11333"/>
    <cellStyle name="Comma 3 2 8 2 3" xfId="22165"/>
    <cellStyle name="Comma 3 2 8 3" xfId="5603"/>
    <cellStyle name="Comma 3 2 8 3 2" xfId="16495"/>
    <cellStyle name="Comma 3 2 8 3 2 2" xfId="29902"/>
    <cellStyle name="Comma 3 2 8 3 3" xfId="22164"/>
    <cellStyle name="Comma 3 2 8 4" xfId="9778"/>
    <cellStyle name="Comma 3 2 8 5" xfId="22166"/>
    <cellStyle name="Comma 3 2 9" xfId="5604"/>
    <cellStyle name="Comma 3 2 9 2" xfId="5605"/>
    <cellStyle name="Comma 3 2 9 2 2" xfId="13132"/>
    <cellStyle name="Comma 3 2 9 2 2 2" xfId="26844"/>
    <cellStyle name="Comma 3 2 9 2 3" xfId="22162"/>
    <cellStyle name="Comma 3 2 9 3" xfId="5606"/>
    <cellStyle name="Comma 3 2 9 3 2" xfId="15601"/>
    <cellStyle name="Comma 3 2 9 3 3" xfId="22161"/>
    <cellStyle name="Comma 3 2 9 4" xfId="10540"/>
    <cellStyle name="Comma 3 2 9 4 2" xfId="24482"/>
    <cellStyle name="Comma 3 2 9 5" xfId="22163"/>
    <cellStyle name="Comma 3 20" xfId="5607"/>
    <cellStyle name="Comma 3 20 2" xfId="5608"/>
    <cellStyle name="Comma 3 20 2 2" xfId="11334"/>
    <cellStyle name="Comma 3 20 2 3" xfId="22159"/>
    <cellStyle name="Comma 3 20 3" xfId="9779"/>
    <cellStyle name="Comma 3 20 4" xfId="22160"/>
    <cellStyle name="Comma 3 21" xfId="5609"/>
    <cellStyle name="Comma 3 21 2" xfId="5610"/>
    <cellStyle name="Comma 3 21 2 2" xfId="11722"/>
    <cellStyle name="Comma 3 21 2 2 2" xfId="25442"/>
    <cellStyle name="Comma 3 21 2 3" xfId="22157"/>
    <cellStyle name="Comma 3 21 3" xfId="5611"/>
    <cellStyle name="Comma 3 21 3 2" xfId="13133"/>
    <cellStyle name="Comma 3 21 3 2 2" xfId="26845"/>
    <cellStyle name="Comma 3 21 3 3" xfId="22156"/>
    <cellStyle name="Comma 3 21 4" xfId="5612"/>
    <cellStyle name="Comma 3 21 4 2" xfId="15602"/>
    <cellStyle name="Comma 3 21 4 3" xfId="22155"/>
    <cellStyle name="Comma 3 21 5" xfId="10487"/>
    <cellStyle name="Comma 3 21 5 2" xfId="24446"/>
    <cellStyle name="Comma 3 21 6" xfId="22158"/>
    <cellStyle name="Comma 3 22" xfId="5613"/>
    <cellStyle name="Comma 3 22 2" xfId="5614"/>
    <cellStyle name="Comma 3 22 2 2" xfId="13134"/>
    <cellStyle name="Comma 3 22 2 2 2" xfId="26846"/>
    <cellStyle name="Comma 3 22 2 3" xfId="22153"/>
    <cellStyle name="Comma 3 22 3" xfId="5615"/>
    <cellStyle name="Comma 3 22 3 2" xfId="15603"/>
    <cellStyle name="Comma 3 22 3 3" xfId="22152"/>
    <cellStyle name="Comma 3 22 4" xfId="10517"/>
    <cellStyle name="Comma 3 22 4 2" xfId="24465"/>
    <cellStyle name="Comma 3 22 5" xfId="22154"/>
    <cellStyle name="Comma 3 23" xfId="5616"/>
    <cellStyle name="Comma 3 23 2" xfId="11314"/>
    <cellStyle name="Comma 3 23 3" xfId="22151"/>
    <cellStyle name="Comma 3 24" xfId="5617"/>
    <cellStyle name="Comma 3 24 2" xfId="11760"/>
    <cellStyle name="Comma 3 24 2 2" xfId="25475"/>
    <cellStyle name="Comma 3 24 3" xfId="22150"/>
    <cellStyle name="Comma 3 25" xfId="5618"/>
    <cellStyle name="Comma 3 25 2" xfId="13390"/>
    <cellStyle name="Comma 3 25 2 2" xfId="26939"/>
    <cellStyle name="Comma 3 25 3" xfId="22149"/>
    <cellStyle name="Comma 3 26" xfId="5619"/>
    <cellStyle name="Comma 3 26 2" xfId="13971"/>
    <cellStyle name="Comma 3 26 2 2" xfId="27520"/>
    <cellStyle name="Comma 3 26 3" xfId="22148"/>
    <cellStyle name="Comma 3 27" xfId="5620"/>
    <cellStyle name="Comma 3 27 2" xfId="15829"/>
    <cellStyle name="Comma 3 27 2 2" xfId="29236"/>
    <cellStyle name="Comma 3 27 3" xfId="22147"/>
    <cellStyle name="Comma 3 28" xfId="5621"/>
    <cellStyle name="Comma 3 28 2" xfId="15857"/>
    <cellStyle name="Comma 3 28 2 2" xfId="29264"/>
    <cellStyle name="Comma 3 28 3" xfId="22146"/>
    <cellStyle name="Comma 3 29" xfId="8659"/>
    <cellStyle name="Comma 3 29 2" xfId="9746"/>
    <cellStyle name="Comma 3 3" xfId="5622"/>
    <cellStyle name="Comma 3 3 10" xfId="5623"/>
    <cellStyle name="Comma 3 3 10 2" xfId="17331"/>
    <cellStyle name="Comma 3 3 10 3" xfId="22144"/>
    <cellStyle name="Comma 3 3 11" xfId="8739"/>
    <cellStyle name="Comma 3 3 12" xfId="9780"/>
    <cellStyle name="Comma 3 3 13" xfId="22145"/>
    <cellStyle name="Comma 3 3 2" xfId="5624"/>
    <cellStyle name="Comma 3 3 2 2" xfId="5625"/>
    <cellStyle name="Comma 3 3 2 2 2" xfId="5626"/>
    <cellStyle name="Comma 3 3 2 2 2 2" xfId="5627"/>
    <cellStyle name="Comma 3 3 2 2 2 2 2" xfId="11335"/>
    <cellStyle name="Comma 3 3 2 2 2 2 3" xfId="22140"/>
    <cellStyle name="Comma 3 3 2 2 2 3" xfId="5628"/>
    <cellStyle name="Comma 3 3 2 2 2 3 2" xfId="16950"/>
    <cellStyle name="Comma 3 3 2 2 2 3 2 2" xfId="30357"/>
    <cellStyle name="Comma 3 3 2 2 2 3 3" xfId="22139"/>
    <cellStyle name="Comma 3 3 2 2 2 4" xfId="9783"/>
    <cellStyle name="Comma 3 3 2 2 2 5" xfId="22141"/>
    <cellStyle name="Comma 3 3 2 2 3" xfId="5629"/>
    <cellStyle name="Comma 3 3 2 2 3 2" xfId="5630"/>
    <cellStyle name="Comma 3 3 2 2 3 2 2" xfId="13135"/>
    <cellStyle name="Comma 3 3 2 2 3 2 3" xfId="22137"/>
    <cellStyle name="Comma 3 3 2 2 3 3" xfId="12338"/>
    <cellStyle name="Comma 3 3 2 2 3 3 2" xfId="26050"/>
    <cellStyle name="Comma 3 3 2 2 3 4" xfId="22138"/>
    <cellStyle name="Comma 3 3 2 2 4" xfId="5631"/>
    <cellStyle name="Comma 3 3 2 2 4 2" xfId="5632"/>
    <cellStyle name="Comma 3 3 2 2 4 2 2" xfId="15604"/>
    <cellStyle name="Comma 3 3 2 2 4 2 3" xfId="22135"/>
    <cellStyle name="Comma 3 3 2 2 4 3" xfId="13902"/>
    <cellStyle name="Comma 3 3 2 2 4 3 2" xfId="27451"/>
    <cellStyle name="Comma 3 3 2 2 4 4" xfId="22136"/>
    <cellStyle name="Comma 3 3 2 2 5" xfId="5633"/>
    <cellStyle name="Comma 3 3 2 2 5 2" xfId="14483"/>
    <cellStyle name="Comma 3 3 2 2 5 2 2" xfId="28032"/>
    <cellStyle name="Comma 3 3 2 2 5 3" xfId="22134"/>
    <cellStyle name="Comma 3 3 2 2 6" xfId="5634"/>
    <cellStyle name="Comma 3 3 2 2 6 2" xfId="16369"/>
    <cellStyle name="Comma 3 3 2 2 6 2 2" xfId="29776"/>
    <cellStyle name="Comma 3 3 2 2 6 3" xfId="22133"/>
    <cellStyle name="Comma 3 3 2 2 7" xfId="9782"/>
    <cellStyle name="Comma 3 3 2 2 8" xfId="22142"/>
    <cellStyle name="Comma 3 3 2 3" xfId="5635"/>
    <cellStyle name="Comma 3 3 2 3 2" xfId="5636"/>
    <cellStyle name="Comma 3 3 2 3 2 2" xfId="11336"/>
    <cellStyle name="Comma 3 3 2 3 2 3" xfId="22131"/>
    <cellStyle name="Comma 3 3 2 3 3" xfId="5637"/>
    <cellStyle name="Comma 3 3 2 3 3 2" xfId="16661"/>
    <cellStyle name="Comma 3 3 2 3 3 2 2" xfId="30068"/>
    <cellStyle name="Comma 3 3 2 3 3 3" xfId="22130"/>
    <cellStyle name="Comma 3 3 2 3 4" xfId="9784"/>
    <cellStyle name="Comma 3 3 2 3 5" xfId="22132"/>
    <cellStyle name="Comma 3 3 2 4" xfId="5638"/>
    <cellStyle name="Comma 3 3 2 4 2" xfId="5639"/>
    <cellStyle name="Comma 3 3 2 4 2 2" xfId="13136"/>
    <cellStyle name="Comma 3 3 2 4 2 3" xfId="22128"/>
    <cellStyle name="Comma 3 3 2 4 3" xfId="12038"/>
    <cellStyle name="Comma 3 3 2 4 3 2" xfId="25753"/>
    <cellStyle name="Comma 3 3 2 4 4" xfId="22129"/>
    <cellStyle name="Comma 3 3 2 5" xfId="5640"/>
    <cellStyle name="Comma 3 3 2 5 2" xfId="5641"/>
    <cellStyle name="Comma 3 3 2 5 2 2" xfId="15605"/>
    <cellStyle name="Comma 3 3 2 5 2 3" xfId="22126"/>
    <cellStyle name="Comma 3 3 2 5 3" xfId="13613"/>
    <cellStyle name="Comma 3 3 2 5 3 2" xfId="27162"/>
    <cellStyle name="Comma 3 3 2 5 4" xfId="22127"/>
    <cellStyle name="Comma 3 3 2 6" xfId="5642"/>
    <cellStyle name="Comma 3 3 2 6 2" xfId="14194"/>
    <cellStyle name="Comma 3 3 2 6 2 2" xfId="27743"/>
    <cellStyle name="Comma 3 3 2 6 3" xfId="22125"/>
    <cellStyle name="Comma 3 3 2 7" xfId="5643"/>
    <cellStyle name="Comma 3 3 2 7 2" xfId="16080"/>
    <cellStyle name="Comma 3 3 2 7 2 2" xfId="29487"/>
    <cellStyle name="Comma 3 3 2 7 3" xfId="22124"/>
    <cellStyle name="Comma 3 3 2 8" xfId="9781"/>
    <cellStyle name="Comma 3 3 2 9" xfId="22143"/>
    <cellStyle name="Comma 3 3 3" xfId="5644"/>
    <cellStyle name="Comma 3 3 3 2" xfId="5645"/>
    <cellStyle name="Comma 3 3 3 2 2" xfId="5646"/>
    <cellStyle name="Comma 3 3 3 2 2 2" xfId="11337"/>
    <cellStyle name="Comma 3 3 3 2 2 3" xfId="22121"/>
    <cellStyle name="Comma 3 3 3 2 3" xfId="5647"/>
    <cellStyle name="Comma 3 3 3 2 3 2" xfId="16807"/>
    <cellStyle name="Comma 3 3 3 2 3 2 2" xfId="30214"/>
    <cellStyle name="Comma 3 3 3 2 3 3" xfId="22120"/>
    <cellStyle name="Comma 3 3 3 2 4" xfId="9786"/>
    <cellStyle name="Comma 3 3 3 2 5" xfId="22122"/>
    <cellStyle name="Comma 3 3 3 3" xfId="5648"/>
    <cellStyle name="Comma 3 3 3 3 2" xfId="5649"/>
    <cellStyle name="Comma 3 3 3 3 2 2" xfId="13137"/>
    <cellStyle name="Comma 3 3 3 3 2 3" xfId="22118"/>
    <cellStyle name="Comma 3 3 3 3 3" xfId="12195"/>
    <cellStyle name="Comma 3 3 3 3 3 2" xfId="25907"/>
    <cellStyle name="Comma 3 3 3 3 4" xfId="22119"/>
    <cellStyle name="Comma 3 3 3 4" xfId="5650"/>
    <cellStyle name="Comma 3 3 3 4 2" xfId="5651"/>
    <cellStyle name="Comma 3 3 3 4 2 2" xfId="15606"/>
    <cellStyle name="Comma 3 3 3 4 2 3" xfId="22116"/>
    <cellStyle name="Comma 3 3 3 4 3" xfId="13759"/>
    <cellStyle name="Comma 3 3 3 4 3 2" xfId="27308"/>
    <cellStyle name="Comma 3 3 3 4 4" xfId="22117"/>
    <cellStyle name="Comma 3 3 3 5" xfId="5652"/>
    <cellStyle name="Comma 3 3 3 5 2" xfId="14340"/>
    <cellStyle name="Comma 3 3 3 5 2 2" xfId="27889"/>
    <cellStyle name="Comma 3 3 3 5 3" xfId="22115"/>
    <cellStyle name="Comma 3 3 3 6" xfId="5653"/>
    <cellStyle name="Comma 3 3 3 6 2" xfId="16226"/>
    <cellStyle name="Comma 3 3 3 6 2 2" xfId="29633"/>
    <cellStyle name="Comma 3 3 3 6 3" xfId="22114"/>
    <cellStyle name="Comma 3 3 3 7" xfId="9785"/>
    <cellStyle name="Comma 3 3 3 8" xfId="22123"/>
    <cellStyle name="Comma 3 3 4" xfId="5654"/>
    <cellStyle name="Comma 3 3 4 2" xfId="5655"/>
    <cellStyle name="Comma 3 3 4 2 2" xfId="13138"/>
    <cellStyle name="Comma 3 3 4 2 3" xfId="22112"/>
    <cellStyle name="Comma 3 3 4 3" xfId="5656"/>
    <cellStyle name="Comma 3 3 4 3 2" xfId="17154"/>
    <cellStyle name="Comma 3 3 4 3 2 2" xfId="30513"/>
    <cellStyle name="Comma 3 3 4 3 3" xfId="22111"/>
    <cellStyle name="Comma 3 3 4 4" xfId="9787"/>
    <cellStyle name="Comma 3 3 4 5" xfId="22113"/>
    <cellStyle name="Comma 3 3 5" xfId="5657"/>
    <cellStyle name="Comma 3 3 5 2" xfId="5658"/>
    <cellStyle name="Comma 3 3 5 2 2" xfId="11338"/>
    <cellStyle name="Comma 3 3 5 2 3" xfId="22109"/>
    <cellStyle name="Comma 3 3 5 3" xfId="5659"/>
    <cellStyle name="Comma 3 3 5 3 2" xfId="17243"/>
    <cellStyle name="Comma 3 3 5 3 2 2" xfId="30602"/>
    <cellStyle name="Comma 3 3 5 3 3" xfId="22108"/>
    <cellStyle name="Comma 3 3 5 4" xfId="9788"/>
    <cellStyle name="Comma 3 3 5 5" xfId="22110"/>
    <cellStyle name="Comma 3 3 6" xfId="5660"/>
    <cellStyle name="Comma 3 3 6 2" xfId="5661"/>
    <cellStyle name="Comma 3 3 6 2 2" xfId="15607"/>
    <cellStyle name="Comma 3 3 6 2 3" xfId="22106"/>
    <cellStyle name="Comma 3 3 6 3" xfId="5662"/>
    <cellStyle name="Comma 3 3 6 3 2" xfId="16518"/>
    <cellStyle name="Comma 3 3 6 3 2 2" xfId="29925"/>
    <cellStyle name="Comma 3 3 6 3 3" xfId="22105"/>
    <cellStyle name="Comma 3 3 6 4" xfId="11891"/>
    <cellStyle name="Comma 3 3 6 4 2" xfId="25606"/>
    <cellStyle name="Comma 3 3 6 5" xfId="22107"/>
    <cellStyle name="Comma 3 3 7" xfId="5663"/>
    <cellStyle name="Comma 3 3 7 2" xfId="13470"/>
    <cellStyle name="Comma 3 3 7 2 2" xfId="27019"/>
    <cellStyle name="Comma 3 3 7 3" xfId="22104"/>
    <cellStyle name="Comma 3 3 8" xfId="5664"/>
    <cellStyle name="Comma 3 3 8 2" xfId="14051"/>
    <cellStyle name="Comma 3 3 8 2 2" xfId="27600"/>
    <cellStyle name="Comma 3 3 8 3" xfId="22103"/>
    <cellStyle name="Comma 3 3 9" xfId="5665"/>
    <cellStyle name="Comma 3 3 9 2" xfId="15937"/>
    <cellStyle name="Comma 3 3 9 2 2" xfId="29344"/>
    <cellStyle name="Comma 3 3 9 3" xfId="22102"/>
    <cellStyle name="Comma 3 30" xfId="17302"/>
    <cellStyle name="Comma 3 31" xfId="22286"/>
    <cellStyle name="Comma 3 4" xfId="5666"/>
    <cellStyle name="Comma 3 4 10" xfId="9789"/>
    <cellStyle name="Comma 3 4 11" xfId="22101"/>
    <cellStyle name="Comma 3 4 2" xfId="5667"/>
    <cellStyle name="Comma 3 4 2 2" xfId="5668"/>
    <cellStyle name="Comma 3 4 2 2 2" xfId="5669"/>
    <cellStyle name="Comma 3 4 2 2 2 2" xfId="5670"/>
    <cellStyle name="Comma 3 4 2 2 2 2 2" xfId="11339"/>
    <cellStyle name="Comma 3 4 2 2 2 2 3" xfId="22097"/>
    <cellStyle name="Comma 3 4 2 2 2 3" xfId="5671"/>
    <cellStyle name="Comma 3 4 2 2 2 3 2" xfId="16904"/>
    <cellStyle name="Comma 3 4 2 2 2 3 2 2" xfId="30311"/>
    <cellStyle name="Comma 3 4 2 2 2 3 3" xfId="22096"/>
    <cellStyle name="Comma 3 4 2 2 2 4" xfId="9792"/>
    <cellStyle name="Comma 3 4 2 2 2 5" xfId="22098"/>
    <cellStyle name="Comma 3 4 2 2 3" xfId="5672"/>
    <cellStyle name="Comma 3 4 2 2 3 2" xfId="5673"/>
    <cellStyle name="Comma 3 4 2 2 3 2 2" xfId="13139"/>
    <cellStyle name="Comma 3 4 2 2 3 2 3" xfId="22094"/>
    <cellStyle name="Comma 3 4 2 2 3 3" xfId="12292"/>
    <cellStyle name="Comma 3 4 2 2 3 3 2" xfId="26004"/>
    <cellStyle name="Comma 3 4 2 2 3 4" xfId="22095"/>
    <cellStyle name="Comma 3 4 2 2 4" xfId="5674"/>
    <cellStyle name="Comma 3 4 2 2 4 2" xfId="5675"/>
    <cellStyle name="Comma 3 4 2 2 4 2 2" xfId="15608"/>
    <cellStyle name="Comma 3 4 2 2 4 2 3" xfId="22092"/>
    <cellStyle name="Comma 3 4 2 2 4 3" xfId="13856"/>
    <cellStyle name="Comma 3 4 2 2 4 3 2" xfId="27405"/>
    <cellStyle name="Comma 3 4 2 2 4 4" xfId="22093"/>
    <cellStyle name="Comma 3 4 2 2 5" xfId="5676"/>
    <cellStyle name="Comma 3 4 2 2 5 2" xfId="14437"/>
    <cellStyle name="Comma 3 4 2 2 5 2 2" xfId="27986"/>
    <cellStyle name="Comma 3 4 2 2 5 3" xfId="22091"/>
    <cellStyle name="Comma 3 4 2 2 6" xfId="5677"/>
    <cellStyle name="Comma 3 4 2 2 6 2" xfId="16323"/>
    <cellStyle name="Comma 3 4 2 2 6 2 2" xfId="29730"/>
    <cellStyle name="Comma 3 4 2 2 6 3" xfId="22090"/>
    <cellStyle name="Comma 3 4 2 2 7" xfId="9791"/>
    <cellStyle name="Comma 3 4 2 2 8" xfId="22099"/>
    <cellStyle name="Comma 3 4 2 3" xfId="5678"/>
    <cellStyle name="Comma 3 4 2 3 2" xfId="5679"/>
    <cellStyle name="Comma 3 4 2 3 2 2" xfId="11340"/>
    <cellStyle name="Comma 3 4 2 3 2 3" xfId="22088"/>
    <cellStyle name="Comma 3 4 2 3 3" xfId="5680"/>
    <cellStyle name="Comma 3 4 2 3 3 2" xfId="16615"/>
    <cellStyle name="Comma 3 4 2 3 3 2 2" xfId="30022"/>
    <cellStyle name="Comma 3 4 2 3 3 3" xfId="22087"/>
    <cellStyle name="Comma 3 4 2 3 4" xfId="9793"/>
    <cellStyle name="Comma 3 4 2 3 5" xfId="22089"/>
    <cellStyle name="Comma 3 4 2 4" xfId="5681"/>
    <cellStyle name="Comma 3 4 2 4 2" xfId="5682"/>
    <cellStyle name="Comma 3 4 2 4 2 2" xfId="13140"/>
    <cellStyle name="Comma 3 4 2 4 2 3" xfId="22085"/>
    <cellStyle name="Comma 3 4 2 4 3" xfId="11992"/>
    <cellStyle name="Comma 3 4 2 4 3 2" xfId="25707"/>
    <cellStyle name="Comma 3 4 2 4 4" xfId="22086"/>
    <cellStyle name="Comma 3 4 2 5" xfId="5683"/>
    <cellStyle name="Comma 3 4 2 5 2" xfId="5684"/>
    <cellStyle name="Comma 3 4 2 5 2 2" xfId="15609"/>
    <cellStyle name="Comma 3 4 2 5 2 3" xfId="22083"/>
    <cellStyle name="Comma 3 4 2 5 3" xfId="13567"/>
    <cellStyle name="Comma 3 4 2 5 3 2" xfId="27116"/>
    <cellStyle name="Comma 3 4 2 5 4" xfId="22084"/>
    <cellStyle name="Comma 3 4 2 6" xfId="5685"/>
    <cellStyle name="Comma 3 4 2 6 2" xfId="14148"/>
    <cellStyle name="Comma 3 4 2 6 2 2" xfId="27697"/>
    <cellStyle name="Comma 3 4 2 6 3" xfId="22082"/>
    <cellStyle name="Comma 3 4 2 7" xfId="5686"/>
    <cellStyle name="Comma 3 4 2 7 2" xfId="16034"/>
    <cellStyle name="Comma 3 4 2 7 2 2" xfId="29441"/>
    <cellStyle name="Comma 3 4 2 7 3" xfId="22081"/>
    <cellStyle name="Comma 3 4 2 8" xfId="9790"/>
    <cellStyle name="Comma 3 4 2 9" xfId="22100"/>
    <cellStyle name="Comma 3 4 3" xfId="5687"/>
    <cellStyle name="Comma 3 4 3 2" xfId="5688"/>
    <cellStyle name="Comma 3 4 3 2 2" xfId="5689"/>
    <cellStyle name="Comma 3 4 3 2 2 2" xfId="11341"/>
    <cellStyle name="Comma 3 4 3 2 2 3" xfId="22078"/>
    <cellStyle name="Comma 3 4 3 2 3" xfId="5690"/>
    <cellStyle name="Comma 3 4 3 2 3 2" xfId="16764"/>
    <cellStyle name="Comma 3 4 3 2 3 2 2" xfId="30171"/>
    <cellStyle name="Comma 3 4 3 2 3 3" xfId="22077"/>
    <cellStyle name="Comma 3 4 3 2 4" xfId="9795"/>
    <cellStyle name="Comma 3 4 3 2 5" xfId="22079"/>
    <cellStyle name="Comma 3 4 3 3" xfId="5691"/>
    <cellStyle name="Comma 3 4 3 3 2" xfId="5692"/>
    <cellStyle name="Comma 3 4 3 3 2 2" xfId="13141"/>
    <cellStyle name="Comma 3 4 3 3 2 3" xfId="22075"/>
    <cellStyle name="Comma 3 4 3 3 3" xfId="12152"/>
    <cellStyle name="Comma 3 4 3 3 3 2" xfId="25864"/>
    <cellStyle name="Comma 3 4 3 3 4" xfId="22076"/>
    <cellStyle name="Comma 3 4 3 4" xfId="5693"/>
    <cellStyle name="Comma 3 4 3 4 2" xfId="5694"/>
    <cellStyle name="Comma 3 4 3 4 2 2" xfId="15610"/>
    <cellStyle name="Comma 3 4 3 4 2 3" xfId="22073"/>
    <cellStyle name="Comma 3 4 3 4 3" xfId="13716"/>
    <cellStyle name="Comma 3 4 3 4 3 2" xfId="27265"/>
    <cellStyle name="Comma 3 4 3 4 4" xfId="22074"/>
    <cellStyle name="Comma 3 4 3 5" xfId="5695"/>
    <cellStyle name="Comma 3 4 3 5 2" xfId="14297"/>
    <cellStyle name="Comma 3 4 3 5 2 2" xfId="27846"/>
    <cellStyle name="Comma 3 4 3 5 3" xfId="22072"/>
    <cellStyle name="Comma 3 4 3 6" xfId="5696"/>
    <cellStyle name="Comma 3 4 3 6 2" xfId="16183"/>
    <cellStyle name="Comma 3 4 3 6 2 2" xfId="29590"/>
    <cellStyle name="Comma 3 4 3 6 3" xfId="22071"/>
    <cellStyle name="Comma 3 4 3 7" xfId="9794"/>
    <cellStyle name="Comma 3 4 3 8" xfId="22080"/>
    <cellStyle name="Comma 3 4 4" xfId="5697"/>
    <cellStyle name="Comma 3 4 4 2" xfId="5698"/>
    <cellStyle name="Comma 3 4 4 2 2" xfId="16472"/>
    <cellStyle name="Comma 3 4 4 2 2 2" xfId="29879"/>
    <cellStyle name="Comma 3 4 4 2 3" xfId="22069"/>
    <cellStyle name="Comma 3 4 4 3" xfId="9796"/>
    <cellStyle name="Comma 3 4 4 4" xfId="22070"/>
    <cellStyle name="Comma 3 4 5" xfId="5699"/>
    <cellStyle name="Comma 3 4 5 2" xfId="5700"/>
    <cellStyle name="Comma 3 4 5 2 2" xfId="11342"/>
    <cellStyle name="Comma 3 4 5 2 3" xfId="22067"/>
    <cellStyle name="Comma 3 4 5 3" xfId="9797"/>
    <cellStyle name="Comma 3 4 5 4" xfId="22068"/>
    <cellStyle name="Comma 3 4 6" xfId="5701"/>
    <cellStyle name="Comma 3 4 6 2" xfId="5702"/>
    <cellStyle name="Comma 3 4 6 2 2" xfId="13142"/>
    <cellStyle name="Comma 3 4 6 2 3" xfId="22065"/>
    <cellStyle name="Comma 3 4 6 3" xfId="11823"/>
    <cellStyle name="Comma 3 4 6 3 2" xfId="25538"/>
    <cellStyle name="Comma 3 4 6 4" xfId="22066"/>
    <cellStyle name="Comma 3 4 7" xfId="5703"/>
    <cellStyle name="Comma 3 4 7 2" xfId="5704"/>
    <cellStyle name="Comma 3 4 7 2 2" xfId="15611"/>
    <cellStyle name="Comma 3 4 7 2 3" xfId="22063"/>
    <cellStyle name="Comma 3 4 7 3" xfId="13424"/>
    <cellStyle name="Comma 3 4 7 3 2" xfId="26973"/>
    <cellStyle name="Comma 3 4 7 4" xfId="22064"/>
    <cellStyle name="Comma 3 4 8" xfId="5705"/>
    <cellStyle name="Comma 3 4 8 2" xfId="14005"/>
    <cellStyle name="Comma 3 4 8 2 2" xfId="27554"/>
    <cellStyle name="Comma 3 4 8 3" xfId="22062"/>
    <cellStyle name="Comma 3 4 9" xfId="5706"/>
    <cellStyle name="Comma 3 4 9 2" xfId="15891"/>
    <cellStyle name="Comma 3 4 9 2 2" xfId="29298"/>
    <cellStyle name="Comma 3 4 9 3" xfId="22061"/>
    <cellStyle name="Comma 3 5" xfId="5707"/>
    <cellStyle name="Comma 3 5 10" xfId="9798"/>
    <cellStyle name="Comma 3 5 11" xfId="22060"/>
    <cellStyle name="Comma 3 5 2" xfId="5708"/>
    <cellStyle name="Comma 3 5 2 2" xfId="5709"/>
    <cellStyle name="Comma 3 5 2 2 2" xfId="5710"/>
    <cellStyle name="Comma 3 5 2 2 2 2" xfId="5711"/>
    <cellStyle name="Comma 3 5 2 2 2 2 2" xfId="11343"/>
    <cellStyle name="Comma 3 5 2 2 2 2 3" xfId="22056"/>
    <cellStyle name="Comma 3 5 2 2 2 3" xfId="5712"/>
    <cellStyle name="Comma 3 5 2 2 2 3 2" xfId="16887"/>
    <cellStyle name="Comma 3 5 2 2 2 3 2 2" xfId="30294"/>
    <cellStyle name="Comma 3 5 2 2 2 3 3" xfId="22055"/>
    <cellStyle name="Comma 3 5 2 2 2 4" xfId="9801"/>
    <cellStyle name="Comma 3 5 2 2 2 5" xfId="22057"/>
    <cellStyle name="Comma 3 5 2 2 3" xfId="5713"/>
    <cellStyle name="Comma 3 5 2 2 3 2" xfId="5714"/>
    <cellStyle name="Comma 3 5 2 2 3 2 2" xfId="13143"/>
    <cellStyle name="Comma 3 5 2 2 3 2 3" xfId="22053"/>
    <cellStyle name="Comma 3 5 2 2 3 3" xfId="12275"/>
    <cellStyle name="Comma 3 5 2 2 3 3 2" xfId="25987"/>
    <cellStyle name="Comma 3 5 2 2 3 4" xfId="22054"/>
    <cellStyle name="Comma 3 5 2 2 4" xfId="5715"/>
    <cellStyle name="Comma 3 5 2 2 4 2" xfId="5716"/>
    <cellStyle name="Comma 3 5 2 2 4 2 2" xfId="15612"/>
    <cellStyle name="Comma 3 5 2 2 4 2 3" xfId="22051"/>
    <cellStyle name="Comma 3 5 2 2 4 3" xfId="13839"/>
    <cellStyle name="Comma 3 5 2 2 4 3 2" xfId="27388"/>
    <cellStyle name="Comma 3 5 2 2 4 4" xfId="22052"/>
    <cellStyle name="Comma 3 5 2 2 5" xfId="5717"/>
    <cellStyle name="Comma 3 5 2 2 5 2" xfId="14420"/>
    <cellStyle name="Comma 3 5 2 2 5 2 2" xfId="27969"/>
    <cellStyle name="Comma 3 5 2 2 5 3" xfId="22050"/>
    <cellStyle name="Comma 3 5 2 2 6" xfId="5718"/>
    <cellStyle name="Comma 3 5 2 2 6 2" xfId="16306"/>
    <cellStyle name="Comma 3 5 2 2 6 2 2" xfId="29713"/>
    <cellStyle name="Comma 3 5 2 2 6 3" xfId="22049"/>
    <cellStyle name="Comma 3 5 2 2 7" xfId="9800"/>
    <cellStyle name="Comma 3 5 2 2 8" xfId="22058"/>
    <cellStyle name="Comma 3 5 2 3" xfId="5719"/>
    <cellStyle name="Comma 3 5 2 3 2" xfId="5720"/>
    <cellStyle name="Comma 3 5 2 3 2 2" xfId="11344"/>
    <cellStyle name="Comma 3 5 2 3 2 3" xfId="22047"/>
    <cellStyle name="Comma 3 5 2 3 3" xfId="5721"/>
    <cellStyle name="Comma 3 5 2 3 3 2" xfId="16598"/>
    <cellStyle name="Comma 3 5 2 3 3 2 2" xfId="30005"/>
    <cellStyle name="Comma 3 5 2 3 3 3" xfId="22046"/>
    <cellStyle name="Comma 3 5 2 3 4" xfId="9802"/>
    <cellStyle name="Comma 3 5 2 3 5" xfId="22048"/>
    <cellStyle name="Comma 3 5 2 4" xfId="5722"/>
    <cellStyle name="Comma 3 5 2 4 2" xfId="5723"/>
    <cellStyle name="Comma 3 5 2 4 2 2" xfId="13144"/>
    <cellStyle name="Comma 3 5 2 4 2 3" xfId="22044"/>
    <cellStyle name="Comma 3 5 2 4 3" xfId="11975"/>
    <cellStyle name="Comma 3 5 2 4 3 2" xfId="25690"/>
    <cellStyle name="Comma 3 5 2 4 4" xfId="22045"/>
    <cellStyle name="Comma 3 5 2 5" xfId="5724"/>
    <cellStyle name="Comma 3 5 2 5 2" xfId="5725"/>
    <cellStyle name="Comma 3 5 2 5 2 2" xfId="15613"/>
    <cellStyle name="Comma 3 5 2 5 2 3" xfId="22042"/>
    <cellStyle name="Comma 3 5 2 5 3" xfId="13550"/>
    <cellStyle name="Comma 3 5 2 5 3 2" xfId="27099"/>
    <cellStyle name="Comma 3 5 2 5 4" xfId="22043"/>
    <cellStyle name="Comma 3 5 2 6" xfId="5726"/>
    <cellStyle name="Comma 3 5 2 6 2" xfId="14131"/>
    <cellStyle name="Comma 3 5 2 6 2 2" xfId="27680"/>
    <cellStyle name="Comma 3 5 2 6 3" xfId="22041"/>
    <cellStyle name="Comma 3 5 2 7" xfId="5727"/>
    <cellStyle name="Comma 3 5 2 7 2" xfId="16017"/>
    <cellStyle name="Comma 3 5 2 7 2 2" xfId="29424"/>
    <cellStyle name="Comma 3 5 2 7 3" xfId="22040"/>
    <cellStyle name="Comma 3 5 2 8" xfId="9799"/>
    <cellStyle name="Comma 3 5 2 9" xfId="22059"/>
    <cellStyle name="Comma 3 5 3" xfId="5728"/>
    <cellStyle name="Comma 3 5 3 2" xfId="5729"/>
    <cellStyle name="Comma 3 5 3 2 2" xfId="5730"/>
    <cellStyle name="Comma 3 5 3 2 2 2" xfId="11345"/>
    <cellStyle name="Comma 3 5 3 2 2 3" xfId="22037"/>
    <cellStyle name="Comma 3 5 3 2 3" xfId="5731"/>
    <cellStyle name="Comma 3 5 3 2 3 2" xfId="16747"/>
    <cellStyle name="Comma 3 5 3 2 3 2 2" xfId="30154"/>
    <cellStyle name="Comma 3 5 3 2 3 3" xfId="22036"/>
    <cellStyle name="Comma 3 5 3 2 4" xfId="9804"/>
    <cellStyle name="Comma 3 5 3 2 5" xfId="22038"/>
    <cellStyle name="Comma 3 5 3 3" xfId="5732"/>
    <cellStyle name="Comma 3 5 3 3 2" xfId="5733"/>
    <cellStyle name="Comma 3 5 3 3 2 2" xfId="13145"/>
    <cellStyle name="Comma 3 5 3 3 2 3" xfId="22034"/>
    <cellStyle name="Comma 3 5 3 3 3" xfId="12135"/>
    <cellStyle name="Comma 3 5 3 3 3 2" xfId="25847"/>
    <cellStyle name="Comma 3 5 3 3 4" xfId="22035"/>
    <cellStyle name="Comma 3 5 3 4" xfId="5734"/>
    <cellStyle name="Comma 3 5 3 4 2" xfId="5735"/>
    <cellStyle name="Comma 3 5 3 4 2 2" xfId="15614"/>
    <cellStyle name="Comma 3 5 3 4 2 3" xfId="22032"/>
    <cellStyle name="Comma 3 5 3 4 3" xfId="13699"/>
    <cellStyle name="Comma 3 5 3 4 3 2" xfId="27248"/>
    <cellStyle name="Comma 3 5 3 4 4" xfId="22033"/>
    <cellStyle name="Comma 3 5 3 5" xfId="5736"/>
    <cellStyle name="Comma 3 5 3 5 2" xfId="14280"/>
    <cellStyle name="Comma 3 5 3 5 2 2" xfId="27829"/>
    <cellStyle name="Comma 3 5 3 5 3" xfId="22031"/>
    <cellStyle name="Comma 3 5 3 6" xfId="5737"/>
    <cellStyle name="Comma 3 5 3 6 2" xfId="16166"/>
    <cellStyle name="Comma 3 5 3 6 2 2" xfId="29573"/>
    <cellStyle name="Comma 3 5 3 6 3" xfId="22030"/>
    <cellStyle name="Comma 3 5 3 7" xfId="9803"/>
    <cellStyle name="Comma 3 5 3 8" xfId="22039"/>
    <cellStyle name="Comma 3 5 4" xfId="5738"/>
    <cellStyle name="Comma 3 5 4 2" xfId="5739"/>
    <cellStyle name="Comma 3 5 4 2 2" xfId="16455"/>
    <cellStyle name="Comma 3 5 4 2 2 2" xfId="29862"/>
    <cellStyle name="Comma 3 5 4 2 3" xfId="22028"/>
    <cellStyle name="Comma 3 5 4 3" xfId="9805"/>
    <cellStyle name="Comma 3 5 4 4" xfId="22029"/>
    <cellStyle name="Comma 3 5 5" xfId="5740"/>
    <cellStyle name="Comma 3 5 5 2" xfId="5741"/>
    <cellStyle name="Comma 3 5 5 2 2" xfId="11346"/>
    <cellStyle name="Comma 3 5 5 2 3" xfId="22026"/>
    <cellStyle name="Comma 3 5 5 3" xfId="9806"/>
    <cellStyle name="Comma 3 5 5 4" xfId="22027"/>
    <cellStyle name="Comma 3 5 6" xfId="5742"/>
    <cellStyle name="Comma 3 5 6 2" xfId="5743"/>
    <cellStyle name="Comma 3 5 6 2 2" xfId="13146"/>
    <cellStyle name="Comma 3 5 6 2 3" xfId="22024"/>
    <cellStyle name="Comma 3 5 6 3" xfId="11806"/>
    <cellStyle name="Comma 3 5 6 3 2" xfId="25521"/>
    <cellStyle name="Comma 3 5 6 4" xfId="22025"/>
    <cellStyle name="Comma 3 5 7" xfId="5744"/>
    <cellStyle name="Comma 3 5 7 2" xfId="5745"/>
    <cellStyle name="Comma 3 5 7 2 2" xfId="15615"/>
    <cellStyle name="Comma 3 5 7 2 3" xfId="22022"/>
    <cellStyle name="Comma 3 5 7 3" xfId="13407"/>
    <cellStyle name="Comma 3 5 7 3 2" xfId="26956"/>
    <cellStyle name="Comma 3 5 7 4" xfId="22023"/>
    <cellStyle name="Comma 3 5 8" xfId="5746"/>
    <cellStyle name="Comma 3 5 8 2" xfId="13988"/>
    <cellStyle name="Comma 3 5 8 2 2" xfId="27537"/>
    <cellStyle name="Comma 3 5 8 3" xfId="22021"/>
    <cellStyle name="Comma 3 5 9" xfId="5747"/>
    <cellStyle name="Comma 3 5 9 2" xfId="15874"/>
    <cellStyle name="Comma 3 5 9 2 2" xfId="29281"/>
    <cellStyle name="Comma 3 5 9 3" xfId="22020"/>
    <cellStyle name="Comma 3 6" xfId="5748"/>
    <cellStyle name="Comma 3 6 10" xfId="9807"/>
    <cellStyle name="Comma 3 6 11" xfId="22019"/>
    <cellStyle name="Comma 3 6 2" xfId="5749"/>
    <cellStyle name="Comma 3 6 2 2" xfId="5750"/>
    <cellStyle name="Comma 3 6 2 2 2" xfId="5751"/>
    <cellStyle name="Comma 3 6 2 2 2 2" xfId="5752"/>
    <cellStyle name="Comma 3 6 2 2 2 2 2" xfId="11347"/>
    <cellStyle name="Comma 3 6 2 2 2 2 3" xfId="22015"/>
    <cellStyle name="Comma 3 6 2 2 2 3" xfId="5753"/>
    <cellStyle name="Comma 3 6 2 2 2 3 2" xfId="16993"/>
    <cellStyle name="Comma 3 6 2 2 2 3 2 2" xfId="30400"/>
    <cellStyle name="Comma 3 6 2 2 2 3 3" xfId="22014"/>
    <cellStyle name="Comma 3 6 2 2 2 4" xfId="9810"/>
    <cellStyle name="Comma 3 6 2 2 2 5" xfId="22016"/>
    <cellStyle name="Comma 3 6 2 2 3" xfId="5754"/>
    <cellStyle name="Comma 3 6 2 2 3 2" xfId="5755"/>
    <cellStyle name="Comma 3 6 2 2 3 2 2" xfId="13147"/>
    <cellStyle name="Comma 3 6 2 2 3 2 3" xfId="22012"/>
    <cellStyle name="Comma 3 6 2 2 3 3" xfId="12381"/>
    <cellStyle name="Comma 3 6 2 2 3 3 2" xfId="26093"/>
    <cellStyle name="Comma 3 6 2 2 3 4" xfId="22013"/>
    <cellStyle name="Comma 3 6 2 2 4" xfId="5756"/>
    <cellStyle name="Comma 3 6 2 2 4 2" xfId="5757"/>
    <cellStyle name="Comma 3 6 2 2 4 2 2" xfId="15616"/>
    <cellStyle name="Comma 3 6 2 2 4 2 3" xfId="22010"/>
    <cellStyle name="Comma 3 6 2 2 4 3" xfId="13945"/>
    <cellStyle name="Comma 3 6 2 2 4 3 2" xfId="27494"/>
    <cellStyle name="Comma 3 6 2 2 4 4" xfId="22011"/>
    <cellStyle name="Comma 3 6 2 2 5" xfId="5758"/>
    <cellStyle name="Comma 3 6 2 2 5 2" xfId="14526"/>
    <cellStyle name="Comma 3 6 2 2 5 2 2" xfId="28075"/>
    <cellStyle name="Comma 3 6 2 2 5 3" xfId="22009"/>
    <cellStyle name="Comma 3 6 2 2 6" xfId="5759"/>
    <cellStyle name="Comma 3 6 2 2 6 2" xfId="16412"/>
    <cellStyle name="Comma 3 6 2 2 6 2 2" xfId="29819"/>
    <cellStyle name="Comma 3 6 2 2 6 3" xfId="22008"/>
    <cellStyle name="Comma 3 6 2 2 7" xfId="9809"/>
    <cellStyle name="Comma 3 6 2 2 8" xfId="22017"/>
    <cellStyle name="Comma 3 6 2 3" xfId="5760"/>
    <cellStyle name="Comma 3 6 2 3 2" xfId="5761"/>
    <cellStyle name="Comma 3 6 2 3 2 2" xfId="11348"/>
    <cellStyle name="Comma 3 6 2 3 2 3" xfId="22006"/>
    <cellStyle name="Comma 3 6 2 3 3" xfId="5762"/>
    <cellStyle name="Comma 3 6 2 3 3 2" xfId="16704"/>
    <cellStyle name="Comma 3 6 2 3 3 2 2" xfId="30111"/>
    <cellStyle name="Comma 3 6 2 3 3 3" xfId="22005"/>
    <cellStyle name="Comma 3 6 2 3 4" xfId="9811"/>
    <cellStyle name="Comma 3 6 2 3 5" xfId="22007"/>
    <cellStyle name="Comma 3 6 2 4" xfId="5763"/>
    <cellStyle name="Comma 3 6 2 4 2" xfId="5764"/>
    <cellStyle name="Comma 3 6 2 4 2 2" xfId="13148"/>
    <cellStyle name="Comma 3 6 2 4 2 3" xfId="22003"/>
    <cellStyle name="Comma 3 6 2 4 3" xfId="12081"/>
    <cellStyle name="Comma 3 6 2 4 3 2" xfId="25796"/>
    <cellStyle name="Comma 3 6 2 4 4" xfId="22004"/>
    <cellStyle name="Comma 3 6 2 5" xfId="5765"/>
    <cellStyle name="Comma 3 6 2 5 2" xfId="5766"/>
    <cellStyle name="Comma 3 6 2 5 2 2" xfId="15617"/>
    <cellStyle name="Comma 3 6 2 5 2 3" xfId="22001"/>
    <cellStyle name="Comma 3 6 2 5 3" xfId="13656"/>
    <cellStyle name="Comma 3 6 2 5 3 2" xfId="27205"/>
    <cellStyle name="Comma 3 6 2 5 4" xfId="22002"/>
    <cellStyle name="Comma 3 6 2 6" xfId="5767"/>
    <cellStyle name="Comma 3 6 2 6 2" xfId="14237"/>
    <cellStyle name="Comma 3 6 2 6 2 2" xfId="27786"/>
    <cellStyle name="Comma 3 6 2 6 3" xfId="22000"/>
    <cellStyle name="Comma 3 6 2 7" xfId="5768"/>
    <cellStyle name="Comma 3 6 2 7 2" xfId="16123"/>
    <cellStyle name="Comma 3 6 2 7 2 2" xfId="29530"/>
    <cellStyle name="Comma 3 6 2 7 3" xfId="21999"/>
    <cellStyle name="Comma 3 6 2 8" xfId="9808"/>
    <cellStyle name="Comma 3 6 2 9" xfId="22018"/>
    <cellStyle name="Comma 3 6 3" xfId="5769"/>
    <cellStyle name="Comma 3 6 3 2" xfId="5770"/>
    <cellStyle name="Comma 3 6 3 2 2" xfId="5771"/>
    <cellStyle name="Comma 3 6 3 2 2 2" xfId="11349"/>
    <cellStyle name="Comma 3 6 3 2 2 3" xfId="21996"/>
    <cellStyle name="Comma 3 6 3 2 3" xfId="5772"/>
    <cellStyle name="Comma 3 6 3 2 3 2" xfId="16850"/>
    <cellStyle name="Comma 3 6 3 2 3 2 2" xfId="30257"/>
    <cellStyle name="Comma 3 6 3 2 3 3" xfId="21995"/>
    <cellStyle name="Comma 3 6 3 2 4" xfId="9813"/>
    <cellStyle name="Comma 3 6 3 2 5" xfId="21997"/>
    <cellStyle name="Comma 3 6 3 3" xfId="5773"/>
    <cellStyle name="Comma 3 6 3 3 2" xfId="5774"/>
    <cellStyle name="Comma 3 6 3 3 2 2" xfId="13149"/>
    <cellStyle name="Comma 3 6 3 3 2 3" xfId="21993"/>
    <cellStyle name="Comma 3 6 3 3 3" xfId="12238"/>
    <cellStyle name="Comma 3 6 3 3 3 2" xfId="25950"/>
    <cellStyle name="Comma 3 6 3 3 4" xfId="21994"/>
    <cellStyle name="Comma 3 6 3 4" xfId="5775"/>
    <cellStyle name="Comma 3 6 3 4 2" xfId="5776"/>
    <cellStyle name="Comma 3 6 3 4 2 2" xfId="15618"/>
    <cellStyle name="Comma 3 6 3 4 2 3" xfId="21991"/>
    <cellStyle name="Comma 3 6 3 4 3" xfId="13802"/>
    <cellStyle name="Comma 3 6 3 4 3 2" xfId="27351"/>
    <cellStyle name="Comma 3 6 3 4 4" xfId="21992"/>
    <cellStyle name="Comma 3 6 3 5" xfId="5777"/>
    <cellStyle name="Comma 3 6 3 5 2" xfId="14383"/>
    <cellStyle name="Comma 3 6 3 5 2 2" xfId="27932"/>
    <cellStyle name="Comma 3 6 3 5 3" xfId="21990"/>
    <cellStyle name="Comma 3 6 3 6" xfId="5778"/>
    <cellStyle name="Comma 3 6 3 6 2" xfId="16269"/>
    <cellStyle name="Comma 3 6 3 6 2 2" xfId="29676"/>
    <cellStyle name="Comma 3 6 3 6 3" xfId="21989"/>
    <cellStyle name="Comma 3 6 3 7" xfId="9812"/>
    <cellStyle name="Comma 3 6 3 8" xfId="21998"/>
    <cellStyle name="Comma 3 6 4" xfId="5779"/>
    <cellStyle name="Comma 3 6 4 2" xfId="5780"/>
    <cellStyle name="Comma 3 6 4 2 2" xfId="16561"/>
    <cellStyle name="Comma 3 6 4 2 2 2" xfId="29968"/>
    <cellStyle name="Comma 3 6 4 2 3" xfId="21987"/>
    <cellStyle name="Comma 3 6 4 3" xfId="9814"/>
    <cellStyle name="Comma 3 6 4 4" xfId="21988"/>
    <cellStyle name="Comma 3 6 5" xfId="5781"/>
    <cellStyle name="Comma 3 6 5 2" xfId="5782"/>
    <cellStyle name="Comma 3 6 5 2 2" xfId="11350"/>
    <cellStyle name="Comma 3 6 5 2 3" xfId="21985"/>
    <cellStyle name="Comma 3 6 5 3" xfId="9815"/>
    <cellStyle name="Comma 3 6 5 4" xfId="21986"/>
    <cellStyle name="Comma 3 6 6" xfId="5783"/>
    <cellStyle name="Comma 3 6 6 2" xfId="5784"/>
    <cellStyle name="Comma 3 6 6 2 2" xfId="13150"/>
    <cellStyle name="Comma 3 6 6 2 3" xfId="21983"/>
    <cellStyle name="Comma 3 6 6 3" xfId="11936"/>
    <cellStyle name="Comma 3 6 6 3 2" xfId="25651"/>
    <cellStyle name="Comma 3 6 6 4" xfId="21984"/>
    <cellStyle name="Comma 3 6 7" xfId="5785"/>
    <cellStyle name="Comma 3 6 7 2" xfId="5786"/>
    <cellStyle name="Comma 3 6 7 2 2" xfId="15619"/>
    <cellStyle name="Comma 3 6 7 2 3" xfId="21981"/>
    <cellStyle name="Comma 3 6 7 3" xfId="13513"/>
    <cellStyle name="Comma 3 6 7 3 2" xfId="27062"/>
    <cellStyle name="Comma 3 6 7 4" xfId="21982"/>
    <cellStyle name="Comma 3 6 8" xfId="5787"/>
    <cellStyle name="Comma 3 6 8 2" xfId="14094"/>
    <cellStyle name="Comma 3 6 8 2 2" xfId="27643"/>
    <cellStyle name="Comma 3 6 8 3" xfId="21980"/>
    <cellStyle name="Comma 3 6 9" xfId="5788"/>
    <cellStyle name="Comma 3 6 9 2" xfId="15980"/>
    <cellStyle name="Comma 3 6 9 2 2" xfId="29387"/>
    <cellStyle name="Comma 3 6 9 3" xfId="21979"/>
    <cellStyle name="Comma 3 7" xfId="5789"/>
    <cellStyle name="Comma 3 7 2" xfId="5790"/>
    <cellStyle name="Comma 3 7 2 2" xfId="5791"/>
    <cellStyle name="Comma 3 7 2 2 2" xfId="5792"/>
    <cellStyle name="Comma 3 7 2 2 2 2" xfId="11351"/>
    <cellStyle name="Comma 3 7 2 2 2 3" xfId="21975"/>
    <cellStyle name="Comma 3 7 2 2 3" xfId="5793"/>
    <cellStyle name="Comma 3 7 2 2 3 2" xfId="16870"/>
    <cellStyle name="Comma 3 7 2 2 3 2 2" xfId="30277"/>
    <cellStyle name="Comma 3 7 2 2 3 3" xfId="21974"/>
    <cellStyle name="Comma 3 7 2 2 4" xfId="9818"/>
    <cellStyle name="Comma 3 7 2 2 5" xfId="21976"/>
    <cellStyle name="Comma 3 7 2 3" xfId="5794"/>
    <cellStyle name="Comma 3 7 2 3 2" xfId="5795"/>
    <cellStyle name="Comma 3 7 2 3 2 2" xfId="13151"/>
    <cellStyle name="Comma 3 7 2 3 2 3" xfId="21972"/>
    <cellStyle name="Comma 3 7 2 3 3" xfId="12258"/>
    <cellStyle name="Comma 3 7 2 3 3 2" xfId="25970"/>
    <cellStyle name="Comma 3 7 2 3 4" xfId="21973"/>
    <cellStyle name="Comma 3 7 2 4" xfId="5796"/>
    <cellStyle name="Comma 3 7 2 4 2" xfId="5797"/>
    <cellStyle name="Comma 3 7 2 4 2 2" xfId="15620"/>
    <cellStyle name="Comma 3 7 2 4 2 3" xfId="21970"/>
    <cellStyle name="Comma 3 7 2 4 3" xfId="13822"/>
    <cellStyle name="Comma 3 7 2 4 3 2" xfId="27371"/>
    <cellStyle name="Comma 3 7 2 4 4" xfId="21971"/>
    <cellStyle name="Comma 3 7 2 5" xfId="5798"/>
    <cellStyle name="Comma 3 7 2 5 2" xfId="14403"/>
    <cellStyle name="Comma 3 7 2 5 2 2" xfId="27952"/>
    <cellStyle name="Comma 3 7 2 5 3" xfId="21969"/>
    <cellStyle name="Comma 3 7 2 6" xfId="5799"/>
    <cellStyle name="Comma 3 7 2 6 2" xfId="16289"/>
    <cellStyle name="Comma 3 7 2 6 2 2" xfId="29696"/>
    <cellStyle name="Comma 3 7 2 6 3" xfId="21968"/>
    <cellStyle name="Comma 3 7 2 7" xfId="9817"/>
    <cellStyle name="Comma 3 7 2 8" xfId="21977"/>
    <cellStyle name="Comma 3 7 3" xfId="5800"/>
    <cellStyle name="Comma 3 7 3 2" xfId="5801"/>
    <cellStyle name="Comma 3 7 3 2 2" xfId="11352"/>
    <cellStyle name="Comma 3 7 3 2 3" xfId="21966"/>
    <cellStyle name="Comma 3 7 3 3" xfId="5802"/>
    <cellStyle name="Comma 3 7 3 3 2" xfId="16581"/>
    <cellStyle name="Comma 3 7 3 3 2 2" xfId="29988"/>
    <cellStyle name="Comma 3 7 3 3 3" xfId="21965"/>
    <cellStyle name="Comma 3 7 3 4" xfId="9819"/>
    <cellStyle name="Comma 3 7 3 5" xfId="21967"/>
    <cellStyle name="Comma 3 7 4" xfId="5803"/>
    <cellStyle name="Comma 3 7 4 2" xfId="5804"/>
    <cellStyle name="Comma 3 7 4 2 2" xfId="13152"/>
    <cellStyle name="Comma 3 7 4 2 3" xfId="21963"/>
    <cellStyle name="Comma 3 7 4 3" xfId="11956"/>
    <cellStyle name="Comma 3 7 4 3 2" xfId="25671"/>
    <cellStyle name="Comma 3 7 4 4" xfId="21964"/>
    <cellStyle name="Comma 3 7 5" xfId="5805"/>
    <cellStyle name="Comma 3 7 5 2" xfId="5806"/>
    <cellStyle name="Comma 3 7 5 2 2" xfId="15621"/>
    <cellStyle name="Comma 3 7 5 2 3" xfId="21961"/>
    <cellStyle name="Comma 3 7 5 3" xfId="13533"/>
    <cellStyle name="Comma 3 7 5 3 2" xfId="27082"/>
    <cellStyle name="Comma 3 7 5 4" xfId="21962"/>
    <cellStyle name="Comma 3 7 6" xfId="5807"/>
    <cellStyle name="Comma 3 7 6 2" xfId="14114"/>
    <cellStyle name="Comma 3 7 6 2 2" xfId="27663"/>
    <cellStyle name="Comma 3 7 6 3" xfId="21960"/>
    <cellStyle name="Comma 3 7 7" xfId="5808"/>
    <cellStyle name="Comma 3 7 7 2" xfId="16000"/>
    <cellStyle name="Comma 3 7 7 2 2" xfId="29407"/>
    <cellStyle name="Comma 3 7 7 3" xfId="21959"/>
    <cellStyle name="Comma 3 7 8" xfId="9816"/>
    <cellStyle name="Comma 3 7 9" xfId="21978"/>
    <cellStyle name="Comma 3 8" xfId="5809"/>
    <cellStyle name="Comma 3 8 2" xfId="5810"/>
    <cellStyle name="Comma 3 8 2 2" xfId="5811"/>
    <cellStyle name="Comma 3 8 2 2 2" xfId="11353"/>
    <cellStyle name="Comma 3 8 2 2 3" xfId="21956"/>
    <cellStyle name="Comma 3 8 2 3" xfId="5812"/>
    <cellStyle name="Comma 3 8 2 3 2" xfId="16726"/>
    <cellStyle name="Comma 3 8 2 3 2 2" xfId="30133"/>
    <cellStyle name="Comma 3 8 2 3 3" xfId="21955"/>
    <cellStyle name="Comma 3 8 2 4" xfId="9821"/>
    <cellStyle name="Comma 3 8 2 5" xfId="21957"/>
    <cellStyle name="Comma 3 8 3" xfId="5813"/>
    <cellStyle name="Comma 3 8 3 2" xfId="5814"/>
    <cellStyle name="Comma 3 8 3 2 2" xfId="13153"/>
    <cellStyle name="Comma 3 8 3 2 3" xfId="21953"/>
    <cellStyle name="Comma 3 8 3 3" xfId="12108"/>
    <cellStyle name="Comma 3 8 3 3 2" xfId="25820"/>
    <cellStyle name="Comma 3 8 3 4" xfId="21954"/>
    <cellStyle name="Comma 3 8 4" xfId="5815"/>
    <cellStyle name="Comma 3 8 4 2" xfId="5816"/>
    <cellStyle name="Comma 3 8 4 2 2" xfId="15622"/>
    <cellStyle name="Comma 3 8 4 2 3" xfId="21951"/>
    <cellStyle name="Comma 3 8 4 3" xfId="13678"/>
    <cellStyle name="Comma 3 8 4 3 2" xfId="27227"/>
    <cellStyle name="Comma 3 8 4 4" xfId="21952"/>
    <cellStyle name="Comma 3 8 5" xfId="5817"/>
    <cellStyle name="Comma 3 8 5 2" xfId="14259"/>
    <cellStyle name="Comma 3 8 5 2 2" xfId="27808"/>
    <cellStyle name="Comma 3 8 5 3" xfId="21950"/>
    <cellStyle name="Comma 3 8 6" xfId="5818"/>
    <cellStyle name="Comma 3 8 6 2" xfId="16145"/>
    <cellStyle name="Comma 3 8 6 2 2" xfId="29552"/>
    <cellStyle name="Comma 3 8 6 3" xfId="21949"/>
    <cellStyle name="Comma 3 8 7" xfId="9820"/>
    <cellStyle name="Comma 3 8 8" xfId="21958"/>
    <cellStyle name="Comma 3 9" xfId="5819"/>
    <cellStyle name="Comma 3 9 2" xfId="5820"/>
    <cellStyle name="Comma 3 9 2 2" xfId="5821"/>
    <cellStyle name="Comma 3 9 2 2 2" xfId="11354"/>
    <cellStyle name="Comma 3 9 2 2 3" xfId="21946"/>
    <cellStyle name="Comma 3 9 2 3" xfId="5822"/>
    <cellStyle name="Comma 3 9 2 3 2" xfId="16724"/>
    <cellStyle name="Comma 3 9 2 3 2 2" xfId="30131"/>
    <cellStyle name="Comma 3 9 2 3 3" xfId="21945"/>
    <cellStyle name="Comma 3 9 2 4" xfId="9823"/>
    <cellStyle name="Comma 3 9 2 5" xfId="21947"/>
    <cellStyle name="Comma 3 9 3" xfId="5823"/>
    <cellStyle name="Comma 3 9 3 2" xfId="5824"/>
    <cellStyle name="Comma 3 9 3 2 2" xfId="13154"/>
    <cellStyle name="Comma 3 9 3 2 3" xfId="21943"/>
    <cellStyle name="Comma 3 9 3 3" xfId="12104"/>
    <cellStyle name="Comma 3 9 3 3 2" xfId="25816"/>
    <cellStyle name="Comma 3 9 3 4" xfId="21944"/>
    <cellStyle name="Comma 3 9 4" xfId="5825"/>
    <cellStyle name="Comma 3 9 4 2" xfId="5826"/>
    <cellStyle name="Comma 3 9 4 2 2" xfId="15623"/>
    <cellStyle name="Comma 3 9 4 2 3" xfId="21941"/>
    <cellStyle name="Comma 3 9 4 3" xfId="13676"/>
    <cellStyle name="Comma 3 9 4 3 2" xfId="27225"/>
    <cellStyle name="Comma 3 9 4 4" xfId="21942"/>
    <cellStyle name="Comma 3 9 5" xfId="5827"/>
    <cellStyle name="Comma 3 9 5 2" xfId="14257"/>
    <cellStyle name="Comma 3 9 5 2 2" xfId="27806"/>
    <cellStyle name="Comma 3 9 5 3" xfId="21940"/>
    <cellStyle name="Comma 3 9 6" xfId="5828"/>
    <cellStyle name="Comma 3 9 6 2" xfId="16143"/>
    <cellStyle name="Comma 3 9 6 2 2" xfId="29550"/>
    <cellStyle name="Comma 3 9 6 3" xfId="21939"/>
    <cellStyle name="Comma 3 9 7" xfId="9822"/>
    <cellStyle name="Comma 3 9 8" xfId="21948"/>
    <cellStyle name="Comma 4" xfId="5829"/>
    <cellStyle name="Comma 4 2" xfId="5830"/>
    <cellStyle name="Comma 4 2 2" xfId="9825"/>
    <cellStyle name="Comma 4 2 3" xfId="21937"/>
    <cellStyle name="Comma 4 3" xfId="5831"/>
    <cellStyle name="Comma 4 3 2" xfId="13155"/>
    <cellStyle name="Comma 4 3 3" xfId="21936"/>
    <cellStyle name="Comma 4 4" xfId="5832"/>
    <cellStyle name="Comma 4 4 2" xfId="9824"/>
    <cellStyle name="Comma 4 4 3" xfId="21935"/>
    <cellStyle name="Comma 4 5" xfId="8667"/>
    <cellStyle name="Comma 4 6" xfId="21938"/>
    <cellStyle name="Comma 4 7" xfId="32911"/>
    <cellStyle name="Comma 4 8" xfId="33086"/>
    <cellStyle name="Comma 5" xfId="5833"/>
    <cellStyle name="Comma 5 2" xfId="5834"/>
    <cellStyle name="Comma 5 2 2" xfId="17021"/>
    <cellStyle name="Comma 5 2 2 2" xfId="30428"/>
    <cellStyle name="Comma 5 2 3" xfId="21933"/>
    <cellStyle name="Comma 5 2 4" xfId="33098"/>
    <cellStyle name="Comma 5 3" xfId="5835"/>
    <cellStyle name="Comma 5 3 2" xfId="17332"/>
    <cellStyle name="Comma 5 3 3" xfId="21932"/>
    <cellStyle name="Comma 5 4" xfId="8728"/>
    <cellStyle name="Comma 5 4 2" xfId="33100"/>
    <cellStyle name="Comma 5 5" xfId="21934"/>
    <cellStyle name="Comma 6" xfId="5836"/>
    <cellStyle name="Comma 6 2" xfId="5837"/>
    <cellStyle name="Comma 6 2 2" xfId="17022"/>
    <cellStyle name="Comma 6 2 2 2" xfId="30429"/>
    <cellStyle name="Comma 6 2 3" xfId="21930"/>
    <cellStyle name="Comma 6 3" xfId="9826"/>
    <cellStyle name="Comma 6 4" xfId="21931"/>
    <cellStyle name="Comma 7" xfId="5838"/>
    <cellStyle name="Comma 7 2" xfId="5839"/>
    <cellStyle name="Comma 7 2 2" xfId="17023"/>
    <cellStyle name="Comma 7 2 2 2" xfId="30430"/>
    <cellStyle name="Comma 7 2 3" xfId="21928"/>
    <cellStyle name="Comma 7 3" xfId="9827"/>
    <cellStyle name="Comma 7 4" xfId="21929"/>
    <cellStyle name="Comma 8" xfId="5840"/>
    <cellStyle name="Comma 8 2" xfId="5841"/>
    <cellStyle name="Comma 8 2 2" xfId="9829"/>
    <cellStyle name="Comma 8 2 3" xfId="21926"/>
    <cellStyle name="Comma 8 3" xfId="5842"/>
    <cellStyle name="Comma 8 3 2" xfId="13156"/>
    <cellStyle name="Comma 8 3 3" xfId="21925"/>
    <cellStyle name="Comma 8 4" xfId="9828"/>
    <cellStyle name="Comma 8 5" xfId="21927"/>
    <cellStyle name="Comma 9" xfId="5843"/>
    <cellStyle name="Comma 9 2" xfId="5844"/>
    <cellStyle name="Comma 9 2 2" xfId="5845"/>
    <cellStyle name="Comma 9 2 2 2" xfId="11356"/>
    <cellStyle name="Comma 9 2 2 3" xfId="21922"/>
    <cellStyle name="Comma 9 2 3" xfId="9831"/>
    <cellStyle name="Comma 9 2 4" xfId="21923"/>
    <cellStyle name="Comma 9 3" xfId="5846"/>
    <cellStyle name="Comma 9 3 2" xfId="11355"/>
    <cellStyle name="Comma 9 3 3" xfId="21921"/>
    <cellStyle name="Comma 9 4" xfId="5847"/>
    <cellStyle name="Comma 9 4 2" xfId="13157"/>
    <cellStyle name="Comma 9 4 3" xfId="21920"/>
    <cellStyle name="Comma 9 5" xfId="9830"/>
    <cellStyle name="Comma 9 6" xfId="21924"/>
    <cellStyle name="Comma0" xfId="5848"/>
    <cellStyle name="Comma0 2" xfId="5849"/>
    <cellStyle name="Comma0 2 2" xfId="5850"/>
    <cellStyle name="Comma0 2 2 2" xfId="17024"/>
    <cellStyle name="Comma0 2 2 3" xfId="21917"/>
    <cellStyle name="Comma0 2 3" xfId="8668"/>
    <cellStyle name="Comma0 2 4" xfId="21918"/>
    <cellStyle name="Comma0 3" xfId="5851"/>
    <cellStyle name="Comma0 3 2" xfId="8732"/>
    <cellStyle name="Comma0 3 2 2" xfId="17333"/>
    <cellStyle name="Comma0 3 3" xfId="17295"/>
    <cellStyle name="Comma0 3 4" xfId="9832"/>
    <cellStyle name="Comma0 3 5" xfId="21916"/>
    <cellStyle name="Comma0 4" xfId="8660"/>
    <cellStyle name="Comma0 5" xfId="21919"/>
    <cellStyle name="Currency" xfId="33110" builtinId="4"/>
    <cellStyle name="Currency 10" xfId="5852"/>
    <cellStyle name="Currency 10 2" xfId="9833"/>
    <cellStyle name="Currency 10 3" xfId="21915"/>
    <cellStyle name="Currency 11" xfId="5853"/>
    <cellStyle name="Currency 11 2" xfId="5854"/>
    <cellStyle name="Currency 11 2 2" xfId="9835"/>
    <cellStyle name="Currency 11 2 3" xfId="21913"/>
    <cellStyle name="Currency 11 3" xfId="5855"/>
    <cellStyle name="Currency 11 3 2" xfId="13158"/>
    <cellStyle name="Currency 11 3 3" xfId="21912"/>
    <cellStyle name="Currency 11 4" xfId="9834"/>
    <cellStyle name="Currency 11 5" xfId="21914"/>
    <cellStyle name="Currency 12" xfId="5856"/>
    <cellStyle name="Currency 12 2" xfId="13159"/>
    <cellStyle name="Currency 12 3" xfId="21911"/>
    <cellStyle name="Currency 2" xfId="6"/>
    <cellStyle name="Currency 2 2" xfId="5858"/>
    <cellStyle name="Currency 2 2 2" xfId="5859"/>
    <cellStyle name="Currency 2 2 2 2" xfId="9837"/>
    <cellStyle name="Currency 2 2 2 3" xfId="21908"/>
    <cellStyle name="Currency 2 2 3" xfId="5860"/>
    <cellStyle name="Currency 2 2 3 2" xfId="13160"/>
    <cellStyle name="Currency 2 2 3 3" xfId="21907"/>
    <cellStyle name="Currency 2 2 4" xfId="5861"/>
    <cellStyle name="Currency 2 2 4 2" xfId="17025"/>
    <cellStyle name="Currency 2 2 4 2 2" xfId="30432"/>
    <cellStyle name="Currency 2 2 4 3" xfId="21906"/>
    <cellStyle name="Currency 2 2 5" xfId="8679"/>
    <cellStyle name="Currency 2 2 6" xfId="21909"/>
    <cellStyle name="Currency 2 3" xfId="5862"/>
    <cellStyle name="Currency 2 3 2" xfId="5863"/>
    <cellStyle name="Currency 2 3 2 2" xfId="13161"/>
    <cellStyle name="Currency 2 3 2 3" xfId="21904"/>
    <cellStyle name="Currency 2 3 3" xfId="5864"/>
    <cellStyle name="Currency 2 3 3 2" xfId="17026"/>
    <cellStyle name="Currency 2 3 3 2 2" xfId="30433"/>
    <cellStyle name="Currency 2 3 3 3" xfId="21903"/>
    <cellStyle name="Currency 2 3 4" xfId="5865"/>
    <cellStyle name="Currency 2 3 4 2" xfId="17368"/>
    <cellStyle name="Currency 2 3 4 3" xfId="21902"/>
    <cellStyle name="Currency 2 3 5" xfId="8738"/>
    <cellStyle name="Currency 2 3 6" xfId="10516"/>
    <cellStyle name="Currency 2 3 7" xfId="21905"/>
    <cellStyle name="Currency 2 4" xfId="8653"/>
    <cellStyle name="Currency 2 4 2" xfId="9836"/>
    <cellStyle name="Currency 2 5" xfId="17301"/>
    <cellStyle name="Currency 2 6" xfId="21910"/>
    <cellStyle name="Currency 2 7" xfId="32974"/>
    <cellStyle name="Currency 2 8" xfId="5857"/>
    <cellStyle name="Currency 3" xfId="5866"/>
    <cellStyle name="Currency 3 10" xfId="5867"/>
    <cellStyle name="Currency 3 10 2" xfId="9839"/>
    <cellStyle name="Currency 3 10 3" xfId="21900"/>
    <cellStyle name="Currency 3 11" xfId="5868"/>
    <cellStyle name="Currency 3 11 2" xfId="5869"/>
    <cellStyle name="Currency 3 11 2 2" xfId="13162"/>
    <cellStyle name="Currency 3 11 2 3" xfId="21898"/>
    <cellStyle name="Currency 3 11 3" xfId="5870"/>
    <cellStyle name="Currency 3 11 3 2" xfId="17027"/>
    <cellStyle name="Currency 3 11 3 2 2" xfId="30434"/>
    <cellStyle name="Currency 3 11 3 3" xfId="21897"/>
    <cellStyle name="Currency 3 11 4" xfId="9840"/>
    <cellStyle name="Currency 3 11 5" xfId="21899"/>
    <cellStyle name="Currency 3 12" xfId="5871"/>
    <cellStyle name="Currency 3 12 2" xfId="5872"/>
    <cellStyle name="Currency 3 12 2 2" xfId="13164"/>
    <cellStyle name="Currency 3 12 2 3" xfId="21895"/>
    <cellStyle name="Currency 3 12 3" xfId="5873"/>
    <cellStyle name="Currency 3 12 3 2" xfId="13163"/>
    <cellStyle name="Currency 3 12 3 2 2" xfId="26875"/>
    <cellStyle name="Currency 3 12 3 3" xfId="21894"/>
    <cellStyle name="Currency 3 12 4" xfId="5874"/>
    <cellStyle name="Currency 3 12 4 2" xfId="17109"/>
    <cellStyle name="Currency 3 12 4 2 2" xfId="30468"/>
    <cellStyle name="Currency 3 12 4 3" xfId="21893"/>
    <cellStyle name="Currency 3 12 5" xfId="9841"/>
    <cellStyle name="Currency 3 12 6" xfId="21896"/>
    <cellStyle name="Currency 3 13" xfId="5875"/>
    <cellStyle name="Currency 3 13 2" xfId="5876"/>
    <cellStyle name="Currency 3 13 2 2" xfId="17198"/>
    <cellStyle name="Currency 3 13 2 2 2" xfId="30557"/>
    <cellStyle name="Currency 3 13 2 3" xfId="21891"/>
    <cellStyle name="Currency 3 13 3" xfId="9842"/>
    <cellStyle name="Currency 3 13 4" xfId="21892"/>
    <cellStyle name="Currency 3 14" xfId="5877"/>
    <cellStyle name="Currency 3 14 2" xfId="5878"/>
    <cellStyle name="Currency 3 14 2 2" xfId="5879"/>
    <cellStyle name="Currency 3 14 2 2 2" xfId="11359"/>
    <cellStyle name="Currency 3 14 2 2 3" xfId="21888"/>
    <cellStyle name="Currency 3 14 2 3" xfId="9844"/>
    <cellStyle name="Currency 3 14 2 4" xfId="21889"/>
    <cellStyle name="Currency 3 14 3" xfId="5880"/>
    <cellStyle name="Currency 3 14 3 2" xfId="11358"/>
    <cellStyle name="Currency 3 14 3 3" xfId="21887"/>
    <cellStyle name="Currency 3 14 4" xfId="5881"/>
    <cellStyle name="Currency 3 14 4 2" xfId="17287"/>
    <cellStyle name="Currency 3 14 4 2 2" xfId="30646"/>
    <cellStyle name="Currency 3 14 4 3" xfId="21886"/>
    <cellStyle name="Currency 3 14 5" xfId="9843"/>
    <cellStyle name="Currency 3 14 6" xfId="21890"/>
    <cellStyle name="Currency 3 15" xfId="5882"/>
    <cellStyle name="Currency 3 15 2" xfId="5883"/>
    <cellStyle name="Currency 3 15 2 2" xfId="11360"/>
    <cellStyle name="Currency 3 15 2 3" xfId="21884"/>
    <cellStyle name="Currency 3 15 3" xfId="5884"/>
    <cellStyle name="Currency 3 15 3 2" xfId="16439"/>
    <cellStyle name="Currency 3 15 3 2 2" xfId="29846"/>
    <cellStyle name="Currency 3 15 3 3" xfId="21883"/>
    <cellStyle name="Currency 3 15 4" xfId="9845"/>
    <cellStyle name="Currency 3 15 5" xfId="21885"/>
    <cellStyle name="Currency 3 16" xfId="5885"/>
    <cellStyle name="Currency 3 16 2" xfId="5886"/>
    <cellStyle name="Currency 3 16 2 2" xfId="11361"/>
    <cellStyle name="Currency 3 16 2 3" xfId="21881"/>
    <cellStyle name="Currency 3 16 3" xfId="9846"/>
    <cellStyle name="Currency 3 16 4" xfId="21882"/>
    <cellStyle name="Currency 3 17" xfId="5887"/>
    <cellStyle name="Currency 3 17 2" xfId="5888"/>
    <cellStyle name="Currency 3 17 2 2" xfId="11362"/>
    <cellStyle name="Currency 3 17 2 3" xfId="21879"/>
    <cellStyle name="Currency 3 17 3" xfId="9847"/>
    <cellStyle name="Currency 3 17 4" xfId="21880"/>
    <cellStyle name="Currency 3 18" xfId="5889"/>
    <cellStyle name="Currency 3 18 2" xfId="5890"/>
    <cellStyle name="Currency 3 18 2 2" xfId="11363"/>
    <cellStyle name="Currency 3 18 2 3" xfId="21877"/>
    <cellStyle name="Currency 3 18 3" xfId="9848"/>
    <cellStyle name="Currency 3 18 4" xfId="21878"/>
    <cellStyle name="Currency 3 19" xfId="5891"/>
    <cellStyle name="Currency 3 19 2" xfId="5892"/>
    <cellStyle name="Currency 3 19 2 2" xfId="11364"/>
    <cellStyle name="Currency 3 19 2 3" xfId="21875"/>
    <cellStyle name="Currency 3 19 3" xfId="9849"/>
    <cellStyle name="Currency 3 19 4" xfId="21876"/>
    <cellStyle name="Currency 3 2" xfId="5893"/>
    <cellStyle name="Currency 3 2 10" xfId="5894"/>
    <cellStyle name="Currency 3 2 10 2" xfId="11365"/>
    <cellStyle name="Currency 3 2 10 3" xfId="21873"/>
    <cellStyle name="Currency 3 2 11" xfId="5895"/>
    <cellStyle name="Currency 3 2 11 2" xfId="5896"/>
    <cellStyle name="Currency 3 2 11 2 2" xfId="13165"/>
    <cellStyle name="Currency 3 2 11 2 2 2" xfId="26877"/>
    <cellStyle name="Currency 3 2 11 2 3" xfId="21871"/>
    <cellStyle name="Currency 3 2 11 3" xfId="5897"/>
    <cellStyle name="Currency 3 2 11 3 2" xfId="15624"/>
    <cellStyle name="Currency 3 2 11 3 3" xfId="21870"/>
    <cellStyle name="Currency 3 2 11 4" xfId="11699"/>
    <cellStyle name="Currency 3 2 11 5" xfId="21872"/>
    <cellStyle name="Currency 3 2 12" xfId="5898"/>
    <cellStyle name="Currency 3 2 12 2" xfId="11855"/>
    <cellStyle name="Currency 3 2 12 2 2" xfId="25570"/>
    <cellStyle name="Currency 3 2 12 3" xfId="21869"/>
    <cellStyle name="Currency 3 2 13" xfId="5899"/>
    <cellStyle name="Currency 3 2 13 2" xfId="13448"/>
    <cellStyle name="Currency 3 2 13 2 2" xfId="26997"/>
    <cellStyle name="Currency 3 2 13 3" xfId="21868"/>
    <cellStyle name="Currency 3 2 14" xfId="5900"/>
    <cellStyle name="Currency 3 2 14 2" xfId="14029"/>
    <cellStyle name="Currency 3 2 14 2 2" xfId="27578"/>
    <cellStyle name="Currency 3 2 14 3" xfId="21867"/>
    <cellStyle name="Currency 3 2 15" xfId="5901"/>
    <cellStyle name="Currency 3 2 15 2" xfId="15915"/>
    <cellStyle name="Currency 3 2 15 2 2" xfId="29322"/>
    <cellStyle name="Currency 3 2 15 3" xfId="21866"/>
    <cellStyle name="Currency 3 2 16" xfId="5902"/>
    <cellStyle name="Currency 3 2 16 2" xfId="9850"/>
    <cellStyle name="Currency 3 2 16 3" xfId="21865"/>
    <cellStyle name="Currency 3 2 17" xfId="8715"/>
    <cellStyle name="Currency 3 2 18" xfId="21874"/>
    <cellStyle name="Currency 3 2 2" xfId="5903"/>
    <cellStyle name="Currency 3 2 2 10" xfId="9851"/>
    <cellStyle name="Currency 3 2 2 11" xfId="21864"/>
    <cellStyle name="Currency 3 2 2 2" xfId="5904"/>
    <cellStyle name="Currency 3 2 2 2 2" xfId="5905"/>
    <cellStyle name="Currency 3 2 2 2 2 2" xfId="5906"/>
    <cellStyle name="Currency 3 2 2 2 2 2 2" xfId="5907"/>
    <cellStyle name="Currency 3 2 2 2 2 2 2 2" xfId="11366"/>
    <cellStyle name="Currency 3 2 2 2 2 2 2 3" xfId="21860"/>
    <cellStyle name="Currency 3 2 2 2 2 2 3" xfId="5908"/>
    <cellStyle name="Currency 3 2 2 2 2 2 3 2" xfId="16974"/>
    <cellStyle name="Currency 3 2 2 2 2 2 3 2 2" xfId="30381"/>
    <cellStyle name="Currency 3 2 2 2 2 2 3 3" xfId="21859"/>
    <cellStyle name="Currency 3 2 2 2 2 2 4" xfId="9854"/>
    <cellStyle name="Currency 3 2 2 2 2 2 5" xfId="21861"/>
    <cellStyle name="Currency 3 2 2 2 2 3" xfId="5909"/>
    <cellStyle name="Currency 3 2 2 2 2 3 2" xfId="5910"/>
    <cellStyle name="Currency 3 2 2 2 2 3 2 2" xfId="13166"/>
    <cellStyle name="Currency 3 2 2 2 2 3 2 3" xfId="21857"/>
    <cellStyle name="Currency 3 2 2 2 2 3 3" xfId="12362"/>
    <cellStyle name="Currency 3 2 2 2 2 3 3 2" xfId="26074"/>
    <cellStyle name="Currency 3 2 2 2 2 3 4" xfId="21858"/>
    <cellStyle name="Currency 3 2 2 2 2 4" xfId="5911"/>
    <cellStyle name="Currency 3 2 2 2 2 4 2" xfId="5912"/>
    <cellStyle name="Currency 3 2 2 2 2 4 2 2" xfId="15625"/>
    <cellStyle name="Currency 3 2 2 2 2 4 2 3" xfId="21855"/>
    <cellStyle name="Currency 3 2 2 2 2 4 3" xfId="13926"/>
    <cellStyle name="Currency 3 2 2 2 2 4 3 2" xfId="27475"/>
    <cellStyle name="Currency 3 2 2 2 2 4 4" xfId="21856"/>
    <cellStyle name="Currency 3 2 2 2 2 5" xfId="5913"/>
    <cellStyle name="Currency 3 2 2 2 2 5 2" xfId="14507"/>
    <cellStyle name="Currency 3 2 2 2 2 5 2 2" xfId="28056"/>
    <cellStyle name="Currency 3 2 2 2 2 5 3" xfId="21854"/>
    <cellStyle name="Currency 3 2 2 2 2 6" xfId="5914"/>
    <cellStyle name="Currency 3 2 2 2 2 6 2" xfId="16393"/>
    <cellStyle name="Currency 3 2 2 2 2 6 2 2" xfId="29800"/>
    <cellStyle name="Currency 3 2 2 2 2 6 3" xfId="21853"/>
    <cellStyle name="Currency 3 2 2 2 2 7" xfId="9853"/>
    <cellStyle name="Currency 3 2 2 2 2 8" xfId="21862"/>
    <cellStyle name="Currency 3 2 2 2 3" xfId="5915"/>
    <cellStyle name="Currency 3 2 2 2 3 2" xfId="5916"/>
    <cellStyle name="Currency 3 2 2 2 3 2 2" xfId="11367"/>
    <cellStyle name="Currency 3 2 2 2 3 2 3" xfId="21851"/>
    <cellStyle name="Currency 3 2 2 2 3 3" xfId="5917"/>
    <cellStyle name="Currency 3 2 2 2 3 3 2" xfId="16685"/>
    <cellStyle name="Currency 3 2 2 2 3 3 2 2" xfId="30092"/>
    <cellStyle name="Currency 3 2 2 2 3 3 3" xfId="21850"/>
    <cellStyle name="Currency 3 2 2 2 3 4" xfId="9855"/>
    <cellStyle name="Currency 3 2 2 2 3 5" xfId="21852"/>
    <cellStyle name="Currency 3 2 2 2 4" xfId="5918"/>
    <cellStyle name="Currency 3 2 2 2 4 2" xfId="5919"/>
    <cellStyle name="Currency 3 2 2 2 4 2 2" xfId="13167"/>
    <cellStyle name="Currency 3 2 2 2 4 2 3" xfId="21848"/>
    <cellStyle name="Currency 3 2 2 2 4 3" xfId="12062"/>
    <cellStyle name="Currency 3 2 2 2 4 3 2" xfId="25777"/>
    <cellStyle name="Currency 3 2 2 2 4 4" xfId="21849"/>
    <cellStyle name="Currency 3 2 2 2 5" xfId="5920"/>
    <cellStyle name="Currency 3 2 2 2 5 2" xfId="5921"/>
    <cellStyle name="Currency 3 2 2 2 5 2 2" xfId="15626"/>
    <cellStyle name="Currency 3 2 2 2 5 2 3" xfId="21846"/>
    <cellStyle name="Currency 3 2 2 2 5 3" xfId="13637"/>
    <cellStyle name="Currency 3 2 2 2 5 3 2" xfId="27186"/>
    <cellStyle name="Currency 3 2 2 2 5 4" xfId="21847"/>
    <cellStyle name="Currency 3 2 2 2 6" xfId="5922"/>
    <cellStyle name="Currency 3 2 2 2 6 2" xfId="14218"/>
    <cellStyle name="Currency 3 2 2 2 6 2 2" xfId="27767"/>
    <cellStyle name="Currency 3 2 2 2 6 3" xfId="21845"/>
    <cellStyle name="Currency 3 2 2 2 7" xfId="5923"/>
    <cellStyle name="Currency 3 2 2 2 7 2" xfId="16104"/>
    <cellStyle name="Currency 3 2 2 2 7 2 2" xfId="29511"/>
    <cellStyle name="Currency 3 2 2 2 7 3" xfId="21844"/>
    <cellStyle name="Currency 3 2 2 2 8" xfId="9852"/>
    <cellStyle name="Currency 3 2 2 2 9" xfId="21863"/>
    <cellStyle name="Currency 3 2 2 3" xfId="5924"/>
    <cellStyle name="Currency 3 2 2 3 2" xfId="5925"/>
    <cellStyle name="Currency 3 2 2 3 2 2" xfId="5926"/>
    <cellStyle name="Currency 3 2 2 3 2 2 2" xfId="11368"/>
    <cellStyle name="Currency 3 2 2 3 2 2 3" xfId="21841"/>
    <cellStyle name="Currency 3 2 2 3 2 3" xfId="5927"/>
    <cellStyle name="Currency 3 2 2 3 2 3 2" xfId="16831"/>
    <cellStyle name="Currency 3 2 2 3 2 3 2 2" xfId="30238"/>
    <cellStyle name="Currency 3 2 2 3 2 3 3" xfId="21840"/>
    <cellStyle name="Currency 3 2 2 3 2 4" xfId="9857"/>
    <cellStyle name="Currency 3 2 2 3 2 5" xfId="21842"/>
    <cellStyle name="Currency 3 2 2 3 3" xfId="5928"/>
    <cellStyle name="Currency 3 2 2 3 3 2" xfId="5929"/>
    <cellStyle name="Currency 3 2 2 3 3 2 2" xfId="13168"/>
    <cellStyle name="Currency 3 2 2 3 3 2 3" xfId="21838"/>
    <cellStyle name="Currency 3 2 2 3 3 3" xfId="12219"/>
    <cellStyle name="Currency 3 2 2 3 3 3 2" xfId="25931"/>
    <cellStyle name="Currency 3 2 2 3 3 4" xfId="21839"/>
    <cellStyle name="Currency 3 2 2 3 4" xfId="5930"/>
    <cellStyle name="Currency 3 2 2 3 4 2" xfId="5931"/>
    <cellStyle name="Currency 3 2 2 3 4 2 2" xfId="15627"/>
    <cellStyle name="Currency 3 2 2 3 4 2 3" xfId="21836"/>
    <cellStyle name="Currency 3 2 2 3 4 3" xfId="13783"/>
    <cellStyle name="Currency 3 2 2 3 4 3 2" xfId="27332"/>
    <cellStyle name="Currency 3 2 2 3 4 4" xfId="21837"/>
    <cellStyle name="Currency 3 2 2 3 5" xfId="5932"/>
    <cellStyle name="Currency 3 2 2 3 5 2" xfId="14364"/>
    <cellStyle name="Currency 3 2 2 3 5 2 2" xfId="27913"/>
    <cellStyle name="Currency 3 2 2 3 5 3" xfId="21835"/>
    <cellStyle name="Currency 3 2 2 3 6" xfId="5933"/>
    <cellStyle name="Currency 3 2 2 3 6 2" xfId="16250"/>
    <cellStyle name="Currency 3 2 2 3 6 2 2" xfId="29657"/>
    <cellStyle name="Currency 3 2 2 3 6 3" xfId="21834"/>
    <cellStyle name="Currency 3 2 2 3 7" xfId="9856"/>
    <cellStyle name="Currency 3 2 2 3 8" xfId="21843"/>
    <cellStyle name="Currency 3 2 2 4" xfId="5934"/>
    <cellStyle name="Currency 3 2 2 4 2" xfId="5935"/>
    <cellStyle name="Currency 3 2 2 4 2 2" xfId="17178"/>
    <cellStyle name="Currency 3 2 2 4 2 2 2" xfId="30537"/>
    <cellStyle name="Currency 3 2 2 4 2 3" xfId="21832"/>
    <cellStyle name="Currency 3 2 2 4 3" xfId="9858"/>
    <cellStyle name="Currency 3 2 2 4 4" xfId="21833"/>
    <cellStyle name="Currency 3 2 2 5" xfId="5936"/>
    <cellStyle name="Currency 3 2 2 5 2" xfId="5937"/>
    <cellStyle name="Currency 3 2 2 5 2 2" xfId="11369"/>
    <cellStyle name="Currency 3 2 2 5 2 3" xfId="21830"/>
    <cellStyle name="Currency 3 2 2 5 3" xfId="5938"/>
    <cellStyle name="Currency 3 2 2 5 3 2" xfId="17267"/>
    <cellStyle name="Currency 3 2 2 5 3 2 2" xfId="30626"/>
    <cellStyle name="Currency 3 2 2 5 3 3" xfId="21829"/>
    <cellStyle name="Currency 3 2 2 5 4" xfId="9859"/>
    <cellStyle name="Currency 3 2 2 5 5" xfId="21831"/>
    <cellStyle name="Currency 3 2 2 6" xfId="5939"/>
    <cellStyle name="Currency 3 2 2 6 2" xfId="5940"/>
    <cellStyle name="Currency 3 2 2 6 2 2" xfId="13169"/>
    <cellStyle name="Currency 3 2 2 6 2 3" xfId="21827"/>
    <cellStyle name="Currency 3 2 2 6 3" xfId="5941"/>
    <cellStyle name="Currency 3 2 2 6 3 2" xfId="16542"/>
    <cellStyle name="Currency 3 2 2 6 3 2 2" xfId="29949"/>
    <cellStyle name="Currency 3 2 2 6 3 3" xfId="21826"/>
    <cellStyle name="Currency 3 2 2 6 4" xfId="11917"/>
    <cellStyle name="Currency 3 2 2 6 4 2" xfId="25632"/>
    <cellStyle name="Currency 3 2 2 6 5" xfId="21828"/>
    <cellStyle name="Currency 3 2 2 7" xfId="5942"/>
    <cellStyle name="Currency 3 2 2 7 2" xfId="5943"/>
    <cellStyle name="Currency 3 2 2 7 2 2" xfId="15628"/>
    <cellStyle name="Currency 3 2 2 7 2 3" xfId="21824"/>
    <cellStyle name="Currency 3 2 2 7 3" xfId="13494"/>
    <cellStyle name="Currency 3 2 2 7 3 2" xfId="27043"/>
    <cellStyle name="Currency 3 2 2 7 4" xfId="21825"/>
    <cellStyle name="Currency 3 2 2 8" xfId="5944"/>
    <cellStyle name="Currency 3 2 2 8 2" xfId="14075"/>
    <cellStyle name="Currency 3 2 2 8 2 2" xfId="27624"/>
    <cellStyle name="Currency 3 2 2 8 3" xfId="21823"/>
    <cellStyle name="Currency 3 2 2 9" xfId="5945"/>
    <cellStyle name="Currency 3 2 2 9 2" xfId="15961"/>
    <cellStyle name="Currency 3 2 2 9 2 2" xfId="29368"/>
    <cellStyle name="Currency 3 2 2 9 3" xfId="21822"/>
    <cellStyle name="Currency 3 2 3" xfId="5946"/>
    <cellStyle name="Currency 3 2 3 2" xfId="5947"/>
    <cellStyle name="Currency 3 2 3 2 2" xfId="5948"/>
    <cellStyle name="Currency 3 2 3 2 2 2" xfId="5949"/>
    <cellStyle name="Currency 3 2 3 2 2 2 2" xfId="11370"/>
    <cellStyle name="Currency 3 2 3 2 2 2 3" xfId="21818"/>
    <cellStyle name="Currency 3 2 3 2 2 3" xfId="5950"/>
    <cellStyle name="Currency 3 2 3 2 2 3 2" xfId="16928"/>
    <cellStyle name="Currency 3 2 3 2 2 3 2 2" xfId="30335"/>
    <cellStyle name="Currency 3 2 3 2 2 3 3" xfId="21817"/>
    <cellStyle name="Currency 3 2 3 2 2 4" xfId="9862"/>
    <cellStyle name="Currency 3 2 3 2 2 5" xfId="21819"/>
    <cellStyle name="Currency 3 2 3 2 3" xfId="5951"/>
    <cellStyle name="Currency 3 2 3 2 3 2" xfId="5952"/>
    <cellStyle name="Currency 3 2 3 2 3 2 2" xfId="13170"/>
    <cellStyle name="Currency 3 2 3 2 3 2 3" xfId="21815"/>
    <cellStyle name="Currency 3 2 3 2 3 3" xfId="12316"/>
    <cellStyle name="Currency 3 2 3 2 3 3 2" xfId="26028"/>
    <cellStyle name="Currency 3 2 3 2 3 4" xfId="21816"/>
    <cellStyle name="Currency 3 2 3 2 4" xfId="5953"/>
    <cellStyle name="Currency 3 2 3 2 4 2" xfId="5954"/>
    <cellStyle name="Currency 3 2 3 2 4 2 2" xfId="15629"/>
    <cellStyle name="Currency 3 2 3 2 4 2 3" xfId="21813"/>
    <cellStyle name="Currency 3 2 3 2 4 3" xfId="13880"/>
    <cellStyle name="Currency 3 2 3 2 4 3 2" xfId="27429"/>
    <cellStyle name="Currency 3 2 3 2 4 4" xfId="21814"/>
    <cellStyle name="Currency 3 2 3 2 5" xfId="5955"/>
    <cellStyle name="Currency 3 2 3 2 5 2" xfId="14461"/>
    <cellStyle name="Currency 3 2 3 2 5 2 2" xfId="28010"/>
    <cellStyle name="Currency 3 2 3 2 5 3" xfId="21812"/>
    <cellStyle name="Currency 3 2 3 2 6" xfId="5956"/>
    <cellStyle name="Currency 3 2 3 2 6 2" xfId="16347"/>
    <cellStyle name="Currency 3 2 3 2 6 2 2" xfId="29754"/>
    <cellStyle name="Currency 3 2 3 2 6 3" xfId="21811"/>
    <cellStyle name="Currency 3 2 3 2 7" xfId="9861"/>
    <cellStyle name="Currency 3 2 3 2 8" xfId="21820"/>
    <cellStyle name="Currency 3 2 3 3" xfId="5957"/>
    <cellStyle name="Currency 3 2 3 3 2" xfId="5958"/>
    <cellStyle name="Currency 3 2 3 3 2 2" xfId="11371"/>
    <cellStyle name="Currency 3 2 3 3 2 3" xfId="21809"/>
    <cellStyle name="Currency 3 2 3 3 3" xfId="5959"/>
    <cellStyle name="Currency 3 2 3 3 3 2" xfId="16639"/>
    <cellStyle name="Currency 3 2 3 3 3 2 2" xfId="30046"/>
    <cellStyle name="Currency 3 2 3 3 3 3" xfId="21808"/>
    <cellStyle name="Currency 3 2 3 3 4" xfId="9863"/>
    <cellStyle name="Currency 3 2 3 3 5" xfId="21810"/>
    <cellStyle name="Currency 3 2 3 4" xfId="5960"/>
    <cellStyle name="Currency 3 2 3 4 2" xfId="5961"/>
    <cellStyle name="Currency 3 2 3 4 2 2" xfId="13171"/>
    <cellStyle name="Currency 3 2 3 4 2 3" xfId="21806"/>
    <cellStyle name="Currency 3 2 3 4 3" xfId="12016"/>
    <cellStyle name="Currency 3 2 3 4 3 2" xfId="25731"/>
    <cellStyle name="Currency 3 2 3 4 4" xfId="21807"/>
    <cellStyle name="Currency 3 2 3 5" xfId="5962"/>
    <cellStyle name="Currency 3 2 3 5 2" xfId="5963"/>
    <cellStyle name="Currency 3 2 3 5 2 2" xfId="15630"/>
    <cellStyle name="Currency 3 2 3 5 2 3" xfId="21804"/>
    <cellStyle name="Currency 3 2 3 5 3" xfId="13591"/>
    <cellStyle name="Currency 3 2 3 5 3 2" xfId="27140"/>
    <cellStyle name="Currency 3 2 3 5 4" xfId="21805"/>
    <cellStyle name="Currency 3 2 3 6" xfId="5964"/>
    <cellStyle name="Currency 3 2 3 6 2" xfId="14172"/>
    <cellStyle name="Currency 3 2 3 6 2 2" xfId="27721"/>
    <cellStyle name="Currency 3 2 3 6 3" xfId="21803"/>
    <cellStyle name="Currency 3 2 3 7" xfId="5965"/>
    <cellStyle name="Currency 3 2 3 7 2" xfId="16058"/>
    <cellStyle name="Currency 3 2 3 7 2 2" xfId="29465"/>
    <cellStyle name="Currency 3 2 3 7 3" xfId="21802"/>
    <cellStyle name="Currency 3 2 3 8" xfId="9860"/>
    <cellStyle name="Currency 3 2 3 9" xfId="21821"/>
    <cellStyle name="Currency 3 2 4" xfId="5966"/>
    <cellStyle name="Currency 3 2 4 2" xfId="5967"/>
    <cellStyle name="Currency 3 2 4 2 2" xfId="5968"/>
    <cellStyle name="Currency 3 2 4 2 2 2" xfId="11372"/>
    <cellStyle name="Currency 3 2 4 2 2 3" xfId="21799"/>
    <cellStyle name="Currency 3 2 4 2 3" xfId="5969"/>
    <cellStyle name="Currency 3 2 4 2 3 2" xfId="16785"/>
    <cellStyle name="Currency 3 2 4 2 3 2 2" xfId="30192"/>
    <cellStyle name="Currency 3 2 4 2 3 3" xfId="21798"/>
    <cellStyle name="Currency 3 2 4 2 4" xfId="9865"/>
    <cellStyle name="Currency 3 2 4 2 5" xfId="21800"/>
    <cellStyle name="Currency 3 2 4 3" xfId="5970"/>
    <cellStyle name="Currency 3 2 4 3 2" xfId="5971"/>
    <cellStyle name="Currency 3 2 4 3 2 2" xfId="13172"/>
    <cellStyle name="Currency 3 2 4 3 2 3" xfId="21796"/>
    <cellStyle name="Currency 3 2 4 3 3" xfId="12173"/>
    <cellStyle name="Currency 3 2 4 3 3 2" xfId="25885"/>
    <cellStyle name="Currency 3 2 4 3 4" xfId="21797"/>
    <cellStyle name="Currency 3 2 4 4" xfId="5972"/>
    <cellStyle name="Currency 3 2 4 4 2" xfId="5973"/>
    <cellStyle name="Currency 3 2 4 4 2 2" xfId="15631"/>
    <cellStyle name="Currency 3 2 4 4 2 3" xfId="21794"/>
    <cellStyle name="Currency 3 2 4 4 3" xfId="13737"/>
    <cellStyle name="Currency 3 2 4 4 3 2" xfId="27286"/>
    <cellStyle name="Currency 3 2 4 4 4" xfId="21795"/>
    <cellStyle name="Currency 3 2 4 5" xfId="5974"/>
    <cellStyle name="Currency 3 2 4 5 2" xfId="14318"/>
    <cellStyle name="Currency 3 2 4 5 2 2" xfId="27867"/>
    <cellStyle name="Currency 3 2 4 5 3" xfId="21793"/>
    <cellStyle name="Currency 3 2 4 6" xfId="5975"/>
    <cellStyle name="Currency 3 2 4 6 2" xfId="16204"/>
    <cellStyle name="Currency 3 2 4 6 2 2" xfId="29611"/>
    <cellStyle name="Currency 3 2 4 6 3" xfId="21792"/>
    <cellStyle name="Currency 3 2 4 7" xfId="9864"/>
    <cellStyle name="Currency 3 2 4 8" xfId="21801"/>
    <cellStyle name="Currency 3 2 5" xfId="5976"/>
    <cellStyle name="Currency 3 2 5 2" xfId="5977"/>
    <cellStyle name="Currency 3 2 5 2 2" xfId="5978"/>
    <cellStyle name="Currency 3 2 5 2 2 2" xfId="11374"/>
    <cellStyle name="Currency 3 2 5 2 2 3" xfId="21789"/>
    <cellStyle name="Currency 3 2 5 2 3" xfId="9867"/>
    <cellStyle name="Currency 3 2 5 2 4" xfId="21790"/>
    <cellStyle name="Currency 3 2 5 3" xfId="5979"/>
    <cellStyle name="Currency 3 2 5 3 2" xfId="11373"/>
    <cellStyle name="Currency 3 2 5 3 3" xfId="21788"/>
    <cellStyle name="Currency 3 2 5 4" xfId="5980"/>
    <cellStyle name="Currency 3 2 5 4 2" xfId="17028"/>
    <cellStyle name="Currency 3 2 5 4 2 2" xfId="30435"/>
    <cellStyle name="Currency 3 2 5 4 3" xfId="21787"/>
    <cellStyle name="Currency 3 2 5 5" xfId="9866"/>
    <cellStyle name="Currency 3 2 5 6" xfId="21791"/>
    <cellStyle name="Currency 3 2 6" xfId="5981"/>
    <cellStyle name="Currency 3 2 6 2" xfId="5982"/>
    <cellStyle name="Currency 3 2 6 2 2" xfId="17132"/>
    <cellStyle name="Currency 3 2 6 2 2 2" xfId="30491"/>
    <cellStyle name="Currency 3 2 6 2 3" xfId="21785"/>
    <cellStyle name="Currency 3 2 6 3" xfId="9868"/>
    <cellStyle name="Currency 3 2 6 4" xfId="21786"/>
    <cellStyle name="Currency 3 2 7" xfId="5983"/>
    <cellStyle name="Currency 3 2 7 2" xfId="5984"/>
    <cellStyle name="Currency 3 2 7 2 2" xfId="11375"/>
    <cellStyle name="Currency 3 2 7 2 3" xfId="21783"/>
    <cellStyle name="Currency 3 2 7 3" xfId="5985"/>
    <cellStyle name="Currency 3 2 7 3 2" xfId="17221"/>
    <cellStyle name="Currency 3 2 7 3 2 2" xfId="30580"/>
    <cellStyle name="Currency 3 2 7 3 3" xfId="21782"/>
    <cellStyle name="Currency 3 2 7 4" xfId="9869"/>
    <cellStyle name="Currency 3 2 7 5" xfId="21784"/>
    <cellStyle name="Currency 3 2 8" xfId="5986"/>
    <cellStyle name="Currency 3 2 8 2" xfId="5987"/>
    <cellStyle name="Currency 3 2 8 2 2" xfId="11376"/>
    <cellStyle name="Currency 3 2 8 2 3" xfId="21780"/>
    <cellStyle name="Currency 3 2 8 3" xfId="5988"/>
    <cellStyle name="Currency 3 2 8 3 2" xfId="16496"/>
    <cellStyle name="Currency 3 2 8 3 2 2" xfId="29903"/>
    <cellStyle name="Currency 3 2 8 3 3" xfId="21779"/>
    <cellStyle name="Currency 3 2 8 4" xfId="9870"/>
    <cellStyle name="Currency 3 2 8 5" xfId="21781"/>
    <cellStyle name="Currency 3 2 9" xfId="5989"/>
    <cellStyle name="Currency 3 2 9 2" xfId="5990"/>
    <cellStyle name="Currency 3 2 9 2 2" xfId="13173"/>
    <cellStyle name="Currency 3 2 9 2 2 2" xfId="26878"/>
    <cellStyle name="Currency 3 2 9 2 3" xfId="21777"/>
    <cellStyle name="Currency 3 2 9 3" xfId="5991"/>
    <cellStyle name="Currency 3 2 9 3 2" xfId="15632"/>
    <cellStyle name="Currency 3 2 9 3 3" xfId="21776"/>
    <cellStyle name="Currency 3 2 9 4" xfId="10541"/>
    <cellStyle name="Currency 3 2 9 4 2" xfId="24483"/>
    <cellStyle name="Currency 3 2 9 5" xfId="21778"/>
    <cellStyle name="Currency 3 20" xfId="5992"/>
    <cellStyle name="Currency 3 20 2" xfId="5993"/>
    <cellStyle name="Currency 3 20 2 2" xfId="11377"/>
    <cellStyle name="Currency 3 20 2 3" xfId="21774"/>
    <cellStyle name="Currency 3 20 3" xfId="9871"/>
    <cellStyle name="Currency 3 20 4" xfId="21775"/>
    <cellStyle name="Currency 3 21" xfId="5994"/>
    <cellStyle name="Currency 3 21 2" xfId="5995"/>
    <cellStyle name="Currency 3 21 2 2" xfId="11723"/>
    <cellStyle name="Currency 3 21 2 2 2" xfId="25443"/>
    <cellStyle name="Currency 3 21 2 3" xfId="21772"/>
    <cellStyle name="Currency 3 21 3" xfId="5996"/>
    <cellStyle name="Currency 3 21 3 2" xfId="13174"/>
    <cellStyle name="Currency 3 21 3 2 2" xfId="26879"/>
    <cellStyle name="Currency 3 21 3 3" xfId="21771"/>
    <cellStyle name="Currency 3 21 4" xfId="5997"/>
    <cellStyle name="Currency 3 21 4 2" xfId="15633"/>
    <cellStyle name="Currency 3 21 4 3" xfId="21770"/>
    <cellStyle name="Currency 3 21 5" xfId="10488"/>
    <cellStyle name="Currency 3 21 5 2" xfId="24447"/>
    <cellStyle name="Currency 3 21 6" xfId="21773"/>
    <cellStyle name="Currency 3 22" xfId="5998"/>
    <cellStyle name="Currency 3 22 2" xfId="5999"/>
    <cellStyle name="Currency 3 22 2 2" xfId="13175"/>
    <cellStyle name="Currency 3 22 2 2 2" xfId="26880"/>
    <cellStyle name="Currency 3 22 2 3" xfId="21768"/>
    <cellStyle name="Currency 3 22 3" xfId="6000"/>
    <cellStyle name="Currency 3 22 3 2" xfId="15634"/>
    <cellStyle name="Currency 3 22 3 3" xfId="21767"/>
    <cellStyle name="Currency 3 22 4" xfId="10518"/>
    <cellStyle name="Currency 3 22 4 2" xfId="24466"/>
    <cellStyle name="Currency 3 22 5" xfId="21769"/>
    <cellStyle name="Currency 3 23" xfId="6001"/>
    <cellStyle name="Currency 3 23 2" xfId="11357"/>
    <cellStyle name="Currency 3 23 3" xfId="21766"/>
    <cellStyle name="Currency 3 24" xfId="6002"/>
    <cellStyle name="Currency 3 24 2" xfId="11763"/>
    <cellStyle name="Currency 3 24 2 2" xfId="25478"/>
    <cellStyle name="Currency 3 24 3" xfId="21765"/>
    <cellStyle name="Currency 3 25" xfId="6003"/>
    <cellStyle name="Currency 3 25 2" xfId="13391"/>
    <cellStyle name="Currency 3 25 2 2" xfId="26940"/>
    <cellStyle name="Currency 3 25 3" xfId="21764"/>
    <cellStyle name="Currency 3 26" xfId="6004"/>
    <cellStyle name="Currency 3 26 2" xfId="13972"/>
    <cellStyle name="Currency 3 26 2 2" xfId="27521"/>
    <cellStyle name="Currency 3 26 3" xfId="21763"/>
    <cellStyle name="Currency 3 27" xfId="6005"/>
    <cellStyle name="Currency 3 27 2" xfId="15828"/>
    <cellStyle name="Currency 3 27 2 2" xfId="29235"/>
    <cellStyle name="Currency 3 27 3" xfId="21762"/>
    <cellStyle name="Currency 3 28" xfId="6006"/>
    <cellStyle name="Currency 3 28 2" xfId="15858"/>
    <cellStyle name="Currency 3 28 2 2" xfId="29265"/>
    <cellStyle name="Currency 3 28 3" xfId="21761"/>
    <cellStyle name="Currency 3 29" xfId="8656"/>
    <cellStyle name="Currency 3 29 2" xfId="9838"/>
    <cellStyle name="Currency 3 3" xfId="6007"/>
    <cellStyle name="Currency 3 3 10" xfId="6008"/>
    <cellStyle name="Currency 3 3 10 2" xfId="17334"/>
    <cellStyle name="Currency 3 3 10 3" xfId="21759"/>
    <cellStyle name="Currency 3 3 11" xfId="8735"/>
    <cellStyle name="Currency 3 3 12" xfId="9872"/>
    <cellStyle name="Currency 3 3 13" xfId="21760"/>
    <cellStyle name="Currency 3 3 2" xfId="6009"/>
    <cellStyle name="Currency 3 3 2 2" xfId="6010"/>
    <cellStyle name="Currency 3 3 2 2 2" xfId="6011"/>
    <cellStyle name="Currency 3 3 2 2 2 2" xfId="6012"/>
    <cellStyle name="Currency 3 3 2 2 2 2 2" xfId="11378"/>
    <cellStyle name="Currency 3 3 2 2 2 2 3" xfId="21755"/>
    <cellStyle name="Currency 3 3 2 2 2 3" xfId="6013"/>
    <cellStyle name="Currency 3 3 2 2 2 3 2" xfId="16951"/>
    <cellStyle name="Currency 3 3 2 2 2 3 2 2" xfId="30358"/>
    <cellStyle name="Currency 3 3 2 2 2 3 3" xfId="21754"/>
    <cellStyle name="Currency 3 3 2 2 2 4" xfId="9875"/>
    <cellStyle name="Currency 3 3 2 2 2 5" xfId="21756"/>
    <cellStyle name="Currency 3 3 2 2 3" xfId="6014"/>
    <cellStyle name="Currency 3 3 2 2 3 2" xfId="6015"/>
    <cellStyle name="Currency 3 3 2 2 3 2 2" xfId="13176"/>
    <cellStyle name="Currency 3 3 2 2 3 2 3" xfId="21752"/>
    <cellStyle name="Currency 3 3 2 2 3 3" xfId="12339"/>
    <cellStyle name="Currency 3 3 2 2 3 3 2" xfId="26051"/>
    <cellStyle name="Currency 3 3 2 2 3 4" xfId="21753"/>
    <cellStyle name="Currency 3 3 2 2 4" xfId="6016"/>
    <cellStyle name="Currency 3 3 2 2 4 2" xfId="6017"/>
    <cellStyle name="Currency 3 3 2 2 4 2 2" xfId="15635"/>
    <cellStyle name="Currency 3 3 2 2 4 2 3" xfId="21750"/>
    <cellStyle name="Currency 3 3 2 2 4 3" xfId="13903"/>
    <cellStyle name="Currency 3 3 2 2 4 3 2" xfId="27452"/>
    <cellStyle name="Currency 3 3 2 2 4 4" xfId="21751"/>
    <cellStyle name="Currency 3 3 2 2 5" xfId="6018"/>
    <cellStyle name="Currency 3 3 2 2 5 2" xfId="14484"/>
    <cellStyle name="Currency 3 3 2 2 5 2 2" xfId="28033"/>
    <cellStyle name="Currency 3 3 2 2 5 3" xfId="21749"/>
    <cellStyle name="Currency 3 3 2 2 6" xfId="6019"/>
    <cellStyle name="Currency 3 3 2 2 6 2" xfId="16370"/>
    <cellStyle name="Currency 3 3 2 2 6 2 2" xfId="29777"/>
    <cellStyle name="Currency 3 3 2 2 6 3" xfId="21748"/>
    <cellStyle name="Currency 3 3 2 2 7" xfId="9874"/>
    <cellStyle name="Currency 3 3 2 2 8" xfId="21757"/>
    <cellStyle name="Currency 3 3 2 3" xfId="6020"/>
    <cellStyle name="Currency 3 3 2 3 2" xfId="6021"/>
    <cellStyle name="Currency 3 3 2 3 2 2" xfId="11379"/>
    <cellStyle name="Currency 3 3 2 3 2 3" xfId="21746"/>
    <cellStyle name="Currency 3 3 2 3 3" xfId="6022"/>
    <cellStyle name="Currency 3 3 2 3 3 2" xfId="16662"/>
    <cellStyle name="Currency 3 3 2 3 3 2 2" xfId="30069"/>
    <cellStyle name="Currency 3 3 2 3 3 3" xfId="21745"/>
    <cellStyle name="Currency 3 3 2 3 4" xfId="9876"/>
    <cellStyle name="Currency 3 3 2 3 5" xfId="21747"/>
    <cellStyle name="Currency 3 3 2 4" xfId="6023"/>
    <cellStyle name="Currency 3 3 2 4 2" xfId="6024"/>
    <cellStyle name="Currency 3 3 2 4 2 2" xfId="13177"/>
    <cellStyle name="Currency 3 3 2 4 2 3" xfId="21743"/>
    <cellStyle name="Currency 3 3 2 4 3" xfId="12039"/>
    <cellStyle name="Currency 3 3 2 4 3 2" xfId="25754"/>
    <cellStyle name="Currency 3 3 2 4 4" xfId="21744"/>
    <cellStyle name="Currency 3 3 2 5" xfId="6025"/>
    <cellStyle name="Currency 3 3 2 5 2" xfId="6026"/>
    <cellStyle name="Currency 3 3 2 5 2 2" xfId="15636"/>
    <cellStyle name="Currency 3 3 2 5 2 3" xfId="21741"/>
    <cellStyle name="Currency 3 3 2 5 3" xfId="13614"/>
    <cellStyle name="Currency 3 3 2 5 3 2" xfId="27163"/>
    <cellStyle name="Currency 3 3 2 5 4" xfId="21742"/>
    <cellStyle name="Currency 3 3 2 6" xfId="6027"/>
    <cellStyle name="Currency 3 3 2 6 2" xfId="14195"/>
    <cellStyle name="Currency 3 3 2 6 2 2" xfId="27744"/>
    <cellStyle name="Currency 3 3 2 6 3" xfId="21740"/>
    <cellStyle name="Currency 3 3 2 7" xfId="6028"/>
    <cellStyle name="Currency 3 3 2 7 2" xfId="16081"/>
    <cellStyle name="Currency 3 3 2 7 2 2" xfId="29488"/>
    <cellStyle name="Currency 3 3 2 7 3" xfId="21739"/>
    <cellStyle name="Currency 3 3 2 8" xfId="9873"/>
    <cellStyle name="Currency 3 3 2 9" xfId="21758"/>
    <cellStyle name="Currency 3 3 3" xfId="6029"/>
    <cellStyle name="Currency 3 3 3 2" xfId="6030"/>
    <cellStyle name="Currency 3 3 3 2 2" xfId="6031"/>
    <cellStyle name="Currency 3 3 3 2 2 2" xfId="11380"/>
    <cellStyle name="Currency 3 3 3 2 2 3" xfId="21736"/>
    <cellStyle name="Currency 3 3 3 2 3" xfId="6032"/>
    <cellStyle name="Currency 3 3 3 2 3 2" xfId="16808"/>
    <cellStyle name="Currency 3 3 3 2 3 2 2" xfId="30215"/>
    <cellStyle name="Currency 3 3 3 2 3 3" xfId="21735"/>
    <cellStyle name="Currency 3 3 3 2 4" xfId="9878"/>
    <cellStyle name="Currency 3 3 3 2 5" xfId="21737"/>
    <cellStyle name="Currency 3 3 3 3" xfId="6033"/>
    <cellStyle name="Currency 3 3 3 3 2" xfId="6034"/>
    <cellStyle name="Currency 3 3 3 3 2 2" xfId="13178"/>
    <cellStyle name="Currency 3 3 3 3 2 3" xfId="21733"/>
    <cellStyle name="Currency 3 3 3 3 3" xfId="12196"/>
    <cellStyle name="Currency 3 3 3 3 3 2" xfId="25908"/>
    <cellStyle name="Currency 3 3 3 3 4" xfId="21734"/>
    <cellStyle name="Currency 3 3 3 4" xfId="6035"/>
    <cellStyle name="Currency 3 3 3 4 2" xfId="6036"/>
    <cellStyle name="Currency 3 3 3 4 2 2" xfId="15637"/>
    <cellStyle name="Currency 3 3 3 4 2 3" xfId="21731"/>
    <cellStyle name="Currency 3 3 3 4 3" xfId="13760"/>
    <cellStyle name="Currency 3 3 3 4 3 2" xfId="27309"/>
    <cellStyle name="Currency 3 3 3 4 4" xfId="21732"/>
    <cellStyle name="Currency 3 3 3 5" xfId="6037"/>
    <cellStyle name="Currency 3 3 3 5 2" xfId="14341"/>
    <cellStyle name="Currency 3 3 3 5 2 2" xfId="27890"/>
    <cellStyle name="Currency 3 3 3 5 3" xfId="21730"/>
    <cellStyle name="Currency 3 3 3 6" xfId="6038"/>
    <cellStyle name="Currency 3 3 3 6 2" xfId="16227"/>
    <cellStyle name="Currency 3 3 3 6 2 2" xfId="29634"/>
    <cellStyle name="Currency 3 3 3 6 3" xfId="21729"/>
    <cellStyle name="Currency 3 3 3 7" xfId="9877"/>
    <cellStyle name="Currency 3 3 3 8" xfId="21738"/>
    <cellStyle name="Currency 3 3 4" xfId="6039"/>
    <cellStyle name="Currency 3 3 4 2" xfId="6040"/>
    <cellStyle name="Currency 3 3 4 2 2" xfId="13179"/>
    <cellStyle name="Currency 3 3 4 2 3" xfId="21727"/>
    <cellStyle name="Currency 3 3 4 3" xfId="6041"/>
    <cellStyle name="Currency 3 3 4 3 2" xfId="17029"/>
    <cellStyle name="Currency 3 3 4 3 3" xfId="21726"/>
    <cellStyle name="Currency 3 3 4 4" xfId="9879"/>
    <cellStyle name="Currency 3 3 4 5" xfId="21728"/>
    <cellStyle name="Currency 3 3 5" xfId="6042"/>
    <cellStyle name="Currency 3 3 5 2" xfId="6043"/>
    <cellStyle name="Currency 3 3 5 2 2" xfId="11381"/>
    <cellStyle name="Currency 3 3 5 2 3" xfId="21724"/>
    <cellStyle name="Currency 3 3 5 3" xfId="6044"/>
    <cellStyle name="Currency 3 3 5 3 2" xfId="17155"/>
    <cellStyle name="Currency 3 3 5 3 2 2" xfId="30514"/>
    <cellStyle name="Currency 3 3 5 3 3" xfId="21723"/>
    <cellStyle name="Currency 3 3 5 4" xfId="9880"/>
    <cellStyle name="Currency 3 3 5 5" xfId="21725"/>
    <cellStyle name="Currency 3 3 6" xfId="6045"/>
    <cellStyle name="Currency 3 3 6 2" xfId="6046"/>
    <cellStyle name="Currency 3 3 6 2 2" xfId="15638"/>
    <cellStyle name="Currency 3 3 6 2 3" xfId="21721"/>
    <cellStyle name="Currency 3 3 6 3" xfId="6047"/>
    <cellStyle name="Currency 3 3 6 3 2" xfId="17244"/>
    <cellStyle name="Currency 3 3 6 3 2 2" xfId="30603"/>
    <cellStyle name="Currency 3 3 6 3 3" xfId="21720"/>
    <cellStyle name="Currency 3 3 6 4" xfId="11892"/>
    <cellStyle name="Currency 3 3 6 4 2" xfId="25607"/>
    <cellStyle name="Currency 3 3 6 5" xfId="21722"/>
    <cellStyle name="Currency 3 3 7" xfId="6048"/>
    <cellStyle name="Currency 3 3 7 2" xfId="6049"/>
    <cellStyle name="Currency 3 3 7 2 2" xfId="16519"/>
    <cellStyle name="Currency 3 3 7 2 2 2" xfId="29926"/>
    <cellStyle name="Currency 3 3 7 2 3" xfId="21718"/>
    <cellStyle name="Currency 3 3 7 3" xfId="13471"/>
    <cellStyle name="Currency 3 3 7 3 2" xfId="27020"/>
    <cellStyle name="Currency 3 3 7 4" xfId="21719"/>
    <cellStyle name="Currency 3 3 8" xfId="6050"/>
    <cellStyle name="Currency 3 3 8 2" xfId="14052"/>
    <cellStyle name="Currency 3 3 8 2 2" xfId="27601"/>
    <cellStyle name="Currency 3 3 8 3" xfId="21717"/>
    <cellStyle name="Currency 3 3 9" xfId="6051"/>
    <cellStyle name="Currency 3 3 9 2" xfId="15938"/>
    <cellStyle name="Currency 3 3 9 2 2" xfId="29345"/>
    <cellStyle name="Currency 3 3 9 3" xfId="21716"/>
    <cellStyle name="Currency 3 30" xfId="21901"/>
    <cellStyle name="Currency 3 4" xfId="6052"/>
    <cellStyle name="Currency 3 4 10" xfId="9881"/>
    <cellStyle name="Currency 3 4 11" xfId="21715"/>
    <cellStyle name="Currency 3 4 2" xfId="6053"/>
    <cellStyle name="Currency 3 4 2 2" xfId="6054"/>
    <cellStyle name="Currency 3 4 2 2 2" xfId="6055"/>
    <cellStyle name="Currency 3 4 2 2 2 2" xfId="6056"/>
    <cellStyle name="Currency 3 4 2 2 2 2 2" xfId="11382"/>
    <cellStyle name="Currency 3 4 2 2 2 2 3" xfId="21711"/>
    <cellStyle name="Currency 3 4 2 2 2 3" xfId="6057"/>
    <cellStyle name="Currency 3 4 2 2 2 3 2" xfId="16905"/>
    <cellStyle name="Currency 3 4 2 2 2 3 2 2" xfId="30312"/>
    <cellStyle name="Currency 3 4 2 2 2 3 3" xfId="21710"/>
    <cellStyle name="Currency 3 4 2 2 2 4" xfId="9884"/>
    <cellStyle name="Currency 3 4 2 2 2 5" xfId="21712"/>
    <cellStyle name="Currency 3 4 2 2 3" xfId="6058"/>
    <cellStyle name="Currency 3 4 2 2 3 2" xfId="6059"/>
    <cellStyle name="Currency 3 4 2 2 3 2 2" xfId="13180"/>
    <cellStyle name="Currency 3 4 2 2 3 2 3" xfId="21708"/>
    <cellStyle name="Currency 3 4 2 2 3 3" xfId="12293"/>
    <cellStyle name="Currency 3 4 2 2 3 3 2" xfId="26005"/>
    <cellStyle name="Currency 3 4 2 2 3 4" xfId="21709"/>
    <cellStyle name="Currency 3 4 2 2 4" xfId="6060"/>
    <cellStyle name="Currency 3 4 2 2 4 2" xfId="6061"/>
    <cellStyle name="Currency 3 4 2 2 4 2 2" xfId="15639"/>
    <cellStyle name="Currency 3 4 2 2 4 2 3" xfId="21706"/>
    <cellStyle name="Currency 3 4 2 2 4 3" xfId="13857"/>
    <cellStyle name="Currency 3 4 2 2 4 3 2" xfId="27406"/>
    <cellStyle name="Currency 3 4 2 2 4 4" xfId="21707"/>
    <cellStyle name="Currency 3 4 2 2 5" xfId="6062"/>
    <cellStyle name="Currency 3 4 2 2 5 2" xfId="14438"/>
    <cellStyle name="Currency 3 4 2 2 5 2 2" xfId="27987"/>
    <cellStyle name="Currency 3 4 2 2 5 3" xfId="21705"/>
    <cellStyle name="Currency 3 4 2 2 6" xfId="6063"/>
    <cellStyle name="Currency 3 4 2 2 6 2" xfId="16324"/>
    <cellStyle name="Currency 3 4 2 2 6 2 2" xfId="29731"/>
    <cellStyle name="Currency 3 4 2 2 6 3" xfId="21704"/>
    <cellStyle name="Currency 3 4 2 2 7" xfId="9883"/>
    <cellStyle name="Currency 3 4 2 2 8" xfId="21713"/>
    <cellStyle name="Currency 3 4 2 3" xfId="6064"/>
    <cellStyle name="Currency 3 4 2 3 2" xfId="6065"/>
    <cellStyle name="Currency 3 4 2 3 2 2" xfId="11383"/>
    <cellStyle name="Currency 3 4 2 3 2 3" xfId="21702"/>
    <cellStyle name="Currency 3 4 2 3 3" xfId="6066"/>
    <cellStyle name="Currency 3 4 2 3 3 2" xfId="16616"/>
    <cellStyle name="Currency 3 4 2 3 3 2 2" xfId="30023"/>
    <cellStyle name="Currency 3 4 2 3 3 3" xfId="21701"/>
    <cellStyle name="Currency 3 4 2 3 4" xfId="9885"/>
    <cellStyle name="Currency 3 4 2 3 5" xfId="21703"/>
    <cellStyle name="Currency 3 4 2 4" xfId="6067"/>
    <cellStyle name="Currency 3 4 2 4 2" xfId="6068"/>
    <cellStyle name="Currency 3 4 2 4 2 2" xfId="13181"/>
    <cellStyle name="Currency 3 4 2 4 2 3" xfId="21699"/>
    <cellStyle name="Currency 3 4 2 4 3" xfId="11993"/>
    <cellStyle name="Currency 3 4 2 4 3 2" xfId="25708"/>
    <cellStyle name="Currency 3 4 2 4 4" xfId="21700"/>
    <cellStyle name="Currency 3 4 2 5" xfId="6069"/>
    <cellStyle name="Currency 3 4 2 5 2" xfId="6070"/>
    <cellStyle name="Currency 3 4 2 5 2 2" xfId="15640"/>
    <cellStyle name="Currency 3 4 2 5 2 3" xfId="21697"/>
    <cellStyle name="Currency 3 4 2 5 3" xfId="13568"/>
    <cellStyle name="Currency 3 4 2 5 3 2" xfId="27117"/>
    <cellStyle name="Currency 3 4 2 5 4" xfId="21698"/>
    <cellStyle name="Currency 3 4 2 6" xfId="6071"/>
    <cellStyle name="Currency 3 4 2 6 2" xfId="14149"/>
    <cellStyle name="Currency 3 4 2 6 2 2" xfId="27698"/>
    <cellStyle name="Currency 3 4 2 6 3" xfId="21696"/>
    <cellStyle name="Currency 3 4 2 7" xfId="6072"/>
    <cellStyle name="Currency 3 4 2 7 2" xfId="16035"/>
    <cellStyle name="Currency 3 4 2 7 2 2" xfId="29442"/>
    <cellStyle name="Currency 3 4 2 7 3" xfId="21695"/>
    <cellStyle name="Currency 3 4 2 8" xfId="9882"/>
    <cellStyle name="Currency 3 4 2 9" xfId="21714"/>
    <cellStyle name="Currency 3 4 3" xfId="6073"/>
    <cellStyle name="Currency 3 4 3 2" xfId="6074"/>
    <cellStyle name="Currency 3 4 3 2 2" xfId="6075"/>
    <cellStyle name="Currency 3 4 3 2 2 2" xfId="11384"/>
    <cellStyle name="Currency 3 4 3 2 2 3" xfId="21692"/>
    <cellStyle name="Currency 3 4 3 2 3" xfId="6076"/>
    <cellStyle name="Currency 3 4 3 2 3 2" xfId="16765"/>
    <cellStyle name="Currency 3 4 3 2 3 2 2" xfId="30172"/>
    <cellStyle name="Currency 3 4 3 2 3 3" xfId="21691"/>
    <cellStyle name="Currency 3 4 3 2 4" xfId="9887"/>
    <cellStyle name="Currency 3 4 3 2 5" xfId="21693"/>
    <cellStyle name="Currency 3 4 3 3" xfId="6077"/>
    <cellStyle name="Currency 3 4 3 3 2" xfId="6078"/>
    <cellStyle name="Currency 3 4 3 3 2 2" xfId="13182"/>
    <cellStyle name="Currency 3 4 3 3 2 3" xfId="21689"/>
    <cellStyle name="Currency 3 4 3 3 3" xfId="12153"/>
    <cellStyle name="Currency 3 4 3 3 3 2" xfId="25865"/>
    <cellStyle name="Currency 3 4 3 3 4" xfId="21690"/>
    <cellStyle name="Currency 3 4 3 4" xfId="6079"/>
    <cellStyle name="Currency 3 4 3 4 2" xfId="6080"/>
    <cellStyle name="Currency 3 4 3 4 2 2" xfId="15641"/>
    <cellStyle name="Currency 3 4 3 4 2 3" xfId="21687"/>
    <cellStyle name="Currency 3 4 3 4 3" xfId="13717"/>
    <cellStyle name="Currency 3 4 3 4 3 2" xfId="27266"/>
    <cellStyle name="Currency 3 4 3 4 4" xfId="21688"/>
    <cellStyle name="Currency 3 4 3 5" xfId="6081"/>
    <cellStyle name="Currency 3 4 3 5 2" xfId="14298"/>
    <cellStyle name="Currency 3 4 3 5 2 2" xfId="27847"/>
    <cellStyle name="Currency 3 4 3 5 3" xfId="21686"/>
    <cellStyle name="Currency 3 4 3 6" xfId="6082"/>
    <cellStyle name="Currency 3 4 3 6 2" xfId="16184"/>
    <cellStyle name="Currency 3 4 3 6 2 2" xfId="29591"/>
    <cellStyle name="Currency 3 4 3 6 3" xfId="21685"/>
    <cellStyle name="Currency 3 4 3 7" xfId="9886"/>
    <cellStyle name="Currency 3 4 3 8" xfId="21694"/>
    <cellStyle name="Currency 3 4 4" xfId="6083"/>
    <cellStyle name="Currency 3 4 4 2" xfId="6084"/>
    <cellStyle name="Currency 3 4 4 2 2" xfId="16473"/>
    <cellStyle name="Currency 3 4 4 2 2 2" xfId="29880"/>
    <cellStyle name="Currency 3 4 4 2 3" xfId="21683"/>
    <cellStyle name="Currency 3 4 4 3" xfId="9888"/>
    <cellStyle name="Currency 3 4 4 4" xfId="21684"/>
    <cellStyle name="Currency 3 4 5" xfId="6085"/>
    <cellStyle name="Currency 3 4 5 2" xfId="6086"/>
    <cellStyle name="Currency 3 4 5 2 2" xfId="11385"/>
    <cellStyle name="Currency 3 4 5 2 3" xfId="21681"/>
    <cellStyle name="Currency 3 4 5 3" xfId="9889"/>
    <cellStyle name="Currency 3 4 5 4" xfId="21682"/>
    <cellStyle name="Currency 3 4 6" xfId="6087"/>
    <cellStyle name="Currency 3 4 6 2" xfId="6088"/>
    <cellStyle name="Currency 3 4 6 2 2" xfId="13183"/>
    <cellStyle name="Currency 3 4 6 2 3" xfId="21679"/>
    <cellStyle name="Currency 3 4 6 3" xfId="11824"/>
    <cellStyle name="Currency 3 4 6 3 2" xfId="25539"/>
    <cellStyle name="Currency 3 4 6 4" xfId="21680"/>
    <cellStyle name="Currency 3 4 7" xfId="6089"/>
    <cellStyle name="Currency 3 4 7 2" xfId="6090"/>
    <cellStyle name="Currency 3 4 7 2 2" xfId="15642"/>
    <cellStyle name="Currency 3 4 7 2 3" xfId="21677"/>
    <cellStyle name="Currency 3 4 7 3" xfId="13425"/>
    <cellStyle name="Currency 3 4 7 3 2" xfId="26974"/>
    <cellStyle name="Currency 3 4 7 4" xfId="21678"/>
    <cellStyle name="Currency 3 4 8" xfId="6091"/>
    <cellStyle name="Currency 3 4 8 2" xfId="14006"/>
    <cellStyle name="Currency 3 4 8 2 2" xfId="27555"/>
    <cellStyle name="Currency 3 4 8 3" xfId="21676"/>
    <cellStyle name="Currency 3 4 9" xfId="6092"/>
    <cellStyle name="Currency 3 4 9 2" xfId="15892"/>
    <cellStyle name="Currency 3 4 9 2 2" xfId="29299"/>
    <cellStyle name="Currency 3 4 9 3" xfId="21675"/>
    <cellStyle name="Currency 3 5" xfId="6093"/>
    <cellStyle name="Currency 3 5 10" xfId="9890"/>
    <cellStyle name="Currency 3 5 11" xfId="21674"/>
    <cellStyle name="Currency 3 5 2" xfId="6094"/>
    <cellStyle name="Currency 3 5 2 2" xfId="6095"/>
    <cellStyle name="Currency 3 5 2 2 2" xfId="6096"/>
    <cellStyle name="Currency 3 5 2 2 2 2" xfId="6097"/>
    <cellStyle name="Currency 3 5 2 2 2 2 2" xfId="11386"/>
    <cellStyle name="Currency 3 5 2 2 2 2 3" xfId="21670"/>
    <cellStyle name="Currency 3 5 2 2 2 3" xfId="6098"/>
    <cellStyle name="Currency 3 5 2 2 2 3 2" xfId="16888"/>
    <cellStyle name="Currency 3 5 2 2 2 3 2 2" xfId="30295"/>
    <cellStyle name="Currency 3 5 2 2 2 3 3" xfId="21669"/>
    <cellStyle name="Currency 3 5 2 2 2 4" xfId="9893"/>
    <cellStyle name="Currency 3 5 2 2 2 5" xfId="21671"/>
    <cellStyle name="Currency 3 5 2 2 3" xfId="6099"/>
    <cellStyle name="Currency 3 5 2 2 3 2" xfId="6100"/>
    <cellStyle name="Currency 3 5 2 2 3 2 2" xfId="13184"/>
    <cellStyle name="Currency 3 5 2 2 3 2 3" xfId="21667"/>
    <cellStyle name="Currency 3 5 2 2 3 3" xfId="12276"/>
    <cellStyle name="Currency 3 5 2 2 3 3 2" xfId="25988"/>
    <cellStyle name="Currency 3 5 2 2 3 4" xfId="21668"/>
    <cellStyle name="Currency 3 5 2 2 4" xfId="6101"/>
    <cellStyle name="Currency 3 5 2 2 4 2" xfId="6102"/>
    <cellStyle name="Currency 3 5 2 2 4 2 2" xfId="15643"/>
    <cellStyle name="Currency 3 5 2 2 4 2 3" xfId="21665"/>
    <cellStyle name="Currency 3 5 2 2 4 3" xfId="13840"/>
    <cellStyle name="Currency 3 5 2 2 4 3 2" xfId="27389"/>
    <cellStyle name="Currency 3 5 2 2 4 4" xfId="21666"/>
    <cellStyle name="Currency 3 5 2 2 5" xfId="6103"/>
    <cellStyle name="Currency 3 5 2 2 5 2" xfId="14421"/>
    <cellStyle name="Currency 3 5 2 2 5 2 2" xfId="27970"/>
    <cellStyle name="Currency 3 5 2 2 5 3" xfId="21664"/>
    <cellStyle name="Currency 3 5 2 2 6" xfId="6104"/>
    <cellStyle name="Currency 3 5 2 2 6 2" xfId="16307"/>
    <cellStyle name="Currency 3 5 2 2 6 2 2" xfId="29714"/>
    <cellStyle name="Currency 3 5 2 2 6 3" xfId="21663"/>
    <cellStyle name="Currency 3 5 2 2 7" xfId="9892"/>
    <cellStyle name="Currency 3 5 2 2 8" xfId="21672"/>
    <cellStyle name="Currency 3 5 2 3" xfId="6105"/>
    <cellStyle name="Currency 3 5 2 3 2" xfId="6106"/>
    <cellStyle name="Currency 3 5 2 3 2 2" xfId="11387"/>
    <cellStyle name="Currency 3 5 2 3 2 3" xfId="21661"/>
    <cellStyle name="Currency 3 5 2 3 3" xfId="6107"/>
    <cellStyle name="Currency 3 5 2 3 3 2" xfId="16599"/>
    <cellStyle name="Currency 3 5 2 3 3 2 2" xfId="30006"/>
    <cellStyle name="Currency 3 5 2 3 3 3" xfId="21660"/>
    <cellStyle name="Currency 3 5 2 3 4" xfId="9894"/>
    <cellStyle name="Currency 3 5 2 3 5" xfId="21662"/>
    <cellStyle name="Currency 3 5 2 4" xfId="6108"/>
    <cellStyle name="Currency 3 5 2 4 2" xfId="6109"/>
    <cellStyle name="Currency 3 5 2 4 2 2" xfId="13185"/>
    <cellStyle name="Currency 3 5 2 4 2 3" xfId="21658"/>
    <cellStyle name="Currency 3 5 2 4 3" xfId="11976"/>
    <cellStyle name="Currency 3 5 2 4 3 2" xfId="25691"/>
    <cellStyle name="Currency 3 5 2 4 4" xfId="21659"/>
    <cellStyle name="Currency 3 5 2 5" xfId="6110"/>
    <cellStyle name="Currency 3 5 2 5 2" xfId="6111"/>
    <cellStyle name="Currency 3 5 2 5 2 2" xfId="15644"/>
    <cellStyle name="Currency 3 5 2 5 2 3" xfId="21656"/>
    <cellStyle name="Currency 3 5 2 5 3" xfId="13551"/>
    <cellStyle name="Currency 3 5 2 5 3 2" xfId="27100"/>
    <cellStyle name="Currency 3 5 2 5 4" xfId="21657"/>
    <cellStyle name="Currency 3 5 2 6" xfId="6112"/>
    <cellStyle name="Currency 3 5 2 6 2" xfId="14132"/>
    <cellStyle name="Currency 3 5 2 6 2 2" xfId="27681"/>
    <cellStyle name="Currency 3 5 2 6 3" xfId="21655"/>
    <cellStyle name="Currency 3 5 2 7" xfId="6113"/>
    <cellStyle name="Currency 3 5 2 7 2" xfId="16018"/>
    <cellStyle name="Currency 3 5 2 7 2 2" xfId="29425"/>
    <cellStyle name="Currency 3 5 2 7 3" xfId="21654"/>
    <cellStyle name="Currency 3 5 2 8" xfId="9891"/>
    <cellStyle name="Currency 3 5 2 9" xfId="21673"/>
    <cellStyle name="Currency 3 5 3" xfId="6114"/>
    <cellStyle name="Currency 3 5 3 2" xfId="6115"/>
    <cellStyle name="Currency 3 5 3 2 2" xfId="6116"/>
    <cellStyle name="Currency 3 5 3 2 2 2" xfId="11388"/>
    <cellStyle name="Currency 3 5 3 2 2 3" xfId="21651"/>
    <cellStyle name="Currency 3 5 3 2 3" xfId="6117"/>
    <cellStyle name="Currency 3 5 3 2 3 2" xfId="16748"/>
    <cellStyle name="Currency 3 5 3 2 3 2 2" xfId="30155"/>
    <cellStyle name="Currency 3 5 3 2 3 3" xfId="21650"/>
    <cellStyle name="Currency 3 5 3 2 4" xfId="9896"/>
    <cellStyle name="Currency 3 5 3 2 5" xfId="21652"/>
    <cellStyle name="Currency 3 5 3 3" xfId="6118"/>
    <cellStyle name="Currency 3 5 3 3 2" xfId="6119"/>
    <cellStyle name="Currency 3 5 3 3 2 2" xfId="13186"/>
    <cellStyle name="Currency 3 5 3 3 2 3" xfId="21648"/>
    <cellStyle name="Currency 3 5 3 3 3" xfId="12136"/>
    <cellStyle name="Currency 3 5 3 3 3 2" xfId="25848"/>
    <cellStyle name="Currency 3 5 3 3 4" xfId="21649"/>
    <cellStyle name="Currency 3 5 3 4" xfId="6120"/>
    <cellStyle name="Currency 3 5 3 4 2" xfId="6121"/>
    <cellStyle name="Currency 3 5 3 4 2 2" xfId="15645"/>
    <cellStyle name="Currency 3 5 3 4 2 3" xfId="21646"/>
    <cellStyle name="Currency 3 5 3 4 3" xfId="13700"/>
    <cellStyle name="Currency 3 5 3 4 3 2" xfId="27249"/>
    <cellStyle name="Currency 3 5 3 4 4" xfId="21647"/>
    <cellStyle name="Currency 3 5 3 5" xfId="6122"/>
    <cellStyle name="Currency 3 5 3 5 2" xfId="14281"/>
    <cellStyle name="Currency 3 5 3 5 2 2" xfId="27830"/>
    <cellStyle name="Currency 3 5 3 5 3" xfId="21645"/>
    <cellStyle name="Currency 3 5 3 6" xfId="6123"/>
    <cellStyle name="Currency 3 5 3 6 2" xfId="16167"/>
    <cellStyle name="Currency 3 5 3 6 2 2" xfId="29574"/>
    <cellStyle name="Currency 3 5 3 6 3" xfId="21644"/>
    <cellStyle name="Currency 3 5 3 7" xfId="9895"/>
    <cellStyle name="Currency 3 5 3 8" xfId="21653"/>
    <cellStyle name="Currency 3 5 4" xfId="6124"/>
    <cellStyle name="Currency 3 5 4 2" xfId="6125"/>
    <cellStyle name="Currency 3 5 4 2 2" xfId="16456"/>
    <cellStyle name="Currency 3 5 4 2 2 2" xfId="29863"/>
    <cellStyle name="Currency 3 5 4 2 3" xfId="21642"/>
    <cellStyle name="Currency 3 5 4 3" xfId="9897"/>
    <cellStyle name="Currency 3 5 4 4" xfId="21643"/>
    <cellStyle name="Currency 3 5 5" xfId="6126"/>
    <cellStyle name="Currency 3 5 5 2" xfId="6127"/>
    <cellStyle name="Currency 3 5 5 2 2" xfId="11389"/>
    <cellStyle name="Currency 3 5 5 2 3" xfId="21640"/>
    <cellStyle name="Currency 3 5 5 3" xfId="9898"/>
    <cellStyle name="Currency 3 5 5 4" xfId="21641"/>
    <cellStyle name="Currency 3 5 6" xfId="6128"/>
    <cellStyle name="Currency 3 5 6 2" xfId="6129"/>
    <cellStyle name="Currency 3 5 6 2 2" xfId="13187"/>
    <cellStyle name="Currency 3 5 6 2 3" xfId="21638"/>
    <cellStyle name="Currency 3 5 6 3" xfId="11807"/>
    <cellStyle name="Currency 3 5 6 3 2" xfId="25522"/>
    <cellStyle name="Currency 3 5 6 4" xfId="21639"/>
    <cellStyle name="Currency 3 5 7" xfId="6130"/>
    <cellStyle name="Currency 3 5 7 2" xfId="6131"/>
    <cellStyle name="Currency 3 5 7 2 2" xfId="15646"/>
    <cellStyle name="Currency 3 5 7 2 3" xfId="21636"/>
    <cellStyle name="Currency 3 5 7 3" xfId="13408"/>
    <cellStyle name="Currency 3 5 7 3 2" xfId="26957"/>
    <cellStyle name="Currency 3 5 7 4" xfId="21637"/>
    <cellStyle name="Currency 3 5 8" xfId="6132"/>
    <cellStyle name="Currency 3 5 8 2" xfId="13989"/>
    <cellStyle name="Currency 3 5 8 2 2" xfId="27538"/>
    <cellStyle name="Currency 3 5 8 3" xfId="21635"/>
    <cellStyle name="Currency 3 5 9" xfId="6133"/>
    <cellStyle name="Currency 3 5 9 2" xfId="15875"/>
    <cellStyle name="Currency 3 5 9 2 2" xfId="29282"/>
    <cellStyle name="Currency 3 5 9 3" xfId="21634"/>
    <cellStyle name="Currency 3 6" xfId="6134"/>
    <cellStyle name="Currency 3 6 10" xfId="9899"/>
    <cellStyle name="Currency 3 6 11" xfId="21633"/>
    <cellStyle name="Currency 3 6 2" xfId="6135"/>
    <cellStyle name="Currency 3 6 2 2" xfId="6136"/>
    <cellStyle name="Currency 3 6 2 2 2" xfId="6137"/>
    <cellStyle name="Currency 3 6 2 2 2 2" xfId="6138"/>
    <cellStyle name="Currency 3 6 2 2 2 2 2" xfId="11390"/>
    <cellStyle name="Currency 3 6 2 2 2 2 3" xfId="21629"/>
    <cellStyle name="Currency 3 6 2 2 2 3" xfId="6139"/>
    <cellStyle name="Currency 3 6 2 2 2 3 2" xfId="16994"/>
    <cellStyle name="Currency 3 6 2 2 2 3 2 2" xfId="30401"/>
    <cellStyle name="Currency 3 6 2 2 2 3 3" xfId="21628"/>
    <cellStyle name="Currency 3 6 2 2 2 4" xfId="9902"/>
    <cellStyle name="Currency 3 6 2 2 2 5" xfId="21630"/>
    <cellStyle name="Currency 3 6 2 2 3" xfId="6140"/>
    <cellStyle name="Currency 3 6 2 2 3 2" xfId="6141"/>
    <cellStyle name="Currency 3 6 2 2 3 2 2" xfId="13188"/>
    <cellStyle name="Currency 3 6 2 2 3 2 3" xfId="21626"/>
    <cellStyle name="Currency 3 6 2 2 3 3" xfId="12382"/>
    <cellStyle name="Currency 3 6 2 2 3 3 2" xfId="26094"/>
    <cellStyle name="Currency 3 6 2 2 3 4" xfId="21627"/>
    <cellStyle name="Currency 3 6 2 2 4" xfId="6142"/>
    <cellStyle name="Currency 3 6 2 2 4 2" xfId="6143"/>
    <cellStyle name="Currency 3 6 2 2 4 2 2" xfId="15647"/>
    <cellStyle name="Currency 3 6 2 2 4 2 3" xfId="21624"/>
    <cellStyle name="Currency 3 6 2 2 4 3" xfId="13946"/>
    <cellStyle name="Currency 3 6 2 2 4 3 2" xfId="27495"/>
    <cellStyle name="Currency 3 6 2 2 4 4" xfId="21625"/>
    <cellStyle name="Currency 3 6 2 2 5" xfId="6144"/>
    <cellStyle name="Currency 3 6 2 2 5 2" xfId="14527"/>
    <cellStyle name="Currency 3 6 2 2 5 2 2" xfId="28076"/>
    <cellStyle name="Currency 3 6 2 2 5 3" xfId="21623"/>
    <cellStyle name="Currency 3 6 2 2 6" xfId="6145"/>
    <cellStyle name="Currency 3 6 2 2 6 2" xfId="16413"/>
    <cellStyle name="Currency 3 6 2 2 6 2 2" xfId="29820"/>
    <cellStyle name="Currency 3 6 2 2 6 3" xfId="21622"/>
    <cellStyle name="Currency 3 6 2 2 7" xfId="9901"/>
    <cellStyle name="Currency 3 6 2 2 8" xfId="21631"/>
    <cellStyle name="Currency 3 6 2 3" xfId="6146"/>
    <cellStyle name="Currency 3 6 2 3 2" xfId="6147"/>
    <cellStyle name="Currency 3 6 2 3 2 2" xfId="11391"/>
    <cellStyle name="Currency 3 6 2 3 2 3" xfId="21620"/>
    <cellStyle name="Currency 3 6 2 3 3" xfId="6148"/>
    <cellStyle name="Currency 3 6 2 3 3 2" xfId="16705"/>
    <cellStyle name="Currency 3 6 2 3 3 2 2" xfId="30112"/>
    <cellStyle name="Currency 3 6 2 3 3 3" xfId="21619"/>
    <cellStyle name="Currency 3 6 2 3 4" xfId="9903"/>
    <cellStyle name="Currency 3 6 2 3 5" xfId="21621"/>
    <cellStyle name="Currency 3 6 2 4" xfId="6149"/>
    <cellStyle name="Currency 3 6 2 4 2" xfId="6150"/>
    <cellStyle name="Currency 3 6 2 4 2 2" xfId="13189"/>
    <cellStyle name="Currency 3 6 2 4 2 3" xfId="21617"/>
    <cellStyle name="Currency 3 6 2 4 3" xfId="12082"/>
    <cellStyle name="Currency 3 6 2 4 3 2" xfId="25797"/>
    <cellStyle name="Currency 3 6 2 4 4" xfId="21618"/>
    <cellStyle name="Currency 3 6 2 5" xfId="6151"/>
    <cellStyle name="Currency 3 6 2 5 2" xfId="6152"/>
    <cellStyle name="Currency 3 6 2 5 2 2" xfId="15648"/>
    <cellStyle name="Currency 3 6 2 5 2 3" xfId="21615"/>
    <cellStyle name="Currency 3 6 2 5 3" xfId="13657"/>
    <cellStyle name="Currency 3 6 2 5 3 2" xfId="27206"/>
    <cellStyle name="Currency 3 6 2 5 4" xfId="21616"/>
    <cellStyle name="Currency 3 6 2 6" xfId="6153"/>
    <cellStyle name="Currency 3 6 2 6 2" xfId="14238"/>
    <cellStyle name="Currency 3 6 2 6 2 2" xfId="27787"/>
    <cellStyle name="Currency 3 6 2 6 3" xfId="21614"/>
    <cellStyle name="Currency 3 6 2 7" xfId="6154"/>
    <cellStyle name="Currency 3 6 2 7 2" xfId="16124"/>
    <cellStyle name="Currency 3 6 2 7 2 2" xfId="29531"/>
    <cellStyle name="Currency 3 6 2 7 3" xfId="21613"/>
    <cellStyle name="Currency 3 6 2 8" xfId="9900"/>
    <cellStyle name="Currency 3 6 2 9" xfId="21632"/>
    <cellStyle name="Currency 3 6 3" xfId="6155"/>
    <cellStyle name="Currency 3 6 3 2" xfId="6156"/>
    <cellStyle name="Currency 3 6 3 2 2" xfId="6157"/>
    <cellStyle name="Currency 3 6 3 2 2 2" xfId="11392"/>
    <cellStyle name="Currency 3 6 3 2 2 3" xfId="21610"/>
    <cellStyle name="Currency 3 6 3 2 3" xfId="6158"/>
    <cellStyle name="Currency 3 6 3 2 3 2" xfId="16851"/>
    <cellStyle name="Currency 3 6 3 2 3 2 2" xfId="30258"/>
    <cellStyle name="Currency 3 6 3 2 3 3" xfId="21609"/>
    <cellStyle name="Currency 3 6 3 2 4" xfId="9905"/>
    <cellStyle name="Currency 3 6 3 2 5" xfId="21611"/>
    <cellStyle name="Currency 3 6 3 3" xfId="6159"/>
    <cellStyle name="Currency 3 6 3 3 2" xfId="6160"/>
    <cellStyle name="Currency 3 6 3 3 2 2" xfId="13190"/>
    <cellStyle name="Currency 3 6 3 3 2 3" xfId="21607"/>
    <cellStyle name="Currency 3 6 3 3 3" xfId="12239"/>
    <cellStyle name="Currency 3 6 3 3 3 2" xfId="25951"/>
    <cellStyle name="Currency 3 6 3 3 4" xfId="21608"/>
    <cellStyle name="Currency 3 6 3 4" xfId="6161"/>
    <cellStyle name="Currency 3 6 3 4 2" xfId="6162"/>
    <cellStyle name="Currency 3 6 3 4 2 2" xfId="15649"/>
    <cellStyle name="Currency 3 6 3 4 2 3" xfId="21605"/>
    <cellStyle name="Currency 3 6 3 4 3" xfId="13803"/>
    <cellStyle name="Currency 3 6 3 4 3 2" xfId="27352"/>
    <cellStyle name="Currency 3 6 3 4 4" xfId="21606"/>
    <cellStyle name="Currency 3 6 3 5" xfId="6163"/>
    <cellStyle name="Currency 3 6 3 5 2" xfId="14384"/>
    <cellStyle name="Currency 3 6 3 5 2 2" xfId="27933"/>
    <cellStyle name="Currency 3 6 3 5 3" xfId="21604"/>
    <cellStyle name="Currency 3 6 3 6" xfId="6164"/>
    <cellStyle name="Currency 3 6 3 6 2" xfId="16270"/>
    <cellStyle name="Currency 3 6 3 6 2 2" xfId="29677"/>
    <cellStyle name="Currency 3 6 3 6 3" xfId="21603"/>
    <cellStyle name="Currency 3 6 3 7" xfId="9904"/>
    <cellStyle name="Currency 3 6 3 8" xfId="21612"/>
    <cellStyle name="Currency 3 6 4" xfId="6165"/>
    <cellStyle name="Currency 3 6 4 2" xfId="6166"/>
    <cellStyle name="Currency 3 6 4 2 2" xfId="16562"/>
    <cellStyle name="Currency 3 6 4 2 2 2" xfId="29969"/>
    <cellStyle name="Currency 3 6 4 2 3" xfId="21601"/>
    <cellStyle name="Currency 3 6 4 3" xfId="9906"/>
    <cellStyle name="Currency 3 6 4 4" xfId="21602"/>
    <cellStyle name="Currency 3 6 5" xfId="6167"/>
    <cellStyle name="Currency 3 6 5 2" xfId="6168"/>
    <cellStyle name="Currency 3 6 5 2 2" xfId="11393"/>
    <cellStyle name="Currency 3 6 5 2 3" xfId="21599"/>
    <cellStyle name="Currency 3 6 5 3" xfId="9907"/>
    <cellStyle name="Currency 3 6 5 4" xfId="21600"/>
    <cellStyle name="Currency 3 6 6" xfId="6169"/>
    <cellStyle name="Currency 3 6 6 2" xfId="6170"/>
    <cellStyle name="Currency 3 6 6 2 2" xfId="13191"/>
    <cellStyle name="Currency 3 6 6 2 3" xfId="21597"/>
    <cellStyle name="Currency 3 6 6 3" xfId="11937"/>
    <cellStyle name="Currency 3 6 6 3 2" xfId="25652"/>
    <cellStyle name="Currency 3 6 6 4" xfId="21598"/>
    <cellStyle name="Currency 3 6 7" xfId="6171"/>
    <cellStyle name="Currency 3 6 7 2" xfId="6172"/>
    <cellStyle name="Currency 3 6 7 2 2" xfId="15650"/>
    <cellStyle name="Currency 3 6 7 2 3" xfId="21595"/>
    <cellStyle name="Currency 3 6 7 3" xfId="13514"/>
    <cellStyle name="Currency 3 6 7 3 2" xfId="27063"/>
    <cellStyle name="Currency 3 6 7 4" xfId="21596"/>
    <cellStyle name="Currency 3 6 8" xfId="6173"/>
    <cellStyle name="Currency 3 6 8 2" xfId="14095"/>
    <cellStyle name="Currency 3 6 8 2 2" xfId="27644"/>
    <cellStyle name="Currency 3 6 8 3" xfId="21594"/>
    <cellStyle name="Currency 3 6 9" xfId="6174"/>
    <cellStyle name="Currency 3 6 9 2" xfId="15981"/>
    <cellStyle name="Currency 3 6 9 2 2" xfId="29388"/>
    <cellStyle name="Currency 3 6 9 3" xfId="21593"/>
    <cellStyle name="Currency 3 7" xfId="6175"/>
    <cellStyle name="Currency 3 7 2" xfId="6176"/>
    <cellStyle name="Currency 3 7 2 2" xfId="6177"/>
    <cellStyle name="Currency 3 7 2 2 2" xfId="6178"/>
    <cellStyle name="Currency 3 7 2 2 2 2" xfId="11394"/>
    <cellStyle name="Currency 3 7 2 2 2 3" xfId="21589"/>
    <cellStyle name="Currency 3 7 2 2 3" xfId="6179"/>
    <cellStyle name="Currency 3 7 2 2 3 2" xfId="16871"/>
    <cellStyle name="Currency 3 7 2 2 3 2 2" xfId="30278"/>
    <cellStyle name="Currency 3 7 2 2 3 3" xfId="21588"/>
    <cellStyle name="Currency 3 7 2 2 4" xfId="9910"/>
    <cellStyle name="Currency 3 7 2 2 5" xfId="21590"/>
    <cellStyle name="Currency 3 7 2 3" xfId="6180"/>
    <cellStyle name="Currency 3 7 2 3 2" xfId="6181"/>
    <cellStyle name="Currency 3 7 2 3 2 2" xfId="13192"/>
    <cellStyle name="Currency 3 7 2 3 2 3" xfId="21586"/>
    <cellStyle name="Currency 3 7 2 3 3" xfId="12259"/>
    <cellStyle name="Currency 3 7 2 3 3 2" xfId="25971"/>
    <cellStyle name="Currency 3 7 2 3 4" xfId="21587"/>
    <cellStyle name="Currency 3 7 2 4" xfId="6182"/>
    <cellStyle name="Currency 3 7 2 4 2" xfId="6183"/>
    <cellStyle name="Currency 3 7 2 4 2 2" xfId="15651"/>
    <cellStyle name="Currency 3 7 2 4 2 3" xfId="21584"/>
    <cellStyle name="Currency 3 7 2 4 3" xfId="13823"/>
    <cellStyle name="Currency 3 7 2 4 3 2" xfId="27372"/>
    <cellStyle name="Currency 3 7 2 4 4" xfId="21585"/>
    <cellStyle name="Currency 3 7 2 5" xfId="6184"/>
    <cellStyle name="Currency 3 7 2 5 2" xfId="14404"/>
    <cellStyle name="Currency 3 7 2 5 2 2" xfId="27953"/>
    <cellStyle name="Currency 3 7 2 5 3" xfId="21583"/>
    <cellStyle name="Currency 3 7 2 6" xfId="6185"/>
    <cellStyle name="Currency 3 7 2 6 2" xfId="16290"/>
    <cellStyle name="Currency 3 7 2 6 2 2" xfId="29697"/>
    <cellStyle name="Currency 3 7 2 6 3" xfId="21582"/>
    <cellStyle name="Currency 3 7 2 7" xfId="9909"/>
    <cellStyle name="Currency 3 7 2 8" xfId="21591"/>
    <cellStyle name="Currency 3 7 3" xfId="6186"/>
    <cellStyle name="Currency 3 7 3 2" xfId="6187"/>
    <cellStyle name="Currency 3 7 3 2 2" xfId="11395"/>
    <cellStyle name="Currency 3 7 3 2 3" xfId="21580"/>
    <cellStyle name="Currency 3 7 3 3" xfId="6188"/>
    <cellStyle name="Currency 3 7 3 3 2" xfId="16582"/>
    <cellStyle name="Currency 3 7 3 3 2 2" xfId="29989"/>
    <cellStyle name="Currency 3 7 3 3 3" xfId="21579"/>
    <cellStyle name="Currency 3 7 3 4" xfId="9911"/>
    <cellStyle name="Currency 3 7 3 5" xfId="21581"/>
    <cellStyle name="Currency 3 7 4" xfId="6189"/>
    <cellStyle name="Currency 3 7 4 2" xfId="6190"/>
    <cellStyle name="Currency 3 7 4 2 2" xfId="13193"/>
    <cellStyle name="Currency 3 7 4 2 3" xfId="21577"/>
    <cellStyle name="Currency 3 7 4 3" xfId="11958"/>
    <cellStyle name="Currency 3 7 4 3 2" xfId="25673"/>
    <cellStyle name="Currency 3 7 4 4" xfId="21578"/>
    <cellStyle name="Currency 3 7 5" xfId="6191"/>
    <cellStyle name="Currency 3 7 5 2" xfId="6192"/>
    <cellStyle name="Currency 3 7 5 2 2" xfId="15652"/>
    <cellStyle name="Currency 3 7 5 2 3" xfId="21575"/>
    <cellStyle name="Currency 3 7 5 3" xfId="13534"/>
    <cellStyle name="Currency 3 7 5 3 2" xfId="27083"/>
    <cellStyle name="Currency 3 7 5 4" xfId="21576"/>
    <cellStyle name="Currency 3 7 6" xfId="6193"/>
    <cellStyle name="Currency 3 7 6 2" xfId="14115"/>
    <cellStyle name="Currency 3 7 6 2 2" xfId="27664"/>
    <cellStyle name="Currency 3 7 6 3" xfId="21574"/>
    <cellStyle name="Currency 3 7 7" xfId="6194"/>
    <cellStyle name="Currency 3 7 7 2" xfId="16001"/>
    <cellStyle name="Currency 3 7 7 2 2" xfId="29408"/>
    <cellStyle name="Currency 3 7 7 3" xfId="21573"/>
    <cellStyle name="Currency 3 7 8" xfId="9908"/>
    <cellStyle name="Currency 3 7 9" xfId="21592"/>
    <cellStyle name="Currency 3 8" xfId="6195"/>
    <cellStyle name="Currency 3 8 2" xfId="6196"/>
    <cellStyle name="Currency 3 8 2 2" xfId="6197"/>
    <cellStyle name="Currency 3 8 2 2 2" xfId="11396"/>
    <cellStyle name="Currency 3 8 2 2 3" xfId="21570"/>
    <cellStyle name="Currency 3 8 2 3" xfId="6198"/>
    <cellStyle name="Currency 3 8 2 3 2" xfId="16727"/>
    <cellStyle name="Currency 3 8 2 3 2 2" xfId="30134"/>
    <cellStyle name="Currency 3 8 2 3 3" xfId="21569"/>
    <cellStyle name="Currency 3 8 2 4" xfId="9913"/>
    <cellStyle name="Currency 3 8 2 5" xfId="21571"/>
    <cellStyle name="Currency 3 8 3" xfId="6199"/>
    <cellStyle name="Currency 3 8 3 2" xfId="6200"/>
    <cellStyle name="Currency 3 8 3 2 2" xfId="13194"/>
    <cellStyle name="Currency 3 8 3 2 3" xfId="21567"/>
    <cellStyle name="Currency 3 8 3 3" xfId="12110"/>
    <cellStyle name="Currency 3 8 3 3 2" xfId="25822"/>
    <cellStyle name="Currency 3 8 3 4" xfId="21568"/>
    <cellStyle name="Currency 3 8 4" xfId="6201"/>
    <cellStyle name="Currency 3 8 4 2" xfId="6202"/>
    <cellStyle name="Currency 3 8 4 2 2" xfId="15653"/>
    <cellStyle name="Currency 3 8 4 2 3" xfId="21565"/>
    <cellStyle name="Currency 3 8 4 3" xfId="13679"/>
    <cellStyle name="Currency 3 8 4 3 2" xfId="27228"/>
    <cellStyle name="Currency 3 8 4 4" xfId="21566"/>
    <cellStyle name="Currency 3 8 5" xfId="6203"/>
    <cellStyle name="Currency 3 8 5 2" xfId="14260"/>
    <cellStyle name="Currency 3 8 5 2 2" xfId="27809"/>
    <cellStyle name="Currency 3 8 5 3" xfId="21564"/>
    <cellStyle name="Currency 3 8 6" xfId="6204"/>
    <cellStyle name="Currency 3 8 6 2" xfId="16146"/>
    <cellStyle name="Currency 3 8 6 2 2" xfId="29553"/>
    <cellStyle name="Currency 3 8 6 3" xfId="21563"/>
    <cellStyle name="Currency 3 8 7" xfId="9912"/>
    <cellStyle name="Currency 3 8 8" xfId="21572"/>
    <cellStyle name="Currency 3 9" xfId="6205"/>
    <cellStyle name="Currency 3 9 2" xfId="6206"/>
    <cellStyle name="Currency 3 9 2 2" xfId="6207"/>
    <cellStyle name="Currency 3 9 2 2 2" xfId="11397"/>
    <cellStyle name="Currency 3 9 2 2 3" xfId="21560"/>
    <cellStyle name="Currency 3 9 2 3" xfId="6208"/>
    <cellStyle name="Currency 3 9 2 3 2" xfId="16735"/>
    <cellStyle name="Currency 3 9 2 3 2 2" xfId="30142"/>
    <cellStyle name="Currency 3 9 2 3 3" xfId="21559"/>
    <cellStyle name="Currency 3 9 2 4" xfId="9915"/>
    <cellStyle name="Currency 3 9 2 5" xfId="21561"/>
    <cellStyle name="Currency 3 9 3" xfId="6209"/>
    <cellStyle name="Currency 3 9 3 2" xfId="6210"/>
    <cellStyle name="Currency 3 9 3 2 2" xfId="13195"/>
    <cellStyle name="Currency 3 9 3 2 3" xfId="21557"/>
    <cellStyle name="Currency 3 9 3 3" xfId="12123"/>
    <cellStyle name="Currency 3 9 3 3 2" xfId="25835"/>
    <cellStyle name="Currency 3 9 3 4" xfId="21558"/>
    <cellStyle name="Currency 3 9 4" xfId="6211"/>
    <cellStyle name="Currency 3 9 4 2" xfId="6212"/>
    <cellStyle name="Currency 3 9 4 2 2" xfId="15654"/>
    <cellStyle name="Currency 3 9 4 2 3" xfId="21555"/>
    <cellStyle name="Currency 3 9 4 3" xfId="13687"/>
    <cellStyle name="Currency 3 9 4 3 2" xfId="27236"/>
    <cellStyle name="Currency 3 9 4 4" xfId="21556"/>
    <cellStyle name="Currency 3 9 5" xfId="6213"/>
    <cellStyle name="Currency 3 9 5 2" xfId="14268"/>
    <cellStyle name="Currency 3 9 5 2 2" xfId="27817"/>
    <cellStyle name="Currency 3 9 5 3" xfId="21554"/>
    <cellStyle name="Currency 3 9 6" xfId="6214"/>
    <cellStyle name="Currency 3 9 6 2" xfId="16154"/>
    <cellStyle name="Currency 3 9 6 2 2" xfId="29561"/>
    <cellStyle name="Currency 3 9 6 3" xfId="21553"/>
    <cellStyle name="Currency 3 9 7" xfId="9914"/>
    <cellStyle name="Currency 3 9 8" xfId="21562"/>
    <cellStyle name="Currency 4" xfId="6215"/>
    <cellStyle name="Currency 4 2" xfId="6216"/>
    <cellStyle name="Currency 4 2 2" xfId="6217"/>
    <cellStyle name="Currency 4 2 2 2" xfId="9918"/>
    <cellStyle name="Currency 4 2 2 3" xfId="21550"/>
    <cellStyle name="Currency 4 2 3" xfId="6218"/>
    <cellStyle name="Currency 4 2 3 2" xfId="13196"/>
    <cellStyle name="Currency 4 2 3 3" xfId="21549"/>
    <cellStyle name="Currency 4 2 4" xfId="6219"/>
    <cellStyle name="Currency 4 2 4 2" xfId="17030"/>
    <cellStyle name="Currency 4 2 4 2 2" xfId="30436"/>
    <cellStyle name="Currency 4 2 4 3" xfId="21548"/>
    <cellStyle name="Currency 4 2 5" xfId="9917"/>
    <cellStyle name="Currency 4 2 6" xfId="21551"/>
    <cellStyle name="Currency 4 3" xfId="6220"/>
    <cellStyle name="Currency 4 3 2" xfId="9919"/>
    <cellStyle name="Currency 4 3 3" xfId="21547"/>
    <cellStyle name="Currency 4 4" xfId="6221"/>
    <cellStyle name="Currency 4 4 2" xfId="9920"/>
    <cellStyle name="Currency 4 4 3" xfId="21546"/>
    <cellStyle name="Currency 4 5" xfId="6222"/>
    <cellStyle name="Currency 4 5 2" xfId="13197"/>
    <cellStyle name="Currency 4 5 3" xfId="21545"/>
    <cellStyle name="Currency 4 6" xfId="6223"/>
    <cellStyle name="Currency 4 6 2" xfId="9916"/>
    <cellStyle name="Currency 4 6 3" xfId="21544"/>
    <cellStyle name="Currency 4 7" xfId="8678"/>
    <cellStyle name="Currency 4 8" xfId="21552"/>
    <cellStyle name="Currency 4 9" xfId="33089"/>
    <cellStyle name="Currency 5" xfId="6224"/>
    <cellStyle name="Currency 5 10" xfId="6225"/>
    <cellStyle name="Currency 5 10 2" xfId="15900"/>
    <cellStyle name="Currency 5 10 2 2" xfId="29307"/>
    <cellStyle name="Currency 5 10 3" xfId="21542"/>
    <cellStyle name="Currency 5 11" xfId="6226"/>
    <cellStyle name="Currency 5 11 2" xfId="17335"/>
    <cellStyle name="Currency 5 11 3" xfId="21541"/>
    <cellStyle name="Currency 5 12" xfId="8736"/>
    <cellStyle name="Currency 5 13" xfId="9921"/>
    <cellStyle name="Currency 5 14" xfId="21543"/>
    <cellStyle name="Currency 5 15" xfId="33095"/>
    <cellStyle name="Currency 5 2" xfId="6227"/>
    <cellStyle name="Currency 5 2 10" xfId="21540"/>
    <cellStyle name="Currency 5 2 2" xfId="6228"/>
    <cellStyle name="Currency 5 2 2 2" xfId="6229"/>
    <cellStyle name="Currency 5 2 2 2 2" xfId="6230"/>
    <cellStyle name="Currency 5 2 2 2 2 2" xfId="6231"/>
    <cellStyle name="Currency 5 2 2 2 2 2 2" xfId="11398"/>
    <cellStyle name="Currency 5 2 2 2 2 2 3" xfId="21536"/>
    <cellStyle name="Currency 5 2 2 2 2 3" xfId="6232"/>
    <cellStyle name="Currency 5 2 2 2 2 3 2" xfId="16959"/>
    <cellStyle name="Currency 5 2 2 2 2 3 2 2" xfId="30366"/>
    <cellStyle name="Currency 5 2 2 2 2 3 3" xfId="21535"/>
    <cellStyle name="Currency 5 2 2 2 2 4" xfId="9925"/>
    <cellStyle name="Currency 5 2 2 2 2 5" xfId="21537"/>
    <cellStyle name="Currency 5 2 2 2 3" xfId="6233"/>
    <cellStyle name="Currency 5 2 2 2 3 2" xfId="6234"/>
    <cellStyle name="Currency 5 2 2 2 3 2 2" xfId="13198"/>
    <cellStyle name="Currency 5 2 2 2 3 2 3" xfId="21533"/>
    <cellStyle name="Currency 5 2 2 2 3 3" xfId="12347"/>
    <cellStyle name="Currency 5 2 2 2 3 3 2" xfId="26059"/>
    <cellStyle name="Currency 5 2 2 2 3 4" xfId="21534"/>
    <cellStyle name="Currency 5 2 2 2 4" xfId="6235"/>
    <cellStyle name="Currency 5 2 2 2 4 2" xfId="6236"/>
    <cellStyle name="Currency 5 2 2 2 4 2 2" xfId="15655"/>
    <cellStyle name="Currency 5 2 2 2 4 2 3" xfId="21531"/>
    <cellStyle name="Currency 5 2 2 2 4 3" xfId="13911"/>
    <cellStyle name="Currency 5 2 2 2 4 3 2" xfId="27460"/>
    <cellStyle name="Currency 5 2 2 2 4 4" xfId="21532"/>
    <cellStyle name="Currency 5 2 2 2 5" xfId="6237"/>
    <cellStyle name="Currency 5 2 2 2 5 2" xfId="14492"/>
    <cellStyle name="Currency 5 2 2 2 5 2 2" xfId="28041"/>
    <cellStyle name="Currency 5 2 2 2 5 3" xfId="21530"/>
    <cellStyle name="Currency 5 2 2 2 6" xfId="6238"/>
    <cellStyle name="Currency 5 2 2 2 6 2" xfId="16378"/>
    <cellStyle name="Currency 5 2 2 2 6 2 2" xfId="29785"/>
    <cellStyle name="Currency 5 2 2 2 6 3" xfId="21529"/>
    <cellStyle name="Currency 5 2 2 2 7" xfId="9924"/>
    <cellStyle name="Currency 5 2 2 2 8" xfId="21538"/>
    <cellStyle name="Currency 5 2 2 3" xfId="6239"/>
    <cellStyle name="Currency 5 2 2 3 2" xfId="6240"/>
    <cellStyle name="Currency 5 2 2 3 2 2" xfId="11399"/>
    <cellStyle name="Currency 5 2 2 3 2 3" xfId="21527"/>
    <cellStyle name="Currency 5 2 2 3 3" xfId="6241"/>
    <cellStyle name="Currency 5 2 2 3 3 2" xfId="16670"/>
    <cellStyle name="Currency 5 2 2 3 3 2 2" xfId="30077"/>
    <cellStyle name="Currency 5 2 2 3 3 3" xfId="21526"/>
    <cellStyle name="Currency 5 2 2 3 4" xfId="9926"/>
    <cellStyle name="Currency 5 2 2 3 5" xfId="21528"/>
    <cellStyle name="Currency 5 2 2 4" xfId="6242"/>
    <cellStyle name="Currency 5 2 2 4 2" xfId="6243"/>
    <cellStyle name="Currency 5 2 2 4 2 2" xfId="13199"/>
    <cellStyle name="Currency 5 2 2 4 2 3" xfId="21524"/>
    <cellStyle name="Currency 5 2 2 4 3" xfId="12047"/>
    <cellStyle name="Currency 5 2 2 4 3 2" xfId="25762"/>
    <cellStyle name="Currency 5 2 2 4 4" xfId="21525"/>
    <cellStyle name="Currency 5 2 2 5" xfId="6244"/>
    <cellStyle name="Currency 5 2 2 5 2" xfId="6245"/>
    <cellStyle name="Currency 5 2 2 5 2 2" xfId="15656"/>
    <cellStyle name="Currency 5 2 2 5 2 3" xfId="21522"/>
    <cellStyle name="Currency 5 2 2 5 3" xfId="13622"/>
    <cellStyle name="Currency 5 2 2 5 3 2" xfId="27171"/>
    <cellStyle name="Currency 5 2 2 5 4" xfId="21523"/>
    <cellStyle name="Currency 5 2 2 6" xfId="6246"/>
    <cellStyle name="Currency 5 2 2 6 2" xfId="14203"/>
    <cellStyle name="Currency 5 2 2 6 2 2" xfId="27752"/>
    <cellStyle name="Currency 5 2 2 6 3" xfId="21521"/>
    <cellStyle name="Currency 5 2 2 7" xfId="6247"/>
    <cellStyle name="Currency 5 2 2 7 2" xfId="16089"/>
    <cellStyle name="Currency 5 2 2 7 2 2" xfId="29496"/>
    <cellStyle name="Currency 5 2 2 7 3" xfId="21520"/>
    <cellStyle name="Currency 5 2 2 8" xfId="9923"/>
    <cellStyle name="Currency 5 2 2 9" xfId="21539"/>
    <cellStyle name="Currency 5 2 3" xfId="6248"/>
    <cellStyle name="Currency 5 2 3 2" xfId="6249"/>
    <cellStyle name="Currency 5 2 3 2 2" xfId="6250"/>
    <cellStyle name="Currency 5 2 3 2 2 2" xfId="11400"/>
    <cellStyle name="Currency 5 2 3 2 2 3" xfId="21517"/>
    <cellStyle name="Currency 5 2 3 2 3" xfId="6251"/>
    <cellStyle name="Currency 5 2 3 2 3 2" xfId="16816"/>
    <cellStyle name="Currency 5 2 3 2 3 2 2" xfId="30223"/>
    <cellStyle name="Currency 5 2 3 2 3 3" xfId="21516"/>
    <cellStyle name="Currency 5 2 3 2 4" xfId="9928"/>
    <cellStyle name="Currency 5 2 3 2 5" xfId="21518"/>
    <cellStyle name="Currency 5 2 3 3" xfId="6252"/>
    <cellStyle name="Currency 5 2 3 3 2" xfId="6253"/>
    <cellStyle name="Currency 5 2 3 3 2 2" xfId="13200"/>
    <cellStyle name="Currency 5 2 3 3 2 3" xfId="21514"/>
    <cellStyle name="Currency 5 2 3 3 3" xfId="12204"/>
    <cellStyle name="Currency 5 2 3 3 3 2" xfId="25916"/>
    <cellStyle name="Currency 5 2 3 3 4" xfId="21515"/>
    <cellStyle name="Currency 5 2 3 4" xfId="6254"/>
    <cellStyle name="Currency 5 2 3 4 2" xfId="6255"/>
    <cellStyle name="Currency 5 2 3 4 2 2" xfId="15657"/>
    <cellStyle name="Currency 5 2 3 4 2 3" xfId="21512"/>
    <cellStyle name="Currency 5 2 3 4 3" xfId="13768"/>
    <cellStyle name="Currency 5 2 3 4 3 2" xfId="27317"/>
    <cellStyle name="Currency 5 2 3 4 4" xfId="21513"/>
    <cellStyle name="Currency 5 2 3 5" xfId="6256"/>
    <cellStyle name="Currency 5 2 3 5 2" xfId="14349"/>
    <cellStyle name="Currency 5 2 3 5 2 2" xfId="27898"/>
    <cellStyle name="Currency 5 2 3 5 3" xfId="21511"/>
    <cellStyle name="Currency 5 2 3 6" xfId="6257"/>
    <cellStyle name="Currency 5 2 3 6 2" xfId="16235"/>
    <cellStyle name="Currency 5 2 3 6 2 2" xfId="29642"/>
    <cellStyle name="Currency 5 2 3 6 3" xfId="21510"/>
    <cellStyle name="Currency 5 2 3 7" xfId="9927"/>
    <cellStyle name="Currency 5 2 3 8" xfId="21519"/>
    <cellStyle name="Currency 5 2 4" xfId="6258"/>
    <cellStyle name="Currency 5 2 4 2" xfId="6259"/>
    <cellStyle name="Currency 5 2 4 2 2" xfId="11401"/>
    <cellStyle name="Currency 5 2 4 2 3" xfId="21508"/>
    <cellStyle name="Currency 5 2 4 3" xfId="6260"/>
    <cellStyle name="Currency 5 2 4 3 2" xfId="17163"/>
    <cellStyle name="Currency 5 2 4 3 2 2" xfId="30522"/>
    <cellStyle name="Currency 5 2 4 3 3" xfId="21507"/>
    <cellStyle name="Currency 5 2 4 4" xfId="9929"/>
    <cellStyle name="Currency 5 2 4 5" xfId="21509"/>
    <cellStyle name="Currency 5 2 5" xfId="6261"/>
    <cellStyle name="Currency 5 2 5 2" xfId="6262"/>
    <cellStyle name="Currency 5 2 5 2 2" xfId="13201"/>
    <cellStyle name="Currency 5 2 5 2 3" xfId="21505"/>
    <cellStyle name="Currency 5 2 5 3" xfId="6263"/>
    <cellStyle name="Currency 5 2 5 3 2" xfId="17252"/>
    <cellStyle name="Currency 5 2 5 3 2 2" xfId="30611"/>
    <cellStyle name="Currency 5 2 5 3 3" xfId="21504"/>
    <cellStyle name="Currency 5 2 5 4" xfId="11902"/>
    <cellStyle name="Currency 5 2 5 4 2" xfId="25617"/>
    <cellStyle name="Currency 5 2 5 5" xfId="21506"/>
    <cellStyle name="Currency 5 2 6" xfId="6264"/>
    <cellStyle name="Currency 5 2 6 2" xfId="6265"/>
    <cellStyle name="Currency 5 2 6 2 2" xfId="15658"/>
    <cellStyle name="Currency 5 2 6 2 3" xfId="21502"/>
    <cellStyle name="Currency 5 2 6 3" xfId="6266"/>
    <cellStyle name="Currency 5 2 6 3 2" xfId="16527"/>
    <cellStyle name="Currency 5 2 6 3 2 2" xfId="29934"/>
    <cellStyle name="Currency 5 2 6 3 3" xfId="21501"/>
    <cellStyle name="Currency 5 2 6 4" xfId="13479"/>
    <cellStyle name="Currency 5 2 6 4 2" xfId="27028"/>
    <cellStyle name="Currency 5 2 6 5" xfId="21503"/>
    <cellStyle name="Currency 5 2 7" xfId="6267"/>
    <cellStyle name="Currency 5 2 7 2" xfId="14060"/>
    <cellStyle name="Currency 5 2 7 2 2" xfId="27609"/>
    <cellStyle name="Currency 5 2 7 3" xfId="21500"/>
    <cellStyle name="Currency 5 2 8" xfId="6268"/>
    <cellStyle name="Currency 5 2 8 2" xfId="15946"/>
    <cellStyle name="Currency 5 2 8 2 2" xfId="29353"/>
    <cellStyle name="Currency 5 2 8 3" xfId="21499"/>
    <cellStyle name="Currency 5 2 9" xfId="9922"/>
    <cellStyle name="Currency 5 3" xfId="6269"/>
    <cellStyle name="Currency 5 3 2" xfId="6270"/>
    <cellStyle name="Currency 5 3 2 2" xfId="6271"/>
    <cellStyle name="Currency 5 3 2 2 2" xfId="6272"/>
    <cellStyle name="Currency 5 3 2 2 2 2" xfId="11402"/>
    <cellStyle name="Currency 5 3 2 2 2 3" xfId="21495"/>
    <cellStyle name="Currency 5 3 2 2 3" xfId="6273"/>
    <cellStyle name="Currency 5 3 2 2 3 2" xfId="16913"/>
    <cellStyle name="Currency 5 3 2 2 3 2 2" xfId="30320"/>
    <cellStyle name="Currency 5 3 2 2 3 3" xfId="21494"/>
    <cellStyle name="Currency 5 3 2 2 4" xfId="9932"/>
    <cellStyle name="Currency 5 3 2 2 5" xfId="21496"/>
    <cellStyle name="Currency 5 3 2 3" xfId="6274"/>
    <cellStyle name="Currency 5 3 2 3 2" xfId="6275"/>
    <cellStyle name="Currency 5 3 2 3 2 2" xfId="13202"/>
    <cellStyle name="Currency 5 3 2 3 2 3" xfId="21492"/>
    <cellStyle name="Currency 5 3 2 3 3" xfId="12301"/>
    <cellStyle name="Currency 5 3 2 3 3 2" xfId="26013"/>
    <cellStyle name="Currency 5 3 2 3 4" xfId="21493"/>
    <cellStyle name="Currency 5 3 2 4" xfId="6276"/>
    <cellStyle name="Currency 5 3 2 4 2" xfId="6277"/>
    <cellStyle name="Currency 5 3 2 4 2 2" xfId="15659"/>
    <cellStyle name="Currency 5 3 2 4 2 3" xfId="21490"/>
    <cellStyle name="Currency 5 3 2 4 3" xfId="13865"/>
    <cellStyle name="Currency 5 3 2 4 3 2" xfId="27414"/>
    <cellStyle name="Currency 5 3 2 4 4" xfId="21491"/>
    <cellStyle name="Currency 5 3 2 5" xfId="6278"/>
    <cellStyle name="Currency 5 3 2 5 2" xfId="14446"/>
    <cellStyle name="Currency 5 3 2 5 2 2" xfId="27995"/>
    <cellStyle name="Currency 5 3 2 5 3" xfId="21489"/>
    <cellStyle name="Currency 5 3 2 6" xfId="6279"/>
    <cellStyle name="Currency 5 3 2 6 2" xfId="16332"/>
    <cellStyle name="Currency 5 3 2 6 2 2" xfId="29739"/>
    <cellStyle name="Currency 5 3 2 6 3" xfId="21488"/>
    <cellStyle name="Currency 5 3 2 7" xfId="9931"/>
    <cellStyle name="Currency 5 3 2 8" xfId="21497"/>
    <cellStyle name="Currency 5 3 3" xfId="6280"/>
    <cellStyle name="Currency 5 3 3 2" xfId="6281"/>
    <cellStyle name="Currency 5 3 3 2 2" xfId="11403"/>
    <cellStyle name="Currency 5 3 3 2 3" xfId="21486"/>
    <cellStyle name="Currency 5 3 3 3" xfId="6282"/>
    <cellStyle name="Currency 5 3 3 3 2" xfId="16624"/>
    <cellStyle name="Currency 5 3 3 3 2 2" xfId="30031"/>
    <cellStyle name="Currency 5 3 3 3 3" xfId="21485"/>
    <cellStyle name="Currency 5 3 3 4" xfId="9933"/>
    <cellStyle name="Currency 5 3 3 5" xfId="21487"/>
    <cellStyle name="Currency 5 3 4" xfId="6283"/>
    <cellStyle name="Currency 5 3 4 2" xfId="6284"/>
    <cellStyle name="Currency 5 3 4 2 2" xfId="13203"/>
    <cellStyle name="Currency 5 3 4 2 3" xfId="21483"/>
    <cellStyle name="Currency 5 3 4 3" xfId="12001"/>
    <cellStyle name="Currency 5 3 4 3 2" xfId="25716"/>
    <cellStyle name="Currency 5 3 4 4" xfId="21484"/>
    <cellStyle name="Currency 5 3 5" xfId="6285"/>
    <cellStyle name="Currency 5 3 5 2" xfId="6286"/>
    <cellStyle name="Currency 5 3 5 2 2" xfId="15660"/>
    <cellStyle name="Currency 5 3 5 2 3" xfId="21481"/>
    <cellStyle name="Currency 5 3 5 3" xfId="13576"/>
    <cellStyle name="Currency 5 3 5 3 2" xfId="27125"/>
    <cellStyle name="Currency 5 3 5 4" xfId="21482"/>
    <cellStyle name="Currency 5 3 6" xfId="6287"/>
    <cellStyle name="Currency 5 3 6 2" xfId="14157"/>
    <cellStyle name="Currency 5 3 6 2 2" xfId="27706"/>
    <cellStyle name="Currency 5 3 6 3" xfId="21480"/>
    <cellStyle name="Currency 5 3 7" xfId="6288"/>
    <cellStyle name="Currency 5 3 7 2" xfId="16043"/>
    <cellStyle name="Currency 5 3 7 2 2" xfId="29450"/>
    <cellStyle name="Currency 5 3 7 3" xfId="21479"/>
    <cellStyle name="Currency 5 3 8" xfId="9930"/>
    <cellStyle name="Currency 5 3 9" xfId="21498"/>
    <cellStyle name="Currency 5 4" xfId="6289"/>
    <cellStyle name="Currency 5 4 2" xfId="6290"/>
    <cellStyle name="Currency 5 4 2 2" xfId="6291"/>
    <cellStyle name="Currency 5 4 2 2 2" xfId="11404"/>
    <cellStyle name="Currency 5 4 2 2 3" xfId="21476"/>
    <cellStyle name="Currency 5 4 2 3" xfId="6292"/>
    <cellStyle name="Currency 5 4 2 3 2" xfId="16770"/>
    <cellStyle name="Currency 5 4 2 3 2 2" xfId="30177"/>
    <cellStyle name="Currency 5 4 2 3 3" xfId="21475"/>
    <cellStyle name="Currency 5 4 2 4" xfId="9935"/>
    <cellStyle name="Currency 5 4 2 5" xfId="21477"/>
    <cellStyle name="Currency 5 4 3" xfId="6293"/>
    <cellStyle name="Currency 5 4 3 2" xfId="6294"/>
    <cellStyle name="Currency 5 4 3 2 2" xfId="13204"/>
    <cellStyle name="Currency 5 4 3 2 3" xfId="21473"/>
    <cellStyle name="Currency 5 4 3 3" xfId="12158"/>
    <cellStyle name="Currency 5 4 3 3 2" xfId="25870"/>
    <cellStyle name="Currency 5 4 3 4" xfId="21474"/>
    <cellStyle name="Currency 5 4 4" xfId="6295"/>
    <cellStyle name="Currency 5 4 4 2" xfId="6296"/>
    <cellStyle name="Currency 5 4 4 2 2" xfId="15661"/>
    <cellStyle name="Currency 5 4 4 2 3" xfId="21471"/>
    <cellStyle name="Currency 5 4 4 3" xfId="13722"/>
    <cellStyle name="Currency 5 4 4 3 2" xfId="27271"/>
    <cellStyle name="Currency 5 4 4 4" xfId="21472"/>
    <cellStyle name="Currency 5 4 5" xfId="6297"/>
    <cellStyle name="Currency 5 4 5 2" xfId="14303"/>
    <cellStyle name="Currency 5 4 5 2 2" xfId="27852"/>
    <cellStyle name="Currency 5 4 5 3" xfId="21470"/>
    <cellStyle name="Currency 5 4 6" xfId="6298"/>
    <cellStyle name="Currency 5 4 6 2" xfId="16189"/>
    <cellStyle name="Currency 5 4 6 2 2" xfId="29596"/>
    <cellStyle name="Currency 5 4 6 3" xfId="21469"/>
    <cellStyle name="Currency 5 4 7" xfId="9934"/>
    <cellStyle name="Currency 5 4 8" xfId="21478"/>
    <cellStyle name="Currency 5 5" xfId="6299"/>
    <cellStyle name="Currency 5 5 2" xfId="6300"/>
    <cellStyle name="Currency 5 5 2 2" xfId="17031"/>
    <cellStyle name="Currency 5 5 2 2 2" xfId="30437"/>
    <cellStyle name="Currency 5 5 2 3" xfId="21467"/>
    <cellStyle name="Currency 5 5 3" xfId="9936"/>
    <cellStyle name="Currency 5 5 4" xfId="21468"/>
    <cellStyle name="Currency 5 6" xfId="6301"/>
    <cellStyle name="Currency 5 6 2" xfId="6302"/>
    <cellStyle name="Currency 5 6 2 2" xfId="11405"/>
    <cellStyle name="Currency 5 6 2 3" xfId="21465"/>
    <cellStyle name="Currency 5 6 3" xfId="6303"/>
    <cellStyle name="Currency 5 6 3 2" xfId="17117"/>
    <cellStyle name="Currency 5 6 3 2 2" xfId="30476"/>
    <cellStyle name="Currency 5 6 3 3" xfId="21464"/>
    <cellStyle name="Currency 5 6 4" xfId="9937"/>
    <cellStyle name="Currency 5 6 5" xfId="21466"/>
    <cellStyle name="Currency 5 7" xfId="6304"/>
    <cellStyle name="Currency 5 7 2" xfId="6305"/>
    <cellStyle name="Currency 5 7 2 2" xfId="13205"/>
    <cellStyle name="Currency 5 7 2 3" xfId="21462"/>
    <cellStyle name="Currency 5 7 3" xfId="6306"/>
    <cellStyle name="Currency 5 7 3 2" xfId="17206"/>
    <cellStyle name="Currency 5 7 3 2 2" xfId="30565"/>
    <cellStyle name="Currency 5 7 3 3" xfId="21461"/>
    <cellStyle name="Currency 5 7 4" xfId="11832"/>
    <cellStyle name="Currency 5 7 4 2" xfId="25547"/>
    <cellStyle name="Currency 5 7 5" xfId="21463"/>
    <cellStyle name="Currency 5 8" xfId="6307"/>
    <cellStyle name="Currency 5 8 2" xfId="6308"/>
    <cellStyle name="Currency 5 8 2 2" xfId="15662"/>
    <cellStyle name="Currency 5 8 2 3" xfId="21459"/>
    <cellStyle name="Currency 5 8 3" xfId="6309"/>
    <cellStyle name="Currency 5 8 3 2" xfId="16481"/>
    <cellStyle name="Currency 5 8 3 2 2" xfId="29888"/>
    <cellStyle name="Currency 5 8 3 3" xfId="21458"/>
    <cellStyle name="Currency 5 8 4" xfId="13433"/>
    <cellStyle name="Currency 5 8 4 2" xfId="26982"/>
    <cellStyle name="Currency 5 8 5" xfId="21460"/>
    <cellStyle name="Currency 5 9" xfId="6310"/>
    <cellStyle name="Currency 5 9 2" xfId="14014"/>
    <cellStyle name="Currency 5 9 2 2" xfId="27563"/>
    <cellStyle name="Currency 5 9 3" xfId="21457"/>
    <cellStyle name="Currency 6" xfId="6311"/>
    <cellStyle name="Currency 6 2" xfId="6312"/>
    <cellStyle name="Currency 6 2 2" xfId="17032"/>
    <cellStyle name="Currency 6 2 2 2" xfId="30438"/>
    <cellStyle name="Currency 6 2 3" xfId="21455"/>
    <cellStyle name="Currency 6 3" xfId="6313"/>
    <cellStyle name="Currency 6 3 2" xfId="17336"/>
    <cellStyle name="Currency 6 3 3" xfId="21454"/>
    <cellStyle name="Currency 6 4" xfId="8733"/>
    <cellStyle name="Currency 6 5" xfId="21456"/>
    <cellStyle name="Currency 6 6" xfId="33085"/>
    <cellStyle name="Currency 7" xfId="6314"/>
    <cellStyle name="Currency 7 2" xfId="9938"/>
    <cellStyle name="Currency 7 3" xfId="21453"/>
    <cellStyle name="Currency 8" xfId="6315"/>
    <cellStyle name="Currency 8 10" xfId="21452"/>
    <cellStyle name="Currency 8 2" xfId="6316"/>
    <cellStyle name="Currency 8 2 2" xfId="6317"/>
    <cellStyle name="Currency 8 2 2 2" xfId="6318"/>
    <cellStyle name="Currency 8 2 2 2 2" xfId="6319"/>
    <cellStyle name="Currency 8 2 2 2 2 2" xfId="11406"/>
    <cellStyle name="Currency 8 2 2 2 2 3" xfId="21448"/>
    <cellStyle name="Currency 8 2 2 2 3" xfId="6320"/>
    <cellStyle name="Currency 8 2 2 2 3 2" xfId="16936"/>
    <cellStyle name="Currency 8 2 2 2 3 2 2" xfId="30343"/>
    <cellStyle name="Currency 8 2 2 2 3 3" xfId="21447"/>
    <cellStyle name="Currency 8 2 2 2 4" xfId="9942"/>
    <cellStyle name="Currency 8 2 2 2 5" xfId="21449"/>
    <cellStyle name="Currency 8 2 2 3" xfId="6321"/>
    <cellStyle name="Currency 8 2 2 3 2" xfId="6322"/>
    <cellStyle name="Currency 8 2 2 3 2 2" xfId="13206"/>
    <cellStyle name="Currency 8 2 2 3 2 3" xfId="21445"/>
    <cellStyle name="Currency 8 2 2 3 3" xfId="12324"/>
    <cellStyle name="Currency 8 2 2 3 3 2" xfId="26036"/>
    <cellStyle name="Currency 8 2 2 3 4" xfId="21446"/>
    <cellStyle name="Currency 8 2 2 4" xfId="6323"/>
    <cellStyle name="Currency 8 2 2 4 2" xfId="6324"/>
    <cellStyle name="Currency 8 2 2 4 2 2" xfId="15663"/>
    <cellStyle name="Currency 8 2 2 4 2 3" xfId="21443"/>
    <cellStyle name="Currency 8 2 2 4 3" xfId="13888"/>
    <cellStyle name="Currency 8 2 2 4 3 2" xfId="27437"/>
    <cellStyle name="Currency 8 2 2 4 4" xfId="21444"/>
    <cellStyle name="Currency 8 2 2 5" xfId="6325"/>
    <cellStyle name="Currency 8 2 2 5 2" xfId="14469"/>
    <cellStyle name="Currency 8 2 2 5 2 2" xfId="28018"/>
    <cellStyle name="Currency 8 2 2 5 3" xfId="21442"/>
    <cellStyle name="Currency 8 2 2 6" xfId="6326"/>
    <cellStyle name="Currency 8 2 2 6 2" xfId="16355"/>
    <cellStyle name="Currency 8 2 2 6 2 2" xfId="29762"/>
    <cellStyle name="Currency 8 2 2 6 3" xfId="21441"/>
    <cellStyle name="Currency 8 2 2 7" xfId="9941"/>
    <cellStyle name="Currency 8 2 2 8" xfId="21450"/>
    <cellStyle name="Currency 8 2 3" xfId="6327"/>
    <cellStyle name="Currency 8 2 3 2" xfId="6328"/>
    <cellStyle name="Currency 8 2 3 2 2" xfId="11407"/>
    <cellStyle name="Currency 8 2 3 2 3" xfId="21439"/>
    <cellStyle name="Currency 8 2 3 3" xfId="6329"/>
    <cellStyle name="Currency 8 2 3 3 2" xfId="16647"/>
    <cellStyle name="Currency 8 2 3 3 2 2" xfId="30054"/>
    <cellStyle name="Currency 8 2 3 3 3" xfId="21438"/>
    <cellStyle name="Currency 8 2 3 4" xfId="9943"/>
    <cellStyle name="Currency 8 2 3 5" xfId="21440"/>
    <cellStyle name="Currency 8 2 4" xfId="6330"/>
    <cellStyle name="Currency 8 2 4 2" xfId="6331"/>
    <cellStyle name="Currency 8 2 4 2 2" xfId="13207"/>
    <cellStyle name="Currency 8 2 4 2 3" xfId="21436"/>
    <cellStyle name="Currency 8 2 4 3" xfId="12024"/>
    <cellStyle name="Currency 8 2 4 3 2" xfId="25739"/>
    <cellStyle name="Currency 8 2 4 4" xfId="21437"/>
    <cellStyle name="Currency 8 2 5" xfId="6332"/>
    <cellStyle name="Currency 8 2 5 2" xfId="6333"/>
    <cellStyle name="Currency 8 2 5 2 2" xfId="15664"/>
    <cellStyle name="Currency 8 2 5 2 3" xfId="21434"/>
    <cellStyle name="Currency 8 2 5 3" xfId="13599"/>
    <cellStyle name="Currency 8 2 5 3 2" xfId="27148"/>
    <cellStyle name="Currency 8 2 5 4" xfId="21435"/>
    <cellStyle name="Currency 8 2 6" xfId="6334"/>
    <cellStyle name="Currency 8 2 6 2" xfId="14180"/>
    <cellStyle name="Currency 8 2 6 2 2" xfId="27729"/>
    <cellStyle name="Currency 8 2 6 3" xfId="21433"/>
    <cellStyle name="Currency 8 2 7" xfId="6335"/>
    <cellStyle name="Currency 8 2 7 2" xfId="16066"/>
    <cellStyle name="Currency 8 2 7 2 2" xfId="29473"/>
    <cellStyle name="Currency 8 2 7 3" xfId="21432"/>
    <cellStyle name="Currency 8 2 8" xfId="9940"/>
    <cellStyle name="Currency 8 2 9" xfId="21451"/>
    <cellStyle name="Currency 8 3" xfId="6336"/>
    <cellStyle name="Currency 8 3 2" xfId="6337"/>
    <cellStyle name="Currency 8 3 2 2" xfId="6338"/>
    <cellStyle name="Currency 8 3 2 2 2" xfId="11408"/>
    <cellStyle name="Currency 8 3 2 2 3" xfId="21429"/>
    <cellStyle name="Currency 8 3 2 3" xfId="6339"/>
    <cellStyle name="Currency 8 3 2 3 2" xfId="16793"/>
    <cellStyle name="Currency 8 3 2 3 2 2" xfId="30200"/>
    <cellStyle name="Currency 8 3 2 3 3" xfId="21428"/>
    <cellStyle name="Currency 8 3 2 4" xfId="9945"/>
    <cellStyle name="Currency 8 3 2 5" xfId="21430"/>
    <cellStyle name="Currency 8 3 3" xfId="6340"/>
    <cellStyle name="Currency 8 3 3 2" xfId="6341"/>
    <cellStyle name="Currency 8 3 3 2 2" xfId="13208"/>
    <cellStyle name="Currency 8 3 3 2 3" xfId="21426"/>
    <cellStyle name="Currency 8 3 3 3" xfId="12181"/>
    <cellStyle name="Currency 8 3 3 3 2" xfId="25893"/>
    <cellStyle name="Currency 8 3 3 4" xfId="21427"/>
    <cellStyle name="Currency 8 3 4" xfId="6342"/>
    <cellStyle name="Currency 8 3 4 2" xfId="6343"/>
    <cellStyle name="Currency 8 3 4 2 2" xfId="15665"/>
    <cellStyle name="Currency 8 3 4 2 3" xfId="21424"/>
    <cellStyle name="Currency 8 3 4 3" xfId="13745"/>
    <cellStyle name="Currency 8 3 4 3 2" xfId="27294"/>
    <cellStyle name="Currency 8 3 4 4" xfId="21425"/>
    <cellStyle name="Currency 8 3 5" xfId="6344"/>
    <cellStyle name="Currency 8 3 5 2" xfId="14326"/>
    <cellStyle name="Currency 8 3 5 2 2" xfId="27875"/>
    <cellStyle name="Currency 8 3 5 3" xfId="21423"/>
    <cellStyle name="Currency 8 3 6" xfId="6345"/>
    <cellStyle name="Currency 8 3 6 2" xfId="16212"/>
    <cellStyle name="Currency 8 3 6 2 2" xfId="29619"/>
    <cellStyle name="Currency 8 3 6 3" xfId="21422"/>
    <cellStyle name="Currency 8 3 7" xfId="9944"/>
    <cellStyle name="Currency 8 3 8" xfId="21431"/>
    <cellStyle name="Currency 8 4" xfId="6346"/>
    <cellStyle name="Currency 8 4 2" xfId="6347"/>
    <cellStyle name="Currency 8 4 2 2" xfId="11409"/>
    <cellStyle name="Currency 8 4 2 3" xfId="21420"/>
    <cellStyle name="Currency 8 4 3" xfId="6348"/>
    <cellStyle name="Currency 8 4 3 2" xfId="17140"/>
    <cellStyle name="Currency 8 4 3 2 2" xfId="30499"/>
    <cellStyle name="Currency 8 4 3 3" xfId="21419"/>
    <cellStyle name="Currency 8 4 4" xfId="9946"/>
    <cellStyle name="Currency 8 4 5" xfId="21421"/>
    <cellStyle name="Currency 8 5" xfId="6349"/>
    <cellStyle name="Currency 8 5 2" xfId="6350"/>
    <cellStyle name="Currency 8 5 2 2" xfId="13209"/>
    <cellStyle name="Currency 8 5 2 3" xfId="21417"/>
    <cellStyle name="Currency 8 5 3" xfId="6351"/>
    <cellStyle name="Currency 8 5 3 2" xfId="17229"/>
    <cellStyle name="Currency 8 5 3 2 2" xfId="30588"/>
    <cellStyle name="Currency 8 5 3 3" xfId="21416"/>
    <cellStyle name="Currency 8 5 4" xfId="11876"/>
    <cellStyle name="Currency 8 5 4 2" xfId="25591"/>
    <cellStyle name="Currency 8 5 5" xfId="21418"/>
    <cellStyle name="Currency 8 6" xfId="6352"/>
    <cellStyle name="Currency 8 6 2" xfId="6353"/>
    <cellStyle name="Currency 8 6 2 2" xfId="15666"/>
    <cellStyle name="Currency 8 6 2 3" xfId="21414"/>
    <cellStyle name="Currency 8 6 3" xfId="6354"/>
    <cellStyle name="Currency 8 6 3 2" xfId="16504"/>
    <cellStyle name="Currency 8 6 3 2 2" xfId="29911"/>
    <cellStyle name="Currency 8 6 3 3" xfId="21413"/>
    <cellStyle name="Currency 8 6 4" xfId="13456"/>
    <cellStyle name="Currency 8 6 4 2" xfId="27005"/>
    <cellStyle name="Currency 8 6 5" xfId="21415"/>
    <cellStyle name="Currency 8 7" xfId="6355"/>
    <cellStyle name="Currency 8 7 2" xfId="14037"/>
    <cellStyle name="Currency 8 7 2 2" xfId="27586"/>
    <cellStyle name="Currency 8 7 3" xfId="21412"/>
    <cellStyle name="Currency 8 8" xfId="6356"/>
    <cellStyle name="Currency 8 8 2" xfId="15923"/>
    <cellStyle name="Currency 8 8 2 2" xfId="29330"/>
    <cellStyle name="Currency 8 8 3" xfId="21411"/>
    <cellStyle name="Currency 8 9" xfId="9939"/>
    <cellStyle name="Currency 9" xfId="6357"/>
    <cellStyle name="Currency 9 2" xfId="9947"/>
    <cellStyle name="Currency 9 3" xfId="21410"/>
    <cellStyle name="Currency0" xfId="6358"/>
    <cellStyle name="Currency0 2" xfId="6359"/>
    <cellStyle name="Currency0 2 2" xfId="6360"/>
    <cellStyle name="Currency0 2 2 2" xfId="17033"/>
    <cellStyle name="Currency0 2 2 3" xfId="21407"/>
    <cellStyle name="Currency0 2 3" xfId="8669"/>
    <cellStyle name="Currency0 2 4" xfId="21408"/>
    <cellStyle name="Currency0 3" xfId="6361"/>
    <cellStyle name="Currency0 3 2" xfId="8727"/>
    <cellStyle name="Currency0 3 2 2" xfId="17337"/>
    <cellStyle name="Currency0 3 3" xfId="17296"/>
    <cellStyle name="Currency0 3 4" xfId="9948"/>
    <cellStyle name="Currency0 3 5" xfId="21406"/>
    <cellStyle name="Currency0 4" xfId="8662"/>
    <cellStyle name="Currency0 5" xfId="21409"/>
    <cellStyle name="Date" xfId="6362"/>
    <cellStyle name="Date 2" xfId="6363"/>
    <cellStyle name="Date 2 2" xfId="6364"/>
    <cellStyle name="Date 2 2 2" xfId="17034"/>
    <cellStyle name="Date 2 2 3" xfId="21403"/>
    <cellStyle name="Date 2 3" xfId="8697"/>
    <cellStyle name="Date 2 4" xfId="21404"/>
    <cellStyle name="Date 3" xfId="6365"/>
    <cellStyle name="Date 3 2" xfId="8670"/>
    <cellStyle name="Date 3 3" xfId="21402"/>
    <cellStyle name="Date 4" xfId="6366"/>
    <cellStyle name="Date 4 2" xfId="8741"/>
    <cellStyle name="Date 4 2 2" xfId="17338"/>
    <cellStyle name="Date 4 3" xfId="17297"/>
    <cellStyle name="Date 4 4" xfId="9949"/>
    <cellStyle name="Date 4 5" xfId="30691"/>
    <cellStyle name="Date 5" xfId="8661"/>
    <cellStyle name="Date 6" xfId="21405"/>
    <cellStyle name="Explanatory Text" xfId="33036" builtinId="53" customBuiltin="1"/>
    <cellStyle name="Explanatory Text 2" xfId="6368"/>
    <cellStyle name="Explanatory Text 2 2" xfId="8740"/>
    <cellStyle name="Explanatory Text 2 3" xfId="30693"/>
    <cellStyle name="Explanatory Text 2 4" xfId="33059"/>
    <cellStyle name="Explanatory Text 3" xfId="8815"/>
    <cellStyle name="Explanatory Text 4" xfId="30692"/>
    <cellStyle name="Explanatory Text 5" xfId="6367"/>
    <cellStyle name="Fixed" xfId="6369"/>
    <cellStyle name="Fixed 2" xfId="6370"/>
    <cellStyle name="Fixed 2 2" xfId="6371"/>
    <cellStyle name="Fixed 2 2 2" xfId="17035"/>
    <cellStyle name="Fixed 2 2 3" xfId="30696"/>
    <cellStyle name="Fixed 2 3" xfId="8671"/>
    <cellStyle name="Fixed 2 4" xfId="30695"/>
    <cellStyle name="Fixed 3" xfId="6372"/>
    <cellStyle name="Fixed 3 2" xfId="8731"/>
    <cellStyle name="Fixed 3 2 2" xfId="17339"/>
    <cellStyle name="Fixed 3 3" xfId="17298"/>
    <cellStyle name="Fixed 3 4" xfId="9950"/>
    <cellStyle name="Fixed 3 5" xfId="30697"/>
    <cellStyle name="Fixed 4" xfId="8663"/>
    <cellStyle name="Fixed 5" xfId="30694"/>
    <cellStyle name="Good" xfId="19" builtinId="26" customBuiltin="1"/>
    <cellStyle name="Good 10" xfId="6373"/>
    <cellStyle name="Good 10 2" xfId="9952"/>
    <cellStyle name="Good 10 3" xfId="30698"/>
    <cellStyle name="Good 11" xfId="6374"/>
    <cellStyle name="Good 11 2" xfId="9953"/>
    <cellStyle name="Good 11 3" xfId="30699"/>
    <cellStyle name="Good 12" xfId="6375"/>
    <cellStyle name="Good 12 2" xfId="6376"/>
    <cellStyle name="Good 12 2 2" xfId="15667"/>
    <cellStyle name="Good 12 2 3" xfId="30701"/>
    <cellStyle name="Good 12 3" xfId="10489"/>
    <cellStyle name="Good 12 4" xfId="30700"/>
    <cellStyle name="Good 13" xfId="6377"/>
    <cellStyle name="Good 13 2" xfId="11410"/>
    <cellStyle name="Good 13 3" xfId="30702"/>
    <cellStyle name="Good 14" xfId="6378"/>
    <cellStyle name="Good 14 2" xfId="9951"/>
    <cellStyle name="Good 14 3" xfId="30703"/>
    <cellStyle name="Good 2" xfId="6379"/>
    <cellStyle name="Good 2 2" xfId="9954"/>
    <cellStyle name="Good 2 3" xfId="30704"/>
    <cellStyle name="Good 2 4" xfId="33049"/>
    <cellStyle name="Good 3" xfId="6380"/>
    <cellStyle name="Good 3 2" xfId="6381"/>
    <cellStyle name="Good 3 2 2" xfId="9956"/>
    <cellStyle name="Good 3 2 3" xfId="30706"/>
    <cellStyle name="Good 3 3" xfId="9955"/>
    <cellStyle name="Good 3 4" xfId="30705"/>
    <cellStyle name="Good 4" xfId="6382"/>
    <cellStyle name="Good 4 2" xfId="6383"/>
    <cellStyle name="Good 4 2 2" xfId="13211"/>
    <cellStyle name="Good 4 2 3" xfId="30708"/>
    <cellStyle name="Good 4 3" xfId="6384"/>
    <cellStyle name="Good 4 3 2" xfId="13210"/>
    <cellStyle name="Good 4 3 3" xfId="30709"/>
    <cellStyle name="Good 4 4" xfId="9957"/>
    <cellStyle name="Good 4 5" xfId="30707"/>
    <cellStyle name="Good 5" xfId="6385"/>
    <cellStyle name="Good 5 2" xfId="6386"/>
    <cellStyle name="Good 5 2 2" xfId="9959"/>
    <cellStyle name="Good 5 2 3" xfId="30711"/>
    <cellStyle name="Good 5 3" xfId="9958"/>
    <cellStyle name="Good 5 4" xfId="30710"/>
    <cellStyle name="Good 6" xfId="6387"/>
    <cellStyle name="Good 6 2" xfId="9960"/>
    <cellStyle name="Good 6 3" xfId="30712"/>
    <cellStyle name="Good 7" xfId="6388"/>
    <cellStyle name="Good 7 2" xfId="9961"/>
    <cellStyle name="Good 7 3" xfId="30713"/>
    <cellStyle name="Good 8" xfId="6389"/>
    <cellStyle name="Good 8 2" xfId="9962"/>
    <cellStyle name="Good 8 3" xfId="30714"/>
    <cellStyle name="Good 9" xfId="6390"/>
    <cellStyle name="Good 9 2" xfId="9963"/>
    <cellStyle name="Good 9 3" xfId="30715"/>
    <cellStyle name="Heading 1" xfId="15" builtinId="16" customBuiltin="1"/>
    <cellStyle name="Heading 1 2" xfId="6391"/>
    <cellStyle name="Heading 1 2 10" xfId="6392"/>
    <cellStyle name="Heading 1 2 10 2" xfId="6393"/>
    <cellStyle name="Heading 1 2 10 2 2" xfId="11412"/>
    <cellStyle name="Heading 1 2 10 2 3" xfId="30718"/>
    <cellStyle name="Heading 1 2 10 3" xfId="9966"/>
    <cellStyle name="Heading 1 2 10 4" xfId="30717"/>
    <cellStyle name="Heading 1 2 11" xfId="6394"/>
    <cellStyle name="Heading 1 2 11 2" xfId="6395"/>
    <cellStyle name="Heading 1 2 11 2 2" xfId="11413"/>
    <cellStyle name="Heading 1 2 11 2 3" xfId="30720"/>
    <cellStyle name="Heading 1 2 11 3" xfId="9967"/>
    <cellStyle name="Heading 1 2 11 4" xfId="30719"/>
    <cellStyle name="Heading 1 2 12" xfId="6396"/>
    <cellStyle name="Heading 1 2 12 2" xfId="6397"/>
    <cellStyle name="Heading 1 2 12 2 2" xfId="11414"/>
    <cellStyle name="Heading 1 2 12 2 3" xfId="30722"/>
    <cellStyle name="Heading 1 2 12 3" xfId="9968"/>
    <cellStyle name="Heading 1 2 12 4" xfId="30721"/>
    <cellStyle name="Heading 1 2 13" xfId="6398"/>
    <cellStyle name="Heading 1 2 13 2" xfId="6399"/>
    <cellStyle name="Heading 1 2 13 2 2" xfId="15668"/>
    <cellStyle name="Heading 1 2 13 2 3" xfId="30724"/>
    <cellStyle name="Heading 1 2 13 3" xfId="9969"/>
    <cellStyle name="Heading 1 2 13 4" xfId="30723"/>
    <cellStyle name="Heading 1 2 14" xfId="6400"/>
    <cellStyle name="Heading 1 2 14 2" xfId="6401"/>
    <cellStyle name="Heading 1 2 14 2 2" xfId="15669"/>
    <cellStyle name="Heading 1 2 14 2 3" xfId="30726"/>
    <cellStyle name="Heading 1 2 14 3" xfId="10490"/>
    <cellStyle name="Heading 1 2 14 4" xfId="30725"/>
    <cellStyle name="Heading 1 2 15" xfId="6402"/>
    <cellStyle name="Heading 1 2 15 2" xfId="11411"/>
    <cellStyle name="Heading 1 2 15 3" xfId="30727"/>
    <cellStyle name="Heading 1 2 16" xfId="8664"/>
    <cellStyle name="Heading 1 2 16 2" xfId="9965"/>
    <cellStyle name="Heading 1 2 17" xfId="17303"/>
    <cellStyle name="Heading 1 2 18" xfId="30716"/>
    <cellStyle name="Heading 1 2 19" xfId="33045"/>
    <cellStyle name="Heading 1 2 2" xfId="6403"/>
    <cellStyle name="Heading 1 2 2 2" xfId="6404"/>
    <cellStyle name="Heading 1 2 2 2 2" xfId="6405"/>
    <cellStyle name="Heading 1 2 2 2 2 2" xfId="11415"/>
    <cellStyle name="Heading 1 2 2 2 2 3" xfId="30730"/>
    <cellStyle name="Heading 1 2 2 2 3" xfId="9971"/>
    <cellStyle name="Heading 1 2 2 2 4" xfId="30729"/>
    <cellStyle name="Heading 1 2 2 3" xfId="6406"/>
    <cellStyle name="Heading 1 2 2 3 2" xfId="6407"/>
    <cellStyle name="Heading 1 2 2 3 2 2" xfId="15670"/>
    <cellStyle name="Heading 1 2 2 3 2 3" xfId="30732"/>
    <cellStyle name="Heading 1 2 2 3 3" xfId="11664"/>
    <cellStyle name="Heading 1 2 2 3 4" xfId="30731"/>
    <cellStyle name="Heading 1 2 2 4" xfId="6408"/>
    <cellStyle name="Heading 1 2 2 4 2" xfId="12089"/>
    <cellStyle name="Heading 1 2 2 4 3" xfId="30733"/>
    <cellStyle name="Heading 1 2 2 5" xfId="6409"/>
    <cellStyle name="Heading 1 2 2 5 2" xfId="9970"/>
    <cellStyle name="Heading 1 2 2 5 3" xfId="30734"/>
    <cellStyle name="Heading 1 2 2 6" xfId="8693"/>
    <cellStyle name="Heading 1 2 2 7" xfId="30728"/>
    <cellStyle name="Heading 1 2 3" xfId="6410"/>
    <cellStyle name="Heading 1 2 3 2" xfId="6411"/>
    <cellStyle name="Heading 1 2 3 2 2" xfId="9973"/>
    <cellStyle name="Heading 1 2 3 2 3" xfId="30736"/>
    <cellStyle name="Heading 1 2 3 3" xfId="6412"/>
    <cellStyle name="Heading 1 2 3 3 2" xfId="11416"/>
    <cellStyle name="Heading 1 2 3 3 3" xfId="30737"/>
    <cellStyle name="Heading 1 2 3 4" xfId="6413"/>
    <cellStyle name="Heading 1 2 3 4 2" xfId="17340"/>
    <cellStyle name="Heading 1 2 3 4 3" xfId="30738"/>
    <cellStyle name="Heading 1 2 3 5" xfId="8725"/>
    <cellStyle name="Heading 1 2 3 6" xfId="9972"/>
    <cellStyle name="Heading 1 2 3 7" xfId="30735"/>
    <cellStyle name="Heading 1 2 4" xfId="6414"/>
    <cellStyle name="Heading 1 2 4 2" xfId="6415"/>
    <cellStyle name="Heading 1 2 4 2 2" xfId="9975"/>
    <cellStyle name="Heading 1 2 4 2 3" xfId="30740"/>
    <cellStyle name="Heading 1 2 4 3" xfId="6416"/>
    <cellStyle name="Heading 1 2 4 3 2" xfId="13213"/>
    <cellStyle name="Heading 1 2 4 3 3" xfId="30741"/>
    <cellStyle name="Heading 1 2 4 4" xfId="6417"/>
    <cellStyle name="Heading 1 2 4 4 2" xfId="13212"/>
    <cellStyle name="Heading 1 2 4 4 3" xfId="30742"/>
    <cellStyle name="Heading 1 2 4 5" xfId="9974"/>
    <cellStyle name="Heading 1 2 4 6" xfId="30739"/>
    <cellStyle name="Heading 1 2 5" xfId="6418"/>
    <cellStyle name="Heading 1 2 5 2" xfId="6419"/>
    <cellStyle name="Heading 1 2 5 2 2" xfId="13215"/>
    <cellStyle name="Heading 1 2 5 2 3" xfId="30744"/>
    <cellStyle name="Heading 1 2 5 3" xfId="6420"/>
    <cellStyle name="Heading 1 2 5 3 2" xfId="13214"/>
    <cellStyle name="Heading 1 2 5 3 3" xfId="30745"/>
    <cellStyle name="Heading 1 2 5 4" xfId="6421"/>
    <cellStyle name="Heading 1 2 5 4 2" xfId="15671"/>
    <cellStyle name="Heading 1 2 5 4 3" xfId="30746"/>
    <cellStyle name="Heading 1 2 5 5" xfId="9976"/>
    <cellStyle name="Heading 1 2 5 6" xfId="30743"/>
    <cellStyle name="Heading 1 2 6" xfId="6422"/>
    <cellStyle name="Heading 1 2 6 2" xfId="6423"/>
    <cellStyle name="Heading 1 2 6 2 2" xfId="6424"/>
    <cellStyle name="Heading 1 2 6 2 2 2" xfId="11418"/>
    <cellStyle name="Heading 1 2 6 2 2 3" xfId="30749"/>
    <cellStyle name="Heading 1 2 6 2 3" xfId="9978"/>
    <cellStyle name="Heading 1 2 6 2 4" xfId="30748"/>
    <cellStyle name="Heading 1 2 6 3" xfId="6425"/>
    <cellStyle name="Heading 1 2 6 3 2" xfId="11417"/>
    <cellStyle name="Heading 1 2 6 3 3" xfId="30750"/>
    <cellStyle name="Heading 1 2 6 4" xfId="9977"/>
    <cellStyle name="Heading 1 2 6 5" xfId="30747"/>
    <cellStyle name="Heading 1 2 7" xfId="6426"/>
    <cellStyle name="Heading 1 2 7 2" xfId="6427"/>
    <cellStyle name="Heading 1 2 7 2 2" xfId="6428"/>
    <cellStyle name="Heading 1 2 7 2 2 2" xfId="11420"/>
    <cellStyle name="Heading 1 2 7 2 2 3" xfId="30753"/>
    <cellStyle name="Heading 1 2 7 2 3" xfId="9980"/>
    <cellStyle name="Heading 1 2 7 2 4" xfId="30752"/>
    <cellStyle name="Heading 1 2 7 3" xfId="6429"/>
    <cellStyle name="Heading 1 2 7 3 2" xfId="11419"/>
    <cellStyle name="Heading 1 2 7 3 3" xfId="30754"/>
    <cellStyle name="Heading 1 2 7 4" xfId="9979"/>
    <cellStyle name="Heading 1 2 7 5" xfId="30751"/>
    <cellStyle name="Heading 1 2 8" xfId="6430"/>
    <cellStyle name="Heading 1 2 8 2" xfId="6431"/>
    <cellStyle name="Heading 1 2 8 2 2" xfId="11421"/>
    <cellStyle name="Heading 1 2 8 2 3" xfId="30756"/>
    <cellStyle name="Heading 1 2 8 3" xfId="9981"/>
    <cellStyle name="Heading 1 2 8 4" xfId="30755"/>
    <cellStyle name="Heading 1 2 9" xfId="6432"/>
    <cellStyle name="Heading 1 2 9 2" xfId="6433"/>
    <cellStyle name="Heading 1 2 9 2 2" xfId="11422"/>
    <cellStyle name="Heading 1 2 9 2 3" xfId="30758"/>
    <cellStyle name="Heading 1 2 9 3" xfId="9982"/>
    <cellStyle name="Heading 1 2 9 4" xfId="30757"/>
    <cellStyle name="Heading 1 3" xfId="6434"/>
    <cellStyle name="Heading 1 3 2" xfId="8672"/>
    <cellStyle name="Heading 1 3 3" xfId="30759"/>
    <cellStyle name="Heading 1 3 4" xfId="33090"/>
    <cellStyle name="Heading 1 4" xfId="6435"/>
    <cellStyle name="Heading 1 4 2" xfId="9983"/>
    <cellStyle name="Heading 1 4 3" xfId="30760"/>
    <cellStyle name="Heading 1 5" xfId="6436"/>
    <cellStyle name="Heading 1 5 2" xfId="9984"/>
    <cellStyle name="Heading 1 5 3" xfId="30761"/>
    <cellStyle name="Heading 1 6" xfId="6437"/>
    <cellStyle name="Heading 1 6 2" xfId="9985"/>
    <cellStyle name="Heading 1 6 3" xfId="30762"/>
    <cellStyle name="Heading 1 7" xfId="6438"/>
    <cellStyle name="Heading 1 7 2" xfId="9986"/>
    <cellStyle name="Heading 1 7 3" xfId="30763"/>
    <cellStyle name="Heading 1 8" xfId="9964"/>
    <cellStyle name="Heading 2" xfId="16" builtinId="17" customBuiltin="1"/>
    <cellStyle name="Heading 2 2" xfId="6439"/>
    <cellStyle name="Heading 2 2 10" xfId="6440"/>
    <cellStyle name="Heading 2 2 10 2" xfId="6441"/>
    <cellStyle name="Heading 2 2 10 2 2" xfId="11424"/>
    <cellStyle name="Heading 2 2 10 2 3" xfId="30766"/>
    <cellStyle name="Heading 2 2 10 3" xfId="9989"/>
    <cellStyle name="Heading 2 2 10 4" xfId="30765"/>
    <cellStyle name="Heading 2 2 11" xfId="6442"/>
    <cellStyle name="Heading 2 2 11 2" xfId="6443"/>
    <cellStyle name="Heading 2 2 11 2 2" xfId="11425"/>
    <cellStyle name="Heading 2 2 11 2 3" xfId="30768"/>
    <cellStyle name="Heading 2 2 11 3" xfId="9990"/>
    <cellStyle name="Heading 2 2 11 4" xfId="30767"/>
    <cellStyle name="Heading 2 2 12" xfId="6444"/>
    <cellStyle name="Heading 2 2 12 2" xfId="6445"/>
    <cellStyle name="Heading 2 2 12 2 2" xfId="11426"/>
    <cellStyle name="Heading 2 2 12 2 3" xfId="30770"/>
    <cellStyle name="Heading 2 2 12 3" xfId="9991"/>
    <cellStyle name="Heading 2 2 12 4" xfId="30769"/>
    <cellStyle name="Heading 2 2 13" xfId="6446"/>
    <cellStyle name="Heading 2 2 13 2" xfId="6447"/>
    <cellStyle name="Heading 2 2 13 2 2" xfId="15672"/>
    <cellStyle name="Heading 2 2 13 2 3" xfId="30772"/>
    <cellStyle name="Heading 2 2 13 3" xfId="9992"/>
    <cellStyle name="Heading 2 2 13 4" xfId="30771"/>
    <cellStyle name="Heading 2 2 14" xfId="6448"/>
    <cellStyle name="Heading 2 2 14 2" xfId="6449"/>
    <cellStyle name="Heading 2 2 14 2 2" xfId="15673"/>
    <cellStyle name="Heading 2 2 14 2 3" xfId="30774"/>
    <cellStyle name="Heading 2 2 14 3" xfId="10491"/>
    <cellStyle name="Heading 2 2 14 4" xfId="30773"/>
    <cellStyle name="Heading 2 2 15" xfId="6450"/>
    <cellStyle name="Heading 2 2 15 2" xfId="11423"/>
    <cellStyle name="Heading 2 2 15 3" xfId="30775"/>
    <cellStyle name="Heading 2 2 16" xfId="8665"/>
    <cellStyle name="Heading 2 2 16 2" xfId="9988"/>
    <cellStyle name="Heading 2 2 17" xfId="17304"/>
    <cellStyle name="Heading 2 2 18" xfId="30764"/>
    <cellStyle name="Heading 2 2 19" xfId="33046"/>
    <cellStyle name="Heading 2 2 2" xfId="6451"/>
    <cellStyle name="Heading 2 2 2 2" xfId="6452"/>
    <cellStyle name="Heading 2 2 2 2 2" xfId="6453"/>
    <cellStyle name="Heading 2 2 2 2 2 2" xfId="11427"/>
    <cellStyle name="Heading 2 2 2 2 2 3" xfId="30778"/>
    <cellStyle name="Heading 2 2 2 2 3" xfId="9994"/>
    <cellStyle name="Heading 2 2 2 2 4" xfId="30777"/>
    <cellStyle name="Heading 2 2 2 3" xfId="6454"/>
    <cellStyle name="Heading 2 2 2 3 2" xfId="6455"/>
    <cellStyle name="Heading 2 2 2 3 2 2" xfId="15674"/>
    <cellStyle name="Heading 2 2 2 3 2 3" xfId="30780"/>
    <cellStyle name="Heading 2 2 2 3 3" xfId="11727"/>
    <cellStyle name="Heading 2 2 2 3 4" xfId="30779"/>
    <cellStyle name="Heading 2 2 2 4" xfId="6456"/>
    <cellStyle name="Heading 2 2 2 4 2" xfId="12103"/>
    <cellStyle name="Heading 2 2 2 4 3" xfId="30781"/>
    <cellStyle name="Heading 2 2 2 5" xfId="6457"/>
    <cellStyle name="Heading 2 2 2 5 2" xfId="9993"/>
    <cellStyle name="Heading 2 2 2 5 3" xfId="30782"/>
    <cellStyle name="Heading 2 2 2 6" xfId="8694"/>
    <cellStyle name="Heading 2 2 2 7" xfId="30776"/>
    <cellStyle name="Heading 2 2 3" xfId="6458"/>
    <cellStyle name="Heading 2 2 3 2" xfId="6459"/>
    <cellStyle name="Heading 2 2 3 2 2" xfId="9996"/>
    <cellStyle name="Heading 2 2 3 2 3" xfId="30784"/>
    <cellStyle name="Heading 2 2 3 3" xfId="6460"/>
    <cellStyle name="Heading 2 2 3 3 2" xfId="11428"/>
    <cellStyle name="Heading 2 2 3 3 3" xfId="30785"/>
    <cellStyle name="Heading 2 2 3 4" xfId="6461"/>
    <cellStyle name="Heading 2 2 3 4 2" xfId="17341"/>
    <cellStyle name="Heading 2 2 3 4 3" xfId="30786"/>
    <cellStyle name="Heading 2 2 3 5" xfId="8729"/>
    <cellStyle name="Heading 2 2 3 6" xfId="9995"/>
    <cellStyle name="Heading 2 2 3 7" xfId="30783"/>
    <cellStyle name="Heading 2 2 4" xfId="6462"/>
    <cellStyle name="Heading 2 2 4 2" xfId="6463"/>
    <cellStyle name="Heading 2 2 4 2 2" xfId="9998"/>
    <cellStyle name="Heading 2 2 4 2 3" xfId="30788"/>
    <cellStyle name="Heading 2 2 4 3" xfId="6464"/>
    <cellStyle name="Heading 2 2 4 3 2" xfId="13217"/>
    <cellStyle name="Heading 2 2 4 3 3" xfId="30789"/>
    <cellStyle name="Heading 2 2 4 4" xfId="6465"/>
    <cellStyle name="Heading 2 2 4 4 2" xfId="13216"/>
    <cellStyle name="Heading 2 2 4 4 3" xfId="30790"/>
    <cellStyle name="Heading 2 2 4 5" xfId="9997"/>
    <cellStyle name="Heading 2 2 4 6" xfId="30787"/>
    <cellStyle name="Heading 2 2 5" xfId="6466"/>
    <cellStyle name="Heading 2 2 5 2" xfId="6467"/>
    <cellStyle name="Heading 2 2 5 2 2" xfId="13219"/>
    <cellStyle name="Heading 2 2 5 2 3" xfId="30792"/>
    <cellStyle name="Heading 2 2 5 3" xfId="6468"/>
    <cellStyle name="Heading 2 2 5 3 2" xfId="13218"/>
    <cellStyle name="Heading 2 2 5 3 3" xfId="30793"/>
    <cellStyle name="Heading 2 2 5 4" xfId="6469"/>
    <cellStyle name="Heading 2 2 5 4 2" xfId="15675"/>
    <cellStyle name="Heading 2 2 5 4 3" xfId="30794"/>
    <cellStyle name="Heading 2 2 5 5" xfId="9999"/>
    <cellStyle name="Heading 2 2 5 6" xfId="30791"/>
    <cellStyle name="Heading 2 2 6" xfId="6470"/>
    <cellStyle name="Heading 2 2 6 2" xfId="6471"/>
    <cellStyle name="Heading 2 2 6 2 2" xfId="6472"/>
    <cellStyle name="Heading 2 2 6 2 2 2" xfId="11430"/>
    <cellStyle name="Heading 2 2 6 2 2 3" xfId="30797"/>
    <cellStyle name="Heading 2 2 6 2 3" xfId="10001"/>
    <cellStyle name="Heading 2 2 6 2 4" xfId="30796"/>
    <cellStyle name="Heading 2 2 6 3" xfId="6473"/>
    <cellStyle name="Heading 2 2 6 3 2" xfId="11429"/>
    <cellStyle name="Heading 2 2 6 3 3" xfId="30798"/>
    <cellStyle name="Heading 2 2 6 4" xfId="10000"/>
    <cellStyle name="Heading 2 2 6 5" xfId="30795"/>
    <cellStyle name="Heading 2 2 7" xfId="6474"/>
    <cellStyle name="Heading 2 2 7 2" xfId="6475"/>
    <cellStyle name="Heading 2 2 7 2 2" xfId="6476"/>
    <cellStyle name="Heading 2 2 7 2 2 2" xfId="11432"/>
    <cellStyle name="Heading 2 2 7 2 2 3" xfId="30801"/>
    <cellStyle name="Heading 2 2 7 2 3" xfId="10003"/>
    <cellStyle name="Heading 2 2 7 2 4" xfId="30800"/>
    <cellStyle name="Heading 2 2 7 3" xfId="6477"/>
    <cellStyle name="Heading 2 2 7 3 2" xfId="11431"/>
    <cellStyle name="Heading 2 2 7 3 3" xfId="30802"/>
    <cellStyle name="Heading 2 2 7 4" xfId="10002"/>
    <cellStyle name="Heading 2 2 7 5" xfId="30799"/>
    <cellStyle name="Heading 2 2 8" xfId="6478"/>
    <cellStyle name="Heading 2 2 8 2" xfId="6479"/>
    <cellStyle name="Heading 2 2 8 2 2" xfId="11433"/>
    <cellStyle name="Heading 2 2 8 2 3" xfId="30804"/>
    <cellStyle name="Heading 2 2 8 3" xfId="10004"/>
    <cellStyle name="Heading 2 2 8 4" xfId="30803"/>
    <cellStyle name="Heading 2 2 9" xfId="6480"/>
    <cellStyle name="Heading 2 2 9 2" xfId="6481"/>
    <cellStyle name="Heading 2 2 9 2 2" xfId="11434"/>
    <cellStyle name="Heading 2 2 9 2 3" xfId="30806"/>
    <cellStyle name="Heading 2 2 9 3" xfId="10005"/>
    <cellStyle name="Heading 2 2 9 4" xfId="30805"/>
    <cellStyle name="Heading 2 3" xfId="6482"/>
    <cellStyle name="Heading 2 3 2" xfId="8673"/>
    <cellStyle name="Heading 2 3 3" xfId="30807"/>
    <cellStyle name="Heading 2 3 4" xfId="33091"/>
    <cellStyle name="Heading 2 4" xfId="6483"/>
    <cellStyle name="Heading 2 4 2" xfId="10006"/>
    <cellStyle name="Heading 2 4 3" xfId="30808"/>
    <cellStyle name="Heading 2 5" xfId="6484"/>
    <cellStyle name="Heading 2 5 2" xfId="10007"/>
    <cellStyle name="Heading 2 5 3" xfId="30809"/>
    <cellStyle name="Heading 2 6" xfId="6485"/>
    <cellStyle name="Heading 2 6 2" xfId="10008"/>
    <cellStyle name="Heading 2 6 3" xfId="30810"/>
    <cellStyle name="Heading 2 7" xfId="6486"/>
    <cellStyle name="Heading 2 7 2" xfId="10009"/>
    <cellStyle name="Heading 2 7 3" xfId="30811"/>
    <cellStyle name="Heading 2 8" xfId="9987"/>
    <cellStyle name="Heading 3" xfId="17" builtinId="18" customBuiltin="1"/>
    <cellStyle name="Heading 3 10" xfId="6487"/>
    <cellStyle name="Heading 3 10 2" xfId="6488"/>
    <cellStyle name="Heading 3 10 2 2" xfId="11436"/>
    <cellStyle name="Heading 3 10 2 3" xfId="30813"/>
    <cellStyle name="Heading 3 10 3" xfId="10011"/>
    <cellStyle name="Heading 3 10 4" xfId="30812"/>
    <cellStyle name="Heading 3 11" xfId="6489"/>
    <cellStyle name="Heading 3 11 2" xfId="6490"/>
    <cellStyle name="Heading 3 11 2 2" xfId="11437"/>
    <cellStyle name="Heading 3 11 2 3" xfId="30815"/>
    <cellStyle name="Heading 3 11 3" xfId="10012"/>
    <cellStyle name="Heading 3 11 4" xfId="30814"/>
    <cellStyle name="Heading 3 12" xfId="6491"/>
    <cellStyle name="Heading 3 12 2" xfId="6492"/>
    <cellStyle name="Heading 3 12 2 2" xfId="15676"/>
    <cellStyle name="Heading 3 12 2 3" xfId="30817"/>
    <cellStyle name="Heading 3 12 3" xfId="10013"/>
    <cellStyle name="Heading 3 12 4" xfId="30816"/>
    <cellStyle name="Heading 3 13" xfId="6493"/>
    <cellStyle name="Heading 3 13 2" xfId="6494"/>
    <cellStyle name="Heading 3 13 2 2" xfId="15677"/>
    <cellStyle name="Heading 3 13 2 3" xfId="30819"/>
    <cellStyle name="Heading 3 13 3" xfId="10492"/>
    <cellStyle name="Heading 3 13 4" xfId="30818"/>
    <cellStyle name="Heading 3 14" xfId="6495"/>
    <cellStyle name="Heading 3 14 2" xfId="11435"/>
    <cellStyle name="Heading 3 14 3" xfId="30820"/>
    <cellStyle name="Heading 3 15" xfId="6496"/>
    <cellStyle name="Heading 3 15 2" xfId="10010"/>
    <cellStyle name="Heading 3 15 3" xfId="30821"/>
    <cellStyle name="Heading 3 2" xfId="6497"/>
    <cellStyle name="Heading 3 2 2" xfId="6498"/>
    <cellStyle name="Heading 3 2 2 2" xfId="11694"/>
    <cellStyle name="Heading 3 2 2 3" xfId="30823"/>
    <cellStyle name="Heading 3 2 3" xfId="6499"/>
    <cellStyle name="Heading 3 2 3 2" xfId="17342"/>
    <cellStyle name="Heading 3 2 3 3" xfId="30824"/>
    <cellStyle name="Heading 3 2 4" xfId="8734"/>
    <cellStyle name="Heading 3 2 5" xfId="10014"/>
    <cellStyle name="Heading 3 2 6" xfId="30822"/>
    <cellStyle name="Heading 3 2 7" xfId="33047"/>
    <cellStyle name="Heading 3 3" xfId="6500"/>
    <cellStyle name="Heading 3 3 2" xfId="6501"/>
    <cellStyle name="Heading 3 3 2 2" xfId="10016"/>
    <cellStyle name="Heading 3 3 2 3" xfId="30826"/>
    <cellStyle name="Heading 3 3 3" xfId="6502"/>
    <cellStyle name="Heading 3 3 3 2" xfId="13220"/>
    <cellStyle name="Heading 3 3 3 3" xfId="30827"/>
    <cellStyle name="Heading 3 3 4" xfId="10015"/>
    <cellStyle name="Heading 3 3 5" xfId="30825"/>
    <cellStyle name="Heading 3 4" xfId="6503"/>
    <cellStyle name="Heading 3 4 2" xfId="6504"/>
    <cellStyle name="Heading 3 4 2 2" xfId="10018"/>
    <cellStyle name="Heading 3 4 2 3" xfId="30829"/>
    <cellStyle name="Heading 3 4 3" xfId="6505"/>
    <cellStyle name="Heading 3 4 3 2" xfId="13222"/>
    <cellStyle name="Heading 3 4 3 3" xfId="30830"/>
    <cellStyle name="Heading 3 4 4" xfId="6506"/>
    <cellStyle name="Heading 3 4 4 2" xfId="13221"/>
    <cellStyle name="Heading 3 4 4 3" xfId="30831"/>
    <cellStyle name="Heading 3 4 5" xfId="10017"/>
    <cellStyle name="Heading 3 4 6" xfId="30828"/>
    <cellStyle name="Heading 3 5" xfId="6507"/>
    <cellStyle name="Heading 3 5 2" xfId="6508"/>
    <cellStyle name="Heading 3 5 2 2" xfId="6509"/>
    <cellStyle name="Heading 3 5 2 2 2" xfId="11439"/>
    <cellStyle name="Heading 3 5 2 2 3" xfId="30834"/>
    <cellStyle name="Heading 3 5 2 3" xfId="10020"/>
    <cellStyle name="Heading 3 5 2 4" xfId="30833"/>
    <cellStyle name="Heading 3 5 3" xfId="6510"/>
    <cellStyle name="Heading 3 5 3 2" xfId="11438"/>
    <cellStyle name="Heading 3 5 3 3" xfId="30835"/>
    <cellStyle name="Heading 3 5 4" xfId="6511"/>
    <cellStyle name="Heading 3 5 4 2" xfId="13223"/>
    <cellStyle name="Heading 3 5 4 3" xfId="30836"/>
    <cellStyle name="Heading 3 5 5" xfId="6512"/>
    <cellStyle name="Heading 3 5 5 2" xfId="15678"/>
    <cellStyle name="Heading 3 5 5 3" xfId="30837"/>
    <cellStyle name="Heading 3 5 6" xfId="10019"/>
    <cellStyle name="Heading 3 5 7" xfId="30832"/>
    <cellStyle name="Heading 3 6" xfId="6513"/>
    <cellStyle name="Heading 3 6 2" xfId="6514"/>
    <cellStyle name="Heading 3 6 2 2" xfId="6515"/>
    <cellStyle name="Heading 3 6 2 2 2" xfId="11441"/>
    <cellStyle name="Heading 3 6 2 2 3" xfId="30840"/>
    <cellStyle name="Heading 3 6 2 3" xfId="10022"/>
    <cellStyle name="Heading 3 6 2 4" xfId="30839"/>
    <cellStyle name="Heading 3 6 3" xfId="6516"/>
    <cellStyle name="Heading 3 6 3 2" xfId="11440"/>
    <cellStyle name="Heading 3 6 3 3" xfId="30841"/>
    <cellStyle name="Heading 3 6 4" xfId="10021"/>
    <cellStyle name="Heading 3 6 5" xfId="30838"/>
    <cellStyle name="Heading 3 7" xfId="6517"/>
    <cellStyle name="Heading 3 7 2" xfId="6518"/>
    <cellStyle name="Heading 3 7 2 2" xfId="11442"/>
    <cellStyle name="Heading 3 7 2 3" xfId="30843"/>
    <cellStyle name="Heading 3 7 3" xfId="10023"/>
    <cellStyle name="Heading 3 7 4" xfId="30842"/>
    <cellStyle name="Heading 3 8" xfId="6519"/>
    <cellStyle name="Heading 3 8 2" xfId="6520"/>
    <cellStyle name="Heading 3 8 2 2" xfId="11443"/>
    <cellStyle name="Heading 3 8 2 3" xfId="30845"/>
    <cellStyle name="Heading 3 8 3" xfId="10024"/>
    <cellStyle name="Heading 3 8 4" xfId="30844"/>
    <cellStyle name="Heading 3 9" xfId="6521"/>
    <cellStyle name="Heading 3 9 2" xfId="6522"/>
    <cellStyle name="Heading 3 9 2 2" xfId="11444"/>
    <cellStyle name="Heading 3 9 2 3" xfId="30847"/>
    <cellStyle name="Heading 3 9 3" xfId="10025"/>
    <cellStyle name="Heading 3 9 4" xfId="30846"/>
    <cellStyle name="Heading 4" xfId="18" builtinId="19" customBuiltin="1"/>
    <cellStyle name="Heading 4 10" xfId="6523"/>
    <cellStyle name="Heading 4 10 2" xfId="6524"/>
    <cellStyle name="Heading 4 10 2 2" xfId="11446"/>
    <cellStyle name="Heading 4 10 2 3" xfId="30849"/>
    <cellStyle name="Heading 4 10 3" xfId="10027"/>
    <cellStyle name="Heading 4 10 4" xfId="30848"/>
    <cellStyle name="Heading 4 11" xfId="6525"/>
    <cellStyle name="Heading 4 11 2" xfId="6526"/>
    <cellStyle name="Heading 4 11 2 2" xfId="15679"/>
    <cellStyle name="Heading 4 11 2 3" xfId="30851"/>
    <cellStyle name="Heading 4 11 3" xfId="10028"/>
    <cellStyle name="Heading 4 11 4" xfId="30850"/>
    <cellStyle name="Heading 4 12" xfId="6527"/>
    <cellStyle name="Heading 4 12 2" xfId="6528"/>
    <cellStyle name="Heading 4 12 2 2" xfId="15680"/>
    <cellStyle name="Heading 4 12 2 3" xfId="30853"/>
    <cellStyle name="Heading 4 12 3" xfId="10493"/>
    <cellStyle name="Heading 4 12 4" xfId="30852"/>
    <cellStyle name="Heading 4 13" xfId="6529"/>
    <cellStyle name="Heading 4 13 2" xfId="11445"/>
    <cellStyle name="Heading 4 13 3" xfId="30854"/>
    <cellStyle name="Heading 4 14" xfId="6530"/>
    <cellStyle name="Heading 4 14 2" xfId="10026"/>
    <cellStyle name="Heading 4 14 3" xfId="30855"/>
    <cellStyle name="Heading 4 2" xfId="6531"/>
    <cellStyle name="Heading 4 2 2" xfId="6532"/>
    <cellStyle name="Heading 4 2 2 2" xfId="10030"/>
    <cellStyle name="Heading 4 2 2 3" xfId="30857"/>
    <cellStyle name="Heading 4 2 3" xfId="6533"/>
    <cellStyle name="Heading 4 2 3 2" xfId="13224"/>
    <cellStyle name="Heading 4 2 3 3" xfId="30858"/>
    <cellStyle name="Heading 4 2 4" xfId="10029"/>
    <cellStyle name="Heading 4 2 5" xfId="30856"/>
    <cellStyle name="Heading 4 2 6" xfId="33048"/>
    <cellStyle name="Heading 4 3" xfId="6534"/>
    <cellStyle name="Heading 4 3 2" xfId="6535"/>
    <cellStyle name="Heading 4 3 2 2" xfId="10032"/>
    <cellStyle name="Heading 4 3 2 3" xfId="30860"/>
    <cellStyle name="Heading 4 3 3" xfId="6536"/>
    <cellStyle name="Heading 4 3 3 2" xfId="13226"/>
    <cellStyle name="Heading 4 3 3 3" xfId="30861"/>
    <cellStyle name="Heading 4 3 4" xfId="6537"/>
    <cellStyle name="Heading 4 3 4 2" xfId="13225"/>
    <cellStyle name="Heading 4 3 4 3" xfId="30862"/>
    <cellStyle name="Heading 4 3 5" xfId="10031"/>
    <cellStyle name="Heading 4 3 6" xfId="30859"/>
    <cellStyle name="Heading 4 4" xfId="6538"/>
    <cellStyle name="Heading 4 4 2" xfId="6539"/>
    <cellStyle name="Heading 4 4 2 2" xfId="6540"/>
    <cellStyle name="Heading 4 4 2 2 2" xfId="11448"/>
    <cellStyle name="Heading 4 4 2 2 3" xfId="30865"/>
    <cellStyle name="Heading 4 4 2 3" xfId="10034"/>
    <cellStyle name="Heading 4 4 2 4" xfId="30864"/>
    <cellStyle name="Heading 4 4 3" xfId="6541"/>
    <cellStyle name="Heading 4 4 3 2" xfId="11447"/>
    <cellStyle name="Heading 4 4 3 3" xfId="30866"/>
    <cellStyle name="Heading 4 4 4" xfId="6542"/>
    <cellStyle name="Heading 4 4 4 2" xfId="13227"/>
    <cellStyle name="Heading 4 4 4 3" xfId="30867"/>
    <cellStyle name="Heading 4 4 5" xfId="6543"/>
    <cellStyle name="Heading 4 4 5 2" xfId="15681"/>
    <cellStyle name="Heading 4 4 5 3" xfId="30868"/>
    <cellStyle name="Heading 4 4 6" xfId="10033"/>
    <cellStyle name="Heading 4 4 7" xfId="30863"/>
    <cellStyle name="Heading 4 5" xfId="6544"/>
    <cellStyle name="Heading 4 5 2" xfId="6545"/>
    <cellStyle name="Heading 4 5 2 2" xfId="6546"/>
    <cellStyle name="Heading 4 5 2 2 2" xfId="11450"/>
    <cellStyle name="Heading 4 5 2 2 3" xfId="30871"/>
    <cellStyle name="Heading 4 5 2 3" xfId="10036"/>
    <cellStyle name="Heading 4 5 2 4" xfId="30870"/>
    <cellStyle name="Heading 4 5 3" xfId="6547"/>
    <cellStyle name="Heading 4 5 3 2" xfId="11449"/>
    <cellStyle name="Heading 4 5 3 3" xfId="30872"/>
    <cellStyle name="Heading 4 5 4" xfId="10035"/>
    <cellStyle name="Heading 4 5 5" xfId="30869"/>
    <cellStyle name="Heading 4 6" xfId="6548"/>
    <cellStyle name="Heading 4 6 2" xfId="6549"/>
    <cellStyle name="Heading 4 6 2 2" xfId="11451"/>
    <cellStyle name="Heading 4 6 2 3" xfId="30874"/>
    <cellStyle name="Heading 4 6 3" xfId="10037"/>
    <cellStyle name="Heading 4 6 4" xfId="30873"/>
    <cellStyle name="Heading 4 7" xfId="6550"/>
    <cellStyle name="Heading 4 7 2" xfId="6551"/>
    <cellStyle name="Heading 4 7 2 2" xfId="11452"/>
    <cellStyle name="Heading 4 7 2 3" xfId="30876"/>
    <cellStyle name="Heading 4 7 3" xfId="10038"/>
    <cellStyle name="Heading 4 7 4" xfId="30875"/>
    <cellStyle name="Heading 4 8" xfId="6552"/>
    <cellStyle name="Heading 4 8 2" xfId="6553"/>
    <cellStyle name="Heading 4 8 2 2" xfId="11453"/>
    <cellStyle name="Heading 4 8 2 3" xfId="30878"/>
    <cellStyle name="Heading 4 8 3" xfId="10039"/>
    <cellStyle name="Heading 4 8 4" xfId="30877"/>
    <cellStyle name="Heading 4 9" xfId="6554"/>
    <cellStyle name="Heading 4 9 2" xfId="6555"/>
    <cellStyle name="Heading 4 9 2 2" xfId="11454"/>
    <cellStyle name="Heading 4 9 2 3" xfId="30880"/>
    <cellStyle name="Heading 4 9 3" xfId="10040"/>
    <cellStyle name="Heading 4 9 4" xfId="30879"/>
    <cellStyle name="Hyperlink" xfId="7" builtinId="8"/>
    <cellStyle name="Hyperlink 2" xfId="6556"/>
    <cellStyle name="Hyperlink 2 2" xfId="8699"/>
    <cellStyle name="Hyperlink 2 3" xfId="30881"/>
    <cellStyle name="Hyperlink 2 4" xfId="33097"/>
    <cellStyle name="Hyperlink 3" xfId="6557"/>
    <cellStyle name="Hyperlink 3 2" xfId="10041"/>
    <cellStyle name="Hyperlink 3 3" xfId="30882"/>
    <cellStyle name="Input" xfId="22" builtinId="20" customBuiltin="1"/>
    <cellStyle name="Input 10" xfId="6558"/>
    <cellStyle name="Input 10 2" xfId="10043"/>
    <cellStyle name="Input 10 3" xfId="30883"/>
    <cellStyle name="Input 11" xfId="6559"/>
    <cellStyle name="Input 11 2" xfId="10044"/>
    <cellStyle name="Input 11 3" xfId="30884"/>
    <cellStyle name="Input 12" xfId="6560"/>
    <cellStyle name="Input 12 2" xfId="6561"/>
    <cellStyle name="Input 12 2 2" xfId="15682"/>
    <cellStyle name="Input 12 2 3" xfId="30886"/>
    <cellStyle name="Input 12 3" xfId="10494"/>
    <cellStyle name="Input 12 4" xfId="30885"/>
    <cellStyle name="Input 13" xfId="6562"/>
    <cellStyle name="Input 13 2" xfId="11455"/>
    <cellStyle name="Input 13 3" xfId="30887"/>
    <cellStyle name="Input 14" xfId="6563"/>
    <cellStyle name="Input 14 2" xfId="10042"/>
    <cellStyle name="Input 14 3" xfId="30888"/>
    <cellStyle name="Input 2" xfId="6564"/>
    <cellStyle name="Input 2 2" xfId="10045"/>
    <cellStyle name="Input 2 3" xfId="30889"/>
    <cellStyle name="Input 2 4" xfId="33052"/>
    <cellStyle name="Input 3" xfId="6565"/>
    <cellStyle name="Input 3 2" xfId="6566"/>
    <cellStyle name="Input 3 2 2" xfId="10047"/>
    <cellStyle name="Input 3 2 3" xfId="30891"/>
    <cellStyle name="Input 3 3" xfId="10046"/>
    <cellStyle name="Input 3 4" xfId="30890"/>
    <cellStyle name="Input 4" xfId="6567"/>
    <cellStyle name="Input 4 2" xfId="6568"/>
    <cellStyle name="Input 4 2 2" xfId="13229"/>
    <cellStyle name="Input 4 2 3" xfId="30893"/>
    <cellStyle name="Input 4 3" xfId="6569"/>
    <cellStyle name="Input 4 3 2" xfId="13228"/>
    <cellStyle name="Input 4 3 3" xfId="30894"/>
    <cellStyle name="Input 4 4" xfId="10048"/>
    <cellStyle name="Input 4 5" xfId="30892"/>
    <cellStyle name="Input 5" xfId="6570"/>
    <cellStyle name="Input 5 2" xfId="6571"/>
    <cellStyle name="Input 5 2 2" xfId="10050"/>
    <cellStyle name="Input 5 2 3" xfId="30896"/>
    <cellStyle name="Input 5 3" xfId="10049"/>
    <cellStyle name="Input 5 4" xfId="30895"/>
    <cellStyle name="Input 6" xfId="6572"/>
    <cellStyle name="Input 6 2" xfId="10051"/>
    <cellStyle name="Input 6 3" xfId="30897"/>
    <cellStyle name="Input 7" xfId="6573"/>
    <cellStyle name="Input 7 2" xfId="10052"/>
    <cellStyle name="Input 7 3" xfId="30898"/>
    <cellStyle name="Input 8" xfId="6574"/>
    <cellStyle name="Input 8 2" xfId="10053"/>
    <cellStyle name="Input 8 3" xfId="30899"/>
    <cellStyle name="Input 9" xfId="6575"/>
    <cellStyle name="Input 9 2" xfId="10054"/>
    <cellStyle name="Input 9 3" xfId="30900"/>
    <cellStyle name="Linked Cell" xfId="25" builtinId="24" customBuiltin="1"/>
    <cellStyle name="Linked Cell 10" xfId="6576"/>
    <cellStyle name="Linked Cell 10 2" xfId="6577"/>
    <cellStyle name="Linked Cell 10 2 2" xfId="11457"/>
    <cellStyle name="Linked Cell 10 2 3" xfId="30902"/>
    <cellStyle name="Linked Cell 10 3" xfId="10056"/>
    <cellStyle name="Linked Cell 10 4" xfId="30901"/>
    <cellStyle name="Linked Cell 11" xfId="6578"/>
    <cellStyle name="Linked Cell 11 2" xfId="6579"/>
    <cellStyle name="Linked Cell 11 2 2" xfId="11458"/>
    <cellStyle name="Linked Cell 11 2 3" xfId="30904"/>
    <cellStyle name="Linked Cell 11 3" xfId="10057"/>
    <cellStyle name="Linked Cell 11 4" xfId="30903"/>
    <cellStyle name="Linked Cell 12" xfId="6580"/>
    <cellStyle name="Linked Cell 12 2" xfId="6581"/>
    <cellStyle name="Linked Cell 12 2 2" xfId="15683"/>
    <cellStyle name="Linked Cell 12 2 3" xfId="30906"/>
    <cellStyle name="Linked Cell 12 3" xfId="10058"/>
    <cellStyle name="Linked Cell 12 4" xfId="30905"/>
    <cellStyle name="Linked Cell 13" xfId="6582"/>
    <cellStyle name="Linked Cell 13 2" xfId="6583"/>
    <cellStyle name="Linked Cell 13 2 2" xfId="15684"/>
    <cellStyle name="Linked Cell 13 2 3" xfId="30908"/>
    <cellStyle name="Linked Cell 13 3" xfId="10495"/>
    <cellStyle name="Linked Cell 13 4" xfId="30907"/>
    <cellStyle name="Linked Cell 14" xfId="6584"/>
    <cellStyle name="Linked Cell 14 2" xfId="11456"/>
    <cellStyle name="Linked Cell 14 3" xfId="30909"/>
    <cellStyle name="Linked Cell 15" xfId="6585"/>
    <cellStyle name="Linked Cell 15 2" xfId="10055"/>
    <cellStyle name="Linked Cell 15 3" xfId="30910"/>
    <cellStyle name="Linked Cell 2" xfId="6586"/>
    <cellStyle name="Linked Cell 2 2" xfId="6587"/>
    <cellStyle name="Linked Cell 2 2 2" xfId="10060"/>
    <cellStyle name="Linked Cell 2 2 3" xfId="30912"/>
    <cellStyle name="Linked Cell 2 3" xfId="6588"/>
    <cellStyle name="Linked Cell 2 3 2" xfId="13230"/>
    <cellStyle name="Linked Cell 2 3 3" xfId="30913"/>
    <cellStyle name="Linked Cell 2 4" xfId="10059"/>
    <cellStyle name="Linked Cell 2 5" xfId="30911"/>
    <cellStyle name="Linked Cell 2 6" xfId="33055"/>
    <cellStyle name="Linked Cell 3" xfId="6589"/>
    <cellStyle name="Linked Cell 3 2" xfId="6590"/>
    <cellStyle name="Linked Cell 3 2 2" xfId="10062"/>
    <cellStyle name="Linked Cell 3 2 3" xfId="30915"/>
    <cellStyle name="Linked Cell 3 3" xfId="6591"/>
    <cellStyle name="Linked Cell 3 3 2" xfId="13232"/>
    <cellStyle name="Linked Cell 3 3 3" xfId="30916"/>
    <cellStyle name="Linked Cell 3 4" xfId="6592"/>
    <cellStyle name="Linked Cell 3 4 2" xfId="13231"/>
    <cellStyle name="Linked Cell 3 4 3" xfId="30917"/>
    <cellStyle name="Linked Cell 3 5" xfId="10061"/>
    <cellStyle name="Linked Cell 3 6" xfId="30914"/>
    <cellStyle name="Linked Cell 4" xfId="6593"/>
    <cellStyle name="Linked Cell 4 2" xfId="6594"/>
    <cellStyle name="Linked Cell 4 2 2" xfId="6595"/>
    <cellStyle name="Linked Cell 4 2 2 2" xfId="11460"/>
    <cellStyle name="Linked Cell 4 2 2 3" xfId="30920"/>
    <cellStyle name="Linked Cell 4 2 3" xfId="10064"/>
    <cellStyle name="Linked Cell 4 2 4" xfId="30919"/>
    <cellStyle name="Linked Cell 4 3" xfId="6596"/>
    <cellStyle name="Linked Cell 4 3 2" xfId="11459"/>
    <cellStyle name="Linked Cell 4 3 3" xfId="30921"/>
    <cellStyle name="Linked Cell 4 4" xfId="6597"/>
    <cellStyle name="Linked Cell 4 4 2" xfId="13233"/>
    <cellStyle name="Linked Cell 4 4 3" xfId="30922"/>
    <cellStyle name="Linked Cell 4 5" xfId="6598"/>
    <cellStyle name="Linked Cell 4 5 2" xfId="15685"/>
    <cellStyle name="Linked Cell 4 5 3" xfId="30923"/>
    <cellStyle name="Linked Cell 4 6" xfId="10063"/>
    <cellStyle name="Linked Cell 4 7" xfId="30918"/>
    <cellStyle name="Linked Cell 5" xfId="6599"/>
    <cellStyle name="Linked Cell 5 2" xfId="6600"/>
    <cellStyle name="Linked Cell 5 2 2" xfId="6601"/>
    <cellStyle name="Linked Cell 5 2 2 2" xfId="11462"/>
    <cellStyle name="Linked Cell 5 2 2 3" xfId="30926"/>
    <cellStyle name="Linked Cell 5 2 3" xfId="10066"/>
    <cellStyle name="Linked Cell 5 2 4" xfId="30925"/>
    <cellStyle name="Linked Cell 5 3" xfId="6602"/>
    <cellStyle name="Linked Cell 5 3 2" xfId="11461"/>
    <cellStyle name="Linked Cell 5 3 3" xfId="30927"/>
    <cellStyle name="Linked Cell 5 4" xfId="10065"/>
    <cellStyle name="Linked Cell 5 5" xfId="30924"/>
    <cellStyle name="Linked Cell 6" xfId="6603"/>
    <cellStyle name="Linked Cell 6 2" xfId="10067"/>
    <cellStyle name="Linked Cell 6 3" xfId="30928"/>
    <cellStyle name="Linked Cell 7" xfId="6604"/>
    <cellStyle name="Linked Cell 7 2" xfId="6605"/>
    <cellStyle name="Linked Cell 7 2 2" xfId="11463"/>
    <cellStyle name="Linked Cell 7 2 3" xfId="30930"/>
    <cellStyle name="Linked Cell 7 3" xfId="10068"/>
    <cellStyle name="Linked Cell 7 4" xfId="30929"/>
    <cellStyle name="Linked Cell 8" xfId="6606"/>
    <cellStyle name="Linked Cell 8 2" xfId="6607"/>
    <cellStyle name="Linked Cell 8 2 2" xfId="11464"/>
    <cellStyle name="Linked Cell 8 2 3" xfId="30932"/>
    <cellStyle name="Linked Cell 8 3" xfId="10069"/>
    <cellStyle name="Linked Cell 8 4" xfId="30931"/>
    <cellStyle name="Linked Cell 9" xfId="6608"/>
    <cellStyle name="Linked Cell 9 2" xfId="6609"/>
    <cellStyle name="Linked Cell 9 2 2" xfId="11465"/>
    <cellStyle name="Linked Cell 9 2 3" xfId="30934"/>
    <cellStyle name="Linked Cell 9 3" xfId="10070"/>
    <cellStyle name="Linked Cell 9 4" xfId="30933"/>
    <cellStyle name="Neutral" xfId="21" builtinId="28" customBuiltin="1"/>
    <cellStyle name="Neutral 10" xfId="6610"/>
    <cellStyle name="Neutral 10 2" xfId="10072"/>
    <cellStyle name="Neutral 10 3" xfId="30935"/>
    <cellStyle name="Neutral 11" xfId="6611"/>
    <cellStyle name="Neutral 11 2" xfId="10073"/>
    <cellStyle name="Neutral 11 3" xfId="30936"/>
    <cellStyle name="Neutral 12" xfId="6612"/>
    <cellStyle name="Neutral 12 2" xfId="6613"/>
    <cellStyle name="Neutral 12 2 2" xfId="15686"/>
    <cellStyle name="Neutral 12 2 3" xfId="30938"/>
    <cellStyle name="Neutral 12 3" xfId="10496"/>
    <cellStyle name="Neutral 12 4" xfId="30937"/>
    <cellStyle name="Neutral 13" xfId="6614"/>
    <cellStyle name="Neutral 13 2" xfId="11466"/>
    <cellStyle name="Neutral 13 3" xfId="30939"/>
    <cellStyle name="Neutral 14" xfId="6615"/>
    <cellStyle name="Neutral 14 2" xfId="10071"/>
    <cellStyle name="Neutral 14 3" xfId="30940"/>
    <cellStyle name="Neutral 2" xfId="6616"/>
    <cellStyle name="Neutral 2 2" xfId="10074"/>
    <cellStyle name="Neutral 2 3" xfId="30941"/>
    <cellStyle name="Neutral 2 4" xfId="33051"/>
    <cellStyle name="Neutral 3" xfId="6617"/>
    <cellStyle name="Neutral 3 2" xfId="6618"/>
    <cellStyle name="Neutral 3 2 2" xfId="10076"/>
    <cellStyle name="Neutral 3 2 3" xfId="30943"/>
    <cellStyle name="Neutral 3 3" xfId="10075"/>
    <cellStyle name="Neutral 3 4" xfId="30942"/>
    <cellStyle name="Neutral 3 5" xfId="33103"/>
    <cellStyle name="Neutral 4" xfId="6619"/>
    <cellStyle name="Neutral 4 2" xfId="6620"/>
    <cellStyle name="Neutral 4 2 2" xfId="13235"/>
    <cellStyle name="Neutral 4 2 3" xfId="30945"/>
    <cellStyle name="Neutral 4 3" xfId="6621"/>
    <cellStyle name="Neutral 4 3 2" xfId="13234"/>
    <cellStyle name="Neutral 4 3 3" xfId="30946"/>
    <cellStyle name="Neutral 4 4" xfId="10077"/>
    <cellStyle name="Neutral 4 5" xfId="30944"/>
    <cellStyle name="Neutral 5" xfId="6622"/>
    <cellStyle name="Neutral 5 2" xfId="6623"/>
    <cellStyle name="Neutral 5 2 2" xfId="10079"/>
    <cellStyle name="Neutral 5 2 3" xfId="30948"/>
    <cellStyle name="Neutral 5 3" xfId="10078"/>
    <cellStyle name="Neutral 5 4" xfId="30947"/>
    <cellStyle name="Neutral 6" xfId="6624"/>
    <cellStyle name="Neutral 6 2" xfId="10080"/>
    <cellStyle name="Neutral 6 3" xfId="30949"/>
    <cellStyle name="Neutral 7" xfId="6625"/>
    <cellStyle name="Neutral 7 2" xfId="10081"/>
    <cellStyle name="Neutral 7 3" xfId="30950"/>
    <cellStyle name="Neutral 8" xfId="6626"/>
    <cellStyle name="Neutral 8 2" xfId="10082"/>
    <cellStyle name="Neutral 8 3" xfId="30951"/>
    <cellStyle name="Neutral 9" xfId="6627"/>
    <cellStyle name="Neutral 9 2" xfId="10083"/>
    <cellStyle name="Neutral 9 3" xfId="30952"/>
    <cellStyle name="Normal" xfId="0" builtinId="0"/>
    <cellStyle name="Normal 10" xfId="6628"/>
    <cellStyle name="Normal 10 2" xfId="6629"/>
    <cellStyle name="Normal 10 2 2" xfId="6630"/>
    <cellStyle name="Normal 10 2 2 2" xfId="11693"/>
    <cellStyle name="Normal 10 2 2 2 2" xfId="25429"/>
    <cellStyle name="Normal 10 2 2 3" xfId="30953"/>
    <cellStyle name="Normal 10 2 3" xfId="6631"/>
    <cellStyle name="Normal 10 2 3 2" xfId="17343"/>
    <cellStyle name="Normal 10 2 3 3" xfId="30954"/>
    <cellStyle name="Normal 10 2 4" xfId="8730"/>
    <cellStyle name="Normal 10 2 5" xfId="10085"/>
    <cellStyle name="Normal 10 3" xfId="6632"/>
    <cellStyle name="Normal 10 3 2" xfId="6633"/>
    <cellStyle name="Normal 10 3 2 2" xfId="13237"/>
    <cellStyle name="Normal 10 3 2 2 2" xfId="26882"/>
    <cellStyle name="Normal 10 3 2 3" xfId="30956"/>
    <cellStyle name="Normal 10 3 3" xfId="6634"/>
    <cellStyle name="Normal 10 3 3 2" xfId="15688"/>
    <cellStyle name="Normal 10 3 3 2 2" xfId="29174"/>
    <cellStyle name="Normal 10 3 3 3" xfId="30957"/>
    <cellStyle name="Normal 10 3 4" xfId="11467"/>
    <cellStyle name="Normal 10 3 4 2" xfId="25299"/>
    <cellStyle name="Normal 10 3 5" xfId="30955"/>
    <cellStyle name="Normal 10 3 6" xfId="32946"/>
    <cellStyle name="Normal 10 3 7" xfId="33004"/>
    <cellStyle name="Normal 10 4" xfId="6635"/>
    <cellStyle name="Normal 10 4 2" xfId="13236"/>
    <cellStyle name="Normal 10 4 2 2" xfId="26881"/>
    <cellStyle name="Normal 10 4 3" xfId="30958"/>
    <cellStyle name="Normal 10 5" xfId="6636"/>
    <cellStyle name="Normal 10 5 2" xfId="15687"/>
    <cellStyle name="Normal 10 5 2 2" xfId="29173"/>
    <cellStyle name="Normal 10 5 3" xfId="30959"/>
    <cellStyle name="Normal 10 6" xfId="6637"/>
    <cellStyle name="Normal 10 6 2" xfId="15803"/>
    <cellStyle name="Normal 10 6 2 2" xfId="29210"/>
    <cellStyle name="Normal 10 6 3" xfId="30960"/>
    <cellStyle name="Normal 10 7" xfId="8720"/>
    <cellStyle name="Normal 10 7 2" xfId="10084"/>
    <cellStyle name="Normal 10 7 2 2" xfId="24316"/>
    <cellStyle name="Normal 10 8" xfId="8721"/>
    <cellStyle name="Normal 10 8 2" xfId="17329"/>
    <cellStyle name="Normal 10 8 3" xfId="23236"/>
    <cellStyle name="Normal 11" xfId="6638"/>
    <cellStyle name="Normal 11 2" xfId="10086"/>
    <cellStyle name="Normal 11 3" xfId="30961"/>
    <cellStyle name="Normal 11 4" xfId="32917"/>
    <cellStyle name="Normal 11 5" xfId="32977"/>
    <cellStyle name="Normal 12" xfId="6639"/>
    <cellStyle name="Normal 12 2" xfId="10087"/>
    <cellStyle name="Normal 12 3" xfId="30962"/>
    <cellStyle name="Normal 12 4" xfId="32943"/>
    <cellStyle name="Normal 13" xfId="6640"/>
    <cellStyle name="Normal 13 10" xfId="6641"/>
    <cellStyle name="Normal 13 10 2" xfId="6642"/>
    <cellStyle name="Normal 13 10 2 2" xfId="13238"/>
    <cellStyle name="Normal 13 10 2 2 2" xfId="26883"/>
    <cellStyle name="Normal 13 10 2 3" xfId="30964"/>
    <cellStyle name="Normal 13 10 3" xfId="6643"/>
    <cellStyle name="Normal 13 10 3 2" xfId="15689"/>
    <cellStyle name="Normal 13 10 3 2 2" xfId="29175"/>
    <cellStyle name="Normal 13 10 3 3" xfId="30965"/>
    <cellStyle name="Normal 13 10 4" xfId="6644"/>
    <cellStyle name="Normal 13 10 4 2" xfId="17110"/>
    <cellStyle name="Normal 13 10 4 2 2" xfId="30469"/>
    <cellStyle name="Normal 13 10 4 3" xfId="30966"/>
    <cellStyle name="Normal 13 10 5" xfId="10521"/>
    <cellStyle name="Normal 13 10 5 2" xfId="24467"/>
    <cellStyle name="Normal 13 10 6" xfId="30963"/>
    <cellStyle name="Normal 13 11" xfId="6645"/>
    <cellStyle name="Normal 13 11 2" xfId="6646"/>
    <cellStyle name="Normal 13 11 2 2" xfId="13239"/>
    <cellStyle name="Normal 13 11 2 2 2" xfId="26884"/>
    <cellStyle name="Normal 13 11 2 3" xfId="30968"/>
    <cellStyle name="Normal 13 11 3" xfId="6647"/>
    <cellStyle name="Normal 13 11 3 2" xfId="15690"/>
    <cellStyle name="Normal 13 11 3 2 2" xfId="29176"/>
    <cellStyle name="Normal 13 11 3 3" xfId="30969"/>
    <cellStyle name="Normal 13 11 4" xfId="6648"/>
    <cellStyle name="Normal 13 11 4 2" xfId="17199"/>
    <cellStyle name="Normal 13 11 4 2 2" xfId="30558"/>
    <cellStyle name="Normal 13 11 4 3" xfId="30970"/>
    <cellStyle name="Normal 13 11 5" xfId="11468"/>
    <cellStyle name="Normal 13 11 5 2" xfId="25300"/>
    <cellStyle name="Normal 13 11 6" xfId="30967"/>
    <cellStyle name="Normal 13 12" xfId="6649"/>
    <cellStyle name="Normal 13 12 2" xfId="6650"/>
    <cellStyle name="Normal 13 12 2 2" xfId="17288"/>
    <cellStyle name="Normal 13 12 2 2 2" xfId="30647"/>
    <cellStyle name="Normal 13 12 2 3" xfId="30972"/>
    <cellStyle name="Normal 13 12 3" xfId="11777"/>
    <cellStyle name="Normal 13 12 3 2" xfId="25492"/>
    <cellStyle name="Normal 13 12 4" xfId="30971"/>
    <cellStyle name="Normal 13 13" xfId="6651"/>
    <cellStyle name="Normal 13 13 2" xfId="6652"/>
    <cellStyle name="Normal 13 13 2 2" xfId="16440"/>
    <cellStyle name="Normal 13 13 2 2 2" xfId="29847"/>
    <cellStyle name="Normal 13 13 2 3" xfId="30974"/>
    <cellStyle name="Normal 13 13 3" xfId="13392"/>
    <cellStyle name="Normal 13 13 3 2" xfId="26941"/>
    <cellStyle name="Normal 13 13 4" xfId="30973"/>
    <cellStyle name="Normal 13 14" xfId="6653"/>
    <cellStyle name="Normal 13 14 2" xfId="13973"/>
    <cellStyle name="Normal 13 14 2 2" xfId="27522"/>
    <cellStyle name="Normal 13 14 3" xfId="30975"/>
    <cellStyle name="Normal 13 15" xfId="6654"/>
    <cellStyle name="Normal 13 15 2" xfId="15842"/>
    <cellStyle name="Normal 13 15 2 2" xfId="29249"/>
    <cellStyle name="Normal 13 15 3" xfId="30976"/>
    <cellStyle name="Normal 13 16" xfId="6655"/>
    <cellStyle name="Normal 13 16 2" xfId="15859"/>
    <cellStyle name="Normal 13 16 2 2" xfId="29266"/>
    <cellStyle name="Normal 13 16 3" xfId="30977"/>
    <cellStyle name="Normal 13 17" xfId="17375"/>
    <cellStyle name="Normal 13 18" xfId="10088"/>
    <cellStyle name="Normal 13 18 2" xfId="24317"/>
    <cellStyle name="Normal 13 2" xfId="6656"/>
    <cellStyle name="Normal 13 2 10" xfId="6657"/>
    <cellStyle name="Normal 13 2 10 2" xfId="15916"/>
    <cellStyle name="Normal 13 2 10 2 2" xfId="29323"/>
    <cellStyle name="Normal 13 2 10 3" xfId="30979"/>
    <cellStyle name="Normal 13 2 11" xfId="10089"/>
    <cellStyle name="Normal 13 2 11 2" xfId="24318"/>
    <cellStyle name="Normal 13 2 12" xfId="30978"/>
    <cellStyle name="Normal 13 2 2" xfId="6658"/>
    <cellStyle name="Normal 13 2 2 10" xfId="30980"/>
    <cellStyle name="Normal 13 2 2 2" xfId="6659"/>
    <cellStyle name="Normal 13 2 2 2 2" xfId="6660"/>
    <cellStyle name="Normal 13 2 2 2 2 2" xfId="6661"/>
    <cellStyle name="Normal 13 2 2 2 2 2 2" xfId="6662"/>
    <cellStyle name="Normal 13 2 2 2 2 2 2 2" xfId="16975"/>
    <cellStyle name="Normal 13 2 2 2 2 2 2 2 2" xfId="30382"/>
    <cellStyle name="Normal 13 2 2 2 2 2 2 3" xfId="30984"/>
    <cellStyle name="Normal 13 2 2 2 2 2 3" xfId="11472"/>
    <cellStyle name="Normal 13 2 2 2 2 2 3 2" xfId="25304"/>
    <cellStyle name="Normal 13 2 2 2 2 2 4" xfId="30983"/>
    <cellStyle name="Normal 13 2 2 2 2 3" xfId="6663"/>
    <cellStyle name="Normal 13 2 2 2 2 3 2" xfId="12363"/>
    <cellStyle name="Normal 13 2 2 2 2 3 2 2" xfId="26075"/>
    <cellStyle name="Normal 13 2 2 2 2 3 3" xfId="30985"/>
    <cellStyle name="Normal 13 2 2 2 2 4" xfId="6664"/>
    <cellStyle name="Normal 13 2 2 2 2 4 2" xfId="13927"/>
    <cellStyle name="Normal 13 2 2 2 2 4 2 2" xfId="27476"/>
    <cellStyle name="Normal 13 2 2 2 2 4 3" xfId="30986"/>
    <cellStyle name="Normal 13 2 2 2 2 5" xfId="6665"/>
    <cellStyle name="Normal 13 2 2 2 2 5 2" xfId="14508"/>
    <cellStyle name="Normal 13 2 2 2 2 5 2 2" xfId="28057"/>
    <cellStyle name="Normal 13 2 2 2 2 5 3" xfId="30987"/>
    <cellStyle name="Normal 13 2 2 2 2 6" xfId="6666"/>
    <cellStyle name="Normal 13 2 2 2 2 6 2" xfId="16394"/>
    <cellStyle name="Normal 13 2 2 2 2 6 2 2" xfId="29801"/>
    <cellStyle name="Normal 13 2 2 2 2 6 3" xfId="30988"/>
    <cellStyle name="Normal 13 2 2 2 2 7" xfId="10092"/>
    <cellStyle name="Normal 13 2 2 2 2 7 2" xfId="24321"/>
    <cellStyle name="Normal 13 2 2 2 2 8" xfId="30982"/>
    <cellStyle name="Normal 13 2 2 2 3" xfId="6667"/>
    <cellStyle name="Normal 13 2 2 2 3 2" xfId="6668"/>
    <cellStyle name="Normal 13 2 2 2 3 2 2" xfId="16686"/>
    <cellStyle name="Normal 13 2 2 2 3 2 2 2" xfId="30093"/>
    <cellStyle name="Normal 13 2 2 2 3 2 3" xfId="30990"/>
    <cellStyle name="Normal 13 2 2 2 3 3" xfId="11471"/>
    <cellStyle name="Normal 13 2 2 2 3 3 2" xfId="25303"/>
    <cellStyle name="Normal 13 2 2 2 3 4" xfId="30989"/>
    <cellStyle name="Normal 13 2 2 2 4" xfId="6669"/>
    <cellStyle name="Normal 13 2 2 2 4 2" xfId="12063"/>
    <cellStyle name="Normal 13 2 2 2 4 2 2" xfId="25778"/>
    <cellStyle name="Normal 13 2 2 2 4 3" xfId="30991"/>
    <cellStyle name="Normal 13 2 2 2 5" xfId="6670"/>
    <cellStyle name="Normal 13 2 2 2 5 2" xfId="13638"/>
    <cellStyle name="Normal 13 2 2 2 5 2 2" xfId="27187"/>
    <cellStyle name="Normal 13 2 2 2 5 3" xfId="30992"/>
    <cellStyle name="Normal 13 2 2 2 6" xfId="6671"/>
    <cellStyle name="Normal 13 2 2 2 6 2" xfId="14219"/>
    <cellStyle name="Normal 13 2 2 2 6 2 2" xfId="27768"/>
    <cellStyle name="Normal 13 2 2 2 6 3" xfId="30993"/>
    <cellStyle name="Normal 13 2 2 2 7" xfId="6672"/>
    <cellStyle name="Normal 13 2 2 2 7 2" xfId="16105"/>
    <cellStyle name="Normal 13 2 2 2 7 2 2" xfId="29512"/>
    <cellStyle name="Normal 13 2 2 2 7 3" xfId="30994"/>
    <cellStyle name="Normal 13 2 2 2 8" xfId="10091"/>
    <cellStyle name="Normal 13 2 2 2 8 2" xfId="24320"/>
    <cellStyle name="Normal 13 2 2 2 9" xfId="30981"/>
    <cellStyle name="Normal 13 2 2 3" xfId="6673"/>
    <cellStyle name="Normal 13 2 2 3 2" xfId="6674"/>
    <cellStyle name="Normal 13 2 2 3 2 2" xfId="6675"/>
    <cellStyle name="Normal 13 2 2 3 2 2 2" xfId="16832"/>
    <cellStyle name="Normal 13 2 2 3 2 2 2 2" xfId="30239"/>
    <cellStyle name="Normal 13 2 2 3 2 2 3" xfId="30997"/>
    <cellStyle name="Normal 13 2 2 3 2 3" xfId="11473"/>
    <cellStyle name="Normal 13 2 2 3 2 3 2" xfId="25305"/>
    <cellStyle name="Normal 13 2 2 3 2 4" xfId="30996"/>
    <cellStyle name="Normal 13 2 2 3 3" xfId="6676"/>
    <cellStyle name="Normal 13 2 2 3 3 2" xfId="12220"/>
    <cellStyle name="Normal 13 2 2 3 3 2 2" xfId="25932"/>
    <cellStyle name="Normal 13 2 2 3 3 3" xfId="30998"/>
    <cellStyle name="Normal 13 2 2 3 4" xfId="6677"/>
    <cellStyle name="Normal 13 2 2 3 4 2" xfId="13784"/>
    <cellStyle name="Normal 13 2 2 3 4 2 2" xfId="27333"/>
    <cellStyle name="Normal 13 2 2 3 4 3" xfId="30999"/>
    <cellStyle name="Normal 13 2 2 3 5" xfId="6678"/>
    <cellStyle name="Normal 13 2 2 3 5 2" xfId="14365"/>
    <cellStyle name="Normal 13 2 2 3 5 2 2" xfId="27914"/>
    <cellStyle name="Normal 13 2 2 3 5 3" xfId="31000"/>
    <cellStyle name="Normal 13 2 2 3 6" xfId="6679"/>
    <cellStyle name="Normal 13 2 2 3 6 2" xfId="16251"/>
    <cellStyle name="Normal 13 2 2 3 6 2 2" xfId="29658"/>
    <cellStyle name="Normal 13 2 2 3 6 3" xfId="31001"/>
    <cellStyle name="Normal 13 2 2 3 7" xfId="10093"/>
    <cellStyle name="Normal 13 2 2 3 7 2" xfId="24322"/>
    <cellStyle name="Normal 13 2 2 3 8" xfId="30995"/>
    <cellStyle name="Normal 13 2 2 4" xfId="6680"/>
    <cellStyle name="Normal 13 2 2 4 2" xfId="6681"/>
    <cellStyle name="Normal 13 2 2 4 2 2" xfId="17179"/>
    <cellStyle name="Normal 13 2 2 4 2 2 2" xfId="30538"/>
    <cellStyle name="Normal 13 2 2 4 2 3" xfId="31003"/>
    <cellStyle name="Normal 13 2 2 4 3" xfId="11470"/>
    <cellStyle name="Normal 13 2 2 4 3 2" xfId="25302"/>
    <cellStyle name="Normal 13 2 2 4 4" xfId="31002"/>
    <cellStyle name="Normal 13 2 2 5" xfId="6682"/>
    <cellStyle name="Normal 13 2 2 5 2" xfId="6683"/>
    <cellStyle name="Normal 13 2 2 5 2 2" xfId="17268"/>
    <cellStyle name="Normal 13 2 2 5 2 2 2" xfId="30627"/>
    <cellStyle name="Normal 13 2 2 5 2 3" xfId="31005"/>
    <cellStyle name="Normal 13 2 2 5 3" xfId="11918"/>
    <cellStyle name="Normal 13 2 2 5 3 2" xfId="25633"/>
    <cellStyle name="Normal 13 2 2 5 4" xfId="31004"/>
    <cellStyle name="Normal 13 2 2 6" xfId="6684"/>
    <cellStyle name="Normal 13 2 2 6 2" xfId="6685"/>
    <cellStyle name="Normal 13 2 2 6 2 2" xfId="16543"/>
    <cellStyle name="Normal 13 2 2 6 2 2 2" xfId="29950"/>
    <cellStyle name="Normal 13 2 2 6 2 3" xfId="31007"/>
    <cellStyle name="Normal 13 2 2 6 3" xfId="13495"/>
    <cellStyle name="Normal 13 2 2 6 3 2" xfId="27044"/>
    <cellStyle name="Normal 13 2 2 6 4" xfId="31006"/>
    <cellStyle name="Normal 13 2 2 7" xfId="6686"/>
    <cellStyle name="Normal 13 2 2 7 2" xfId="14076"/>
    <cellStyle name="Normal 13 2 2 7 2 2" xfId="27625"/>
    <cellStyle name="Normal 13 2 2 7 3" xfId="31008"/>
    <cellStyle name="Normal 13 2 2 8" xfId="6687"/>
    <cellStyle name="Normal 13 2 2 8 2" xfId="15962"/>
    <cellStyle name="Normal 13 2 2 8 2 2" xfId="29369"/>
    <cellStyle name="Normal 13 2 2 8 3" xfId="31009"/>
    <cellStyle name="Normal 13 2 2 9" xfId="10090"/>
    <cellStyle name="Normal 13 2 2 9 2" xfId="24319"/>
    <cellStyle name="Normal 13 2 3" xfId="6688"/>
    <cellStyle name="Normal 13 2 3 2" xfId="6689"/>
    <cellStyle name="Normal 13 2 3 2 2" xfId="6690"/>
    <cellStyle name="Normal 13 2 3 2 2 2" xfId="6691"/>
    <cellStyle name="Normal 13 2 3 2 2 2 2" xfId="16929"/>
    <cellStyle name="Normal 13 2 3 2 2 2 2 2" xfId="30336"/>
    <cellStyle name="Normal 13 2 3 2 2 2 3" xfId="31013"/>
    <cellStyle name="Normal 13 2 3 2 2 3" xfId="11475"/>
    <cellStyle name="Normal 13 2 3 2 2 3 2" xfId="25307"/>
    <cellStyle name="Normal 13 2 3 2 2 4" xfId="31012"/>
    <cellStyle name="Normal 13 2 3 2 3" xfId="6692"/>
    <cellStyle name="Normal 13 2 3 2 3 2" xfId="12317"/>
    <cellStyle name="Normal 13 2 3 2 3 2 2" xfId="26029"/>
    <cellStyle name="Normal 13 2 3 2 3 3" xfId="31014"/>
    <cellStyle name="Normal 13 2 3 2 4" xfId="6693"/>
    <cellStyle name="Normal 13 2 3 2 4 2" xfId="13881"/>
    <cellStyle name="Normal 13 2 3 2 4 2 2" xfId="27430"/>
    <cellStyle name="Normal 13 2 3 2 4 3" xfId="31015"/>
    <cellStyle name="Normal 13 2 3 2 5" xfId="6694"/>
    <cellStyle name="Normal 13 2 3 2 5 2" xfId="14462"/>
    <cellStyle name="Normal 13 2 3 2 5 2 2" xfId="28011"/>
    <cellStyle name="Normal 13 2 3 2 5 3" xfId="31016"/>
    <cellStyle name="Normal 13 2 3 2 6" xfId="6695"/>
    <cellStyle name="Normal 13 2 3 2 6 2" xfId="16348"/>
    <cellStyle name="Normal 13 2 3 2 6 2 2" xfId="29755"/>
    <cellStyle name="Normal 13 2 3 2 6 3" xfId="31017"/>
    <cellStyle name="Normal 13 2 3 2 7" xfId="10095"/>
    <cellStyle name="Normal 13 2 3 2 7 2" xfId="24324"/>
    <cellStyle name="Normal 13 2 3 2 8" xfId="31011"/>
    <cellStyle name="Normal 13 2 3 3" xfId="6696"/>
    <cellStyle name="Normal 13 2 3 3 2" xfId="6697"/>
    <cellStyle name="Normal 13 2 3 3 2 2" xfId="16640"/>
    <cellStyle name="Normal 13 2 3 3 2 2 2" xfId="30047"/>
    <cellStyle name="Normal 13 2 3 3 2 3" xfId="31019"/>
    <cellStyle name="Normal 13 2 3 3 3" xfId="11474"/>
    <cellStyle name="Normal 13 2 3 3 3 2" xfId="25306"/>
    <cellStyle name="Normal 13 2 3 3 4" xfId="31018"/>
    <cellStyle name="Normal 13 2 3 4" xfId="6698"/>
    <cellStyle name="Normal 13 2 3 4 2" xfId="12017"/>
    <cellStyle name="Normal 13 2 3 4 2 2" xfId="25732"/>
    <cellStyle name="Normal 13 2 3 4 3" xfId="31020"/>
    <cellStyle name="Normal 13 2 3 5" xfId="6699"/>
    <cellStyle name="Normal 13 2 3 5 2" xfId="13592"/>
    <cellStyle name="Normal 13 2 3 5 2 2" xfId="27141"/>
    <cellStyle name="Normal 13 2 3 5 3" xfId="31021"/>
    <cellStyle name="Normal 13 2 3 6" xfId="6700"/>
    <cellStyle name="Normal 13 2 3 6 2" xfId="14173"/>
    <cellStyle name="Normal 13 2 3 6 2 2" xfId="27722"/>
    <cellStyle name="Normal 13 2 3 6 3" xfId="31022"/>
    <cellStyle name="Normal 13 2 3 7" xfId="6701"/>
    <cellStyle name="Normal 13 2 3 7 2" xfId="16059"/>
    <cellStyle name="Normal 13 2 3 7 2 2" xfId="29466"/>
    <cellStyle name="Normal 13 2 3 7 3" xfId="31023"/>
    <cellStyle name="Normal 13 2 3 8" xfId="10094"/>
    <cellStyle name="Normal 13 2 3 8 2" xfId="24323"/>
    <cellStyle name="Normal 13 2 3 9" xfId="31010"/>
    <cellStyle name="Normal 13 2 4" xfId="6702"/>
    <cellStyle name="Normal 13 2 4 2" xfId="6703"/>
    <cellStyle name="Normal 13 2 4 2 2" xfId="6704"/>
    <cellStyle name="Normal 13 2 4 2 2 2" xfId="16786"/>
    <cellStyle name="Normal 13 2 4 2 2 2 2" xfId="30193"/>
    <cellStyle name="Normal 13 2 4 2 2 3" xfId="31026"/>
    <cellStyle name="Normal 13 2 4 2 3" xfId="11476"/>
    <cellStyle name="Normal 13 2 4 2 3 2" xfId="25308"/>
    <cellStyle name="Normal 13 2 4 2 4" xfId="31025"/>
    <cellStyle name="Normal 13 2 4 3" xfId="6705"/>
    <cellStyle name="Normal 13 2 4 3 2" xfId="12174"/>
    <cellStyle name="Normal 13 2 4 3 2 2" xfId="25886"/>
    <cellStyle name="Normal 13 2 4 3 3" xfId="31027"/>
    <cellStyle name="Normal 13 2 4 4" xfId="6706"/>
    <cellStyle name="Normal 13 2 4 4 2" xfId="13738"/>
    <cellStyle name="Normal 13 2 4 4 2 2" xfId="27287"/>
    <cellStyle name="Normal 13 2 4 4 3" xfId="31028"/>
    <cellStyle name="Normal 13 2 4 5" xfId="6707"/>
    <cellStyle name="Normal 13 2 4 5 2" xfId="14319"/>
    <cellStyle name="Normal 13 2 4 5 2 2" xfId="27868"/>
    <cellStyle name="Normal 13 2 4 5 3" xfId="31029"/>
    <cellStyle name="Normal 13 2 4 6" xfId="6708"/>
    <cellStyle name="Normal 13 2 4 6 2" xfId="16205"/>
    <cellStyle name="Normal 13 2 4 6 2 2" xfId="29612"/>
    <cellStyle name="Normal 13 2 4 6 3" xfId="31030"/>
    <cellStyle name="Normal 13 2 4 7" xfId="10096"/>
    <cellStyle name="Normal 13 2 4 7 2" xfId="24325"/>
    <cellStyle name="Normal 13 2 4 8" xfId="31024"/>
    <cellStyle name="Normal 13 2 5" xfId="6709"/>
    <cellStyle name="Normal 13 2 5 2" xfId="6710"/>
    <cellStyle name="Normal 13 2 5 2 2" xfId="13240"/>
    <cellStyle name="Normal 13 2 5 2 2 2" xfId="26885"/>
    <cellStyle name="Normal 13 2 5 2 3" xfId="31032"/>
    <cellStyle name="Normal 13 2 5 3" xfId="6711"/>
    <cellStyle name="Normal 13 2 5 3 2" xfId="15691"/>
    <cellStyle name="Normal 13 2 5 3 2 2" xfId="29177"/>
    <cellStyle name="Normal 13 2 5 3 3" xfId="31033"/>
    <cellStyle name="Normal 13 2 5 4" xfId="6712"/>
    <cellStyle name="Normal 13 2 5 4 2" xfId="17037"/>
    <cellStyle name="Normal 13 2 5 4 2 2" xfId="30440"/>
    <cellStyle name="Normal 13 2 5 4 3" xfId="31034"/>
    <cellStyle name="Normal 13 2 5 5" xfId="10542"/>
    <cellStyle name="Normal 13 2 5 5 2" xfId="24484"/>
    <cellStyle name="Normal 13 2 5 6" xfId="31031"/>
    <cellStyle name="Normal 13 2 6" xfId="6713"/>
    <cellStyle name="Normal 13 2 6 2" xfId="6714"/>
    <cellStyle name="Normal 13 2 6 2 2" xfId="13241"/>
    <cellStyle name="Normal 13 2 6 2 2 2" xfId="26886"/>
    <cellStyle name="Normal 13 2 6 2 3" xfId="31036"/>
    <cellStyle name="Normal 13 2 6 3" xfId="6715"/>
    <cellStyle name="Normal 13 2 6 3 2" xfId="15692"/>
    <cellStyle name="Normal 13 2 6 3 2 2" xfId="29178"/>
    <cellStyle name="Normal 13 2 6 3 3" xfId="31037"/>
    <cellStyle name="Normal 13 2 6 4" xfId="6716"/>
    <cellStyle name="Normal 13 2 6 4 2" xfId="17133"/>
    <cellStyle name="Normal 13 2 6 4 2 2" xfId="30492"/>
    <cellStyle name="Normal 13 2 6 4 3" xfId="31038"/>
    <cellStyle name="Normal 13 2 6 5" xfId="11469"/>
    <cellStyle name="Normal 13 2 6 5 2" xfId="25301"/>
    <cellStyle name="Normal 13 2 6 6" xfId="31035"/>
    <cellStyle name="Normal 13 2 7" xfId="6717"/>
    <cellStyle name="Normal 13 2 7 2" xfId="6718"/>
    <cellStyle name="Normal 13 2 7 2 2" xfId="17222"/>
    <cellStyle name="Normal 13 2 7 2 2 2" xfId="30581"/>
    <cellStyle name="Normal 13 2 7 2 3" xfId="31040"/>
    <cellStyle name="Normal 13 2 7 3" xfId="11859"/>
    <cellStyle name="Normal 13 2 7 3 2" xfId="25574"/>
    <cellStyle name="Normal 13 2 7 4" xfId="31039"/>
    <cellStyle name="Normal 13 2 8" xfId="6719"/>
    <cellStyle name="Normal 13 2 8 2" xfId="6720"/>
    <cellStyle name="Normal 13 2 8 2 2" xfId="16497"/>
    <cellStyle name="Normal 13 2 8 2 2 2" xfId="29904"/>
    <cellStyle name="Normal 13 2 8 2 3" xfId="31042"/>
    <cellStyle name="Normal 13 2 8 3" xfId="13449"/>
    <cellStyle name="Normal 13 2 8 3 2" xfId="26998"/>
    <cellStyle name="Normal 13 2 8 4" xfId="31041"/>
    <cellStyle name="Normal 13 2 9" xfId="6721"/>
    <cellStyle name="Normal 13 2 9 2" xfId="14030"/>
    <cellStyle name="Normal 13 2 9 2 2" xfId="27579"/>
    <cellStyle name="Normal 13 2 9 3" xfId="31043"/>
    <cellStyle name="Normal 13 3" xfId="6722"/>
    <cellStyle name="Normal 13 3 10" xfId="31044"/>
    <cellStyle name="Normal 13 3 2" xfId="6723"/>
    <cellStyle name="Normal 13 3 2 2" xfId="6724"/>
    <cellStyle name="Normal 13 3 2 2 2" xfId="6725"/>
    <cellStyle name="Normal 13 3 2 2 2 2" xfId="6726"/>
    <cellStyle name="Normal 13 3 2 2 2 2 2" xfId="16952"/>
    <cellStyle name="Normal 13 3 2 2 2 2 2 2" xfId="30359"/>
    <cellStyle name="Normal 13 3 2 2 2 2 3" xfId="31048"/>
    <cellStyle name="Normal 13 3 2 2 2 3" xfId="11479"/>
    <cellStyle name="Normal 13 3 2 2 2 3 2" xfId="25311"/>
    <cellStyle name="Normal 13 3 2 2 2 4" xfId="31047"/>
    <cellStyle name="Normal 13 3 2 2 3" xfId="6727"/>
    <cellStyle name="Normal 13 3 2 2 3 2" xfId="12340"/>
    <cellStyle name="Normal 13 3 2 2 3 2 2" xfId="26052"/>
    <cellStyle name="Normal 13 3 2 2 3 3" xfId="31049"/>
    <cellStyle name="Normal 13 3 2 2 4" xfId="6728"/>
    <cellStyle name="Normal 13 3 2 2 4 2" xfId="13904"/>
    <cellStyle name="Normal 13 3 2 2 4 2 2" xfId="27453"/>
    <cellStyle name="Normal 13 3 2 2 4 3" xfId="31050"/>
    <cellStyle name="Normal 13 3 2 2 5" xfId="6729"/>
    <cellStyle name="Normal 13 3 2 2 5 2" xfId="14485"/>
    <cellStyle name="Normal 13 3 2 2 5 2 2" xfId="28034"/>
    <cellStyle name="Normal 13 3 2 2 5 3" xfId="31051"/>
    <cellStyle name="Normal 13 3 2 2 6" xfId="6730"/>
    <cellStyle name="Normal 13 3 2 2 6 2" xfId="16371"/>
    <cellStyle name="Normal 13 3 2 2 6 2 2" xfId="29778"/>
    <cellStyle name="Normal 13 3 2 2 6 3" xfId="31052"/>
    <cellStyle name="Normal 13 3 2 2 7" xfId="10099"/>
    <cellStyle name="Normal 13 3 2 2 7 2" xfId="24328"/>
    <cellStyle name="Normal 13 3 2 2 8" xfId="31046"/>
    <cellStyle name="Normal 13 3 2 3" xfId="6731"/>
    <cellStyle name="Normal 13 3 2 3 2" xfId="6732"/>
    <cellStyle name="Normal 13 3 2 3 2 2" xfId="16663"/>
    <cellStyle name="Normal 13 3 2 3 2 2 2" xfId="30070"/>
    <cellStyle name="Normal 13 3 2 3 2 3" xfId="31054"/>
    <cellStyle name="Normal 13 3 2 3 3" xfId="11478"/>
    <cellStyle name="Normal 13 3 2 3 3 2" xfId="25310"/>
    <cellStyle name="Normal 13 3 2 3 4" xfId="31053"/>
    <cellStyle name="Normal 13 3 2 4" xfId="6733"/>
    <cellStyle name="Normal 13 3 2 4 2" xfId="12040"/>
    <cellStyle name="Normal 13 3 2 4 2 2" xfId="25755"/>
    <cellStyle name="Normal 13 3 2 4 3" xfId="31055"/>
    <cellStyle name="Normal 13 3 2 5" xfId="6734"/>
    <cellStyle name="Normal 13 3 2 5 2" xfId="13615"/>
    <cellStyle name="Normal 13 3 2 5 2 2" xfId="27164"/>
    <cellStyle name="Normal 13 3 2 5 3" xfId="31056"/>
    <cellStyle name="Normal 13 3 2 6" xfId="6735"/>
    <cellStyle name="Normal 13 3 2 6 2" xfId="14196"/>
    <cellStyle name="Normal 13 3 2 6 2 2" xfId="27745"/>
    <cellStyle name="Normal 13 3 2 6 3" xfId="31057"/>
    <cellStyle name="Normal 13 3 2 7" xfId="6736"/>
    <cellStyle name="Normal 13 3 2 7 2" xfId="16082"/>
    <cellStyle name="Normal 13 3 2 7 2 2" xfId="29489"/>
    <cellStyle name="Normal 13 3 2 7 3" xfId="31058"/>
    <cellStyle name="Normal 13 3 2 8" xfId="10098"/>
    <cellStyle name="Normal 13 3 2 8 2" xfId="24327"/>
    <cellStyle name="Normal 13 3 2 9" xfId="31045"/>
    <cellStyle name="Normal 13 3 3" xfId="6737"/>
    <cellStyle name="Normal 13 3 3 2" xfId="6738"/>
    <cellStyle name="Normal 13 3 3 2 2" xfId="6739"/>
    <cellStyle name="Normal 13 3 3 2 2 2" xfId="16809"/>
    <cellStyle name="Normal 13 3 3 2 2 2 2" xfId="30216"/>
    <cellStyle name="Normal 13 3 3 2 2 3" xfId="31061"/>
    <cellStyle name="Normal 13 3 3 2 3" xfId="11480"/>
    <cellStyle name="Normal 13 3 3 2 3 2" xfId="25312"/>
    <cellStyle name="Normal 13 3 3 2 4" xfId="31060"/>
    <cellStyle name="Normal 13 3 3 3" xfId="6740"/>
    <cellStyle name="Normal 13 3 3 3 2" xfId="12197"/>
    <cellStyle name="Normal 13 3 3 3 2 2" xfId="25909"/>
    <cellStyle name="Normal 13 3 3 3 3" xfId="31062"/>
    <cellStyle name="Normal 13 3 3 4" xfId="6741"/>
    <cellStyle name="Normal 13 3 3 4 2" xfId="13761"/>
    <cellStyle name="Normal 13 3 3 4 2 2" xfId="27310"/>
    <cellStyle name="Normal 13 3 3 4 3" xfId="31063"/>
    <cellStyle name="Normal 13 3 3 5" xfId="6742"/>
    <cellStyle name="Normal 13 3 3 5 2" xfId="14342"/>
    <cellStyle name="Normal 13 3 3 5 2 2" xfId="27891"/>
    <cellStyle name="Normal 13 3 3 5 3" xfId="31064"/>
    <cellStyle name="Normal 13 3 3 6" xfId="6743"/>
    <cellStyle name="Normal 13 3 3 6 2" xfId="16228"/>
    <cellStyle name="Normal 13 3 3 6 2 2" xfId="29635"/>
    <cellStyle name="Normal 13 3 3 6 3" xfId="31065"/>
    <cellStyle name="Normal 13 3 3 7" xfId="10100"/>
    <cellStyle name="Normal 13 3 3 7 2" xfId="24329"/>
    <cellStyle name="Normal 13 3 3 8" xfId="31059"/>
    <cellStyle name="Normal 13 3 4" xfId="6744"/>
    <cellStyle name="Normal 13 3 4 2" xfId="6745"/>
    <cellStyle name="Normal 13 3 4 2 2" xfId="17156"/>
    <cellStyle name="Normal 13 3 4 2 2 2" xfId="30515"/>
    <cellStyle name="Normal 13 3 4 2 3" xfId="31067"/>
    <cellStyle name="Normal 13 3 4 3" xfId="11477"/>
    <cellStyle name="Normal 13 3 4 3 2" xfId="25309"/>
    <cellStyle name="Normal 13 3 4 4" xfId="31066"/>
    <cellStyle name="Normal 13 3 5" xfId="6746"/>
    <cellStyle name="Normal 13 3 5 2" xfId="6747"/>
    <cellStyle name="Normal 13 3 5 2 2" xfId="17245"/>
    <cellStyle name="Normal 13 3 5 2 2 2" xfId="30604"/>
    <cellStyle name="Normal 13 3 5 2 3" xfId="31069"/>
    <cellStyle name="Normal 13 3 5 3" xfId="11895"/>
    <cellStyle name="Normal 13 3 5 3 2" xfId="25610"/>
    <cellStyle name="Normal 13 3 5 4" xfId="31068"/>
    <cellStyle name="Normal 13 3 6" xfId="6748"/>
    <cellStyle name="Normal 13 3 6 2" xfId="6749"/>
    <cellStyle name="Normal 13 3 6 2 2" xfId="16520"/>
    <cellStyle name="Normal 13 3 6 2 2 2" xfId="29927"/>
    <cellStyle name="Normal 13 3 6 2 3" xfId="31071"/>
    <cellStyle name="Normal 13 3 6 3" xfId="13472"/>
    <cellStyle name="Normal 13 3 6 3 2" xfId="27021"/>
    <cellStyle name="Normal 13 3 6 4" xfId="31070"/>
    <cellStyle name="Normal 13 3 7" xfId="6750"/>
    <cellStyle name="Normal 13 3 7 2" xfId="14053"/>
    <cellStyle name="Normal 13 3 7 2 2" xfId="27602"/>
    <cellStyle name="Normal 13 3 7 3" xfId="31072"/>
    <cellStyle name="Normal 13 3 8" xfId="6751"/>
    <cellStyle name="Normal 13 3 8 2" xfId="15939"/>
    <cellStyle name="Normal 13 3 8 2 2" xfId="29346"/>
    <cellStyle name="Normal 13 3 8 3" xfId="31073"/>
    <cellStyle name="Normal 13 3 9" xfId="10097"/>
    <cellStyle name="Normal 13 3 9 2" xfId="24326"/>
    <cellStyle name="Normal 13 4" xfId="6752"/>
    <cellStyle name="Normal 13 4 10" xfId="31074"/>
    <cellStyle name="Normal 13 4 2" xfId="6753"/>
    <cellStyle name="Normal 13 4 2 2" xfId="6754"/>
    <cellStyle name="Normal 13 4 2 2 2" xfId="6755"/>
    <cellStyle name="Normal 13 4 2 2 2 2" xfId="6756"/>
    <cellStyle name="Normal 13 4 2 2 2 2 2" xfId="16906"/>
    <cellStyle name="Normal 13 4 2 2 2 2 2 2" xfId="30313"/>
    <cellStyle name="Normal 13 4 2 2 2 2 3" xfId="31078"/>
    <cellStyle name="Normal 13 4 2 2 2 3" xfId="11483"/>
    <cellStyle name="Normal 13 4 2 2 2 3 2" xfId="25315"/>
    <cellStyle name="Normal 13 4 2 2 2 4" xfId="31077"/>
    <cellStyle name="Normal 13 4 2 2 3" xfId="6757"/>
    <cellStyle name="Normal 13 4 2 2 3 2" xfId="12294"/>
    <cellStyle name="Normal 13 4 2 2 3 2 2" xfId="26006"/>
    <cellStyle name="Normal 13 4 2 2 3 3" xfId="31079"/>
    <cellStyle name="Normal 13 4 2 2 4" xfId="6758"/>
    <cellStyle name="Normal 13 4 2 2 4 2" xfId="13858"/>
    <cellStyle name="Normal 13 4 2 2 4 2 2" xfId="27407"/>
    <cellStyle name="Normal 13 4 2 2 4 3" xfId="31080"/>
    <cellStyle name="Normal 13 4 2 2 5" xfId="6759"/>
    <cellStyle name="Normal 13 4 2 2 5 2" xfId="14439"/>
    <cellStyle name="Normal 13 4 2 2 5 2 2" xfId="27988"/>
    <cellStyle name="Normal 13 4 2 2 5 3" xfId="31081"/>
    <cellStyle name="Normal 13 4 2 2 6" xfId="6760"/>
    <cellStyle name="Normal 13 4 2 2 6 2" xfId="16325"/>
    <cellStyle name="Normal 13 4 2 2 6 2 2" xfId="29732"/>
    <cellStyle name="Normal 13 4 2 2 6 3" xfId="31082"/>
    <cellStyle name="Normal 13 4 2 2 7" xfId="10103"/>
    <cellStyle name="Normal 13 4 2 2 7 2" xfId="24332"/>
    <cellStyle name="Normal 13 4 2 2 8" xfId="31076"/>
    <cellStyle name="Normal 13 4 2 3" xfId="6761"/>
    <cellStyle name="Normal 13 4 2 3 2" xfId="6762"/>
    <cellStyle name="Normal 13 4 2 3 2 2" xfId="16617"/>
    <cellStyle name="Normal 13 4 2 3 2 2 2" xfId="30024"/>
    <cellStyle name="Normal 13 4 2 3 2 3" xfId="31084"/>
    <cellStyle name="Normal 13 4 2 3 3" xfId="11482"/>
    <cellStyle name="Normal 13 4 2 3 3 2" xfId="25314"/>
    <cellStyle name="Normal 13 4 2 3 4" xfId="31083"/>
    <cellStyle name="Normal 13 4 2 4" xfId="6763"/>
    <cellStyle name="Normal 13 4 2 4 2" xfId="11994"/>
    <cellStyle name="Normal 13 4 2 4 2 2" xfId="25709"/>
    <cellStyle name="Normal 13 4 2 4 3" xfId="31085"/>
    <cellStyle name="Normal 13 4 2 5" xfId="6764"/>
    <cellStyle name="Normal 13 4 2 5 2" xfId="13569"/>
    <cellStyle name="Normal 13 4 2 5 2 2" xfId="27118"/>
    <cellStyle name="Normal 13 4 2 5 3" xfId="31086"/>
    <cellStyle name="Normal 13 4 2 6" xfId="6765"/>
    <cellStyle name="Normal 13 4 2 6 2" xfId="14150"/>
    <cellStyle name="Normal 13 4 2 6 2 2" xfId="27699"/>
    <cellStyle name="Normal 13 4 2 6 3" xfId="31087"/>
    <cellStyle name="Normal 13 4 2 7" xfId="6766"/>
    <cellStyle name="Normal 13 4 2 7 2" xfId="16036"/>
    <cellStyle name="Normal 13 4 2 7 2 2" xfId="29443"/>
    <cellStyle name="Normal 13 4 2 7 3" xfId="31088"/>
    <cellStyle name="Normal 13 4 2 8" xfId="10102"/>
    <cellStyle name="Normal 13 4 2 8 2" xfId="24331"/>
    <cellStyle name="Normal 13 4 2 9" xfId="31075"/>
    <cellStyle name="Normal 13 4 3" xfId="6767"/>
    <cellStyle name="Normal 13 4 3 2" xfId="6768"/>
    <cellStyle name="Normal 13 4 3 2 2" xfId="6769"/>
    <cellStyle name="Normal 13 4 3 2 2 2" xfId="16766"/>
    <cellStyle name="Normal 13 4 3 2 2 2 2" xfId="30173"/>
    <cellStyle name="Normal 13 4 3 2 2 3" xfId="31091"/>
    <cellStyle name="Normal 13 4 3 2 3" xfId="11484"/>
    <cellStyle name="Normal 13 4 3 2 3 2" xfId="25316"/>
    <cellStyle name="Normal 13 4 3 2 4" xfId="31090"/>
    <cellStyle name="Normal 13 4 3 3" xfId="6770"/>
    <cellStyle name="Normal 13 4 3 3 2" xfId="12154"/>
    <cellStyle name="Normal 13 4 3 3 2 2" xfId="25866"/>
    <cellStyle name="Normal 13 4 3 3 3" xfId="31092"/>
    <cellStyle name="Normal 13 4 3 4" xfId="6771"/>
    <cellStyle name="Normal 13 4 3 4 2" xfId="13718"/>
    <cellStyle name="Normal 13 4 3 4 2 2" xfId="27267"/>
    <cellStyle name="Normal 13 4 3 4 3" xfId="31093"/>
    <cellStyle name="Normal 13 4 3 5" xfId="6772"/>
    <cellStyle name="Normal 13 4 3 5 2" xfId="14299"/>
    <cellStyle name="Normal 13 4 3 5 2 2" xfId="27848"/>
    <cellStyle name="Normal 13 4 3 5 3" xfId="31094"/>
    <cellStyle name="Normal 13 4 3 6" xfId="6773"/>
    <cellStyle name="Normal 13 4 3 6 2" xfId="16185"/>
    <cellStyle name="Normal 13 4 3 6 2 2" xfId="29592"/>
    <cellStyle name="Normal 13 4 3 6 3" xfId="31095"/>
    <cellStyle name="Normal 13 4 3 7" xfId="10104"/>
    <cellStyle name="Normal 13 4 3 7 2" xfId="24333"/>
    <cellStyle name="Normal 13 4 3 8" xfId="31089"/>
    <cellStyle name="Normal 13 4 4" xfId="6774"/>
    <cellStyle name="Normal 13 4 4 2" xfId="6775"/>
    <cellStyle name="Normal 13 4 4 2 2" xfId="16474"/>
    <cellStyle name="Normal 13 4 4 2 2 2" xfId="29881"/>
    <cellStyle name="Normal 13 4 4 2 3" xfId="31097"/>
    <cellStyle name="Normal 13 4 4 3" xfId="11481"/>
    <cellStyle name="Normal 13 4 4 3 2" xfId="25313"/>
    <cellStyle name="Normal 13 4 4 4" xfId="31096"/>
    <cellStyle name="Normal 13 4 5" xfId="6776"/>
    <cellStyle name="Normal 13 4 5 2" xfId="11825"/>
    <cellStyle name="Normal 13 4 5 2 2" xfId="25540"/>
    <cellStyle name="Normal 13 4 5 3" xfId="31098"/>
    <cellStyle name="Normal 13 4 6" xfId="6777"/>
    <cellStyle name="Normal 13 4 6 2" xfId="13426"/>
    <cellStyle name="Normal 13 4 6 2 2" xfId="26975"/>
    <cellStyle name="Normal 13 4 6 3" xfId="31099"/>
    <cellStyle name="Normal 13 4 7" xfId="6778"/>
    <cellStyle name="Normal 13 4 7 2" xfId="14007"/>
    <cellStyle name="Normal 13 4 7 2 2" xfId="27556"/>
    <cellStyle name="Normal 13 4 7 3" xfId="31100"/>
    <cellStyle name="Normal 13 4 8" xfId="6779"/>
    <cellStyle name="Normal 13 4 8 2" xfId="15893"/>
    <cellStyle name="Normal 13 4 8 2 2" xfId="29300"/>
    <cellStyle name="Normal 13 4 8 3" xfId="31101"/>
    <cellStyle name="Normal 13 4 9" xfId="10101"/>
    <cellStyle name="Normal 13 4 9 2" xfId="24330"/>
    <cellStyle name="Normal 13 5" xfId="6780"/>
    <cellStyle name="Normal 13 5 10" xfId="31102"/>
    <cellStyle name="Normal 13 5 2" xfId="6781"/>
    <cellStyle name="Normal 13 5 2 2" xfId="6782"/>
    <cellStyle name="Normal 13 5 2 2 2" xfId="6783"/>
    <cellStyle name="Normal 13 5 2 2 2 2" xfId="6784"/>
    <cellStyle name="Normal 13 5 2 2 2 2 2" xfId="16889"/>
    <cellStyle name="Normal 13 5 2 2 2 2 2 2" xfId="30296"/>
    <cellStyle name="Normal 13 5 2 2 2 2 3" xfId="31106"/>
    <cellStyle name="Normal 13 5 2 2 2 3" xfId="11487"/>
    <cellStyle name="Normal 13 5 2 2 2 3 2" xfId="25319"/>
    <cellStyle name="Normal 13 5 2 2 2 4" xfId="31105"/>
    <cellStyle name="Normal 13 5 2 2 3" xfId="6785"/>
    <cellStyle name="Normal 13 5 2 2 3 2" xfId="12277"/>
    <cellStyle name="Normal 13 5 2 2 3 2 2" xfId="25989"/>
    <cellStyle name="Normal 13 5 2 2 3 3" xfId="31107"/>
    <cellStyle name="Normal 13 5 2 2 4" xfId="6786"/>
    <cellStyle name="Normal 13 5 2 2 4 2" xfId="13841"/>
    <cellStyle name="Normal 13 5 2 2 4 2 2" xfId="27390"/>
    <cellStyle name="Normal 13 5 2 2 4 3" xfId="31108"/>
    <cellStyle name="Normal 13 5 2 2 5" xfId="6787"/>
    <cellStyle name="Normal 13 5 2 2 5 2" xfId="14422"/>
    <cellStyle name="Normal 13 5 2 2 5 2 2" xfId="27971"/>
    <cellStyle name="Normal 13 5 2 2 5 3" xfId="31109"/>
    <cellStyle name="Normal 13 5 2 2 6" xfId="6788"/>
    <cellStyle name="Normal 13 5 2 2 6 2" xfId="16308"/>
    <cellStyle name="Normal 13 5 2 2 6 2 2" xfId="29715"/>
    <cellStyle name="Normal 13 5 2 2 6 3" xfId="31110"/>
    <cellStyle name="Normal 13 5 2 2 7" xfId="10107"/>
    <cellStyle name="Normal 13 5 2 2 7 2" xfId="24336"/>
    <cellStyle name="Normal 13 5 2 2 8" xfId="31104"/>
    <cellStyle name="Normal 13 5 2 3" xfId="6789"/>
    <cellStyle name="Normal 13 5 2 3 2" xfId="6790"/>
    <cellStyle name="Normal 13 5 2 3 2 2" xfId="16600"/>
    <cellStyle name="Normal 13 5 2 3 2 2 2" xfId="30007"/>
    <cellStyle name="Normal 13 5 2 3 2 3" xfId="31112"/>
    <cellStyle name="Normal 13 5 2 3 3" xfId="11486"/>
    <cellStyle name="Normal 13 5 2 3 3 2" xfId="25318"/>
    <cellStyle name="Normal 13 5 2 3 4" xfId="31111"/>
    <cellStyle name="Normal 13 5 2 4" xfId="6791"/>
    <cellStyle name="Normal 13 5 2 4 2" xfId="11977"/>
    <cellStyle name="Normal 13 5 2 4 2 2" xfId="25692"/>
    <cellStyle name="Normal 13 5 2 4 3" xfId="31113"/>
    <cellStyle name="Normal 13 5 2 5" xfId="6792"/>
    <cellStyle name="Normal 13 5 2 5 2" xfId="13552"/>
    <cellStyle name="Normal 13 5 2 5 2 2" xfId="27101"/>
    <cellStyle name="Normal 13 5 2 5 3" xfId="31114"/>
    <cellStyle name="Normal 13 5 2 6" xfId="6793"/>
    <cellStyle name="Normal 13 5 2 6 2" xfId="14133"/>
    <cellStyle name="Normal 13 5 2 6 2 2" xfId="27682"/>
    <cellStyle name="Normal 13 5 2 6 3" xfId="31115"/>
    <cellStyle name="Normal 13 5 2 7" xfId="6794"/>
    <cellStyle name="Normal 13 5 2 7 2" xfId="16019"/>
    <cellStyle name="Normal 13 5 2 7 2 2" xfId="29426"/>
    <cellStyle name="Normal 13 5 2 7 3" xfId="31116"/>
    <cellStyle name="Normal 13 5 2 8" xfId="10106"/>
    <cellStyle name="Normal 13 5 2 8 2" xfId="24335"/>
    <cellStyle name="Normal 13 5 2 9" xfId="31103"/>
    <cellStyle name="Normal 13 5 3" xfId="6795"/>
    <cellStyle name="Normal 13 5 3 2" xfId="6796"/>
    <cellStyle name="Normal 13 5 3 2 2" xfId="6797"/>
    <cellStyle name="Normal 13 5 3 2 2 2" xfId="16749"/>
    <cellStyle name="Normal 13 5 3 2 2 2 2" xfId="30156"/>
    <cellStyle name="Normal 13 5 3 2 2 3" xfId="31119"/>
    <cellStyle name="Normal 13 5 3 2 3" xfId="11488"/>
    <cellStyle name="Normal 13 5 3 2 3 2" xfId="25320"/>
    <cellStyle name="Normal 13 5 3 2 4" xfId="31118"/>
    <cellStyle name="Normal 13 5 3 3" xfId="6798"/>
    <cellStyle name="Normal 13 5 3 3 2" xfId="12137"/>
    <cellStyle name="Normal 13 5 3 3 2 2" xfId="25849"/>
    <cellStyle name="Normal 13 5 3 3 3" xfId="31120"/>
    <cellStyle name="Normal 13 5 3 4" xfId="6799"/>
    <cellStyle name="Normal 13 5 3 4 2" xfId="13701"/>
    <cellStyle name="Normal 13 5 3 4 2 2" xfId="27250"/>
    <cellStyle name="Normal 13 5 3 4 3" xfId="31121"/>
    <cellStyle name="Normal 13 5 3 5" xfId="6800"/>
    <cellStyle name="Normal 13 5 3 5 2" xfId="14282"/>
    <cellStyle name="Normal 13 5 3 5 2 2" xfId="27831"/>
    <cellStyle name="Normal 13 5 3 5 3" xfId="31122"/>
    <cellStyle name="Normal 13 5 3 6" xfId="6801"/>
    <cellStyle name="Normal 13 5 3 6 2" xfId="16168"/>
    <cellStyle name="Normal 13 5 3 6 2 2" xfId="29575"/>
    <cellStyle name="Normal 13 5 3 6 3" xfId="31123"/>
    <cellStyle name="Normal 13 5 3 7" xfId="10108"/>
    <cellStyle name="Normal 13 5 3 7 2" xfId="24337"/>
    <cellStyle name="Normal 13 5 3 8" xfId="31117"/>
    <cellStyle name="Normal 13 5 4" xfId="6802"/>
    <cellStyle name="Normal 13 5 4 2" xfId="6803"/>
    <cellStyle name="Normal 13 5 4 2 2" xfId="16457"/>
    <cellStyle name="Normal 13 5 4 2 2 2" xfId="29864"/>
    <cellStyle name="Normal 13 5 4 2 3" xfId="31125"/>
    <cellStyle name="Normal 13 5 4 3" xfId="11485"/>
    <cellStyle name="Normal 13 5 4 3 2" xfId="25317"/>
    <cellStyle name="Normal 13 5 4 4" xfId="31124"/>
    <cellStyle name="Normal 13 5 5" xfId="6804"/>
    <cellStyle name="Normal 13 5 5 2" xfId="11808"/>
    <cellStyle name="Normal 13 5 5 2 2" xfId="25523"/>
    <cellStyle name="Normal 13 5 5 3" xfId="31126"/>
    <cellStyle name="Normal 13 5 6" xfId="6805"/>
    <cellStyle name="Normal 13 5 6 2" xfId="13409"/>
    <cellStyle name="Normal 13 5 6 2 2" xfId="26958"/>
    <cellStyle name="Normal 13 5 6 3" xfId="31127"/>
    <cellStyle name="Normal 13 5 7" xfId="6806"/>
    <cellStyle name="Normal 13 5 7 2" xfId="13990"/>
    <cellStyle name="Normal 13 5 7 2 2" xfId="27539"/>
    <cellStyle name="Normal 13 5 7 3" xfId="31128"/>
    <cellStyle name="Normal 13 5 8" xfId="6807"/>
    <cellStyle name="Normal 13 5 8 2" xfId="15876"/>
    <cellStyle name="Normal 13 5 8 2 2" xfId="29283"/>
    <cellStyle name="Normal 13 5 8 3" xfId="31129"/>
    <cellStyle name="Normal 13 5 9" xfId="10105"/>
    <cellStyle name="Normal 13 5 9 2" xfId="24334"/>
    <cellStyle name="Normal 13 6" xfId="6808"/>
    <cellStyle name="Normal 13 6 10" xfId="31130"/>
    <cellStyle name="Normal 13 6 2" xfId="6809"/>
    <cellStyle name="Normal 13 6 2 2" xfId="6810"/>
    <cellStyle name="Normal 13 6 2 2 2" xfId="6811"/>
    <cellStyle name="Normal 13 6 2 2 2 2" xfId="6812"/>
    <cellStyle name="Normal 13 6 2 2 2 2 2" xfId="16995"/>
    <cellStyle name="Normal 13 6 2 2 2 2 2 2" xfId="30402"/>
    <cellStyle name="Normal 13 6 2 2 2 2 3" xfId="31134"/>
    <cellStyle name="Normal 13 6 2 2 2 3" xfId="11491"/>
    <cellStyle name="Normal 13 6 2 2 2 3 2" xfId="25323"/>
    <cellStyle name="Normal 13 6 2 2 2 4" xfId="31133"/>
    <cellStyle name="Normal 13 6 2 2 3" xfId="6813"/>
    <cellStyle name="Normal 13 6 2 2 3 2" xfId="12383"/>
    <cellStyle name="Normal 13 6 2 2 3 2 2" xfId="26095"/>
    <cellStyle name="Normal 13 6 2 2 3 3" xfId="31135"/>
    <cellStyle name="Normal 13 6 2 2 4" xfId="6814"/>
    <cellStyle name="Normal 13 6 2 2 4 2" xfId="13947"/>
    <cellStyle name="Normal 13 6 2 2 4 2 2" xfId="27496"/>
    <cellStyle name="Normal 13 6 2 2 4 3" xfId="31136"/>
    <cellStyle name="Normal 13 6 2 2 5" xfId="6815"/>
    <cellStyle name="Normal 13 6 2 2 5 2" xfId="14528"/>
    <cellStyle name="Normal 13 6 2 2 5 2 2" xfId="28077"/>
    <cellStyle name="Normal 13 6 2 2 5 3" xfId="31137"/>
    <cellStyle name="Normal 13 6 2 2 6" xfId="6816"/>
    <cellStyle name="Normal 13 6 2 2 6 2" xfId="16414"/>
    <cellStyle name="Normal 13 6 2 2 6 2 2" xfId="29821"/>
    <cellStyle name="Normal 13 6 2 2 6 3" xfId="31138"/>
    <cellStyle name="Normal 13 6 2 2 7" xfId="10111"/>
    <cellStyle name="Normal 13 6 2 2 7 2" xfId="24340"/>
    <cellStyle name="Normal 13 6 2 2 8" xfId="31132"/>
    <cellStyle name="Normal 13 6 2 3" xfId="6817"/>
    <cellStyle name="Normal 13 6 2 3 2" xfId="6818"/>
    <cellStyle name="Normal 13 6 2 3 2 2" xfId="16706"/>
    <cellStyle name="Normal 13 6 2 3 2 2 2" xfId="30113"/>
    <cellStyle name="Normal 13 6 2 3 2 3" xfId="31140"/>
    <cellStyle name="Normal 13 6 2 3 3" xfId="11490"/>
    <cellStyle name="Normal 13 6 2 3 3 2" xfId="25322"/>
    <cellStyle name="Normal 13 6 2 3 4" xfId="31139"/>
    <cellStyle name="Normal 13 6 2 4" xfId="6819"/>
    <cellStyle name="Normal 13 6 2 4 2" xfId="12083"/>
    <cellStyle name="Normal 13 6 2 4 2 2" xfId="25798"/>
    <cellStyle name="Normal 13 6 2 4 3" xfId="31141"/>
    <cellStyle name="Normal 13 6 2 5" xfId="6820"/>
    <cellStyle name="Normal 13 6 2 5 2" xfId="13658"/>
    <cellStyle name="Normal 13 6 2 5 2 2" xfId="27207"/>
    <cellStyle name="Normal 13 6 2 5 3" xfId="31142"/>
    <cellStyle name="Normal 13 6 2 6" xfId="6821"/>
    <cellStyle name="Normal 13 6 2 6 2" xfId="14239"/>
    <cellStyle name="Normal 13 6 2 6 2 2" xfId="27788"/>
    <cellStyle name="Normal 13 6 2 6 3" xfId="31143"/>
    <cellStyle name="Normal 13 6 2 7" xfId="6822"/>
    <cellStyle name="Normal 13 6 2 7 2" xfId="16125"/>
    <cellStyle name="Normal 13 6 2 7 2 2" xfId="29532"/>
    <cellStyle name="Normal 13 6 2 7 3" xfId="31144"/>
    <cellStyle name="Normal 13 6 2 8" xfId="10110"/>
    <cellStyle name="Normal 13 6 2 8 2" xfId="24339"/>
    <cellStyle name="Normal 13 6 2 9" xfId="31131"/>
    <cellStyle name="Normal 13 6 3" xfId="6823"/>
    <cellStyle name="Normal 13 6 3 2" xfId="6824"/>
    <cellStyle name="Normal 13 6 3 2 2" xfId="6825"/>
    <cellStyle name="Normal 13 6 3 2 2 2" xfId="16852"/>
    <cellStyle name="Normal 13 6 3 2 2 2 2" xfId="30259"/>
    <cellStyle name="Normal 13 6 3 2 2 3" xfId="31147"/>
    <cellStyle name="Normal 13 6 3 2 3" xfId="11492"/>
    <cellStyle name="Normal 13 6 3 2 3 2" xfId="25324"/>
    <cellStyle name="Normal 13 6 3 2 4" xfId="31146"/>
    <cellStyle name="Normal 13 6 3 3" xfId="6826"/>
    <cellStyle name="Normal 13 6 3 3 2" xfId="12240"/>
    <cellStyle name="Normal 13 6 3 3 2 2" xfId="25952"/>
    <cellStyle name="Normal 13 6 3 3 3" xfId="31148"/>
    <cellStyle name="Normal 13 6 3 4" xfId="6827"/>
    <cellStyle name="Normal 13 6 3 4 2" xfId="13804"/>
    <cellStyle name="Normal 13 6 3 4 2 2" xfId="27353"/>
    <cellStyle name="Normal 13 6 3 4 3" xfId="31149"/>
    <cellStyle name="Normal 13 6 3 5" xfId="6828"/>
    <cellStyle name="Normal 13 6 3 5 2" xfId="14385"/>
    <cellStyle name="Normal 13 6 3 5 2 2" xfId="27934"/>
    <cellStyle name="Normal 13 6 3 5 3" xfId="31150"/>
    <cellStyle name="Normal 13 6 3 6" xfId="6829"/>
    <cellStyle name="Normal 13 6 3 6 2" xfId="16271"/>
    <cellStyle name="Normal 13 6 3 6 2 2" xfId="29678"/>
    <cellStyle name="Normal 13 6 3 6 3" xfId="31151"/>
    <cellStyle name="Normal 13 6 3 7" xfId="10112"/>
    <cellStyle name="Normal 13 6 3 7 2" xfId="24341"/>
    <cellStyle name="Normal 13 6 3 8" xfId="31145"/>
    <cellStyle name="Normal 13 6 4" xfId="6830"/>
    <cellStyle name="Normal 13 6 4 2" xfId="6831"/>
    <cellStyle name="Normal 13 6 4 2 2" xfId="16563"/>
    <cellStyle name="Normal 13 6 4 2 2 2" xfId="29970"/>
    <cellStyle name="Normal 13 6 4 2 3" xfId="31153"/>
    <cellStyle name="Normal 13 6 4 3" xfId="11489"/>
    <cellStyle name="Normal 13 6 4 3 2" xfId="25321"/>
    <cellStyle name="Normal 13 6 4 4" xfId="31152"/>
    <cellStyle name="Normal 13 6 5" xfId="6832"/>
    <cellStyle name="Normal 13 6 5 2" xfId="11938"/>
    <cellStyle name="Normal 13 6 5 2 2" xfId="25653"/>
    <cellStyle name="Normal 13 6 5 3" xfId="31154"/>
    <cellStyle name="Normal 13 6 6" xfId="6833"/>
    <cellStyle name="Normal 13 6 6 2" xfId="13515"/>
    <cellStyle name="Normal 13 6 6 2 2" xfId="27064"/>
    <cellStyle name="Normal 13 6 6 3" xfId="31155"/>
    <cellStyle name="Normal 13 6 7" xfId="6834"/>
    <cellStyle name="Normal 13 6 7 2" xfId="14096"/>
    <cellStyle name="Normal 13 6 7 2 2" xfId="27645"/>
    <cellStyle name="Normal 13 6 7 3" xfId="31156"/>
    <cellStyle name="Normal 13 6 8" xfId="6835"/>
    <cellStyle name="Normal 13 6 8 2" xfId="15982"/>
    <cellStyle name="Normal 13 6 8 2 2" xfId="29389"/>
    <cellStyle name="Normal 13 6 8 3" xfId="31157"/>
    <cellStyle name="Normal 13 6 9" xfId="10109"/>
    <cellStyle name="Normal 13 6 9 2" xfId="24338"/>
    <cellStyle name="Normal 13 7" xfId="6836"/>
    <cellStyle name="Normal 13 7 2" xfId="6837"/>
    <cellStyle name="Normal 13 7 2 2" xfId="6838"/>
    <cellStyle name="Normal 13 7 2 2 2" xfId="6839"/>
    <cellStyle name="Normal 13 7 2 2 2 2" xfId="16872"/>
    <cellStyle name="Normal 13 7 2 2 2 2 2" xfId="30279"/>
    <cellStyle name="Normal 13 7 2 2 2 3" xfId="31161"/>
    <cellStyle name="Normal 13 7 2 2 3" xfId="11494"/>
    <cellStyle name="Normal 13 7 2 2 3 2" xfId="25326"/>
    <cellStyle name="Normal 13 7 2 2 4" xfId="31160"/>
    <cellStyle name="Normal 13 7 2 3" xfId="6840"/>
    <cellStyle name="Normal 13 7 2 3 2" xfId="12260"/>
    <cellStyle name="Normal 13 7 2 3 2 2" xfId="25972"/>
    <cellStyle name="Normal 13 7 2 3 3" xfId="31162"/>
    <cellStyle name="Normal 13 7 2 4" xfId="6841"/>
    <cellStyle name="Normal 13 7 2 4 2" xfId="13824"/>
    <cellStyle name="Normal 13 7 2 4 2 2" xfId="27373"/>
    <cellStyle name="Normal 13 7 2 4 3" xfId="31163"/>
    <cellStyle name="Normal 13 7 2 5" xfId="6842"/>
    <cellStyle name="Normal 13 7 2 5 2" xfId="14405"/>
    <cellStyle name="Normal 13 7 2 5 2 2" xfId="27954"/>
    <cellStyle name="Normal 13 7 2 5 3" xfId="31164"/>
    <cellStyle name="Normal 13 7 2 6" xfId="6843"/>
    <cellStyle name="Normal 13 7 2 6 2" xfId="16291"/>
    <cellStyle name="Normal 13 7 2 6 2 2" xfId="29698"/>
    <cellStyle name="Normal 13 7 2 6 3" xfId="31165"/>
    <cellStyle name="Normal 13 7 2 7" xfId="10114"/>
    <cellStyle name="Normal 13 7 2 7 2" xfId="24343"/>
    <cellStyle name="Normal 13 7 2 8" xfId="31159"/>
    <cellStyle name="Normal 13 7 3" xfId="6844"/>
    <cellStyle name="Normal 13 7 3 2" xfId="6845"/>
    <cellStyle name="Normal 13 7 3 2 2" xfId="16583"/>
    <cellStyle name="Normal 13 7 3 2 2 2" xfId="29990"/>
    <cellStyle name="Normal 13 7 3 2 3" xfId="31167"/>
    <cellStyle name="Normal 13 7 3 3" xfId="11493"/>
    <cellStyle name="Normal 13 7 3 3 2" xfId="25325"/>
    <cellStyle name="Normal 13 7 3 4" xfId="31166"/>
    <cellStyle name="Normal 13 7 4" xfId="6846"/>
    <cellStyle name="Normal 13 7 4 2" xfId="11960"/>
    <cellStyle name="Normal 13 7 4 2 2" xfId="25675"/>
    <cellStyle name="Normal 13 7 4 3" xfId="31168"/>
    <cellStyle name="Normal 13 7 5" xfId="6847"/>
    <cellStyle name="Normal 13 7 5 2" xfId="13535"/>
    <cellStyle name="Normal 13 7 5 2 2" xfId="27084"/>
    <cellStyle name="Normal 13 7 5 3" xfId="31169"/>
    <cellStyle name="Normal 13 7 6" xfId="6848"/>
    <cellStyle name="Normal 13 7 6 2" xfId="14116"/>
    <cellStyle name="Normal 13 7 6 2 2" xfId="27665"/>
    <cellStyle name="Normal 13 7 6 3" xfId="31170"/>
    <cellStyle name="Normal 13 7 7" xfId="6849"/>
    <cellStyle name="Normal 13 7 7 2" xfId="16002"/>
    <cellStyle name="Normal 13 7 7 2 2" xfId="29409"/>
    <cellStyle name="Normal 13 7 7 3" xfId="31171"/>
    <cellStyle name="Normal 13 7 8" xfId="10113"/>
    <cellStyle name="Normal 13 7 8 2" xfId="24342"/>
    <cellStyle name="Normal 13 7 9" xfId="31158"/>
    <cellStyle name="Normal 13 8" xfId="6850"/>
    <cellStyle name="Normal 13 8 2" xfId="6851"/>
    <cellStyle name="Normal 13 8 2 2" xfId="6852"/>
    <cellStyle name="Normal 13 8 2 2 2" xfId="16728"/>
    <cellStyle name="Normal 13 8 2 2 2 2" xfId="30135"/>
    <cellStyle name="Normal 13 8 2 2 3" xfId="31174"/>
    <cellStyle name="Normal 13 8 2 3" xfId="11495"/>
    <cellStyle name="Normal 13 8 2 3 2" xfId="25327"/>
    <cellStyle name="Normal 13 8 2 4" xfId="31173"/>
    <cellStyle name="Normal 13 8 3" xfId="6853"/>
    <cellStyle name="Normal 13 8 3 2" xfId="12113"/>
    <cellStyle name="Normal 13 8 3 2 2" xfId="25825"/>
    <cellStyle name="Normal 13 8 3 3" xfId="31175"/>
    <cellStyle name="Normal 13 8 4" xfId="6854"/>
    <cellStyle name="Normal 13 8 4 2" xfId="13680"/>
    <cellStyle name="Normal 13 8 4 2 2" xfId="27229"/>
    <cellStyle name="Normal 13 8 4 3" xfId="31176"/>
    <cellStyle name="Normal 13 8 5" xfId="6855"/>
    <cellStyle name="Normal 13 8 5 2" xfId="14261"/>
    <cellStyle name="Normal 13 8 5 2 2" xfId="27810"/>
    <cellStyle name="Normal 13 8 5 3" xfId="31177"/>
    <cellStyle name="Normal 13 8 6" xfId="6856"/>
    <cellStyle name="Normal 13 8 6 2" xfId="16147"/>
    <cellStyle name="Normal 13 8 6 2 2" xfId="29554"/>
    <cellStyle name="Normal 13 8 6 3" xfId="31178"/>
    <cellStyle name="Normal 13 8 7" xfId="10115"/>
    <cellStyle name="Normal 13 8 7 2" xfId="24344"/>
    <cellStyle name="Normal 13 8 8" xfId="31172"/>
    <cellStyle name="Normal 13 9" xfId="6857"/>
    <cellStyle name="Normal 13 9 2" xfId="6858"/>
    <cellStyle name="Normal 13 9 2 2" xfId="11724"/>
    <cellStyle name="Normal 13 9 2 2 2" xfId="25444"/>
    <cellStyle name="Normal 13 9 2 3" xfId="31180"/>
    <cellStyle name="Normal 13 9 3" xfId="6859"/>
    <cellStyle name="Normal 13 9 3 2" xfId="13242"/>
    <cellStyle name="Normal 13 9 3 2 2" xfId="26887"/>
    <cellStyle name="Normal 13 9 3 3" xfId="31181"/>
    <cellStyle name="Normal 13 9 4" xfId="6860"/>
    <cellStyle name="Normal 13 9 4 2" xfId="15693"/>
    <cellStyle name="Normal 13 9 4 2 2" xfId="29179"/>
    <cellStyle name="Normal 13 9 4 3" xfId="31182"/>
    <cellStyle name="Normal 13 9 5" xfId="6861"/>
    <cellStyle name="Normal 13 9 5 2" xfId="17036"/>
    <cellStyle name="Normal 13 9 5 2 2" xfId="30439"/>
    <cellStyle name="Normal 13 9 5 3" xfId="31183"/>
    <cellStyle name="Normal 13 9 6" xfId="10497"/>
    <cellStyle name="Normal 13 9 6 2" xfId="24448"/>
    <cellStyle name="Normal 13 9 7" xfId="31179"/>
    <cellStyle name="Normal 14" xfId="6862"/>
    <cellStyle name="Normal 14 10" xfId="6863"/>
    <cellStyle name="Normal 14 10 2" xfId="6864"/>
    <cellStyle name="Normal 14 10 2 2" xfId="17291"/>
    <cellStyle name="Normal 14 10 2 2 2" xfId="30650"/>
    <cellStyle name="Normal 14 10 2 3" xfId="31186"/>
    <cellStyle name="Normal 14 10 3" xfId="14010"/>
    <cellStyle name="Normal 14 10 3 2" xfId="27559"/>
    <cellStyle name="Normal 14 10 4" xfId="31185"/>
    <cellStyle name="Normal 14 11" xfId="6865"/>
    <cellStyle name="Normal 14 11 2" xfId="16477"/>
    <cellStyle name="Normal 14 11 2 2" xfId="29884"/>
    <cellStyle name="Normal 14 11 3" xfId="31187"/>
    <cellStyle name="Normal 14 12" xfId="6866"/>
    <cellStyle name="Normal 14 12 2" xfId="15896"/>
    <cellStyle name="Normal 14 12 2 2" xfId="29303"/>
    <cellStyle name="Normal 14 12 3" xfId="31188"/>
    <cellStyle name="Normal 14 13" xfId="10116"/>
    <cellStyle name="Normal 14 14" xfId="31184"/>
    <cellStyle name="Normal 14 15" xfId="33038"/>
    <cellStyle name="Normal 14 2" xfId="6867"/>
    <cellStyle name="Normal 14 2 10" xfId="10117"/>
    <cellStyle name="Normal 14 2 10 2" xfId="24345"/>
    <cellStyle name="Normal 14 2 11" xfId="31189"/>
    <cellStyle name="Normal 14 2 2" xfId="6868"/>
    <cellStyle name="Normal 14 2 2 10" xfId="31190"/>
    <cellStyle name="Normal 14 2 2 2" xfId="6869"/>
    <cellStyle name="Normal 14 2 2 2 2" xfId="6870"/>
    <cellStyle name="Normal 14 2 2 2 2 2" xfId="6871"/>
    <cellStyle name="Normal 14 2 2 2 2 2 2" xfId="6872"/>
    <cellStyle name="Normal 14 2 2 2 2 2 2 2" xfId="16978"/>
    <cellStyle name="Normal 14 2 2 2 2 2 2 2 2" xfId="30385"/>
    <cellStyle name="Normal 14 2 2 2 2 2 2 3" xfId="31194"/>
    <cellStyle name="Normal 14 2 2 2 2 2 3" xfId="11499"/>
    <cellStyle name="Normal 14 2 2 2 2 2 3 2" xfId="25331"/>
    <cellStyle name="Normal 14 2 2 2 2 2 4" xfId="31193"/>
    <cellStyle name="Normal 14 2 2 2 2 3" xfId="6873"/>
    <cellStyle name="Normal 14 2 2 2 2 3 2" xfId="12366"/>
    <cellStyle name="Normal 14 2 2 2 2 3 2 2" xfId="26078"/>
    <cellStyle name="Normal 14 2 2 2 2 3 3" xfId="31195"/>
    <cellStyle name="Normal 14 2 2 2 2 4" xfId="6874"/>
    <cellStyle name="Normal 14 2 2 2 2 4 2" xfId="13930"/>
    <cellStyle name="Normal 14 2 2 2 2 4 2 2" xfId="27479"/>
    <cellStyle name="Normal 14 2 2 2 2 4 3" xfId="31196"/>
    <cellStyle name="Normal 14 2 2 2 2 5" xfId="6875"/>
    <cellStyle name="Normal 14 2 2 2 2 5 2" xfId="14511"/>
    <cellStyle name="Normal 14 2 2 2 2 5 2 2" xfId="28060"/>
    <cellStyle name="Normal 14 2 2 2 2 5 3" xfId="31197"/>
    <cellStyle name="Normal 14 2 2 2 2 6" xfId="6876"/>
    <cellStyle name="Normal 14 2 2 2 2 6 2" xfId="16397"/>
    <cellStyle name="Normal 14 2 2 2 2 6 2 2" xfId="29804"/>
    <cellStyle name="Normal 14 2 2 2 2 6 3" xfId="31198"/>
    <cellStyle name="Normal 14 2 2 2 2 7" xfId="10120"/>
    <cellStyle name="Normal 14 2 2 2 2 7 2" xfId="24348"/>
    <cellStyle name="Normal 14 2 2 2 2 8" xfId="31192"/>
    <cellStyle name="Normal 14 2 2 2 3" xfId="6877"/>
    <cellStyle name="Normal 14 2 2 2 3 2" xfId="6878"/>
    <cellStyle name="Normal 14 2 2 2 3 2 2" xfId="16689"/>
    <cellStyle name="Normal 14 2 2 2 3 2 2 2" xfId="30096"/>
    <cellStyle name="Normal 14 2 2 2 3 2 3" xfId="31200"/>
    <cellStyle name="Normal 14 2 2 2 3 3" xfId="11498"/>
    <cellStyle name="Normal 14 2 2 2 3 3 2" xfId="25330"/>
    <cellStyle name="Normal 14 2 2 2 3 4" xfId="31199"/>
    <cellStyle name="Normal 14 2 2 2 4" xfId="6879"/>
    <cellStyle name="Normal 14 2 2 2 4 2" xfId="12066"/>
    <cellStyle name="Normal 14 2 2 2 4 2 2" xfId="25781"/>
    <cellStyle name="Normal 14 2 2 2 4 3" xfId="31201"/>
    <cellStyle name="Normal 14 2 2 2 5" xfId="6880"/>
    <cellStyle name="Normal 14 2 2 2 5 2" xfId="13641"/>
    <cellStyle name="Normal 14 2 2 2 5 2 2" xfId="27190"/>
    <cellStyle name="Normal 14 2 2 2 5 3" xfId="31202"/>
    <cellStyle name="Normal 14 2 2 2 6" xfId="6881"/>
    <cellStyle name="Normal 14 2 2 2 6 2" xfId="14222"/>
    <cellStyle name="Normal 14 2 2 2 6 2 2" xfId="27771"/>
    <cellStyle name="Normal 14 2 2 2 6 3" xfId="31203"/>
    <cellStyle name="Normal 14 2 2 2 7" xfId="6882"/>
    <cellStyle name="Normal 14 2 2 2 7 2" xfId="16108"/>
    <cellStyle name="Normal 14 2 2 2 7 2 2" xfId="29515"/>
    <cellStyle name="Normal 14 2 2 2 7 3" xfId="31204"/>
    <cellStyle name="Normal 14 2 2 2 8" xfId="10119"/>
    <cellStyle name="Normal 14 2 2 2 8 2" xfId="24347"/>
    <cellStyle name="Normal 14 2 2 2 9" xfId="31191"/>
    <cellStyle name="Normal 14 2 2 3" xfId="6883"/>
    <cellStyle name="Normal 14 2 2 3 2" xfId="6884"/>
    <cellStyle name="Normal 14 2 2 3 2 2" xfId="6885"/>
    <cellStyle name="Normal 14 2 2 3 2 2 2" xfId="16835"/>
    <cellStyle name="Normal 14 2 2 3 2 2 2 2" xfId="30242"/>
    <cellStyle name="Normal 14 2 2 3 2 2 3" xfId="31207"/>
    <cellStyle name="Normal 14 2 2 3 2 3" xfId="11500"/>
    <cellStyle name="Normal 14 2 2 3 2 3 2" xfId="25332"/>
    <cellStyle name="Normal 14 2 2 3 2 4" xfId="31206"/>
    <cellStyle name="Normal 14 2 2 3 3" xfId="6886"/>
    <cellStyle name="Normal 14 2 2 3 3 2" xfId="12223"/>
    <cellStyle name="Normal 14 2 2 3 3 2 2" xfId="25935"/>
    <cellStyle name="Normal 14 2 2 3 3 3" xfId="31208"/>
    <cellStyle name="Normal 14 2 2 3 4" xfId="6887"/>
    <cellStyle name="Normal 14 2 2 3 4 2" xfId="13787"/>
    <cellStyle name="Normal 14 2 2 3 4 2 2" xfId="27336"/>
    <cellStyle name="Normal 14 2 2 3 4 3" xfId="31209"/>
    <cellStyle name="Normal 14 2 2 3 5" xfId="6888"/>
    <cellStyle name="Normal 14 2 2 3 5 2" xfId="14368"/>
    <cellStyle name="Normal 14 2 2 3 5 2 2" xfId="27917"/>
    <cellStyle name="Normal 14 2 2 3 5 3" xfId="31210"/>
    <cellStyle name="Normal 14 2 2 3 6" xfId="6889"/>
    <cellStyle name="Normal 14 2 2 3 6 2" xfId="16254"/>
    <cellStyle name="Normal 14 2 2 3 6 2 2" xfId="29661"/>
    <cellStyle name="Normal 14 2 2 3 6 3" xfId="31211"/>
    <cellStyle name="Normal 14 2 2 3 7" xfId="10121"/>
    <cellStyle name="Normal 14 2 2 3 7 2" xfId="24349"/>
    <cellStyle name="Normal 14 2 2 3 8" xfId="31205"/>
    <cellStyle name="Normal 14 2 2 4" xfId="6890"/>
    <cellStyle name="Normal 14 2 2 4 2" xfId="6891"/>
    <cellStyle name="Normal 14 2 2 4 2 2" xfId="17182"/>
    <cellStyle name="Normal 14 2 2 4 2 2 2" xfId="30541"/>
    <cellStyle name="Normal 14 2 2 4 2 3" xfId="31213"/>
    <cellStyle name="Normal 14 2 2 4 3" xfId="11497"/>
    <cellStyle name="Normal 14 2 2 4 3 2" xfId="25329"/>
    <cellStyle name="Normal 14 2 2 4 4" xfId="31212"/>
    <cellStyle name="Normal 14 2 2 5" xfId="6892"/>
    <cellStyle name="Normal 14 2 2 5 2" xfId="6893"/>
    <cellStyle name="Normal 14 2 2 5 2 2" xfId="17271"/>
    <cellStyle name="Normal 14 2 2 5 2 2 2" xfId="30630"/>
    <cellStyle name="Normal 14 2 2 5 2 3" xfId="31215"/>
    <cellStyle name="Normal 14 2 2 5 3" xfId="11921"/>
    <cellStyle name="Normal 14 2 2 5 3 2" xfId="25636"/>
    <cellStyle name="Normal 14 2 2 5 4" xfId="31214"/>
    <cellStyle name="Normal 14 2 2 6" xfId="6894"/>
    <cellStyle name="Normal 14 2 2 6 2" xfId="6895"/>
    <cellStyle name="Normal 14 2 2 6 2 2" xfId="16546"/>
    <cellStyle name="Normal 14 2 2 6 2 2 2" xfId="29953"/>
    <cellStyle name="Normal 14 2 2 6 2 3" xfId="31217"/>
    <cellStyle name="Normal 14 2 2 6 3" xfId="13498"/>
    <cellStyle name="Normal 14 2 2 6 3 2" xfId="27047"/>
    <cellStyle name="Normal 14 2 2 6 4" xfId="31216"/>
    <cellStyle name="Normal 14 2 2 7" xfId="6896"/>
    <cellStyle name="Normal 14 2 2 7 2" xfId="14079"/>
    <cellStyle name="Normal 14 2 2 7 2 2" xfId="27628"/>
    <cellStyle name="Normal 14 2 2 7 3" xfId="31218"/>
    <cellStyle name="Normal 14 2 2 8" xfId="6897"/>
    <cellStyle name="Normal 14 2 2 8 2" xfId="15965"/>
    <cellStyle name="Normal 14 2 2 8 2 2" xfId="29372"/>
    <cellStyle name="Normal 14 2 2 8 3" xfId="31219"/>
    <cellStyle name="Normal 14 2 2 9" xfId="10118"/>
    <cellStyle name="Normal 14 2 2 9 2" xfId="24346"/>
    <cellStyle name="Normal 14 2 3" xfId="6898"/>
    <cellStyle name="Normal 14 2 3 2" xfId="6899"/>
    <cellStyle name="Normal 14 2 3 2 2" xfId="6900"/>
    <cellStyle name="Normal 14 2 3 2 2 2" xfId="6901"/>
    <cellStyle name="Normal 14 2 3 2 2 2 2" xfId="16932"/>
    <cellStyle name="Normal 14 2 3 2 2 2 2 2" xfId="30339"/>
    <cellStyle name="Normal 14 2 3 2 2 2 3" xfId="31223"/>
    <cellStyle name="Normal 14 2 3 2 2 3" xfId="11502"/>
    <cellStyle name="Normal 14 2 3 2 2 3 2" xfId="25334"/>
    <cellStyle name="Normal 14 2 3 2 2 4" xfId="31222"/>
    <cellStyle name="Normal 14 2 3 2 3" xfId="6902"/>
    <cellStyle name="Normal 14 2 3 2 3 2" xfId="12320"/>
    <cellStyle name="Normal 14 2 3 2 3 2 2" xfId="26032"/>
    <cellStyle name="Normal 14 2 3 2 3 3" xfId="31224"/>
    <cellStyle name="Normal 14 2 3 2 4" xfId="6903"/>
    <cellStyle name="Normal 14 2 3 2 4 2" xfId="13884"/>
    <cellStyle name="Normal 14 2 3 2 4 2 2" xfId="27433"/>
    <cellStyle name="Normal 14 2 3 2 4 3" xfId="31225"/>
    <cellStyle name="Normal 14 2 3 2 5" xfId="6904"/>
    <cellStyle name="Normal 14 2 3 2 5 2" xfId="14465"/>
    <cellStyle name="Normal 14 2 3 2 5 2 2" xfId="28014"/>
    <cellStyle name="Normal 14 2 3 2 5 3" xfId="31226"/>
    <cellStyle name="Normal 14 2 3 2 6" xfId="6905"/>
    <cellStyle name="Normal 14 2 3 2 6 2" xfId="16351"/>
    <cellStyle name="Normal 14 2 3 2 6 2 2" xfId="29758"/>
    <cellStyle name="Normal 14 2 3 2 6 3" xfId="31227"/>
    <cellStyle name="Normal 14 2 3 2 7" xfId="10123"/>
    <cellStyle name="Normal 14 2 3 2 7 2" xfId="24351"/>
    <cellStyle name="Normal 14 2 3 2 8" xfId="31221"/>
    <cellStyle name="Normal 14 2 3 3" xfId="6906"/>
    <cellStyle name="Normal 14 2 3 3 2" xfId="6907"/>
    <cellStyle name="Normal 14 2 3 3 2 2" xfId="16643"/>
    <cellStyle name="Normal 14 2 3 3 2 2 2" xfId="30050"/>
    <cellStyle name="Normal 14 2 3 3 2 3" xfId="31229"/>
    <cellStyle name="Normal 14 2 3 3 3" xfId="11501"/>
    <cellStyle name="Normal 14 2 3 3 3 2" xfId="25333"/>
    <cellStyle name="Normal 14 2 3 3 4" xfId="31228"/>
    <cellStyle name="Normal 14 2 3 4" xfId="6908"/>
    <cellStyle name="Normal 14 2 3 4 2" xfId="12020"/>
    <cellStyle name="Normal 14 2 3 4 2 2" xfId="25735"/>
    <cellStyle name="Normal 14 2 3 4 3" xfId="31230"/>
    <cellStyle name="Normal 14 2 3 5" xfId="6909"/>
    <cellStyle name="Normal 14 2 3 5 2" xfId="13595"/>
    <cellStyle name="Normal 14 2 3 5 2 2" xfId="27144"/>
    <cellStyle name="Normal 14 2 3 5 3" xfId="31231"/>
    <cellStyle name="Normal 14 2 3 6" xfId="6910"/>
    <cellStyle name="Normal 14 2 3 6 2" xfId="14176"/>
    <cellStyle name="Normal 14 2 3 6 2 2" xfId="27725"/>
    <cellStyle name="Normal 14 2 3 6 3" xfId="31232"/>
    <cellStyle name="Normal 14 2 3 7" xfId="6911"/>
    <cellStyle name="Normal 14 2 3 7 2" xfId="16062"/>
    <cellStyle name="Normal 14 2 3 7 2 2" xfId="29469"/>
    <cellStyle name="Normal 14 2 3 7 3" xfId="31233"/>
    <cellStyle name="Normal 14 2 3 8" xfId="10122"/>
    <cellStyle name="Normal 14 2 3 8 2" xfId="24350"/>
    <cellStyle name="Normal 14 2 3 9" xfId="31220"/>
    <cellStyle name="Normal 14 2 4" xfId="6912"/>
    <cellStyle name="Normal 14 2 4 2" xfId="6913"/>
    <cellStyle name="Normal 14 2 4 2 2" xfId="6914"/>
    <cellStyle name="Normal 14 2 4 2 2 2" xfId="16789"/>
    <cellStyle name="Normal 14 2 4 2 2 2 2" xfId="30196"/>
    <cellStyle name="Normal 14 2 4 2 2 3" xfId="31236"/>
    <cellStyle name="Normal 14 2 4 2 3" xfId="11503"/>
    <cellStyle name="Normal 14 2 4 2 3 2" xfId="25335"/>
    <cellStyle name="Normal 14 2 4 2 4" xfId="31235"/>
    <cellStyle name="Normal 14 2 4 3" xfId="6915"/>
    <cellStyle name="Normal 14 2 4 3 2" xfId="12177"/>
    <cellStyle name="Normal 14 2 4 3 2 2" xfId="25889"/>
    <cellStyle name="Normal 14 2 4 3 3" xfId="31237"/>
    <cellStyle name="Normal 14 2 4 4" xfId="6916"/>
    <cellStyle name="Normal 14 2 4 4 2" xfId="13741"/>
    <cellStyle name="Normal 14 2 4 4 2 2" xfId="27290"/>
    <cellStyle name="Normal 14 2 4 4 3" xfId="31238"/>
    <cellStyle name="Normal 14 2 4 5" xfId="6917"/>
    <cellStyle name="Normal 14 2 4 5 2" xfId="14322"/>
    <cellStyle name="Normal 14 2 4 5 2 2" xfId="27871"/>
    <cellStyle name="Normal 14 2 4 5 3" xfId="31239"/>
    <cellStyle name="Normal 14 2 4 6" xfId="6918"/>
    <cellStyle name="Normal 14 2 4 6 2" xfId="16208"/>
    <cellStyle name="Normal 14 2 4 6 2 2" xfId="29615"/>
    <cellStyle name="Normal 14 2 4 6 3" xfId="31240"/>
    <cellStyle name="Normal 14 2 4 7" xfId="10124"/>
    <cellStyle name="Normal 14 2 4 7 2" xfId="24352"/>
    <cellStyle name="Normal 14 2 4 8" xfId="31234"/>
    <cellStyle name="Normal 14 2 5" xfId="6919"/>
    <cellStyle name="Normal 14 2 5 2" xfId="6920"/>
    <cellStyle name="Normal 14 2 5 2 2" xfId="17136"/>
    <cellStyle name="Normal 14 2 5 2 2 2" xfId="30495"/>
    <cellStyle name="Normal 14 2 5 2 3" xfId="31242"/>
    <cellStyle name="Normal 14 2 5 3" xfId="11496"/>
    <cellStyle name="Normal 14 2 5 3 2" xfId="25328"/>
    <cellStyle name="Normal 14 2 5 4" xfId="31241"/>
    <cellStyle name="Normal 14 2 6" xfId="6921"/>
    <cellStyle name="Normal 14 2 6 2" xfId="6922"/>
    <cellStyle name="Normal 14 2 6 2 2" xfId="17225"/>
    <cellStyle name="Normal 14 2 6 2 2 2" xfId="30584"/>
    <cellStyle name="Normal 14 2 6 2 3" xfId="31244"/>
    <cellStyle name="Normal 14 2 6 3" xfId="11864"/>
    <cellStyle name="Normal 14 2 6 3 2" xfId="25579"/>
    <cellStyle name="Normal 14 2 6 4" xfId="31243"/>
    <cellStyle name="Normal 14 2 7" xfId="6923"/>
    <cellStyle name="Normal 14 2 7 2" xfId="6924"/>
    <cellStyle name="Normal 14 2 7 2 2" xfId="16500"/>
    <cellStyle name="Normal 14 2 7 2 2 2" xfId="29907"/>
    <cellStyle name="Normal 14 2 7 2 3" xfId="31246"/>
    <cellStyle name="Normal 14 2 7 3" xfId="13452"/>
    <cellStyle name="Normal 14 2 7 3 2" xfId="27001"/>
    <cellStyle name="Normal 14 2 7 4" xfId="31245"/>
    <cellStyle name="Normal 14 2 8" xfId="6925"/>
    <cellStyle name="Normal 14 2 8 2" xfId="14033"/>
    <cellStyle name="Normal 14 2 8 2 2" xfId="27582"/>
    <cellStyle name="Normal 14 2 8 3" xfId="31247"/>
    <cellStyle name="Normal 14 2 9" xfId="6926"/>
    <cellStyle name="Normal 14 2 9 2" xfId="15919"/>
    <cellStyle name="Normal 14 2 9 2 2" xfId="29326"/>
    <cellStyle name="Normal 14 2 9 3" xfId="31248"/>
    <cellStyle name="Normal 14 3" xfId="6927"/>
    <cellStyle name="Normal 14 3 10" xfId="31249"/>
    <cellStyle name="Normal 14 3 2" xfId="6928"/>
    <cellStyle name="Normal 14 3 2 2" xfId="6929"/>
    <cellStyle name="Normal 14 3 2 2 2" xfId="6930"/>
    <cellStyle name="Normal 14 3 2 2 2 2" xfId="6931"/>
    <cellStyle name="Normal 14 3 2 2 2 2 2" xfId="16955"/>
    <cellStyle name="Normal 14 3 2 2 2 2 2 2" xfId="30362"/>
    <cellStyle name="Normal 14 3 2 2 2 2 3" xfId="31253"/>
    <cellStyle name="Normal 14 3 2 2 2 3" xfId="11506"/>
    <cellStyle name="Normal 14 3 2 2 2 3 2" xfId="25338"/>
    <cellStyle name="Normal 14 3 2 2 2 4" xfId="31252"/>
    <cellStyle name="Normal 14 3 2 2 3" xfId="6932"/>
    <cellStyle name="Normal 14 3 2 2 3 2" xfId="12343"/>
    <cellStyle name="Normal 14 3 2 2 3 2 2" xfId="26055"/>
    <cellStyle name="Normal 14 3 2 2 3 3" xfId="31254"/>
    <cellStyle name="Normal 14 3 2 2 4" xfId="6933"/>
    <cellStyle name="Normal 14 3 2 2 4 2" xfId="13907"/>
    <cellStyle name="Normal 14 3 2 2 4 2 2" xfId="27456"/>
    <cellStyle name="Normal 14 3 2 2 4 3" xfId="31255"/>
    <cellStyle name="Normal 14 3 2 2 5" xfId="6934"/>
    <cellStyle name="Normal 14 3 2 2 5 2" xfId="14488"/>
    <cellStyle name="Normal 14 3 2 2 5 2 2" xfId="28037"/>
    <cellStyle name="Normal 14 3 2 2 5 3" xfId="31256"/>
    <cellStyle name="Normal 14 3 2 2 6" xfId="6935"/>
    <cellStyle name="Normal 14 3 2 2 6 2" xfId="16374"/>
    <cellStyle name="Normal 14 3 2 2 6 2 2" xfId="29781"/>
    <cellStyle name="Normal 14 3 2 2 6 3" xfId="31257"/>
    <cellStyle name="Normal 14 3 2 2 7" xfId="10127"/>
    <cellStyle name="Normal 14 3 2 2 7 2" xfId="24355"/>
    <cellStyle name="Normal 14 3 2 2 8" xfId="31251"/>
    <cellStyle name="Normal 14 3 2 3" xfId="6936"/>
    <cellStyle name="Normal 14 3 2 3 2" xfId="6937"/>
    <cellStyle name="Normal 14 3 2 3 2 2" xfId="16666"/>
    <cellStyle name="Normal 14 3 2 3 2 2 2" xfId="30073"/>
    <cellStyle name="Normal 14 3 2 3 2 3" xfId="31259"/>
    <cellStyle name="Normal 14 3 2 3 3" xfId="11505"/>
    <cellStyle name="Normal 14 3 2 3 3 2" xfId="25337"/>
    <cellStyle name="Normal 14 3 2 3 4" xfId="31258"/>
    <cellStyle name="Normal 14 3 2 4" xfId="6938"/>
    <cellStyle name="Normal 14 3 2 4 2" xfId="12043"/>
    <cellStyle name="Normal 14 3 2 4 2 2" xfId="25758"/>
    <cellStyle name="Normal 14 3 2 4 3" xfId="31260"/>
    <cellStyle name="Normal 14 3 2 5" xfId="6939"/>
    <cellStyle name="Normal 14 3 2 5 2" xfId="13618"/>
    <cellStyle name="Normal 14 3 2 5 2 2" xfId="27167"/>
    <cellStyle name="Normal 14 3 2 5 3" xfId="31261"/>
    <cellStyle name="Normal 14 3 2 6" xfId="6940"/>
    <cellStyle name="Normal 14 3 2 6 2" xfId="14199"/>
    <cellStyle name="Normal 14 3 2 6 2 2" xfId="27748"/>
    <cellStyle name="Normal 14 3 2 6 3" xfId="31262"/>
    <cellStyle name="Normal 14 3 2 7" xfId="6941"/>
    <cellStyle name="Normal 14 3 2 7 2" xfId="16085"/>
    <cellStyle name="Normal 14 3 2 7 2 2" xfId="29492"/>
    <cellStyle name="Normal 14 3 2 7 3" xfId="31263"/>
    <cellStyle name="Normal 14 3 2 8" xfId="10126"/>
    <cellStyle name="Normal 14 3 2 8 2" xfId="24354"/>
    <cellStyle name="Normal 14 3 2 9" xfId="31250"/>
    <cellStyle name="Normal 14 3 3" xfId="6942"/>
    <cellStyle name="Normal 14 3 3 2" xfId="6943"/>
    <cellStyle name="Normal 14 3 3 2 2" xfId="6944"/>
    <cellStyle name="Normal 14 3 3 2 2 2" xfId="16812"/>
    <cellStyle name="Normal 14 3 3 2 2 2 2" xfId="30219"/>
    <cellStyle name="Normal 14 3 3 2 2 3" xfId="31266"/>
    <cellStyle name="Normal 14 3 3 2 3" xfId="11507"/>
    <cellStyle name="Normal 14 3 3 2 3 2" xfId="25339"/>
    <cellStyle name="Normal 14 3 3 2 4" xfId="31265"/>
    <cellStyle name="Normal 14 3 3 3" xfId="6945"/>
    <cellStyle name="Normal 14 3 3 3 2" xfId="12200"/>
    <cellStyle name="Normal 14 3 3 3 2 2" xfId="25912"/>
    <cellStyle name="Normal 14 3 3 3 3" xfId="31267"/>
    <cellStyle name="Normal 14 3 3 4" xfId="6946"/>
    <cellStyle name="Normal 14 3 3 4 2" xfId="13764"/>
    <cellStyle name="Normal 14 3 3 4 2 2" xfId="27313"/>
    <cellStyle name="Normal 14 3 3 4 3" xfId="31268"/>
    <cellStyle name="Normal 14 3 3 5" xfId="6947"/>
    <cellStyle name="Normal 14 3 3 5 2" xfId="14345"/>
    <cellStyle name="Normal 14 3 3 5 2 2" xfId="27894"/>
    <cellStyle name="Normal 14 3 3 5 3" xfId="31269"/>
    <cellStyle name="Normal 14 3 3 6" xfId="6948"/>
    <cellStyle name="Normal 14 3 3 6 2" xfId="16231"/>
    <cellStyle name="Normal 14 3 3 6 2 2" xfId="29638"/>
    <cellStyle name="Normal 14 3 3 6 3" xfId="31270"/>
    <cellStyle name="Normal 14 3 3 7" xfId="10128"/>
    <cellStyle name="Normal 14 3 3 7 2" xfId="24356"/>
    <cellStyle name="Normal 14 3 3 8" xfId="31264"/>
    <cellStyle name="Normal 14 3 4" xfId="6949"/>
    <cellStyle name="Normal 14 3 4 2" xfId="6950"/>
    <cellStyle name="Normal 14 3 4 2 2" xfId="17159"/>
    <cellStyle name="Normal 14 3 4 2 2 2" xfId="30518"/>
    <cellStyle name="Normal 14 3 4 2 3" xfId="31272"/>
    <cellStyle name="Normal 14 3 4 3" xfId="11504"/>
    <cellStyle name="Normal 14 3 4 3 2" xfId="25336"/>
    <cellStyle name="Normal 14 3 4 4" xfId="31271"/>
    <cellStyle name="Normal 14 3 5" xfId="6951"/>
    <cellStyle name="Normal 14 3 5 2" xfId="6952"/>
    <cellStyle name="Normal 14 3 5 2 2" xfId="17248"/>
    <cellStyle name="Normal 14 3 5 2 2 2" xfId="30607"/>
    <cellStyle name="Normal 14 3 5 2 3" xfId="31274"/>
    <cellStyle name="Normal 14 3 5 3" xfId="11898"/>
    <cellStyle name="Normal 14 3 5 3 2" xfId="25613"/>
    <cellStyle name="Normal 14 3 5 4" xfId="31273"/>
    <cellStyle name="Normal 14 3 6" xfId="6953"/>
    <cellStyle name="Normal 14 3 6 2" xfId="6954"/>
    <cellStyle name="Normal 14 3 6 2 2" xfId="16523"/>
    <cellStyle name="Normal 14 3 6 2 2 2" xfId="29930"/>
    <cellStyle name="Normal 14 3 6 2 3" xfId="31276"/>
    <cellStyle name="Normal 14 3 6 3" xfId="13475"/>
    <cellStyle name="Normal 14 3 6 3 2" xfId="27024"/>
    <cellStyle name="Normal 14 3 6 4" xfId="31275"/>
    <cellStyle name="Normal 14 3 7" xfId="6955"/>
    <cellStyle name="Normal 14 3 7 2" xfId="14056"/>
    <cellStyle name="Normal 14 3 7 2 2" xfId="27605"/>
    <cellStyle name="Normal 14 3 7 3" xfId="31277"/>
    <cellStyle name="Normal 14 3 8" xfId="6956"/>
    <cellStyle name="Normal 14 3 8 2" xfId="15942"/>
    <cellStyle name="Normal 14 3 8 2 2" xfId="29349"/>
    <cellStyle name="Normal 14 3 8 3" xfId="31278"/>
    <cellStyle name="Normal 14 3 9" xfId="10125"/>
    <cellStyle name="Normal 14 3 9 2" xfId="24353"/>
    <cellStyle name="Normal 14 4" xfId="6957"/>
    <cellStyle name="Normal 14 4 10" xfId="31279"/>
    <cellStyle name="Normal 14 4 2" xfId="6958"/>
    <cellStyle name="Normal 14 4 2 2" xfId="6959"/>
    <cellStyle name="Normal 14 4 2 2 2" xfId="6960"/>
    <cellStyle name="Normal 14 4 2 2 2 2" xfId="6961"/>
    <cellStyle name="Normal 14 4 2 2 2 2 2" xfId="16998"/>
    <cellStyle name="Normal 14 4 2 2 2 2 2 2" xfId="30405"/>
    <cellStyle name="Normal 14 4 2 2 2 2 3" xfId="31283"/>
    <cellStyle name="Normal 14 4 2 2 2 3" xfId="11510"/>
    <cellStyle name="Normal 14 4 2 2 2 3 2" xfId="25342"/>
    <cellStyle name="Normal 14 4 2 2 2 4" xfId="31282"/>
    <cellStyle name="Normal 14 4 2 2 3" xfId="6962"/>
    <cellStyle name="Normal 14 4 2 2 3 2" xfId="12386"/>
    <cellStyle name="Normal 14 4 2 2 3 2 2" xfId="26098"/>
    <cellStyle name="Normal 14 4 2 2 3 3" xfId="31284"/>
    <cellStyle name="Normal 14 4 2 2 4" xfId="6963"/>
    <cellStyle name="Normal 14 4 2 2 4 2" xfId="13950"/>
    <cellStyle name="Normal 14 4 2 2 4 2 2" xfId="27499"/>
    <cellStyle name="Normal 14 4 2 2 4 3" xfId="31285"/>
    <cellStyle name="Normal 14 4 2 2 5" xfId="6964"/>
    <cellStyle name="Normal 14 4 2 2 5 2" xfId="14531"/>
    <cellStyle name="Normal 14 4 2 2 5 2 2" xfId="28080"/>
    <cellStyle name="Normal 14 4 2 2 5 3" xfId="31286"/>
    <cellStyle name="Normal 14 4 2 2 6" xfId="6965"/>
    <cellStyle name="Normal 14 4 2 2 6 2" xfId="16417"/>
    <cellStyle name="Normal 14 4 2 2 6 2 2" xfId="29824"/>
    <cellStyle name="Normal 14 4 2 2 6 3" xfId="31287"/>
    <cellStyle name="Normal 14 4 2 2 7" xfId="10131"/>
    <cellStyle name="Normal 14 4 2 2 7 2" xfId="24359"/>
    <cellStyle name="Normal 14 4 2 2 8" xfId="31281"/>
    <cellStyle name="Normal 14 4 2 3" xfId="6966"/>
    <cellStyle name="Normal 14 4 2 3 2" xfId="6967"/>
    <cellStyle name="Normal 14 4 2 3 2 2" xfId="16709"/>
    <cellStyle name="Normal 14 4 2 3 2 2 2" xfId="30116"/>
    <cellStyle name="Normal 14 4 2 3 2 3" xfId="31289"/>
    <cellStyle name="Normal 14 4 2 3 3" xfId="11509"/>
    <cellStyle name="Normal 14 4 2 3 3 2" xfId="25341"/>
    <cellStyle name="Normal 14 4 2 3 4" xfId="31288"/>
    <cellStyle name="Normal 14 4 2 4" xfId="6968"/>
    <cellStyle name="Normal 14 4 2 4 2" xfId="12086"/>
    <cellStyle name="Normal 14 4 2 4 2 2" xfId="25801"/>
    <cellStyle name="Normal 14 4 2 4 3" xfId="31290"/>
    <cellStyle name="Normal 14 4 2 5" xfId="6969"/>
    <cellStyle name="Normal 14 4 2 5 2" xfId="13661"/>
    <cellStyle name="Normal 14 4 2 5 2 2" xfId="27210"/>
    <cellStyle name="Normal 14 4 2 5 3" xfId="31291"/>
    <cellStyle name="Normal 14 4 2 6" xfId="6970"/>
    <cellStyle name="Normal 14 4 2 6 2" xfId="14242"/>
    <cellStyle name="Normal 14 4 2 6 2 2" xfId="27791"/>
    <cellStyle name="Normal 14 4 2 6 3" xfId="31292"/>
    <cellStyle name="Normal 14 4 2 7" xfId="6971"/>
    <cellStyle name="Normal 14 4 2 7 2" xfId="16128"/>
    <cellStyle name="Normal 14 4 2 7 2 2" xfId="29535"/>
    <cellStyle name="Normal 14 4 2 7 3" xfId="31293"/>
    <cellStyle name="Normal 14 4 2 8" xfId="10130"/>
    <cellStyle name="Normal 14 4 2 8 2" xfId="24358"/>
    <cellStyle name="Normal 14 4 2 9" xfId="31280"/>
    <cellStyle name="Normal 14 4 3" xfId="6972"/>
    <cellStyle name="Normal 14 4 3 2" xfId="6973"/>
    <cellStyle name="Normal 14 4 3 2 2" xfId="6974"/>
    <cellStyle name="Normal 14 4 3 2 2 2" xfId="16855"/>
    <cellStyle name="Normal 14 4 3 2 2 2 2" xfId="30262"/>
    <cellStyle name="Normal 14 4 3 2 2 3" xfId="31296"/>
    <cellStyle name="Normal 14 4 3 2 3" xfId="11511"/>
    <cellStyle name="Normal 14 4 3 2 3 2" xfId="25343"/>
    <cellStyle name="Normal 14 4 3 2 4" xfId="31295"/>
    <cellStyle name="Normal 14 4 3 3" xfId="6975"/>
    <cellStyle name="Normal 14 4 3 3 2" xfId="12243"/>
    <cellStyle name="Normal 14 4 3 3 2 2" xfId="25955"/>
    <cellStyle name="Normal 14 4 3 3 3" xfId="31297"/>
    <cellStyle name="Normal 14 4 3 4" xfId="6976"/>
    <cellStyle name="Normal 14 4 3 4 2" xfId="13807"/>
    <cellStyle name="Normal 14 4 3 4 2 2" xfId="27356"/>
    <cellStyle name="Normal 14 4 3 4 3" xfId="31298"/>
    <cellStyle name="Normal 14 4 3 5" xfId="6977"/>
    <cellStyle name="Normal 14 4 3 5 2" xfId="14388"/>
    <cellStyle name="Normal 14 4 3 5 2 2" xfId="27937"/>
    <cellStyle name="Normal 14 4 3 5 3" xfId="31299"/>
    <cellStyle name="Normal 14 4 3 6" xfId="6978"/>
    <cellStyle name="Normal 14 4 3 6 2" xfId="16274"/>
    <cellStyle name="Normal 14 4 3 6 2 2" xfId="29681"/>
    <cellStyle name="Normal 14 4 3 6 3" xfId="31300"/>
    <cellStyle name="Normal 14 4 3 7" xfId="10132"/>
    <cellStyle name="Normal 14 4 3 7 2" xfId="24360"/>
    <cellStyle name="Normal 14 4 3 8" xfId="31294"/>
    <cellStyle name="Normal 14 4 4" xfId="6979"/>
    <cellStyle name="Normal 14 4 4 2" xfId="6980"/>
    <cellStyle name="Normal 14 4 4 2 2" xfId="16566"/>
    <cellStyle name="Normal 14 4 4 2 2 2" xfId="29973"/>
    <cellStyle name="Normal 14 4 4 2 3" xfId="31302"/>
    <cellStyle name="Normal 14 4 4 3" xfId="11508"/>
    <cellStyle name="Normal 14 4 4 3 2" xfId="25340"/>
    <cellStyle name="Normal 14 4 4 4" xfId="31301"/>
    <cellStyle name="Normal 14 4 5" xfId="6981"/>
    <cellStyle name="Normal 14 4 5 2" xfId="11941"/>
    <cellStyle name="Normal 14 4 5 2 2" xfId="25656"/>
    <cellStyle name="Normal 14 4 5 3" xfId="31303"/>
    <cellStyle name="Normal 14 4 6" xfId="6982"/>
    <cellStyle name="Normal 14 4 6 2" xfId="13518"/>
    <cellStyle name="Normal 14 4 6 2 2" xfId="27067"/>
    <cellStyle name="Normal 14 4 6 3" xfId="31304"/>
    <cellStyle name="Normal 14 4 7" xfId="6983"/>
    <cellStyle name="Normal 14 4 7 2" xfId="14099"/>
    <cellStyle name="Normal 14 4 7 2 2" xfId="27648"/>
    <cellStyle name="Normal 14 4 7 3" xfId="31305"/>
    <cellStyle name="Normal 14 4 8" xfId="6984"/>
    <cellStyle name="Normal 14 4 8 2" xfId="15985"/>
    <cellStyle name="Normal 14 4 8 2 2" xfId="29392"/>
    <cellStyle name="Normal 14 4 8 3" xfId="31306"/>
    <cellStyle name="Normal 14 4 9" xfId="10129"/>
    <cellStyle name="Normal 14 4 9 2" xfId="24357"/>
    <cellStyle name="Normal 14 5" xfId="6985"/>
    <cellStyle name="Normal 14 5 2" xfId="6986"/>
    <cellStyle name="Normal 14 5 2 2" xfId="6987"/>
    <cellStyle name="Normal 14 5 2 2 2" xfId="6988"/>
    <cellStyle name="Normal 14 5 2 2 2 2" xfId="16909"/>
    <cellStyle name="Normal 14 5 2 2 2 2 2" xfId="30316"/>
    <cellStyle name="Normal 14 5 2 2 2 3" xfId="31310"/>
    <cellStyle name="Normal 14 5 2 2 3" xfId="11513"/>
    <cellStyle name="Normal 14 5 2 2 3 2" xfId="25345"/>
    <cellStyle name="Normal 14 5 2 2 4" xfId="31309"/>
    <cellStyle name="Normal 14 5 2 3" xfId="6989"/>
    <cellStyle name="Normal 14 5 2 3 2" xfId="12297"/>
    <cellStyle name="Normal 14 5 2 3 2 2" xfId="26009"/>
    <cellStyle name="Normal 14 5 2 3 3" xfId="31311"/>
    <cellStyle name="Normal 14 5 2 4" xfId="6990"/>
    <cellStyle name="Normal 14 5 2 4 2" xfId="13861"/>
    <cellStyle name="Normal 14 5 2 4 2 2" xfId="27410"/>
    <cellStyle name="Normal 14 5 2 4 3" xfId="31312"/>
    <cellStyle name="Normal 14 5 2 5" xfId="6991"/>
    <cellStyle name="Normal 14 5 2 5 2" xfId="14442"/>
    <cellStyle name="Normal 14 5 2 5 2 2" xfId="27991"/>
    <cellStyle name="Normal 14 5 2 5 3" xfId="31313"/>
    <cellStyle name="Normal 14 5 2 6" xfId="6992"/>
    <cellStyle name="Normal 14 5 2 6 2" xfId="16328"/>
    <cellStyle name="Normal 14 5 2 6 2 2" xfId="29735"/>
    <cellStyle name="Normal 14 5 2 6 3" xfId="31314"/>
    <cellStyle name="Normal 14 5 2 7" xfId="10134"/>
    <cellStyle name="Normal 14 5 2 7 2" xfId="24362"/>
    <cellStyle name="Normal 14 5 2 8" xfId="31308"/>
    <cellStyle name="Normal 14 5 3" xfId="6993"/>
    <cellStyle name="Normal 14 5 3 2" xfId="6994"/>
    <cellStyle name="Normal 14 5 3 2 2" xfId="16620"/>
    <cellStyle name="Normal 14 5 3 2 2 2" xfId="30027"/>
    <cellStyle name="Normal 14 5 3 2 3" xfId="31316"/>
    <cellStyle name="Normal 14 5 3 3" xfId="11512"/>
    <cellStyle name="Normal 14 5 3 3 2" xfId="25344"/>
    <cellStyle name="Normal 14 5 3 4" xfId="31315"/>
    <cellStyle name="Normal 14 5 4" xfId="6995"/>
    <cellStyle name="Normal 14 5 4 2" xfId="11997"/>
    <cellStyle name="Normal 14 5 4 2 2" xfId="25712"/>
    <cellStyle name="Normal 14 5 4 3" xfId="31317"/>
    <cellStyle name="Normal 14 5 5" xfId="6996"/>
    <cellStyle name="Normal 14 5 5 2" xfId="13572"/>
    <cellStyle name="Normal 14 5 5 2 2" xfId="27121"/>
    <cellStyle name="Normal 14 5 5 3" xfId="31318"/>
    <cellStyle name="Normal 14 5 6" xfId="6997"/>
    <cellStyle name="Normal 14 5 6 2" xfId="14153"/>
    <cellStyle name="Normal 14 5 6 2 2" xfId="27702"/>
    <cellStyle name="Normal 14 5 6 3" xfId="31319"/>
    <cellStyle name="Normal 14 5 7" xfId="6998"/>
    <cellStyle name="Normal 14 5 7 2" xfId="16039"/>
    <cellStyle name="Normal 14 5 7 2 2" xfId="29446"/>
    <cellStyle name="Normal 14 5 7 3" xfId="31320"/>
    <cellStyle name="Normal 14 5 8" xfId="10133"/>
    <cellStyle name="Normal 14 5 8 2" xfId="24361"/>
    <cellStyle name="Normal 14 5 9" xfId="31307"/>
    <cellStyle name="Normal 14 6" xfId="6999"/>
    <cellStyle name="Normal 14 6 2" xfId="7000"/>
    <cellStyle name="Normal 14 6 2 2" xfId="7001"/>
    <cellStyle name="Normal 14 6 2 2 2" xfId="16732"/>
    <cellStyle name="Normal 14 6 2 2 2 2" xfId="30139"/>
    <cellStyle name="Normal 14 6 2 2 3" xfId="31323"/>
    <cellStyle name="Normal 14 6 2 3" xfId="11514"/>
    <cellStyle name="Normal 14 6 2 3 2" xfId="25346"/>
    <cellStyle name="Normal 14 6 2 4" xfId="31322"/>
    <cellStyle name="Normal 14 6 3" xfId="7002"/>
    <cellStyle name="Normal 14 6 3 2" xfId="12120"/>
    <cellStyle name="Normal 14 6 3 2 2" xfId="25832"/>
    <cellStyle name="Normal 14 6 3 3" xfId="31324"/>
    <cellStyle name="Normal 14 6 4" xfId="7003"/>
    <cellStyle name="Normal 14 6 4 2" xfId="13684"/>
    <cellStyle name="Normal 14 6 4 2 2" xfId="27233"/>
    <cellStyle name="Normal 14 6 4 3" xfId="31325"/>
    <cellStyle name="Normal 14 6 5" xfId="7004"/>
    <cellStyle name="Normal 14 6 5 2" xfId="14265"/>
    <cellStyle name="Normal 14 6 5 2 2" xfId="27814"/>
    <cellStyle name="Normal 14 6 5 3" xfId="31326"/>
    <cellStyle name="Normal 14 6 6" xfId="7005"/>
    <cellStyle name="Normal 14 6 6 2" xfId="16151"/>
    <cellStyle name="Normal 14 6 6 2 2" xfId="29558"/>
    <cellStyle name="Normal 14 6 6 3" xfId="31327"/>
    <cellStyle name="Normal 14 6 7" xfId="10135"/>
    <cellStyle name="Normal 14 6 7 2" xfId="24363"/>
    <cellStyle name="Normal 14 6 8" xfId="31321"/>
    <cellStyle name="Normal 14 7" xfId="7006"/>
    <cellStyle name="Normal 14 7 2" xfId="7007"/>
    <cellStyle name="Normal 14 7 2 2" xfId="17038"/>
    <cellStyle name="Normal 14 7 2 2 2" xfId="30441"/>
    <cellStyle name="Normal 14 7 2 3" xfId="31329"/>
    <cellStyle name="Normal 14 7 3" xfId="10136"/>
    <cellStyle name="Normal 14 7 4" xfId="31328"/>
    <cellStyle name="Normal 14 8" xfId="7008"/>
    <cellStyle name="Normal 14 8 2" xfId="7009"/>
    <cellStyle name="Normal 14 8 2 2" xfId="13243"/>
    <cellStyle name="Normal 14 8 2 3" xfId="31331"/>
    <cellStyle name="Normal 14 8 3" xfId="7010"/>
    <cellStyle name="Normal 14 8 3 2" xfId="17113"/>
    <cellStyle name="Normal 14 8 3 2 2" xfId="30472"/>
    <cellStyle name="Normal 14 8 3 3" xfId="31332"/>
    <cellStyle name="Normal 14 8 4" xfId="11828"/>
    <cellStyle name="Normal 14 8 4 2" xfId="25543"/>
    <cellStyle name="Normal 14 8 5" xfId="31330"/>
    <cellStyle name="Normal 14 9" xfId="7011"/>
    <cellStyle name="Normal 14 9 2" xfId="7012"/>
    <cellStyle name="Normal 14 9 2 2" xfId="17202"/>
    <cellStyle name="Normal 14 9 2 2 2" xfId="30561"/>
    <cellStyle name="Normal 14 9 2 3" xfId="31334"/>
    <cellStyle name="Normal 14 9 3" xfId="13429"/>
    <cellStyle name="Normal 14 9 3 2" xfId="26978"/>
    <cellStyle name="Normal 14 9 4" xfId="31333"/>
    <cellStyle name="Normal 15" xfId="7013"/>
    <cellStyle name="Normal 15 10" xfId="7014"/>
    <cellStyle name="Normal 15 10 2" xfId="7015"/>
    <cellStyle name="Normal 15 10 2 2" xfId="17293"/>
    <cellStyle name="Normal 15 10 2 2 2" xfId="30652"/>
    <cellStyle name="Normal 15 10 2 3" xfId="31336"/>
    <cellStyle name="Normal 15 10 3" xfId="13431"/>
    <cellStyle name="Normal 15 10 3 2" xfId="26980"/>
    <cellStyle name="Normal 15 10 4" xfId="31335"/>
    <cellStyle name="Normal 15 11" xfId="7016"/>
    <cellStyle name="Normal 15 11 2" xfId="7017"/>
    <cellStyle name="Normal 15 11 2 2" xfId="16479"/>
    <cellStyle name="Normal 15 11 2 2 2" xfId="29886"/>
    <cellStyle name="Normal 15 11 2 3" xfId="31338"/>
    <cellStyle name="Normal 15 11 3" xfId="14012"/>
    <cellStyle name="Normal 15 11 3 2" xfId="27561"/>
    <cellStyle name="Normal 15 11 4" xfId="31337"/>
    <cellStyle name="Normal 15 12" xfId="7018"/>
    <cellStyle name="Normal 15 12 2" xfId="15898"/>
    <cellStyle name="Normal 15 12 2 2" xfId="29305"/>
    <cellStyle name="Normal 15 12 3" xfId="31339"/>
    <cellStyle name="Normal 15 13" xfId="10137"/>
    <cellStyle name="Normal 15 14" xfId="33043"/>
    <cellStyle name="Normal 15 2" xfId="7019"/>
    <cellStyle name="Normal 15 2 10" xfId="10138"/>
    <cellStyle name="Normal 15 2 10 2" xfId="24364"/>
    <cellStyle name="Normal 15 2 2" xfId="7020"/>
    <cellStyle name="Normal 15 2 2 10" xfId="31340"/>
    <cellStyle name="Normal 15 2 2 2" xfId="7021"/>
    <cellStyle name="Normal 15 2 2 2 2" xfId="7022"/>
    <cellStyle name="Normal 15 2 2 2 2 2" xfId="7023"/>
    <cellStyle name="Normal 15 2 2 2 2 2 2" xfId="7024"/>
    <cellStyle name="Normal 15 2 2 2 2 2 2 2" xfId="16980"/>
    <cellStyle name="Normal 15 2 2 2 2 2 2 2 2" xfId="30387"/>
    <cellStyle name="Normal 15 2 2 2 2 2 2 3" xfId="31344"/>
    <cellStyle name="Normal 15 2 2 2 2 2 3" xfId="11518"/>
    <cellStyle name="Normal 15 2 2 2 2 2 3 2" xfId="25350"/>
    <cellStyle name="Normal 15 2 2 2 2 2 4" xfId="31343"/>
    <cellStyle name="Normal 15 2 2 2 2 3" xfId="7025"/>
    <cellStyle name="Normal 15 2 2 2 2 3 2" xfId="12368"/>
    <cellStyle name="Normal 15 2 2 2 2 3 2 2" xfId="26080"/>
    <cellStyle name="Normal 15 2 2 2 2 3 3" xfId="31345"/>
    <cellStyle name="Normal 15 2 2 2 2 4" xfId="7026"/>
    <cellStyle name="Normal 15 2 2 2 2 4 2" xfId="13932"/>
    <cellStyle name="Normal 15 2 2 2 2 4 2 2" xfId="27481"/>
    <cellStyle name="Normal 15 2 2 2 2 4 3" xfId="31346"/>
    <cellStyle name="Normal 15 2 2 2 2 5" xfId="7027"/>
    <cellStyle name="Normal 15 2 2 2 2 5 2" xfId="14513"/>
    <cellStyle name="Normal 15 2 2 2 2 5 2 2" xfId="28062"/>
    <cellStyle name="Normal 15 2 2 2 2 5 3" xfId="31347"/>
    <cellStyle name="Normal 15 2 2 2 2 6" xfId="7028"/>
    <cellStyle name="Normal 15 2 2 2 2 6 2" xfId="16399"/>
    <cellStyle name="Normal 15 2 2 2 2 6 2 2" xfId="29806"/>
    <cellStyle name="Normal 15 2 2 2 2 6 3" xfId="31348"/>
    <cellStyle name="Normal 15 2 2 2 2 7" xfId="10141"/>
    <cellStyle name="Normal 15 2 2 2 2 7 2" xfId="24367"/>
    <cellStyle name="Normal 15 2 2 2 2 8" xfId="31342"/>
    <cellStyle name="Normal 15 2 2 2 3" xfId="7029"/>
    <cellStyle name="Normal 15 2 2 2 3 2" xfId="7030"/>
    <cellStyle name="Normal 15 2 2 2 3 2 2" xfId="16691"/>
    <cellStyle name="Normal 15 2 2 2 3 2 2 2" xfId="30098"/>
    <cellStyle name="Normal 15 2 2 2 3 2 3" xfId="31350"/>
    <cellStyle name="Normal 15 2 2 2 3 3" xfId="11517"/>
    <cellStyle name="Normal 15 2 2 2 3 3 2" xfId="25349"/>
    <cellStyle name="Normal 15 2 2 2 3 4" xfId="31349"/>
    <cellStyle name="Normal 15 2 2 2 4" xfId="7031"/>
    <cellStyle name="Normal 15 2 2 2 4 2" xfId="12068"/>
    <cellStyle name="Normal 15 2 2 2 4 2 2" xfId="25783"/>
    <cellStyle name="Normal 15 2 2 2 4 3" xfId="31351"/>
    <cellStyle name="Normal 15 2 2 2 5" xfId="7032"/>
    <cellStyle name="Normal 15 2 2 2 5 2" xfId="13643"/>
    <cellStyle name="Normal 15 2 2 2 5 2 2" xfId="27192"/>
    <cellStyle name="Normal 15 2 2 2 5 3" xfId="31352"/>
    <cellStyle name="Normal 15 2 2 2 6" xfId="7033"/>
    <cellStyle name="Normal 15 2 2 2 6 2" xfId="14224"/>
    <cellStyle name="Normal 15 2 2 2 6 2 2" xfId="27773"/>
    <cellStyle name="Normal 15 2 2 2 6 3" xfId="31353"/>
    <cellStyle name="Normal 15 2 2 2 7" xfId="7034"/>
    <cellStyle name="Normal 15 2 2 2 7 2" xfId="16110"/>
    <cellStyle name="Normal 15 2 2 2 7 2 2" xfId="29517"/>
    <cellStyle name="Normal 15 2 2 2 7 3" xfId="31354"/>
    <cellStyle name="Normal 15 2 2 2 8" xfId="10140"/>
    <cellStyle name="Normal 15 2 2 2 8 2" xfId="24366"/>
    <cellStyle name="Normal 15 2 2 2 9" xfId="31341"/>
    <cellStyle name="Normal 15 2 2 3" xfId="7035"/>
    <cellStyle name="Normal 15 2 2 3 2" xfId="7036"/>
    <cellStyle name="Normal 15 2 2 3 2 2" xfId="7037"/>
    <cellStyle name="Normal 15 2 2 3 2 2 2" xfId="16837"/>
    <cellStyle name="Normal 15 2 2 3 2 2 2 2" xfId="30244"/>
    <cellStyle name="Normal 15 2 2 3 2 2 3" xfId="31357"/>
    <cellStyle name="Normal 15 2 2 3 2 3" xfId="11519"/>
    <cellStyle name="Normal 15 2 2 3 2 3 2" xfId="25351"/>
    <cellStyle name="Normal 15 2 2 3 2 4" xfId="31356"/>
    <cellStyle name="Normal 15 2 2 3 3" xfId="7038"/>
    <cellStyle name="Normal 15 2 2 3 3 2" xfId="12225"/>
    <cellStyle name="Normal 15 2 2 3 3 2 2" xfId="25937"/>
    <cellStyle name="Normal 15 2 2 3 3 3" xfId="31358"/>
    <cellStyle name="Normal 15 2 2 3 4" xfId="7039"/>
    <cellStyle name="Normal 15 2 2 3 4 2" xfId="13789"/>
    <cellStyle name="Normal 15 2 2 3 4 2 2" xfId="27338"/>
    <cellStyle name="Normal 15 2 2 3 4 3" xfId="31359"/>
    <cellStyle name="Normal 15 2 2 3 5" xfId="7040"/>
    <cellStyle name="Normal 15 2 2 3 5 2" xfId="14370"/>
    <cellStyle name="Normal 15 2 2 3 5 2 2" xfId="27919"/>
    <cellStyle name="Normal 15 2 2 3 5 3" xfId="31360"/>
    <cellStyle name="Normal 15 2 2 3 6" xfId="7041"/>
    <cellStyle name="Normal 15 2 2 3 6 2" xfId="16256"/>
    <cellStyle name="Normal 15 2 2 3 6 2 2" xfId="29663"/>
    <cellStyle name="Normal 15 2 2 3 6 3" xfId="31361"/>
    <cellStyle name="Normal 15 2 2 3 7" xfId="10142"/>
    <cellStyle name="Normal 15 2 2 3 7 2" xfId="24368"/>
    <cellStyle name="Normal 15 2 2 3 8" xfId="31355"/>
    <cellStyle name="Normal 15 2 2 4" xfId="7042"/>
    <cellStyle name="Normal 15 2 2 4 2" xfId="7043"/>
    <cellStyle name="Normal 15 2 2 4 2 2" xfId="17184"/>
    <cellStyle name="Normal 15 2 2 4 2 2 2" xfId="30543"/>
    <cellStyle name="Normal 15 2 2 4 2 3" xfId="31363"/>
    <cellStyle name="Normal 15 2 2 4 3" xfId="11516"/>
    <cellStyle name="Normal 15 2 2 4 3 2" xfId="25348"/>
    <cellStyle name="Normal 15 2 2 4 4" xfId="31362"/>
    <cellStyle name="Normal 15 2 2 5" xfId="7044"/>
    <cellStyle name="Normal 15 2 2 5 2" xfId="7045"/>
    <cellStyle name="Normal 15 2 2 5 2 2" xfId="17273"/>
    <cellStyle name="Normal 15 2 2 5 2 2 2" xfId="30632"/>
    <cellStyle name="Normal 15 2 2 5 2 3" xfId="31365"/>
    <cellStyle name="Normal 15 2 2 5 3" xfId="11923"/>
    <cellStyle name="Normal 15 2 2 5 3 2" xfId="25638"/>
    <cellStyle name="Normal 15 2 2 5 4" xfId="31364"/>
    <cellStyle name="Normal 15 2 2 6" xfId="7046"/>
    <cellStyle name="Normal 15 2 2 6 2" xfId="7047"/>
    <cellStyle name="Normal 15 2 2 6 2 2" xfId="16548"/>
    <cellStyle name="Normal 15 2 2 6 2 2 2" xfId="29955"/>
    <cellStyle name="Normal 15 2 2 6 2 3" xfId="31367"/>
    <cellStyle name="Normal 15 2 2 6 3" xfId="13500"/>
    <cellStyle name="Normal 15 2 2 6 3 2" xfId="27049"/>
    <cellStyle name="Normal 15 2 2 6 4" xfId="31366"/>
    <cellStyle name="Normal 15 2 2 7" xfId="7048"/>
    <cellStyle name="Normal 15 2 2 7 2" xfId="14081"/>
    <cellStyle name="Normal 15 2 2 7 2 2" xfId="27630"/>
    <cellStyle name="Normal 15 2 2 7 3" xfId="31368"/>
    <cellStyle name="Normal 15 2 2 8" xfId="7049"/>
    <cellStyle name="Normal 15 2 2 8 2" xfId="15967"/>
    <cellStyle name="Normal 15 2 2 8 2 2" xfId="29374"/>
    <cellStyle name="Normal 15 2 2 8 3" xfId="31369"/>
    <cellStyle name="Normal 15 2 2 9" xfId="10139"/>
    <cellStyle name="Normal 15 2 2 9 2" xfId="24365"/>
    <cellStyle name="Normal 15 2 3" xfId="7050"/>
    <cellStyle name="Normal 15 2 3 2" xfId="7051"/>
    <cellStyle name="Normal 15 2 3 2 2" xfId="7052"/>
    <cellStyle name="Normal 15 2 3 2 2 2" xfId="7053"/>
    <cellStyle name="Normal 15 2 3 2 2 2 2" xfId="16934"/>
    <cellStyle name="Normal 15 2 3 2 2 2 2 2" xfId="30341"/>
    <cellStyle name="Normal 15 2 3 2 2 2 3" xfId="31373"/>
    <cellStyle name="Normal 15 2 3 2 2 3" xfId="11521"/>
    <cellStyle name="Normal 15 2 3 2 2 3 2" xfId="25353"/>
    <cellStyle name="Normal 15 2 3 2 2 4" xfId="31372"/>
    <cellStyle name="Normal 15 2 3 2 3" xfId="7054"/>
    <cellStyle name="Normal 15 2 3 2 3 2" xfId="12322"/>
    <cellStyle name="Normal 15 2 3 2 3 2 2" xfId="26034"/>
    <cellStyle name="Normal 15 2 3 2 3 3" xfId="31374"/>
    <cellStyle name="Normal 15 2 3 2 4" xfId="7055"/>
    <cellStyle name="Normal 15 2 3 2 4 2" xfId="13886"/>
    <cellStyle name="Normal 15 2 3 2 4 2 2" xfId="27435"/>
    <cellStyle name="Normal 15 2 3 2 4 3" xfId="31375"/>
    <cellStyle name="Normal 15 2 3 2 5" xfId="7056"/>
    <cellStyle name="Normal 15 2 3 2 5 2" xfId="14467"/>
    <cellStyle name="Normal 15 2 3 2 5 2 2" xfId="28016"/>
    <cellStyle name="Normal 15 2 3 2 5 3" xfId="31376"/>
    <cellStyle name="Normal 15 2 3 2 6" xfId="7057"/>
    <cellStyle name="Normal 15 2 3 2 6 2" xfId="16353"/>
    <cellStyle name="Normal 15 2 3 2 6 2 2" xfId="29760"/>
    <cellStyle name="Normal 15 2 3 2 6 3" xfId="31377"/>
    <cellStyle name="Normal 15 2 3 2 7" xfId="10144"/>
    <cellStyle name="Normal 15 2 3 2 7 2" xfId="24370"/>
    <cellStyle name="Normal 15 2 3 2 8" xfId="31371"/>
    <cellStyle name="Normal 15 2 3 3" xfId="7058"/>
    <cellStyle name="Normal 15 2 3 3 2" xfId="7059"/>
    <cellStyle name="Normal 15 2 3 3 2 2" xfId="16645"/>
    <cellStyle name="Normal 15 2 3 3 2 2 2" xfId="30052"/>
    <cellStyle name="Normal 15 2 3 3 2 3" xfId="31379"/>
    <cellStyle name="Normal 15 2 3 3 3" xfId="11520"/>
    <cellStyle name="Normal 15 2 3 3 3 2" xfId="25352"/>
    <cellStyle name="Normal 15 2 3 3 4" xfId="31378"/>
    <cellStyle name="Normal 15 2 3 4" xfId="7060"/>
    <cellStyle name="Normal 15 2 3 4 2" xfId="12022"/>
    <cellStyle name="Normal 15 2 3 4 2 2" xfId="25737"/>
    <cellStyle name="Normal 15 2 3 4 3" xfId="31380"/>
    <cellStyle name="Normal 15 2 3 5" xfId="7061"/>
    <cellStyle name="Normal 15 2 3 5 2" xfId="13597"/>
    <cellStyle name="Normal 15 2 3 5 2 2" xfId="27146"/>
    <cellStyle name="Normal 15 2 3 5 3" xfId="31381"/>
    <cellStyle name="Normal 15 2 3 6" xfId="7062"/>
    <cellStyle name="Normal 15 2 3 6 2" xfId="14178"/>
    <cellStyle name="Normal 15 2 3 6 2 2" xfId="27727"/>
    <cellStyle name="Normal 15 2 3 6 3" xfId="31382"/>
    <cellStyle name="Normal 15 2 3 7" xfId="7063"/>
    <cellStyle name="Normal 15 2 3 7 2" xfId="16064"/>
    <cellStyle name="Normal 15 2 3 7 2 2" xfId="29471"/>
    <cellStyle name="Normal 15 2 3 7 3" xfId="31383"/>
    <cellStyle name="Normal 15 2 3 8" xfId="10143"/>
    <cellStyle name="Normal 15 2 3 8 2" xfId="24369"/>
    <cellStyle name="Normal 15 2 3 9" xfId="31370"/>
    <cellStyle name="Normal 15 2 4" xfId="7064"/>
    <cellStyle name="Normal 15 2 4 2" xfId="7065"/>
    <cellStyle name="Normal 15 2 4 2 2" xfId="7066"/>
    <cellStyle name="Normal 15 2 4 2 2 2" xfId="16791"/>
    <cellStyle name="Normal 15 2 4 2 2 2 2" xfId="30198"/>
    <cellStyle name="Normal 15 2 4 2 2 3" xfId="31386"/>
    <cellStyle name="Normal 15 2 4 2 3" xfId="11522"/>
    <cellStyle name="Normal 15 2 4 2 3 2" xfId="25354"/>
    <cellStyle name="Normal 15 2 4 2 4" xfId="31385"/>
    <cellStyle name="Normal 15 2 4 3" xfId="7067"/>
    <cellStyle name="Normal 15 2 4 3 2" xfId="12179"/>
    <cellStyle name="Normal 15 2 4 3 2 2" xfId="25891"/>
    <cellStyle name="Normal 15 2 4 3 3" xfId="31387"/>
    <cellStyle name="Normal 15 2 4 4" xfId="7068"/>
    <cellStyle name="Normal 15 2 4 4 2" xfId="13743"/>
    <cellStyle name="Normal 15 2 4 4 2 2" xfId="27292"/>
    <cellStyle name="Normal 15 2 4 4 3" xfId="31388"/>
    <cellStyle name="Normal 15 2 4 5" xfId="7069"/>
    <cellStyle name="Normal 15 2 4 5 2" xfId="14324"/>
    <cellStyle name="Normal 15 2 4 5 2 2" xfId="27873"/>
    <cellStyle name="Normal 15 2 4 5 3" xfId="31389"/>
    <cellStyle name="Normal 15 2 4 6" xfId="7070"/>
    <cellStyle name="Normal 15 2 4 6 2" xfId="16210"/>
    <cellStyle name="Normal 15 2 4 6 2 2" xfId="29617"/>
    <cellStyle name="Normal 15 2 4 6 3" xfId="31390"/>
    <cellStyle name="Normal 15 2 4 7" xfId="10145"/>
    <cellStyle name="Normal 15 2 4 7 2" xfId="24371"/>
    <cellStyle name="Normal 15 2 4 8" xfId="31384"/>
    <cellStyle name="Normal 15 2 5" xfId="7071"/>
    <cellStyle name="Normal 15 2 5 2" xfId="7072"/>
    <cellStyle name="Normal 15 2 5 2 2" xfId="17039"/>
    <cellStyle name="Normal 15 2 5 3" xfId="11515"/>
    <cellStyle name="Normal 15 2 5 3 2" xfId="25347"/>
    <cellStyle name="Normal 15 2 6" xfId="7073"/>
    <cellStyle name="Normal 15 2 6 2" xfId="7074"/>
    <cellStyle name="Normal 15 2 6 2 2" xfId="17138"/>
    <cellStyle name="Normal 15 2 6 2 2 2" xfId="30497"/>
    <cellStyle name="Normal 15 2 6 2 3" xfId="31392"/>
    <cellStyle name="Normal 15 2 6 3" xfId="11867"/>
    <cellStyle name="Normal 15 2 6 3 2" xfId="25582"/>
    <cellStyle name="Normal 15 2 6 4" xfId="31391"/>
    <cellStyle name="Normal 15 2 7" xfId="7075"/>
    <cellStyle name="Normal 15 2 7 2" xfId="7076"/>
    <cellStyle name="Normal 15 2 7 2 2" xfId="17227"/>
    <cellStyle name="Normal 15 2 7 2 2 2" xfId="30586"/>
    <cellStyle name="Normal 15 2 7 2 3" xfId="31394"/>
    <cellStyle name="Normal 15 2 7 3" xfId="13454"/>
    <cellStyle name="Normal 15 2 7 3 2" xfId="27003"/>
    <cellStyle name="Normal 15 2 7 4" xfId="31393"/>
    <cellStyle name="Normal 15 2 8" xfId="7077"/>
    <cellStyle name="Normal 15 2 8 2" xfId="7078"/>
    <cellStyle name="Normal 15 2 8 2 2" xfId="16502"/>
    <cellStyle name="Normal 15 2 8 2 2 2" xfId="29909"/>
    <cellStyle name="Normal 15 2 8 2 3" xfId="31396"/>
    <cellStyle name="Normal 15 2 8 3" xfId="14035"/>
    <cellStyle name="Normal 15 2 8 3 2" xfId="27584"/>
    <cellStyle name="Normal 15 2 8 4" xfId="31395"/>
    <cellStyle name="Normal 15 2 9" xfId="7079"/>
    <cellStyle name="Normal 15 2 9 2" xfId="15921"/>
    <cellStyle name="Normal 15 2 9 2 2" xfId="29328"/>
    <cellStyle name="Normal 15 2 9 3" xfId="31397"/>
    <cellStyle name="Normal 15 3" xfId="7080"/>
    <cellStyle name="Normal 15 3 2" xfId="7081"/>
    <cellStyle name="Normal 15 3 2 2" xfId="10147"/>
    <cellStyle name="Normal 15 3 3" xfId="10146"/>
    <cellStyle name="Normal 15 4" xfId="7082"/>
    <cellStyle name="Normal 15 4 10" xfId="31398"/>
    <cellStyle name="Normal 15 4 2" xfId="7083"/>
    <cellStyle name="Normal 15 4 2 2" xfId="7084"/>
    <cellStyle name="Normal 15 4 2 2 2" xfId="7085"/>
    <cellStyle name="Normal 15 4 2 2 2 2" xfId="7086"/>
    <cellStyle name="Normal 15 4 2 2 2 2 2" xfId="16957"/>
    <cellStyle name="Normal 15 4 2 2 2 2 2 2" xfId="30364"/>
    <cellStyle name="Normal 15 4 2 2 2 2 3" xfId="31402"/>
    <cellStyle name="Normal 15 4 2 2 2 3" xfId="11525"/>
    <cellStyle name="Normal 15 4 2 2 2 3 2" xfId="25357"/>
    <cellStyle name="Normal 15 4 2 2 2 4" xfId="31401"/>
    <cellStyle name="Normal 15 4 2 2 3" xfId="7087"/>
    <cellStyle name="Normal 15 4 2 2 3 2" xfId="12345"/>
    <cellStyle name="Normal 15 4 2 2 3 2 2" xfId="26057"/>
    <cellStyle name="Normal 15 4 2 2 3 3" xfId="31403"/>
    <cellStyle name="Normal 15 4 2 2 4" xfId="7088"/>
    <cellStyle name="Normal 15 4 2 2 4 2" xfId="13909"/>
    <cellStyle name="Normal 15 4 2 2 4 2 2" xfId="27458"/>
    <cellStyle name="Normal 15 4 2 2 4 3" xfId="31404"/>
    <cellStyle name="Normal 15 4 2 2 5" xfId="7089"/>
    <cellStyle name="Normal 15 4 2 2 5 2" xfId="14490"/>
    <cellStyle name="Normal 15 4 2 2 5 2 2" xfId="28039"/>
    <cellStyle name="Normal 15 4 2 2 5 3" xfId="31405"/>
    <cellStyle name="Normal 15 4 2 2 6" xfId="7090"/>
    <cellStyle name="Normal 15 4 2 2 6 2" xfId="16376"/>
    <cellStyle name="Normal 15 4 2 2 6 2 2" xfId="29783"/>
    <cellStyle name="Normal 15 4 2 2 6 3" xfId="31406"/>
    <cellStyle name="Normal 15 4 2 2 7" xfId="10150"/>
    <cellStyle name="Normal 15 4 2 2 7 2" xfId="24374"/>
    <cellStyle name="Normal 15 4 2 2 8" xfId="31400"/>
    <cellStyle name="Normal 15 4 2 3" xfId="7091"/>
    <cellStyle name="Normal 15 4 2 3 2" xfId="7092"/>
    <cellStyle name="Normal 15 4 2 3 2 2" xfId="16668"/>
    <cellStyle name="Normal 15 4 2 3 2 2 2" xfId="30075"/>
    <cellStyle name="Normal 15 4 2 3 2 3" xfId="31408"/>
    <cellStyle name="Normal 15 4 2 3 3" xfId="11524"/>
    <cellStyle name="Normal 15 4 2 3 3 2" xfId="25356"/>
    <cellStyle name="Normal 15 4 2 3 4" xfId="31407"/>
    <cellStyle name="Normal 15 4 2 4" xfId="7093"/>
    <cellStyle name="Normal 15 4 2 4 2" xfId="12045"/>
    <cellStyle name="Normal 15 4 2 4 2 2" xfId="25760"/>
    <cellStyle name="Normal 15 4 2 4 3" xfId="31409"/>
    <cellStyle name="Normal 15 4 2 5" xfId="7094"/>
    <cellStyle name="Normal 15 4 2 5 2" xfId="13620"/>
    <cellStyle name="Normal 15 4 2 5 2 2" xfId="27169"/>
    <cellStyle name="Normal 15 4 2 5 3" xfId="31410"/>
    <cellStyle name="Normal 15 4 2 6" xfId="7095"/>
    <cellStyle name="Normal 15 4 2 6 2" xfId="14201"/>
    <cellStyle name="Normal 15 4 2 6 2 2" xfId="27750"/>
    <cellStyle name="Normal 15 4 2 6 3" xfId="31411"/>
    <cellStyle name="Normal 15 4 2 7" xfId="7096"/>
    <cellStyle name="Normal 15 4 2 7 2" xfId="16087"/>
    <cellStyle name="Normal 15 4 2 7 2 2" xfId="29494"/>
    <cellStyle name="Normal 15 4 2 7 3" xfId="31412"/>
    <cellStyle name="Normal 15 4 2 8" xfId="10149"/>
    <cellStyle name="Normal 15 4 2 8 2" xfId="24373"/>
    <cellStyle name="Normal 15 4 2 9" xfId="31399"/>
    <cellStyle name="Normal 15 4 3" xfId="7097"/>
    <cellStyle name="Normal 15 4 3 2" xfId="7098"/>
    <cellStyle name="Normal 15 4 3 2 2" xfId="7099"/>
    <cellStyle name="Normal 15 4 3 2 2 2" xfId="16814"/>
    <cellStyle name="Normal 15 4 3 2 2 2 2" xfId="30221"/>
    <cellStyle name="Normal 15 4 3 2 2 3" xfId="31415"/>
    <cellStyle name="Normal 15 4 3 2 3" xfId="11526"/>
    <cellStyle name="Normal 15 4 3 2 3 2" xfId="25358"/>
    <cellStyle name="Normal 15 4 3 2 4" xfId="31414"/>
    <cellStyle name="Normal 15 4 3 3" xfId="7100"/>
    <cellStyle name="Normal 15 4 3 3 2" xfId="12202"/>
    <cellStyle name="Normal 15 4 3 3 2 2" xfId="25914"/>
    <cellStyle name="Normal 15 4 3 3 3" xfId="31416"/>
    <cellStyle name="Normal 15 4 3 4" xfId="7101"/>
    <cellStyle name="Normal 15 4 3 4 2" xfId="13766"/>
    <cellStyle name="Normal 15 4 3 4 2 2" xfId="27315"/>
    <cellStyle name="Normal 15 4 3 4 3" xfId="31417"/>
    <cellStyle name="Normal 15 4 3 5" xfId="7102"/>
    <cellStyle name="Normal 15 4 3 5 2" xfId="14347"/>
    <cellStyle name="Normal 15 4 3 5 2 2" xfId="27896"/>
    <cellStyle name="Normal 15 4 3 5 3" xfId="31418"/>
    <cellStyle name="Normal 15 4 3 6" xfId="7103"/>
    <cellStyle name="Normal 15 4 3 6 2" xfId="16233"/>
    <cellStyle name="Normal 15 4 3 6 2 2" xfId="29640"/>
    <cellStyle name="Normal 15 4 3 6 3" xfId="31419"/>
    <cellStyle name="Normal 15 4 3 7" xfId="10151"/>
    <cellStyle name="Normal 15 4 3 7 2" xfId="24375"/>
    <cellStyle name="Normal 15 4 3 8" xfId="31413"/>
    <cellStyle name="Normal 15 4 4" xfId="7104"/>
    <cellStyle name="Normal 15 4 4 2" xfId="7105"/>
    <cellStyle name="Normal 15 4 4 2 2" xfId="17161"/>
    <cellStyle name="Normal 15 4 4 2 2 2" xfId="30520"/>
    <cellStyle name="Normal 15 4 4 2 3" xfId="31421"/>
    <cellStyle name="Normal 15 4 4 3" xfId="11523"/>
    <cellStyle name="Normal 15 4 4 3 2" xfId="25355"/>
    <cellStyle name="Normal 15 4 4 4" xfId="31420"/>
    <cellStyle name="Normal 15 4 5" xfId="7106"/>
    <cellStyle name="Normal 15 4 5 2" xfId="7107"/>
    <cellStyle name="Normal 15 4 5 2 2" xfId="17250"/>
    <cellStyle name="Normal 15 4 5 2 2 2" xfId="30609"/>
    <cellStyle name="Normal 15 4 5 2 3" xfId="31423"/>
    <cellStyle name="Normal 15 4 5 3" xfId="11900"/>
    <cellStyle name="Normal 15 4 5 3 2" xfId="25615"/>
    <cellStyle name="Normal 15 4 5 4" xfId="31422"/>
    <cellStyle name="Normal 15 4 6" xfId="7108"/>
    <cellStyle name="Normal 15 4 6 2" xfId="7109"/>
    <cellStyle name="Normal 15 4 6 2 2" xfId="16525"/>
    <cellStyle name="Normal 15 4 6 2 2 2" xfId="29932"/>
    <cellStyle name="Normal 15 4 6 2 3" xfId="31425"/>
    <cellStyle name="Normal 15 4 6 3" xfId="13477"/>
    <cellStyle name="Normal 15 4 6 3 2" xfId="27026"/>
    <cellStyle name="Normal 15 4 6 4" xfId="31424"/>
    <cellStyle name="Normal 15 4 7" xfId="7110"/>
    <cellStyle name="Normal 15 4 7 2" xfId="14058"/>
    <cellStyle name="Normal 15 4 7 2 2" xfId="27607"/>
    <cellStyle name="Normal 15 4 7 3" xfId="31426"/>
    <cellStyle name="Normal 15 4 8" xfId="7111"/>
    <cellStyle name="Normal 15 4 8 2" xfId="15944"/>
    <cellStyle name="Normal 15 4 8 2 2" xfId="29351"/>
    <cellStyle name="Normal 15 4 8 3" xfId="31427"/>
    <cellStyle name="Normal 15 4 9" xfId="10148"/>
    <cellStyle name="Normal 15 4 9 2" xfId="24372"/>
    <cellStyle name="Normal 15 5" xfId="7112"/>
    <cellStyle name="Normal 15 5 10" xfId="31428"/>
    <cellStyle name="Normal 15 5 2" xfId="7113"/>
    <cellStyle name="Normal 15 5 2 2" xfId="7114"/>
    <cellStyle name="Normal 15 5 2 2 2" xfId="7115"/>
    <cellStyle name="Normal 15 5 2 2 2 2" xfId="7116"/>
    <cellStyle name="Normal 15 5 2 2 2 2 2" xfId="17000"/>
    <cellStyle name="Normal 15 5 2 2 2 2 2 2" xfId="30407"/>
    <cellStyle name="Normal 15 5 2 2 2 2 3" xfId="31432"/>
    <cellStyle name="Normal 15 5 2 2 2 3" xfId="11529"/>
    <cellStyle name="Normal 15 5 2 2 2 3 2" xfId="25361"/>
    <cellStyle name="Normal 15 5 2 2 2 4" xfId="31431"/>
    <cellStyle name="Normal 15 5 2 2 3" xfId="7117"/>
    <cellStyle name="Normal 15 5 2 2 3 2" xfId="12388"/>
    <cellStyle name="Normal 15 5 2 2 3 2 2" xfId="26100"/>
    <cellStyle name="Normal 15 5 2 2 3 3" xfId="31433"/>
    <cellStyle name="Normal 15 5 2 2 4" xfId="7118"/>
    <cellStyle name="Normal 15 5 2 2 4 2" xfId="13952"/>
    <cellStyle name="Normal 15 5 2 2 4 2 2" xfId="27501"/>
    <cellStyle name="Normal 15 5 2 2 4 3" xfId="31434"/>
    <cellStyle name="Normal 15 5 2 2 5" xfId="7119"/>
    <cellStyle name="Normal 15 5 2 2 5 2" xfId="14533"/>
    <cellStyle name="Normal 15 5 2 2 5 2 2" xfId="28082"/>
    <cellStyle name="Normal 15 5 2 2 5 3" xfId="31435"/>
    <cellStyle name="Normal 15 5 2 2 6" xfId="7120"/>
    <cellStyle name="Normal 15 5 2 2 6 2" xfId="16419"/>
    <cellStyle name="Normal 15 5 2 2 6 2 2" xfId="29826"/>
    <cellStyle name="Normal 15 5 2 2 6 3" xfId="31436"/>
    <cellStyle name="Normal 15 5 2 2 7" xfId="10154"/>
    <cellStyle name="Normal 15 5 2 2 7 2" xfId="24378"/>
    <cellStyle name="Normal 15 5 2 2 8" xfId="31430"/>
    <cellStyle name="Normal 15 5 2 3" xfId="7121"/>
    <cellStyle name="Normal 15 5 2 3 2" xfId="7122"/>
    <cellStyle name="Normal 15 5 2 3 2 2" xfId="16711"/>
    <cellStyle name="Normal 15 5 2 3 2 2 2" xfId="30118"/>
    <cellStyle name="Normal 15 5 2 3 2 3" xfId="31438"/>
    <cellStyle name="Normal 15 5 2 3 3" xfId="11528"/>
    <cellStyle name="Normal 15 5 2 3 3 2" xfId="25360"/>
    <cellStyle name="Normal 15 5 2 3 4" xfId="31437"/>
    <cellStyle name="Normal 15 5 2 4" xfId="7123"/>
    <cellStyle name="Normal 15 5 2 4 2" xfId="12088"/>
    <cellStyle name="Normal 15 5 2 4 2 2" xfId="25803"/>
    <cellStyle name="Normal 15 5 2 4 3" xfId="31439"/>
    <cellStyle name="Normal 15 5 2 5" xfId="7124"/>
    <cellStyle name="Normal 15 5 2 5 2" xfId="13663"/>
    <cellStyle name="Normal 15 5 2 5 2 2" xfId="27212"/>
    <cellStyle name="Normal 15 5 2 5 3" xfId="31440"/>
    <cellStyle name="Normal 15 5 2 6" xfId="7125"/>
    <cellStyle name="Normal 15 5 2 6 2" xfId="14244"/>
    <cellStyle name="Normal 15 5 2 6 2 2" xfId="27793"/>
    <cellStyle name="Normal 15 5 2 6 3" xfId="31441"/>
    <cellStyle name="Normal 15 5 2 7" xfId="7126"/>
    <cellStyle name="Normal 15 5 2 7 2" xfId="16130"/>
    <cellStyle name="Normal 15 5 2 7 2 2" xfId="29537"/>
    <cellStyle name="Normal 15 5 2 7 3" xfId="31442"/>
    <cellStyle name="Normal 15 5 2 8" xfId="10153"/>
    <cellStyle name="Normal 15 5 2 8 2" xfId="24377"/>
    <cellStyle name="Normal 15 5 2 9" xfId="31429"/>
    <cellStyle name="Normal 15 5 3" xfId="7127"/>
    <cellStyle name="Normal 15 5 3 2" xfId="7128"/>
    <cellStyle name="Normal 15 5 3 2 2" xfId="7129"/>
    <cellStyle name="Normal 15 5 3 2 2 2" xfId="16857"/>
    <cellStyle name="Normal 15 5 3 2 2 2 2" xfId="30264"/>
    <cellStyle name="Normal 15 5 3 2 2 3" xfId="31445"/>
    <cellStyle name="Normal 15 5 3 2 3" xfId="11530"/>
    <cellStyle name="Normal 15 5 3 2 3 2" xfId="25362"/>
    <cellStyle name="Normal 15 5 3 2 4" xfId="31444"/>
    <cellStyle name="Normal 15 5 3 3" xfId="7130"/>
    <cellStyle name="Normal 15 5 3 3 2" xfId="12245"/>
    <cellStyle name="Normal 15 5 3 3 2 2" xfId="25957"/>
    <cellStyle name="Normal 15 5 3 3 3" xfId="31446"/>
    <cellStyle name="Normal 15 5 3 4" xfId="7131"/>
    <cellStyle name="Normal 15 5 3 4 2" xfId="13809"/>
    <cellStyle name="Normal 15 5 3 4 2 2" xfId="27358"/>
    <cellStyle name="Normal 15 5 3 4 3" xfId="31447"/>
    <cellStyle name="Normal 15 5 3 5" xfId="7132"/>
    <cellStyle name="Normal 15 5 3 5 2" xfId="14390"/>
    <cellStyle name="Normal 15 5 3 5 2 2" xfId="27939"/>
    <cellStyle name="Normal 15 5 3 5 3" xfId="31448"/>
    <cellStyle name="Normal 15 5 3 6" xfId="7133"/>
    <cellStyle name="Normal 15 5 3 6 2" xfId="16276"/>
    <cellStyle name="Normal 15 5 3 6 2 2" xfId="29683"/>
    <cellStyle name="Normal 15 5 3 6 3" xfId="31449"/>
    <cellStyle name="Normal 15 5 3 7" xfId="10155"/>
    <cellStyle name="Normal 15 5 3 7 2" xfId="24379"/>
    <cellStyle name="Normal 15 5 3 8" xfId="31443"/>
    <cellStyle name="Normal 15 5 4" xfId="7134"/>
    <cellStyle name="Normal 15 5 4 2" xfId="7135"/>
    <cellStyle name="Normal 15 5 4 2 2" xfId="16568"/>
    <cellStyle name="Normal 15 5 4 2 2 2" xfId="29975"/>
    <cellStyle name="Normal 15 5 4 2 3" xfId="31451"/>
    <cellStyle name="Normal 15 5 4 3" xfId="11527"/>
    <cellStyle name="Normal 15 5 4 3 2" xfId="25359"/>
    <cellStyle name="Normal 15 5 4 4" xfId="31450"/>
    <cellStyle name="Normal 15 5 5" xfId="7136"/>
    <cellStyle name="Normal 15 5 5 2" xfId="11943"/>
    <cellStyle name="Normal 15 5 5 2 2" xfId="25658"/>
    <cellStyle name="Normal 15 5 5 3" xfId="31452"/>
    <cellStyle name="Normal 15 5 6" xfId="7137"/>
    <cellStyle name="Normal 15 5 6 2" xfId="13520"/>
    <cellStyle name="Normal 15 5 6 2 2" xfId="27069"/>
    <cellStyle name="Normal 15 5 6 3" xfId="31453"/>
    <cellStyle name="Normal 15 5 7" xfId="7138"/>
    <cellStyle name="Normal 15 5 7 2" xfId="14101"/>
    <cellStyle name="Normal 15 5 7 2 2" xfId="27650"/>
    <cellStyle name="Normal 15 5 7 3" xfId="31454"/>
    <cellStyle name="Normal 15 5 8" xfId="7139"/>
    <cellStyle name="Normal 15 5 8 2" xfId="15987"/>
    <cellStyle name="Normal 15 5 8 2 2" xfId="29394"/>
    <cellStyle name="Normal 15 5 8 3" xfId="31455"/>
    <cellStyle name="Normal 15 5 9" xfId="10152"/>
    <cellStyle name="Normal 15 5 9 2" xfId="24376"/>
    <cellStyle name="Normal 15 6" xfId="7140"/>
    <cellStyle name="Normal 15 6 2" xfId="7141"/>
    <cellStyle name="Normal 15 6 2 2" xfId="7142"/>
    <cellStyle name="Normal 15 6 2 2 2" xfId="7143"/>
    <cellStyle name="Normal 15 6 2 2 2 2" xfId="16911"/>
    <cellStyle name="Normal 15 6 2 2 2 2 2" xfId="30318"/>
    <cellStyle name="Normal 15 6 2 2 2 3" xfId="31459"/>
    <cellStyle name="Normal 15 6 2 2 3" xfId="11532"/>
    <cellStyle name="Normal 15 6 2 2 3 2" xfId="25364"/>
    <cellStyle name="Normal 15 6 2 2 4" xfId="31458"/>
    <cellStyle name="Normal 15 6 2 3" xfId="7144"/>
    <cellStyle name="Normal 15 6 2 3 2" xfId="12299"/>
    <cellStyle name="Normal 15 6 2 3 2 2" xfId="26011"/>
    <cellStyle name="Normal 15 6 2 3 3" xfId="31460"/>
    <cellStyle name="Normal 15 6 2 4" xfId="7145"/>
    <cellStyle name="Normal 15 6 2 4 2" xfId="13863"/>
    <cellStyle name="Normal 15 6 2 4 2 2" xfId="27412"/>
    <cellStyle name="Normal 15 6 2 4 3" xfId="31461"/>
    <cellStyle name="Normal 15 6 2 5" xfId="7146"/>
    <cellStyle name="Normal 15 6 2 5 2" xfId="14444"/>
    <cellStyle name="Normal 15 6 2 5 2 2" xfId="27993"/>
    <cellStyle name="Normal 15 6 2 5 3" xfId="31462"/>
    <cellStyle name="Normal 15 6 2 6" xfId="7147"/>
    <cellStyle name="Normal 15 6 2 6 2" xfId="16330"/>
    <cellStyle name="Normal 15 6 2 6 2 2" xfId="29737"/>
    <cellStyle name="Normal 15 6 2 6 3" xfId="31463"/>
    <cellStyle name="Normal 15 6 2 7" xfId="10157"/>
    <cellStyle name="Normal 15 6 2 7 2" xfId="24381"/>
    <cellStyle name="Normal 15 6 2 8" xfId="31457"/>
    <cellStyle name="Normal 15 6 3" xfId="7148"/>
    <cellStyle name="Normal 15 6 3 2" xfId="7149"/>
    <cellStyle name="Normal 15 6 3 2 2" xfId="16622"/>
    <cellStyle name="Normal 15 6 3 2 2 2" xfId="30029"/>
    <cellStyle name="Normal 15 6 3 2 3" xfId="31465"/>
    <cellStyle name="Normal 15 6 3 3" xfId="11531"/>
    <cellStyle name="Normal 15 6 3 3 2" xfId="25363"/>
    <cellStyle name="Normal 15 6 3 4" xfId="31464"/>
    <cellStyle name="Normal 15 6 4" xfId="7150"/>
    <cellStyle name="Normal 15 6 4 2" xfId="11999"/>
    <cellStyle name="Normal 15 6 4 2 2" xfId="25714"/>
    <cellStyle name="Normal 15 6 4 3" xfId="31466"/>
    <cellStyle name="Normal 15 6 5" xfId="7151"/>
    <cellStyle name="Normal 15 6 5 2" xfId="13574"/>
    <cellStyle name="Normal 15 6 5 2 2" xfId="27123"/>
    <cellStyle name="Normal 15 6 5 3" xfId="31467"/>
    <cellStyle name="Normal 15 6 6" xfId="7152"/>
    <cellStyle name="Normal 15 6 6 2" xfId="14155"/>
    <cellStyle name="Normal 15 6 6 2 2" xfId="27704"/>
    <cellStyle name="Normal 15 6 6 3" xfId="31468"/>
    <cellStyle name="Normal 15 6 7" xfId="7153"/>
    <cellStyle name="Normal 15 6 7 2" xfId="16041"/>
    <cellStyle name="Normal 15 6 7 2 2" xfId="29448"/>
    <cellStyle name="Normal 15 6 7 3" xfId="31469"/>
    <cellStyle name="Normal 15 6 8" xfId="10156"/>
    <cellStyle name="Normal 15 6 8 2" xfId="24380"/>
    <cellStyle name="Normal 15 6 9" xfId="31456"/>
    <cellStyle name="Normal 15 7" xfId="7154"/>
    <cellStyle name="Normal 15 7 2" xfId="7155"/>
    <cellStyle name="Normal 15 7 2 2" xfId="7156"/>
    <cellStyle name="Normal 15 7 2 2 2" xfId="16734"/>
    <cellStyle name="Normal 15 7 2 2 2 2" xfId="30141"/>
    <cellStyle name="Normal 15 7 2 2 3" xfId="31472"/>
    <cellStyle name="Normal 15 7 2 3" xfId="11533"/>
    <cellStyle name="Normal 15 7 2 3 2" xfId="25365"/>
    <cellStyle name="Normal 15 7 2 4" xfId="31471"/>
    <cellStyle name="Normal 15 7 3" xfId="7157"/>
    <cellStyle name="Normal 15 7 3 2" xfId="12122"/>
    <cellStyle name="Normal 15 7 3 2 2" xfId="25834"/>
    <cellStyle name="Normal 15 7 3 3" xfId="31473"/>
    <cellStyle name="Normal 15 7 4" xfId="7158"/>
    <cellStyle name="Normal 15 7 4 2" xfId="13686"/>
    <cellStyle name="Normal 15 7 4 2 2" xfId="27235"/>
    <cellStyle name="Normal 15 7 4 3" xfId="31474"/>
    <cellStyle name="Normal 15 7 5" xfId="7159"/>
    <cellStyle name="Normal 15 7 5 2" xfId="14267"/>
    <cellStyle name="Normal 15 7 5 2 2" xfId="27816"/>
    <cellStyle name="Normal 15 7 5 3" xfId="31475"/>
    <cellStyle name="Normal 15 7 6" xfId="7160"/>
    <cellStyle name="Normal 15 7 6 2" xfId="16153"/>
    <cellStyle name="Normal 15 7 6 2 2" xfId="29560"/>
    <cellStyle name="Normal 15 7 6 3" xfId="31476"/>
    <cellStyle name="Normal 15 7 7" xfId="10158"/>
    <cellStyle name="Normal 15 7 7 2" xfId="24382"/>
    <cellStyle name="Normal 15 7 8" xfId="31470"/>
    <cellStyle name="Normal 15 8" xfId="7161"/>
    <cellStyle name="Normal 15 8 2" xfId="7162"/>
    <cellStyle name="Normal 15 8 2 2" xfId="11534"/>
    <cellStyle name="Normal 15 8 2 2 2" xfId="25366"/>
    <cellStyle name="Normal 15 8 2 3" xfId="31478"/>
    <cellStyle name="Normal 15 8 3" xfId="7163"/>
    <cellStyle name="Normal 15 8 3 2" xfId="13244"/>
    <cellStyle name="Normal 15 8 3 2 2" xfId="26888"/>
    <cellStyle name="Normal 15 8 3 3" xfId="31479"/>
    <cellStyle name="Normal 15 8 4" xfId="7164"/>
    <cellStyle name="Normal 15 8 4 2" xfId="15694"/>
    <cellStyle name="Normal 15 8 4 2 2" xfId="29180"/>
    <cellStyle name="Normal 15 8 4 3" xfId="31480"/>
    <cellStyle name="Normal 15 8 5" xfId="7165"/>
    <cellStyle name="Normal 15 8 5 2" xfId="17115"/>
    <cellStyle name="Normal 15 8 5 2 2" xfId="30474"/>
    <cellStyle name="Normal 15 8 5 3" xfId="31481"/>
    <cellStyle name="Normal 15 8 6" xfId="10159"/>
    <cellStyle name="Normal 15 8 6 2" xfId="24383"/>
    <cellStyle name="Normal 15 8 7" xfId="31477"/>
    <cellStyle name="Normal 15 9" xfId="7166"/>
    <cellStyle name="Normal 15 9 2" xfId="7167"/>
    <cellStyle name="Normal 15 9 2 2" xfId="13245"/>
    <cellStyle name="Normal 15 9 2 3" xfId="31483"/>
    <cellStyle name="Normal 15 9 3" xfId="7168"/>
    <cellStyle name="Normal 15 9 3 2" xfId="17204"/>
    <cellStyle name="Normal 15 9 3 2 2" xfId="30563"/>
    <cellStyle name="Normal 15 9 3 3" xfId="31484"/>
    <cellStyle name="Normal 15 9 4" xfId="11830"/>
    <cellStyle name="Normal 15 9 4 2" xfId="25545"/>
    <cellStyle name="Normal 15 9 5" xfId="31482"/>
    <cellStyle name="Normal 16" xfId="7169"/>
    <cellStyle name="Normal 16 10" xfId="10160"/>
    <cellStyle name="Normal 16 10 2" xfId="24384"/>
    <cellStyle name="Normal 16 11" xfId="31485"/>
    <cellStyle name="Normal 16 2" xfId="7170"/>
    <cellStyle name="Normal 16 2 10" xfId="31486"/>
    <cellStyle name="Normal 16 2 2" xfId="7171"/>
    <cellStyle name="Normal 16 2 2 2" xfId="7172"/>
    <cellStyle name="Normal 16 2 2 2 2" xfId="7173"/>
    <cellStyle name="Normal 16 2 2 2 2 2" xfId="7174"/>
    <cellStyle name="Normal 16 2 2 2 2 2 2" xfId="16958"/>
    <cellStyle name="Normal 16 2 2 2 2 2 2 2" xfId="30365"/>
    <cellStyle name="Normal 16 2 2 2 2 2 3" xfId="31490"/>
    <cellStyle name="Normal 16 2 2 2 2 3" xfId="11538"/>
    <cellStyle name="Normal 16 2 2 2 2 3 2" xfId="25370"/>
    <cellStyle name="Normal 16 2 2 2 2 4" xfId="31489"/>
    <cellStyle name="Normal 16 2 2 2 3" xfId="7175"/>
    <cellStyle name="Normal 16 2 2 2 3 2" xfId="12346"/>
    <cellStyle name="Normal 16 2 2 2 3 2 2" xfId="26058"/>
    <cellStyle name="Normal 16 2 2 2 3 3" xfId="31491"/>
    <cellStyle name="Normal 16 2 2 2 4" xfId="7176"/>
    <cellStyle name="Normal 16 2 2 2 4 2" xfId="13910"/>
    <cellStyle name="Normal 16 2 2 2 4 2 2" xfId="27459"/>
    <cellStyle name="Normal 16 2 2 2 4 3" xfId="31492"/>
    <cellStyle name="Normal 16 2 2 2 5" xfId="7177"/>
    <cellStyle name="Normal 16 2 2 2 5 2" xfId="14491"/>
    <cellStyle name="Normal 16 2 2 2 5 2 2" xfId="28040"/>
    <cellStyle name="Normal 16 2 2 2 5 3" xfId="31493"/>
    <cellStyle name="Normal 16 2 2 2 6" xfId="7178"/>
    <cellStyle name="Normal 16 2 2 2 6 2" xfId="16377"/>
    <cellStyle name="Normal 16 2 2 2 6 2 2" xfId="29784"/>
    <cellStyle name="Normal 16 2 2 2 6 3" xfId="31494"/>
    <cellStyle name="Normal 16 2 2 2 7" xfId="10163"/>
    <cellStyle name="Normal 16 2 2 2 7 2" xfId="24387"/>
    <cellStyle name="Normal 16 2 2 2 8" xfId="31488"/>
    <cellStyle name="Normal 16 2 2 3" xfId="7179"/>
    <cellStyle name="Normal 16 2 2 3 2" xfId="7180"/>
    <cellStyle name="Normal 16 2 2 3 2 2" xfId="16669"/>
    <cellStyle name="Normal 16 2 2 3 2 2 2" xfId="30076"/>
    <cellStyle name="Normal 16 2 2 3 2 3" xfId="31496"/>
    <cellStyle name="Normal 16 2 2 3 3" xfId="11537"/>
    <cellStyle name="Normal 16 2 2 3 3 2" xfId="25369"/>
    <cellStyle name="Normal 16 2 2 3 4" xfId="31495"/>
    <cellStyle name="Normal 16 2 2 4" xfId="7181"/>
    <cellStyle name="Normal 16 2 2 4 2" xfId="12046"/>
    <cellStyle name="Normal 16 2 2 4 2 2" xfId="25761"/>
    <cellStyle name="Normal 16 2 2 4 3" xfId="31497"/>
    <cellStyle name="Normal 16 2 2 5" xfId="7182"/>
    <cellStyle name="Normal 16 2 2 5 2" xfId="13621"/>
    <cellStyle name="Normal 16 2 2 5 2 2" xfId="27170"/>
    <cellStyle name="Normal 16 2 2 5 3" xfId="31498"/>
    <cellStyle name="Normal 16 2 2 6" xfId="7183"/>
    <cellStyle name="Normal 16 2 2 6 2" xfId="14202"/>
    <cellStyle name="Normal 16 2 2 6 2 2" xfId="27751"/>
    <cellStyle name="Normal 16 2 2 6 3" xfId="31499"/>
    <cellStyle name="Normal 16 2 2 7" xfId="7184"/>
    <cellStyle name="Normal 16 2 2 7 2" xfId="16088"/>
    <cellStyle name="Normal 16 2 2 7 2 2" xfId="29495"/>
    <cellStyle name="Normal 16 2 2 7 3" xfId="31500"/>
    <cellStyle name="Normal 16 2 2 8" xfId="10162"/>
    <cellStyle name="Normal 16 2 2 8 2" xfId="24386"/>
    <cellStyle name="Normal 16 2 2 9" xfId="31487"/>
    <cellStyle name="Normal 16 2 3" xfId="7185"/>
    <cellStyle name="Normal 16 2 3 2" xfId="7186"/>
    <cellStyle name="Normal 16 2 3 2 2" xfId="7187"/>
    <cellStyle name="Normal 16 2 3 2 2 2" xfId="16815"/>
    <cellStyle name="Normal 16 2 3 2 2 2 2" xfId="30222"/>
    <cellStyle name="Normal 16 2 3 2 2 3" xfId="31503"/>
    <cellStyle name="Normal 16 2 3 2 3" xfId="11539"/>
    <cellStyle name="Normal 16 2 3 2 3 2" xfId="25371"/>
    <cellStyle name="Normal 16 2 3 2 4" xfId="31502"/>
    <cellStyle name="Normal 16 2 3 3" xfId="7188"/>
    <cellStyle name="Normal 16 2 3 3 2" xfId="12203"/>
    <cellStyle name="Normal 16 2 3 3 2 2" xfId="25915"/>
    <cellStyle name="Normal 16 2 3 3 3" xfId="31504"/>
    <cellStyle name="Normal 16 2 3 4" xfId="7189"/>
    <cellStyle name="Normal 16 2 3 4 2" xfId="13767"/>
    <cellStyle name="Normal 16 2 3 4 2 2" xfId="27316"/>
    <cellStyle name="Normal 16 2 3 4 3" xfId="31505"/>
    <cellStyle name="Normal 16 2 3 5" xfId="7190"/>
    <cellStyle name="Normal 16 2 3 5 2" xfId="14348"/>
    <cellStyle name="Normal 16 2 3 5 2 2" xfId="27897"/>
    <cellStyle name="Normal 16 2 3 5 3" xfId="31506"/>
    <cellStyle name="Normal 16 2 3 6" xfId="7191"/>
    <cellStyle name="Normal 16 2 3 6 2" xfId="16234"/>
    <cellStyle name="Normal 16 2 3 6 2 2" xfId="29641"/>
    <cellStyle name="Normal 16 2 3 6 3" xfId="31507"/>
    <cellStyle name="Normal 16 2 3 7" xfId="10164"/>
    <cellStyle name="Normal 16 2 3 7 2" xfId="24388"/>
    <cellStyle name="Normal 16 2 3 8" xfId="31501"/>
    <cellStyle name="Normal 16 2 4" xfId="7192"/>
    <cellStyle name="Normal 16 2 4 2" xfId="7193"/>
    <cellStyle name="Normal 16 2 4 2 2" xfId="17162"/>
    <cellStyle name="Normal 16 2 4 2 2 2" xfId="30521"/>
    <cellStyle name="Normal 16 2 4 2 3" xfId="31509"/>
    <cellStyle name="Normal 16 2 4 3" xfId="11536"/>
    <cellStyle name="Normal 16 2 4 3 2" xfId="25368"/>
    <cellStyle name="Normal 16 2 4 4" xfId="31508"/>
    <cellStyle name="Normal 16 2 5" xfId="7194"/>
    <cellStyle name="Normal 16 2 5 2" xfId="7195"/>
    <cellStyle name="Normal 16 2 5 2 2" xfId="17251"/>
    <cellStyle name="Normal 16 2 5 2 2 2" xfId="30610"/>
    <cellStyle name="Normal 16 2 5 2 3" xfId="31511"/>
    <cellStyle name="Normal 16 2 5 3" xfId="11901"/>
    <cellStyle name="Normal 16 2 5 3 2" xfId="25616"/>
    <cellStyle name="Normal 16 2 5 4" xfId="31510"/>
    <cellStyle name="Normal 16 2 6" xfId="7196"/>
    <cellStyle name="Normal 16 2 6 2" xfId="7197"/>
    <cellStyle name="Normal 16 2 6 2 2" xfId="16526"/>
    <cellStyle name="Normal 16 2 6 2 2 2" xfId="29933"/>
    <cellStyle name="Normal 16 2 6 2 3" xfId="31513"/>
    <cellStyle name="Normal 16 2 6 3" xfId="13478"/>
    <cellStyle name="Normal 16 2 6 3 2" xfId="27027"/>
    <cellStyle name="Normal 16 2 6 4" xfId="31512"/>
    <cellStyle name="Normal 16 2 7" xfId="7198"/>
    <cellStyle name="Normal 16 2 7 2" xfId="14059"/>
    <cellStyle name="Normal 16 2 7 2 2" xfId="27608"/>
    <cellStyle name="Normal 16 2 7 3" xfId="31514"/>
    <cellStyle name="Normal 16 2 8" xfId="7199"/>
    <cellStyle name="Normal 16 2 8 2" xfId="15945"/>
    <cellStyle name="Normal 16 2 8 2 2" xfId="29352"/>
    <cellStyle name="Normal 16 2 8 3" xfId="31515"/>
    <cellStyle name="Normal 16 2 9" xfId="10161"/>
    <cellStyle name="Normal 16 2 9 2" xfId="24385"/>
    <cellStyle name="Normal 16 3" xfId="7200"/>
    <cellStyle name="Normal 16 3 2" xfId="7201"/>
    <cellStyle name="Normal 16 3 2 2" xfId="7202"/>
    <cellStyle name="Normal 16 3 2 2 2" xfId="7203"/>
    <cellStyle name="Normal 16 3 2 2 2 2" xfId="16912"/>
    <cellStyle name="Normal 16 3 2 2 2 2 2" xfId="30319"/>
    <cellStyle name="Normal 16 3 2 2 2 3" xfId="31519"/>
    <cellStyle name="Normal 16 3 2 2 3" xfId="11541"/>
    <cellStyle name="Normal 16 3 2 2 3 2" xfId="25373"/>
    <cellStyle name="Normal 16 3 2 2 4" xfId="31518"/>
    <cellStyle name="Normal 16 3 2 3" xfId="7204"/>
    <cellStyle name="Normal 16 3 2 3 2" xfId="12300"/>
    <cellStyle name="Normal 16 3 2 3 2 2" xfId="26012"/>
    <cellStyle name="Normal 16 3 2 3 3" xfId="31520"/>
    <cellStyle name="Normal 16 3 2 4" xfId="7205"/>
    <cellStyle name="Normal 16 3 2 4 2" xfId="13864"/>
    <cellStyle name="Normal 16 3 2 4 2 2" xfId="27413"/>
    <cellStyle name="Normal 16 3 2 4 3" xfId="31521"/>
    <cellStyle name="Normal 16 3 2 5" xfId="7206"/>
    <cellStyle name="Normal 16 3 2 5 2" xfId="14445"/>
    <cellStyle name="Normal 16 3 2 5 2 2" xfId="27994"/>
    <cellStyle name="Normal 16 3 2 5 3" xfId="31522"/>
    <cellStyle name="Normal 16 3 2 6" xfId="7207"/>
    <cellStyle name="Normal 16 3 2 6 2" xfId="16331"/>
    <cellStyle name="Normal 16 3 2 6 2 2" xfId="29738"/>
    <cellStyle name="Normal 16 3 2 6 3" xfId="31523"/>
    <cellStyle name="Normal 16 3 2 7" xfId="10166"/>
    <cellStyle name="Normal 16 3 2 7 2" xfId="24390"/>
    <cellStyle name="Normal 16 3 2 8" xfId="31517"/>
    <cellStyle name="Normal 16 3 3" xfId="7208"/>
    <cellStyle name="Normal 16 3 3 2" xfId="7209"/>
    <cellStyle name="Normal 16 3 3 2 2" xfId="16623"/>
    <cellStyle name="Normal 16 3 3 2 2 2" xfId="30030"/>
    <cellStyle name="Normal 16 3 3 2 3" xfId="31525"/>
    <cellStyle name="Normal 16 3 3 3" xfId="11540"/>
    <cellStyle name="Normal 16 3 3 3 2" xfId="25372"/>
    <cellStyle name="Normal 16 3 3 4" xfId="31524"/>
    <cellStyle name="Normal 16 3 4" xfId="7210"/>
    <cellStyle name="Normal 16 3 4 2" xfId="12000"/>
    <cellStyle name="Normal 16 3 4 2 2" xfId="25715"/>
    <cellStyle name="Normal 16 3 4 3" xfId="31526"/>
    <cellStyle name="Normal 16 3 5" xfId="7211"/>
    <cellStyle name="Normal 16 3 5 2" xfId="13575"/>
    <cellStyle name="Normal 16 3 5 2 2" xfId="27124"/>
    <cellStyle name="Normal 16 3 5 3" xfId="31527"/>
    <cellStyle name="Normal 16 3 6" xfId="7212"/>
    <cellStyle name="Normal 16 3 6 2" xfId="14156"/>
    <cellStyle name="Normal 16 3 6 2 2" xfId="27705"/>
    <cellStyle name="Normal 16 3 6 3" xfId="31528"/>
    <cellStyle name="Normal 16 3 7" xfId="7213"/>
    <cellStyle name="Normal 16 3 7 2" xfId="16042"/>
    <cellStyle name="Normal 16 3 7 2 2" xfId="29449"/>
    <cellStyle name="Normal 16 3 7 3" xfId="31529"/>
    <cellStyle name="Normal 16 3 8" xfId="10165"/>
    <cellStyle name="Normal 16 3 8 2" xfId="24389"/>
    <cellStyle name="Normal 16 3 9" xfId="31516"/>
    <cellStyle name="Normal 16 4" xfId="7214"/>
    <cellStyle name="Normal 16 4 2" xfId="7215"/>
    <cellStyle name="Normal 16 4 2 2" xfId="7216"/>
    <cellStyle name="Normal 16 4 2 2 2" xfId="16769"/>
    <cellStyle name="Normal 16 4 2 2 2 2" xfId="30176"/>
    <cellStyle name="Normal 16 4 2 2 3" xfId="31532"/>
    <cellStyle name="Normal 16 4 2 3" xfId="11542"/>
    <cellStyle name="Normal 16 4 2 3 2" xfId="25374"/>
    <cellStyle name="Normal 16 4 2 4" xfId="31531"/>
    <cellStyle name="Normal 16 4 3" xfId="7217"/>
    <cellStyle name="Normal 16 4 3 2" xfId="12157"/>
    <cellStyle name="Normal 16 4 3 2 2" xfId="25869"/>
    <cellStyle name="Normal 16 4 3 3" xfId="31533"/>
    <cellStyle name="Normal 16 4 4" xfId="7218"/>
    <cellStyle name="Normal 16 4 4 2" xfId="13721"/>
    <cellStyle name="Normal 16 4 4 2 2" xfId="27270"/>
    <cellStyle name="Normal 16 4 4 3" xfId="31534"/>
    <cellStyle name="Normal 16 4 5" xfId="7219"/>
    <cellStyle name="Normal 16 4 5 2" xfId="14302"/>
    <cellStyle name="Normal 16 4 5 2 2" xfId="27851"/>
    <cellStyle name="Normal 16 4 5 3" xfId="31535"/>
    <cellStyle name="Normal 16 4 6" xfId="7220"/>
    <cellStyle name="Normal 16 4 6 2" xfId="16188"/>
    <cellStyle name="Normal 16 4 6 2 2" xfId="29595"/>
    <cellStyle name="Normal 16 4 6 3" xfId="31536"/>
    <cellStyle name="Normal 16 4 7" xfId="10167"/>
    <cellStyle name="Normal 16 4 7 2" xfId="24391"/>
    <cellStyle name="Normal 16 4 8" xfId="31530"/>
    <cellStyle name="Normal 16 5" xfId="7221"/>
    <cellStyle name="Normal 16 5 2" xfId="7222"/>
    <cellStyle name="Normal 16 5 2 2" xfId="17116"/>
    <cellStyle name="Normal 16 5 2 2 2" xfId="30475"/>
    <cellStyle name="Normal 16 5 2 3" xfId="31538"/>
    <cellStyle name="Normal 16 5 3" xfId="11535"/>
    <cellStyle name="Normal 16 5 3 2" xfId="25367"/>
    <cellStyle name="Normal 16 5 4" xfId="31537"/>
    <cellStyle name="Normal 16 6" xfId="7223"/>
    <cellStyle name="Normal 16 6 2" xfId="7224"/>
    <cellStyle name="Normal 16 6 2 2" xfId="17205"/>
    <cellStyle name="Normal 16 6 2 2 2" xfId="30564"/>
    <cellStyle name="Normal 16 6 2 3" xfId="31540"/>
    <cellStyle name="Normal 16 6 3" xfId="11831"/>
    <cellStyle name="Normal 16 6 3 2" xfId="25546"/>
    <cellStyle name="Normal 16 6 4" xfId="31539"/>
    <cellStyle name="Normal 16 7" xfId="7225"/>
    <cellStyle name="Normal 16 7 2" xfId="7226"/>
    <cellStyle name="Normal 16 7 2 2" xfId="16480"/>
    <cellStyle name="Normal 16 7 2 2 2" xfId="29887"/>
    <cellStyle name="Normal 16 7 2 3" xfId="31542"/>
    <cellStyle name="Normal 16 7 3" xfId="13432"/>
    <cellStyle name="Normal 16 7 3 2" xfId="26981"/>
    <cellStyle name="Normal 16 7 4" xfId="31541"/>
    <cellStyle name="Normal 16 8" xfId="7227"/>
    <cellStyle name="Normal 16 8 2" xfId="14013"/>
    <cellStyle name="Normal 16 8 2 2" xfId="27562"/>
    <cellStyle name="Normal 16 8 3" xfId="31543"/>
    <cellStyle name="Normal 16 9" xfId="7228"/>
    <cellStyle name="Normal 16 9 2" xfId="15899"/>
    <cellStyle name="Normal 16 9 2 2" xfId="29306"/>
    <cellStyle name="Normal 16 9 3" xfId="31544"/>
    <cellStyle name="Normal 17" xfId="7229"/>
    <cellStyle name="Normal 17 2" xfId="7230"/>
    <cellStyle name="Normal 17 2 2" xfId="10169"/>
    <cellStyle name="Normal 17 3" xfId="10168"/>
    <cellStyle name="Normal 17 4" xfId="33102"/>
    <cellStyle name="Normal 18" xfId="7231"/>
    <cellStyle name="Normal 18 2" xfId="7232"/>
    <cellStyle name="Normal 18 2 2" xfId="10171"/>
    <cellStyle name="Normal 18 3" xfId="10170"/>
    <cellStyle name="Normal 19" xfId="7233"/>
    <cellStyle name="Normal 19 10" xfId="31545"/>
    <cellStyle name="Normal 19 2" xfId="7234"/>
    <cellStyle name="Normal 19 2 2" xfId="7235"/>
    <cellStyle name="Normal 19 2 2 2" xfId="7236"/>
    <cellStyle name="Normal 19 2 2 2 2" xfId="7237"/>
    <cellStyle name="Normal 19 2 2 2 2 2" xfId="16935"/>
    <cellStyle name="Normal 19 2 2 2 2 2 2" xfId="30342"/>
    <cellStyle name="Normal 19 2 2 2 2 3" xfId="31549"/>
    <cellStyle name="Normal 19 2 2 2 3" xfId="11545"/>
    <cellStyle name="Normal 19 2 2 2 3 2" xfId="25377"/>
    <cellStyle name="Normal 19 2 2 2 4" xfId="31548"/>
    <cellStyle name="Normal 19 2 2 3" xfId="7238"/>
    <cellStyle name="Normal 19 2 2 3 2" xfId="12323"/>
    <cellStyle name="Normal 19 2 2 3 2 2" xfId="26035"/>
    <cellStyle name="Normal 19 2 2 3 3" xfId="31550"/>
    <cellStyle name="Normal 19 2 2 4" xfId="7239"/>
    <cellStyle name="Normal 19 2 2 4 2" xfId="13887"/>
    <cellStyle name="Normal 19 2 2 4 2 2" xfId="27436"/>
    <cellStyle name="Normal 19 2 2 4 3" xfId="31551"/>
    <cellStyle name="Normal 19 2 2 5" xfId="7240"/>
    <cellStyle name="Normal 19 2 2 5 2" xfId="14468"/>
    <cellStyle name="Normal 19 2 2 5 2 2" xfId="28017"/>
    <cellStyle name="Normal 19 2 2 5 3" xfId="31552"/>
    <cellStyle name="Normal 19 2 2 6" xfId="7241"/>
    <cellStyle name="Normal 19 2 2 6 2" xfId="16354"/>
    <cellStyle name="Normal 19 2 2 6 2 2" xfId="29761"/>
    <cellStyle name="Normal 19 2 2 6 3" xfId="31553"/>
    <cellStyle name="Normal 19 2 2 7" xfId="10174"/>
    <cellStyle name="Normal 19 2 2 7 2" xfId="24394"/>
    <cellStyle name="Normal 19 2 2 8" xfId="31547"/>
    <cellStyle name="Normal 19 2 3" xfId="7242"/>
    <cellStyle name="Normal 19 2 3 2" xfId="7243"/>
    <cellStyle name="Normal 19 2 3 2 2" xfId="16646"/>
    <cellStyle name="Normal 19 2 3 2 2 2" xfId="30053"/>
    <cellStyle name="Normal 19 2 3 2 3" xfId="31555"/>
    <cellStyle name="Normal 19 2 3 3" xfId="11544"/>
    <cellStyle name="Normal 19 2 3 3 2" xfId="25376"/>
    <cellStyle name="Normal 19 2 3 4" xfId="31554"/>
    <cellStyle name="Normal 19 2 4" xfId="7244"/>
    <cellStyle name="Normal 19 2 4 2" xfId="12023"/>
    <cellStyle name="Normal 19 2 4 2 2" xfId="25738"/>
    <cellStyle name="Normal 19 2 4 3" xfId="31556"/>
    <cellStyle name="Normal 19 2 5" xfId="7245"/>
    <cellStyle name="Normal 19 2 5 2" xfId="13598"/>
    <cellStyle name="Normal 19 2 5 2 2" xfId="27147"/>
    <cellStyle name="Normal 19 2 5 3" xfId="31557"/>
    <cellStyle name="Normal 19 2 6" xfId="7246"/>
    <cellStyle name="Normal 19 2 6 2" xfId="14179"/>
    <cellStyle name="Normal 19 2 6 2 2" xfId="27728"/>
    <cellStyle name="Normal 19 2 6 3" xfId="31558"/>
    <cellStyle name="Normal 19 2 7" xfId="7247"/>
    <cellStyle name="Normal 19 2 7 2" xfId="16065"/>
    <cellStyle name="Normal 19 2 7 2 2" xfId="29472"/>
    <cellStyle name="Normal 19 2 7 3" xfId="31559"/>
    <cellStyle name="Normal 19 2 8" xfId="10173"/>
    <cellStyle name="Normal 19 2 8 2" xfId="24393"/>
    <cellStyle name="Normal 19 2 9" xfId="31546"/>
    <cellStyle name="Normal 19 3" xfId="7248"/>
    <cellStyle name="Normal 19 3 2" xfId="7249"/>
    <cellStyle name="Normal 19 3 2 2" xfId="7250"/>
    <cellStyle name="Normal 19 3 2 2 2" xfId="16792"/>
    <cellStyle name="Normal 19 3 2 2 2 2" xfId="30199"/>
    <cellStyle name="Normal 19 3 2 2 3" xfId="31562"/>
    <cellStyle name="Normal 19 3 2 3" xfId="11546"/>
    <cellStyle name="Normal 19 3 2 3 2" xfId="25378"/>
    <cellStyle name="Normal 19 3 2 4" xfId="31561"/>
    <cellStyle name="Normal 19 3 3" xfId="7251"/>
    <cellStyle name="Normal 19 3 3 2" xfId="12180"/>
    <cellStyle name="Normal 19 3 3 2 2" xfId="25892"/>
    <cellStyle name="Normal 19 3 3 3" xfId="31563"/>
    <cellStyle name="Normal 19 3 4" xfId="7252"/>
    <cellStyle name="Normal 19 3 4 2" xfId="13744"/>
    <cellStyle name="Normal 19 3 4 2 2" xfId="27293"/>
    <cellStyle name="Normal 19 3 4 3" xfId="31564"/>
    <cellStyle name="Normal 19 3 5" xfId="7253"/>
    <cellStyle name="Normal 19 3 5 2" xfId="14325"/>
    <cellStyle name="Normal 19 3 5 2 2" xfId="27874"/>
    <cellStyle name="Normal 19 3 5 3" xfId="31565"/>
    <cellStyle name="Normal 19 3 6" xfId="7254"/>
    <cellStyle name="Normal 19 3 6 2" xfId="16211"/>
    <cellStyle name="Normal 19 3 6 2 2" xfId="29618"/>
    <cellStyle name="Normal 19 3 6 3" xfId="31566"/>
    <cellStyle name="Normal 19 3 7" xfId="10175"/>
    <cellStyle name="Normal 19 3 7 2" xfId="24395"/>
    <cellStyle name="Normal 19 3 8" xfId="31560"/>
    <cellStyle name="Normal 19 4" xfId="7255"/>
    <cellStyle name="Normal 19 4 2" xfId="7256"/>
    <cellStyle name="Normal 19 4 2 2" xfId="17139"/>
    <cellStyle name="Normal 19 4 2 2 2" xfId="30498"/>
    <cellStyle name="Normal 19 4 2 3" xfId="31568"/>
    <cellStyle name="Normal 19 4 3" xfId="11543"/>
    <cellStyle name="Normal 19 4 3 2" xfId="25375"/>
    <cellStyle name="Normal 19 4 4" xfId="31567"/>
    <cellStyle name="Normal 19 5" xfId="7257"/>
    <cellStyle name="Normal 19 5 2" xfId="7258"/>
    <cellStyle name="Normal 19 5 2 2" xfId="17228"/>
    <cellStyle name="Normal 19 5 2 2 2" xfId="30587"/>
    <cellStyle name="Normal 19 5 2 3" xfId="31570"/>
    <cellStyle name="Normal 19 5 3" xfId="11875"/>
    <cellStyle name="Normal 19 5 3 2" xfId="25590"/>
    <cellStyle name="Normal 19 5 4" xfId="31569"/>
    <cellStyle name="Normal 19 6" xfId="7259"/>
    <cellStyle name="Normal 19 6 2" xfId="7260"/>
    <cellStyle name="Normal 19 6 2 2" xfId="16503"/>
    <cellStyle name="Normal 19 6 2 2 2" xfId="29910"/>
    <cellStyle name="Normal 19 6 2 3" xfId="31572"/>
    <cellStyle name="Normal 19 6 3" xfId="13455"/>
    <cellStyle name="Normal 19 6 3 2" xfId="27004"/>
    <cellStyle name="Normal 19 6 4" xfId="31571"/>
    <cellStyle name="Normal 19 7" xfId="7261"/>
    <cellStyle name="Normal 19 7 2" xfId="14036"/>
    <cellStyle name="Normal 19 7 2 2" xfId="27585"/>
    <cellStyle name="Normal 19 7 3" xfId="31573"/>
    <cellStyle name="Normal 19 8" xfId="7262"/>
    <cellStyle name="Normal 19 8 2" xfId="15922"/>
    <cellStyle name="Normal 19 8 2 2" xfId="29329"/>
    <cellStyle name="Normal 19 8 3" xfId="31574"/>
    <cellStyle name="Normal 19 9" xfId="10172"/>
    <cellStyle name="Normal 19 9 2" xfId="24392"/>
    <cellStyle name="Normal 2" xfId="8"/>
    <cellStyle name="Normal 2 2" xfId="7263"/>
    <cellStyle name="Normal 2 2 2" xfId="7264"/>
    <cellStyle name="Normal 2 2 2 10" xfId="32939"/>
    <cellStyle name="Normal 2 2 2 11" xfId="32998"/>
    <cellStyle name="Normal 2 2 2 2" xfId="7265"/>
    <cellStyle name="Normal 2 2 2 2 2" xfId="11548"/>
    <cellStyle name="Normal 2 2 2 2 2 2" xfId="25379"/>
    <cellStyle name="Normal 2 2 2 2 3" xfId="31577"/>
    <cellStyle name="Normal 2 2 2 2 4" xfId="32947"/>
    <cellStyle name="Normal 2 2 2 2 5" xfId="33005"/>
    <cellStyle name="Normal 2 2 2 3" xfId="7266"/>
    <cellStyle name="Normal 2 2 2 3 2" xfId="13246"/>
    <cellStyle name="Normal 2 2 2 3 2 2" xfId="26889"/>
    <cellStyle name="Normal 2 2 2 3 3" xfId="31578"/>
    <cellStyle name="Normal 2 2 2 4" xfId="7267"/>
    <cellStyle name="Normal 2 2 2 4 2" xfId="15695"/>
    <cellStyle name="Normal 2 2 2 4 2 2" xfId="29181"/>
    <cellStyle name="Normal 2 2 2 4 3" xfId="31579"/>
    <cellStyle name="Normal 2 2 2 5" xfId="7268"/>
    <cellStyle name="Normal 2 2 2 5 2" xfId="15804"/>
    <cellStyle name="Normal 2 2 2 5 2 2" xfId="29211"/>
    <cellStyle name="Normal 2 2 2 5 3" xfId="31580"/>
    <cellStyle name="Normal 2 2 2 6" xfId="7269"/>
    <cellStyle name="Normal 2 2 2 6 2" xfId="17040"/>
    <cellStyle name="Normal 2 2 2 6 3" xfId="31581"/>
    <cellStyle name="Normal 2 2 2 7" xfId="8713"/>
    <cellStyle name="Normal 2 2 2 7 2" xfId="17325"/>
    <cellStyle name="Normal 2 2 2 7 2 2" xfId="30678"/>
    <cellStyle name="Normal 2 2 2 7 3" xfId="23232"/>
    <cellStyle name="Normal 2 2 2 8" xfId="8809"/>
    <cellStyle name="Normal 2 2 2 8 2" xfId="23287"/>
    <cellStyle name="Normal 2 2 2 9" xfId="31576"/>
    <cellStyle name="Normal 2 2 3" xfId="7270"/>
    <cellStyle name="Normal 2 2 3 2" xfId="7271"/>
    <cellStyle name="Normal 2 2 3 2 2" xfId="11692"/>
    <cellStyle name="Normal 2 2 3 2 3" xfId="31583"/>
    <cellStyle name="Normal 2 2 3 3" xfId="10177"/>
    <cellStyle name="Normal 2 2 3 4" xfId="31582"/>
    <cellStyle name="Normal 2 2 4" xfId="7272"/>
    <cellStyle name="Normal 2 2 4 2" xfId="11547"/>
    <cellStyle name="Normal 2 2 4 3" xfId="31584"/>
    <cellStyle name="Normal 2 2 5" xfId="8702"/>
    <cellStyle name="Normal 2 2 6" xfId="31575"/>
    <cellStyle name="Normal 2 3" xfId="7273"/>
    <cellStyle name="Normal 2 3 2" xfId="7274"/>
    <cellStyle name="Normal 2 3 2 2" xfId="10178"/>
    <cellStyle name="Normal 2 3 3" xfId="7275"/>
    <cellStyle name="Normal 2 3 3 2" xfId="7276"/>
    <cellStyle name="Normal 2 3 3 2 2" xfId="10180"/>
    <cellStyle name="Normal 2 3 3 3" xfId="7277"/>
    <cellStyle name="Normal 2 3 3 3 2" xfId="13247"/>
    <cellStyle name="Normal 2 3 3 4" xfId="10179"/>
    <cellStyle name="Normal 2 3 4" xfId="7278"/>
    <cellStyle name="Normal 2 3 4 2" xfId="7279"/>
    <cellStyle name="Normal 2 3 4 2 2" xfId="13248"/>
    <cellStyle name="Normal 2 3 4 3" xfId="10520"/>
    <cellStyle name="Normal 2 3 5" xfId="8710"/>
    <cellStyle name="Normal 2 3 6" xfId="33044"/>
    <cellStyle name="Normal 2 4" xfId="7280"/>
    <cellStyle name="Normal 2 4 2" xfId="7281"/>
    <cellStyle name="Normal 2 4 2 2" xfId="10181"/>
    <cellStyle name="Normal 2 4 2 3" xfId="31585"/>
    <cellStyle name="Normal 2 4 3" xfId="8676"/>
    <cellStyle name="Normal 2 4 4" xfId="33093"/>
    <cellStyle name="Normal 2 5" xfId="7282"/>
    <cellStyle name="Normal 2 5 2" xfId="7283"/>
    <cellStyle name="Normal 2 5 2 2" xfId="10183"/>
    <cellStyle name="Normal 2 5 3" xfId="7284"/>
    <cellStyle name="Normal 2 5 3 2" xfId="13249"/>
    <cellStyle name="Normal 2 5 4" xfId="7285"/>
    <cellStyle name="Normal 2 5 4 2" xfId="17344"/>
    <cellStyle name="Normal 2 5 5" xfId="8737"/>
    <cellStyle name="Normal 2 5 6" xfId="10182"/>
    <cellStyle name="Normal 2 6" xfId="7286"/>
    <cellStyle name="Normal 2 6 2" xfId="7287"/>
    <cellStyle name="Normal 2 6 2 2" xfId="17345"/>
    <cellStyle name="Normal 2 6 2 3" xfId="31587"/>
    <cellStyle name="Normal 2 6 3" xfId="8722"/>
    <cellStyle name="Normal 2 6 4" xfId="10184"/>
    <cellStyle name="Normal 2 6 5" xfId="31586"/>
    <cellStyle name="Normal 2 7" xfId="7288"/>
    <cellStyle name="Normal 2 7 2" xfId="7289"/>
    <cellStyle name="Normal 2 7 2 2" xfId="13250"/>
    <cellStyle name="Normal 2 7 3" xfId="10519"/>
    <cellStyle name="Normal 2 8" xfId="8652"/>
    <cellStyle name="Normal 2 8 2" xfId="10176"/>
    <cellStyle name="Normal 2 9" xfId="17300"/>
    <cellStyle name="Normal 20" xfId="7290"/>
    <cellStyle name="Normal 20 2" xfId="10185"/>
    <cellStyle name="Normal 21" xfId="7291"/>
    <cellStyle name="Normal 21 2" xfId="7292"/>
    <cellStyle name="Normal 21 2 2" xfId="13251"/>
    <cellStyle name="Normal 21 2 3" xfId="31589"/>
    <cellStyle name="Normal 21 3" xfId="10186"/>
    <cellStyle name="Normal 21 4" xfId="31588"/>
    <cellStyle name="Normal 22" xfId="7293"/>
    <cellStyle name="Normal 22 2" xfId="7294"/>
    <cellStyle name="Normal 22 2 2" xfId="10188"/>
    <cellStyle name="Normal 22 2 3" xfId="31591"/>
    <cellStyle name="Normal 22 3" xfId="7295"/>
    <cellStyle name="Normal 22 3 2" xfId="13253"/>
    <cellStyle name="Normal 22 3 3" xfId="31592"/>
    <cellStyle name="Normal 22 4" xfId="7296"/>
    <cellStyle name="Normal 22 4 2" xfId="13252"/>
    <cellStyle name="Normal 22 4 3" xfId="31593"/>
    <cellStyle name="Normal 22 5" xfId="10187"/>
    <cellStyle name="Normal 22 6" xfId="31590"/>
    <cellStyle name="Normal 23" xfId="7297"/>
    <cellStyle name="Normal 23 2" xfId="10189"/>
    <cellStyle name="Normal 23 3" xfId="31594"/>
    <cellStyle name="Normal 24" xfId="8651"/>
    <cellStyle name="Normal 24 2" xfId="17330"/>
    <cellStyle name="Normal 24 3" xfId="8819"/>
    <cellStyle name="Normal 24 4" xfId="23201"/>
    <cellStyle name="Normal 25" xfId="17299"/>
    <cellStyle name="Normal 25 2" xfId="30655"/>
    <cellStyle name="Normal 26" xfId="8788"/>
    <cellStyle name="Normal 26 2" xfId="23266"/>
    <cellStyle name="Normal 27" xfId="32910"/>
    <cellStyle name="Normal 28" xfId="52"/>
    <cellStyle name="Normal 29" xfId="33032"/>
    <cellStyle name="Normal 3" xfId="13"/>
    <cellStyle name="Normal 3 10" xfId="7299"/>
    <cellStyle name="Normal 3 10 2" xfId="7300"/>
    <cellStyle name="Normal 3 10 2 2" xfId="11728"/>
    <cellStyle name="Normal 3 10 2 2 2" xfId="25447"/>
    <cellStyle name="Normal 3 10 2 3" xfId="31596"/>
    <cellStyle name="Normal 3 10 2 4" xfId="32949"/>
    <cellStyle name="Normal 3 10 2 5" xfId="33007"/>
    <cellStyle name="Normal 3 10 3" xfId="7301"/>
    <cellStyle name="Normal 3 10 3 2" xfId="10190"/>
    <cellStyle name="Normal 3 10 3 3" xfId="31597"/>
    <cellStyle name="Normal 3 10 4" xfId="8680"/>
    <cellStyle name="Normal 3 10 4 2" xfId="17305"/>
    <cellStyle name="Normal 3 10 4 2 2" xfId="30658"/>
    <cellStyle name="Normal 3 10 4 3" xfId="23210"/>
    <cellStyle name="Normal 3 10 5" xfId="8789"/>
    <cellStyle name="Normal 3 10 5 2" xfId="23267"/>
    <cellStyle name="Normal 3 10 6" xfId="31595"/>
    <cellStyle name="Normal 3 10 7" xfId="32918"/>
    <cellStyle name="Normal 3 10 8" xfId="32978"/>
    <cellStyle name="Normal 3 11" xfId="7302"/>
    <cellStyle name="Normal 3 11 2" xfId="7303"/>
    <cellStyle name="Normal 3 11 2 2" xfId="13254"/>
    <cellStyle name="Normal 3 11 2 2 2" xfId="26890"/>
    <cellStyle name="Normal 3 11 2 3" xfId="31599"/>
    <cellStyle name="Normal 3 11 3" xfId="7304"/>
    <cellStyle name="Normal 3 11 3 2" xfId="15696"/>
    <cellStyle name="Normal 3 11 3 2 2" xfId="29182"/>
    <cellStyle name="Normal 3 11 3 3" xfId="31600"/>
    <cellStyle name="Normal 3 11 4" xfId="7305"/>
    <cellStyle name="Normal 3 11 4 2" xfId="17370"/>
    <cellStyle name="Normal 3 11 4 2 2" xfId="30687"/>
    <cellStyle name="Normal 3 11 4 3" xfId="31601"/>
    <cellStyle name="Normal 3 11 5" xfId="8724"/>
    <cellStyle name="Normal 3 11 6" xfId="11549"/>
    <cellStyle name="Normal 3 11 6 2" xfId="25380"/>
    <cellStyle name="Normal 3 11 7" xfId="31598"/>
    <cellStyle name="Normal 3 12" xfId="7306"/>
    <cellStyle name="Normal 3 12 2" xfId="7307"/>
    <cellStyle name="Normal 3 12 2 2" xfId="17372"/>
    <cellStyle name="Normal 3 12 2 2 2" xfId="30688"/>
    <cellStyle name="Normal 3 12 2 3" xfId="31603"/>
    <cellStyle name="Normal 3 12 3" xfId="8723"/>
    <cellStyle name="Normal 3 12 4" xfId="15805"/>
    <cellStyle name="Normal 3 12 4 2" xfId="29212"/>
    <cellStyle name="Normal 3 12 5" xfId="31602"/>
    <cellStyle name="Normal 3 13" xfId="8655"/>
    <cellStyle name="Normal 3 13 2" xfId="32948"/>
    <cellStyle name="Normal 3 13 3" xfId="33006"/>
    <cellStyle name="Normal 3 14" xfId="7298"/>
    <cellStyle name="Normal 3 2" xfId="7308"/>
    <cellStyle name="Normal 3 2 10" xfId="7309"/>
    <cellStyle name="Normal 3 2 10 2" xfId="13255"/>
    <cellStyle name="Normal 3 2 10 2 2" xfId="26891"/>
    <cellStyle name="Normal 3 2 10 3" xfId="31604"/>
    <cellStyle name="Normal 3 2 11" xfId="7310"/>
    <cellStyle name="Normal 3 2 11 2" xfId="15697"/>
    <cellStyle name="Normal 3 2 11 2 2" xfId="29183"/>
    <cellStyle name="Normal 3 2 11 3" xfId="31605"/>
    <cellStyle name="Normal 3 2 12" xfId="7311"/>
    <cellStyle name="Normal 3 2 12 2" xfId="15806"/>
    <cellStyle name="Normal 3 2 12 2 2" xfId="29213"/>
    <cellStyle name="Normal 3 2 12 3" xfId="31606"/>
    <cellStyle name="Normal 3 2 13" xfId="8683"/>
    <cellStyle name="Normal 3 2 13 2" xfId="17308"/>
    <cellStyle name="Normal 3 2 13 2 2" xfId="30661"/>
    <cellStyle name="Normal 3 2 13 3" xfId="23213"/>
    <cellStyle name="Normal 3 2 14" xfId="8792"/>
    <cellStyle name="Normal 3 2 14 2" xfId="23270"/>
    <cellStyle name="Normal 3 2 15" xfId="32921"/>
    <cellStyle name="Normal 3 2 16" xfId="32981"/>
    <cellStyle name="Normal 3 2 17" xfId="33039"/>
    <cellStyle name="Normal 3 2 2" xfId="7312"/>
    <cellStyle name="Normal 3 2 2 10" xfId="7313"/>
    <cellStyle name="Normal 3 2 2 10 2" xfId="16423"/>
    <cellStyle name="Normal 3 2 2 10 2 2" xfId="29830"/>
    <cellStyle name="Normal 3 2 2 10 3" xfId="31608"/>
    <cellStyle name="Normal 3 2 2 11" xfId="8687"/>
    <cellStyle name="Normal 3 2 2 11 2" xfId="17312"/>
    <cellStyle name="Normal 3 2 2 11 2 2" xfId="30665"/>
    <cellStyle name="Normal 3 2 2 11 3" xfId="23217"/>
    <cellStyle name="Normal 3 2 2 12" xfId="8796"/>
    <cellStyle name="Normal 3 2 2 12 2" xfId="23274"/>
    <cellStyle name="Normal 3 2 2 13" xfId="31607"/>
    <cellStyle name="Normal 3 2 2 14" xfId="32925"/>
    <cellStyle name="Normal 3 2 2 15" xfId="32985"/>
    <cellStyle name="Normal 3 2 2 2" xfId="7314"/>
    <cellStyle name="Normal 3 2 2 2 2" xfId="7315"/>
    <cellStyle name="Normal 3 2 2 2 2 2" xfId="11552"/>
    <cellStyle name="Normal 3 2 2 2 2 2 2" xfId="25383"/>
    <cellStyle name="Normal 3 2 2 2 2 3" xfId="31610"/>
    <cellStyle name="Normal 3 2 2 2 3" xfId="7316"/>
    <cellStyle name="Normal 3 2 2 2 3 2" xfId="13257"/>
    <cellStyle name="Normal 3 2 2 2 3 2 2" xfId="26893"/>
    <cellStyle name="Normal 3 2 2 2 3 3" xfId="31611"/>
    <cellStyle name="Normal 3 2 2 2 4" xfId="7317"/>
    <cellStyle name="Normal 3 2 2 2 4 2" xfId="15699"/>
    <cellStyle name="Normal 3 2 2 2 4 2 2" xfId="29185"/>
    <cellStyle name="Normal 3 2 2 2 4 3" xfId="31612"/>
    <cellStyle name="Normal 3 2 2 2 5" xfId="7318"/>
    <cellStyle name="Normal 3 2 2 2 5 2" xfId="17041"/>
    <cellStyle name="Normal 3 2 2 2 5 2 2" xfId="30442"/>
    <cellStyle name="Normal 3 2 2 2 5 3" xfId="31613"/>
    <cellStyle name="Normal 3 2 2 2 6" xfId="10191"/>
    <cellStyle name="Normal 3 2 2 2 6 2" xfId="24396"/>
    <cellStyle name="Normal 3 2 2 2 7" xfId="31609"/>
    <cellStyle name="Normal 3 2 2 2 8" xfId="32951"/>
    <cellStyle name="Normal 3 2 2 2 9" xfId="33009"/>
    <cellStyle name="Normal 3 2 2 3" xfId="7319"/>
    <cellStyle name="Normal 3 2 2 3 2" xfId="7320"/>
    <cellStyle name="Normal 3 2 2 3 2 2" xfId="17004"/>
    <cellStyle name="Normal 3 2 2 3 2 2 2" xfId="30411"/>
    <cellStyle name="Normal 3 2 2 3 2 3" xfId="31615"/>
    <cellStyle name="Normal 3 2 2 3 3" xfId="11551"/>
    <cellStyle name="Normal 3 2 2 3 3 2" xfId="25382"/>
    <cellStyle name="Normal 3 2 2 3 4" xfId="31614"/>
    <cellStyle name="Normal 3 2 2 4" xfId="7321"/>
    <cellStyle name="Normal 3 2 2 4 2" xfId="12393"/>
    <cellStyle name="Normal 3 2 2 4 2 2" xfId="26105"/>
    <cellStyle name="Normal 3 2 2 4 3" xfId="31616"/>
    <cellStyle name="Normal 3 2 2 5" xfId="7322"/>
    <cellStyle name="Normal 3 2 2 5 2" xfId="13256"/>
    <cellStyle name="Normal 3 2 2 5 2 2" xfId="26892"/>
    <cellStyle name="Normal 3 2 2 5 3" xfId="31617"/>
    <cellStyle name="Normal 3 2 2 6" xfId="7323"/>
    <cellStyle name="Normal 3 2 2 6 2" xfId="13956"/>
    <cellStyle name="Normal 3 2 2 6 2 2" xfId="27505"/>
    <cellStyle name="Normal 3 2 2 6 3" xfId="31618"/>
    <cellStyle name="Normal 3 2 2 7" xfId="7324"/>
    <cellStyle name="Normal 3 2 2 7 2" xfId="14537"/>
    <cellStyle name="Normal 3 2 2 7 2 2" xfId="28086"/>
    <cellStyle name="Normal 3 2 2 7 3" xfId="31619"/>
    <cellStyle name="Normal 3 2 2 8" xfId="7325"/>
    <cellStyle name="Normal 3 2 2 8 2" xfId="15698"/>
    <cellStyle name="Normal 3 2 2 8 2 2" xfId="29184"/>
    <cellStyle name="Normal 3 2 2 8 3" xfId="31620"/>
    <cellStyle name="Normal 3 2 2 9" xfId="7326"/>
    <cellStyle name="Normal 3 2 2 9 2" xfId="15807"/>
    <cellStyle name="Normal 3 2 2 9 2 2" xfId="29214"/>
    <cellStyle name="Normal 3 2 2 9 3" xfId="31621"/>
    <cellStyle name="Normal 3 2 3" xfId="7327"/>
    <cellStyle name="Normal 3 2 3 10" xfId="32989"/>
    <cellStyle name="Normal 3 2 3 2" xfId="7328"/>
    <cellStyle name="Normal 3 2 3 2 2" xfId="11553"/>
    <cellStyle name="Normal 3 2 3 2 2 2" xfId="25384"/>
    <cellStyle name="Normal 3 2 3 2 3" xfId="31623"/>
    <cellStyle name="Normal 3 2 3 2 4" xfId="32952"/>
    <cellStyle name="Normal 3 2 3 2 5" xfId="33010"/>
    <cellStyle name="Normal 3 2 3 3" xfId="7329"/>
    <cellStyle name="Normal 3 2 3 3 2" xfId="13258"/>
    <cellStyle name="Normal 3 2 3 3 2 2" xfId="26894"/>
    <cellStyle name="Normal 3 2 3 3 3" xfId="31624"/>
    <cellStyle name="Normal 3 2 3 4" xfId="7330"/>
    <cellStyle name="Normal 3 2 3 4 2" xfId="15700"/>
    <cellStyle name="Normal 3 2 3 4 2 2" xfId="29186"/>
    <cellStyle name="Normal 3 2 3 4 3" xfId="31625"/>
    <cellStyle name="Normal 3 2 3 5" xfId="7331"/>
    <cellStyle name="Normal 3 2 3 5 2" xfId="15808"/>
    <cellStyle name="Normal 3 2 3 5 2 2" xfId="29215"/>
    <cellStyle name="Normal 3 2 3 5 3" xfId="31626"/>
    <cellStyle name="Normal 3 2 3 6" xfId="8691"/>
    <cellStyle name="Normal 3 2 3 6 2" xfId="17316"/>
    <cellStyle name="Normal 3 2 3 6 2 2" xfId="30669"/>
    <cellStyle name="Normal 3 2 3 6 3" xfId="23221"/>
    <cellStyle name="Normal 3 2 3 7" xfId="8800"/>
    <cellStyle name="Normal 3 2 3 7 2" xfId="23278"/>
    <cellStyle name="Normal 3 2 3 8" xfId="31622"/>
    <cellStyle name="Normal 3 2 3 9" xfId="32929"/>
    <cellStyle name="Normal 3 2 4" xfId="7332"/>
    <cellStyle name="Normal 3 2 4 10" xfId="32997"/>
    <cellStyle name="Normal 3 2 4 2" xfId="7333"/>
    <cellStyle name="Normal 3 2 4 2 2" xfId="11554"/>
    <cellStyle name="Normal 3 2 4 2 2 2" xfId="25385"/>
    <cellStyle name="Normal 3 2 4 2 3" xfId="31628"/>
    <cellStyle name="Normal 3 2 4 2 4" xfId="32953"/>
    <cellStyle name="Normal 3 2 4 2 5" xfId="33011"/>
    <cellStyle name="Normal 3 2 4 3" xfId="7334"/>
    <cellStyle name="Normal 3 2 4 3 2" xfId="13259"/>
    <cellStyle name="Normal 3 2 4 3 2 2" xfId="26895"/>
    <cellStyle name="Normal 3 2 4 3 3" xfId="31629"/>
    <cellStyle name="Normal 3 2 4 4" xfId="7335"/>
    <cellStyle name="Normal 3 2 4 4 2" xfId="15701"/>
    <cellStyle name="Normal 3 2 4 4 2 2" xfId="29187"/>
    <cellStyle name="Normal 3 2 4 4 3" xfId="31630"/>
    <cellStyle name="Normal 3 2 4 5" xfId="7336"/>
    <cellStyle name="Normal 3 2 4 5 2" xfId="15809"/>
    <cellStyle name="Normal 3 2 4 5 2 2" xfId="29216"/>
    <cellStyle name="Normal 3 2 4 5 3" xfId="31631"/>
    <cellStyle name="Normal 3 2 4 6" xfId="8706"/>
    <cellStyle name="Normal 3 2 4 6 2" xfId="17324"/>
    <cellStyle name="Normal 3 2 4 6 2 2" xfId="30677"/>
    <cellStyle name="Normal 3 2 4 6 3" xfId="23229"/>
    <cellStyle name="Normal 3 2 4 7" xfId="8808"/>
    <cellStyle name="Normal 3 2 4 7 2" xfId="23286"/>
    <cellStyle name="Normal 3 2 4 8" xfId="31627"/>
    <cellStyle name="Normal 3 2 4 9" xfId="32937"/>
    <cellStyle name="Normal 3 2 5" xfId="7337"/>
    <cellStyle name="Normal 3 2 5 10" xfId="32992"/>
    <cellStyle name="Normal 3 2 5 2" xfId="7338"/>
    <cellStyle name="Normal 3 2 5 2 2" xfId="11555"/>
    <cellStyle name="Normal 3 2 5 2 2 2" xfId="25386"/>
    <cellStyle name="Normal 3 2 5 2 3" xfId="31633"/>
    <cellStyle name="Normal 3 2 5 2 4" xfId="32954"/>
    <cellStyle name="Normal 3 2 5 2 5" xfId="33012"/>
    <cellStyle name="Normal 3 2 5 3" xfId="7339"/>
    <cellStyle name="Normal 3 2 5 3 2" xfId="13260"/>
    <cellStyle name="Normal 3 2 5 3 2 2" xfId="26896"/>
    <cellStyle name="Normal 3 2 5 3 3" xfId="31634"/>
    <cellStyle name="Normal 3 2 5 4" xfId="7340"/>
    <cellStyle name="Normal 3 2 5 4 2" xfId="15702"/>
    <cellStyle name="Normal 3 2 5 4 2 2" xfId="29188"/>
    <cellStyle name="Normal 3 2 5 4 3" xfId="31635"/>
    <cellStyle name="Normal 3 2 5 5" xfId="7341"/>
    <cellStyle name="Normal 3 2 5 5 2" xfId="15810"/>
    <cellStyle name="Normal 3 2 5 5 2 2" xfId="29217"/>
    <cellStyle name="Normal 3 2 5 5 3" xfId="31636"/>
    <cellStyle name="Normal 3 2 5 6" xfId="8696"/>
    <cellStyle name="Normal 3 2 5 6 2" xfId="17319"/>
    <cellStyle name="Normal 3 2 5 6 2 2" xfId="30672"/>
    <cellStyle name="Normal 3 2 5 6 3" xfId="23224"/>
    <cellStyle name="Normal 3 2 5 7" xfId="8803"/>
    <cellStyle name="Normal 3 2 5 7 2" xfId="23281"/>
    <cellStyle name="Normal 3 2 5 8" xfId="31632"/>
    <cellStyle name="Normal 3 2 5 9" xfId="32932"/>
    <cellStyle name="Normal 3 2 6" xfId="7342"/>
    <cellStyle name="Normal 3 2 6 2" xfId="8718"/>
    <cellStyle name="Normal 3 2 7" xfId="7343"/>
    <cellStyle name="Normal 3 2 7 2" xfId="7344"/>
    <cellStyle name="Normal 3 2 7 2 2" xfId="10193"/>
    <cellStyle name="Normal 3 2 7 3" xfId="7345"/>
    <cellStyle name="Normal 3 2 7 3 2" xfId="7346"/>
    <cellStyle name="Normal 3 2 7 3 2 2" xfId="13261"/>
    <cellStyle name="Normal 3 2 7 3 3" xfId="11736"/>
    <cellStyle name="Normal 3 2 7 3 3 2" xfId="25452"/>
    <cellStyle name="Normal 3 2 7 4" xfId="10192"/>
    <cellStyle name="Normal 3 2 7 5" xfId="32950"/>
    <cellStyle name="Normal 3 2 7 6" xfId="33008"/>
    <cellStyle name="Normal 3 2 8" xfId="7347"/>
    <cellStyle name="Normal 3 2 8 2" xfId="7348"/>
    <cellStyle name="Normal 3 2 8 2 2" xfId="13262"/>
    <cellStyle name="Normal 3 2 8 3" xfId="10522"/>
    <cellStyle name="Normal 3 2 9" xfId="7349"/>
    <cellStyle name="Normal 3 2 9 2" xfId="7350"/>
    <cellStyle name="Normal 3 2 9 2 2" xfId="13263"/>
    <cellStyle name="Normal 3 2 9 2 2 2" xfId="26897"/>
    <cellStyle name="Normal 3 2 9 2 3" xfId="31638"/>
    <cellStyle name="Normal 3 2 9 3" xfId="7351"/>
    <cellStyle name="Normal 3 2 9 3 2" xfId="15703"/>
    <cellStyle name="Normal 3 2 9 3 2 2" xfId="29189"/>
    <cellStyle name="Normal 3 2 9 3 3" xfId="31639"/>
    <cellStyle name="Normal 3 2 9 4" xfId="11550"/>
    <cellStyle name="Normal 3 2 9 4 2" xfId="25381"/>
    <cellStyle name="Normal 3 2 9 5" xfId="31637"/>
    <cellStyle name="Normal 3 3" xfId="7352"/>
    <cellStyle name="Normal 3 3 10" xfId="7353"/>
    <cellStyle name="Normal 3 3 10 2" xfId="7354"/>
    <cellStyle name="Normal 3 3 10 2 2" xfId="17203"/>
    <cellStyle name="Normal 3 3 10 2 2 2" xfId="30562"/>
    <cellStyle name="Normal 3 3 10 2 3" xfId="31642"/>
    <cellStyle name="Normal 3 3 10 3" xfId="13430"/>
    <cellStyle name="Normal 3 3 10 3 2" xfId="26979"/>
    <cellStyle name="Normal 3 3 10 4" xfId="31641"/>
    <cellStyle name="Normal 3 3 11" xfId="7355"/>
    <cellStyle name="Normal 3 3 11 2" xfId="7356"/>
    <cellStyle name="Normal 3 3 11 2 2" xfId="17292"/>
    <cellStyle name="Normal 3 3 11 2 2 2" xfId="30651"/>
    <cellStyle name="Normal 3 3 11 2 3" xfId="31644"/>
    <cellStyle name="Normal 3 3 11 3" xfId="14011"/>
    <cellStyle name="Normal 3 3 11 3 2" xfId="27560"/>
    <cellStyle name="Normal 3 3 11 4" xfId="31643"/>
    <cellStyle name="Normal 3 3 12" xfId="7357"/>
    <cellStyle name="Normal 3 3 12 2" xfId="7358"/>
    <cellStyle name="Normal 3 3 12 2 2" xfId="16478"/>
    <cellStyle name="Normal 3 3 12 2 2 2" xfId="29885"/>
    <cellStyle name="Normal 3 3 12 2 3" xfId="31646"/>
    <cellStyle name="Normal 3 3 12 3" xfId="15811"/>
    <cellStyle name="Normal 3 3 12 3 2" xfId="29218"/>
    <cellStyle name="Normal 3 3 12 4" xfId="31645"/>
    <cellStyle name="Normal 3 3 13" xfId="7359"/>
    <cellStyle name="Normal 3 3 13 2" xfId="15897"/>
    <cellStyle name="Normal 3 3 13 2 2" xfId="29304"/>
    <cellStyle name="Normal 3 3 13 3" xfId="31647"/>
    <cellStyle name="Normal 3 3 14" xfId="8684"/>
    <cellStyle name="Normal 3 3 14 2" xfId="17309"/>
    <cellStyle name="Normal 3 3 14 2 2" xfId="30662"/>
    <cellStyle name="Normal 3 3 14 3" xfId="23214"/>
    <cellStyle name="Normal 3 3 15" xfId="8793"/>
    <cellStyle name="Normal 3 3 15 2" xfId="23271"/>
    <cellStyle name="Normal 3 3 16" xfId="31640"/>
    <cellStyle name="Normal 3 3 17" xfId="32922"/>
    <cellStyle name="Normal 3 3 18" xfId="32982"/>
    <cellStyle name="Normal 3 3 2" xfId="7360"/>
    <cellStyle name="Normal 3 3 2 10" xfId="10194"/>
    <cellStyle name="Normal 3 3 2 10 2" xfId="24397"/>
    <cellStyle name="Normal 3 3 2 11" xfId="31648"/>
    <cellStyle name="Normal 3 3 2 12" xfId="32955"/>
    <cellStyle name="Normal 3 3 2 13" xfId="33013"/>
    <cellStyle name="Normal 3 3 2 2" xfId="7361"/>
    <cellStyle name="Normal 3 3 2 2 10" xfId="31649"/>
    <cellStyle name="Normal 3 3 2 2 2" xfId="7362"/>
    <cellStyle name="Normal 3 3 2 2 2 2" xfId="7363"/>
    <cellStyle name="Normal 3 3 2 2 2 2 2" xfId="7364"/>
    <cellStyle name="Normal 3 3 2 2 2 2 2 2" xfId="7365"/>
    <cellStyle name="Normal 3 3 2 2 2 2 2 2 2" xfId="16979"/>
    <cellStyle name="Normal 3 3 2 2 2 2 2 2 2 2" xfId="30386"/>
    <cellStyle name="Normal 3 3 2 2 2 2 2 2 3" xfId="31653"/>
    <cellStyle name="Normal 3 3 2 2 2 2 2 3" xfId="11560"/>
    <cellStyle name="Normal 3 3 2 2 2 2 2 3 2" xfId="25391"/>
    <cellStyle name="Normal 3 3 2 2 2 2 2 4" xfId="31652"/>
    <cellStyle name="Normal 3 3 2 2 2 2 3" xfId="7366"/>
    <cellStyle name="Normal 3 3 2 2 2 2 3 2" xfId="12367"/>
    <cellStyle name="Normal 3 3 2 2 2 2 3 2 2" xfId="26079"/>
    <cellStyle name="Normal 3 3 2 2 2 2 3 3" xfId="31654"/>
    <cellStyle name="Normal 3 3 2 2 2 2 4" xfId="7367"/>
    <cellStyle name="Normal 3 3 2 2 2 2 4 2" xfId="13931"/>
    <cellStyle name="Normal 3 3 2 2 2 2 4 2 2" xfId="27480"/>
    <cellStyle name="Normal 3 3 2 2 2 2 4 3" xfId="31655"/>
    <cellStyle name="Normal 3 3 2 2 2 2 5" xfId="7368"/>
    <cellStyle name="Normal 3 3 2 2 2 2 5 2" xfId="14512"/>
    <cellStyle name="Normal 3 3 2 2 2 2 5 2 2" xfId="28061"/>
    <cellStyle name="Normal 3 3 2 2 2 2 5 3" xfId="31656"/>
    <cellStyle name="Normal 3 3 2 2 2 2 6" xfId="7369"/>
    <cellStyle name="Normal 3 3 2 2 2 2 6 2" xfId="16398"/>
    <cellStyle name="Normal 3 3 2 2 2 2 6 2 2" xfId="29805"/>
    <cellStyle name="Normal 3 3 2 2 2 2 6 3" xfId="31657"/>
    <cellStyle name="Normal 3 3 2 2 2 2 7" xfId="10197"/>
    <cellStyle name="Normal 3 3 2 2 2 2 7 2" xfId="24400"/>
    <cellStyle name="Normal 3 3 2 2 2 2 8" xfId="31651"/>
    <cellStyle name="Normal 3 3 2 2 2 3" xfId="7370"/>
    <cellStyle name="Normal 3 3 2 2 2 3 2" xfId="7371"/>
    <cellStyle name="Normal 3 3 2 2 2 3 2 2" xfId="16690"/>
    <cellStyle name="Normal 3 3 2 2 2 3 2 2 2" xfId="30097"/>
    <cellStyle name="Normal 3 3 2 2 2 3 2 3" xfId="31659"/>
    <cellStyle name="Normal 3 3 2 2 2 3 3" xfId="11559"/>
    <cellStyle name="Normal 3 3 2 2 2 3 3 2" xfId="25390"/>
    <cellStyle name="Normal 3 3 2 2 2 3 4" xfId="31658"/>
    <cellStyle name="Normal 3 3 2 2 2 4" xfId="7372"/>
    <cellStyle name="Normal 3 3 2 2 2 4 2" xfId="12067"/>
    <cellStyle name="Normal 3 3 2 2 2 4 2 2" xfId="25782"/>
    <cellStyle name="Normal 3 3 2 2 2 4 3" xfId="31660"/>
    <cellStyle name="Normal 3 3 2 2 2 5" xfId="7373"/>
    <cellStyle name="Normal 3 3 2 2 2 5 2" xfId="13642"/>
    <cellStyle name="Normal 3 3 2 2 2 5 2 2" xfId="27191"/>
    <cellStyle name="Normal 3 3 2 2 2 5 3" xfId="31661"/>
    <cellStyle name="Normal 3 3 2 2 2 6" xfId="7374"/>
    <cellStyle name="Normal 3 3 2 2 2 6 2" xfId="14223"/>
    <cellStyle name="Normal 3 3 2 2 2 6 2 2" xfId="27772"/>
    <cellStyle name="Normal 3 3 2 2 2 6 3" xfId="31662"/>
    <cellStyle name="Normal 3 3 2 2 2 7" xfId="7375"/>
    <cellStyle name="Normal 3 3 2 2 2 7 2" xfId="16109"/>
    <cellStyle name="Normal 3 3 2 2 2 7 2 2" xfId="29516"/>
    <cellStyle name="Normal 3 3 2 2 2 7 3" xfId="31663"/>
    <cellStyle name="Normal 3 3 2 2 2 8" xfId="10196"/>
    <cellStyle name="Normal 3 3 2 2 2 8 2" xfId="24399"/>
    <cellStyle name="Normal 3 3 2 2 2 9" xfId="31650"/>
    <cellStyle name="Normal 3 3 2 2 3" xfId="7376"/>
    <cellStyle name="Normal 3 3 2 2 3 2" xfId="7377"/>
    <cellStyle name="Normal 3 3 2 2 3 2 2" xfId="7378"/>
    <cellStyle name="Normal 3 3 2 2 3 2 2 2" xfId="16836"/>
    <cellStyle name="Normal 3 3 2 2 3 2 2 2 2" xfId="30243"/>
    <cellStyle name="Normal 3 3 2 2 3 2 2 3" xfId="31666"/>
    <cellStyle name="Normal 3 3 2 2 3 2 3" xfId="11561"/>
    <cellStyle name="Normal 3 3 2 2 3 2 3 2" xfId="25392"/>
    <cellStyle name="Normal 3 3 2 2 3 2 4" xfId="31665"/>
    <cellStyle name="Normal 3 3 2 2 3 3" xfId="7379"/>
    <cellStyle name="Normal 3 3 2 2 3 3 2" xfId="12224"/>
    <cellStyle name="Normal 3 3 2 2 3 3 2 2" xfId="25936"/>
    <cellStyle name="Normal 3 3 2 2 3 3 3" xfId="31667"/>
    <cellStyle name="Normal 3 3 2 2 3 4" xfId="7380"/>
    <cellStyle name="Normal 3 3 2 2 3 4 2" xfId="13788"/>
    <cellStyle name="Normal 3 3 2 2 3 4 2 2" xfId="27337"/>
    <cellStyle name="Normal 3 3 2 2 3 4 3" xfId="31668"/>
    <cellStyle name="Normal 3 3 2 2 3 5" xfId="7381"/>
    <cellStyle name="Normal 3 3 2 2 3 5 2" xfId="14369"/>
    <cellStyle name="Normal 3 3 2 2 3 5 2 2" xfId="27918"/>
    <cellStyle name="Normal 3 3 2 2 3 5 3" xfId="31669"/>
    <cellStyle name="Normal 3 3 2 2 3 6" xfId="7382"/>
    <cellStyle name="Normal 3 3 2 2 3 6 2" xfId="16255"/>
    <cellStyle name="Normal 3 3 2 2 3 6 2 2" xfId="29662"/>
    <cellStyle name="Normal 3 3 2 2 3 6 3" xfId="31670"/>
    <cellStyle name="Normal 3 3 2 2 3 7" xfId="10198"/>
    <cellStyle name="Normal 3 3 2 2 3 7 2" xfId="24401"/>
    <cellStyle name="Normal 3 3 2 2 3 8" xfId="31664"/>
    <cellStyle name="Normal 3 3 2 2 4" xfId="7383"/>
    <cellStyle name="Normal 3 3 2 2 4 2" xfId="7384"/>
    <cellStyle name="Normal 3 3 2 2 4 2 2" xfId="17183"/>
    <cellStyle name="Normal 3 3 2 2 4 2 2 2" xfId="30542"/>
    <cellStyle name="Normal 3 3 2 2 4 2 3" xfId="31672"/>
    <cellStyle name="Normal 3 3 2 2 4 3" xfId="11558"/>
    <cellStyle name="Normal 3 3 2 2 4 3 2" xfId="25389"/>
    <cellStyle name="Normal 3 3 2 2 4 4" xfId="31671"/>
    <cellStyle name="Normal 3 3 2 2 5" xfId="7385"/>
    <cellStyle name="Normal 3 3 2 2 5 2" xfId="7386"/>
    <cellStyle name="Normal 3 3 2 2 5 2 2" xfId="17272"/>
    <cellStyle name="Normal 3 3 2 2 5 2 2 2" xfId="30631"/>
    <cellStyle name="Normal 3 3 2 2 5 2 3" xfId="31674"/>
    <cellStyle name="Normal 3 3 2 2 5 3" xfId="11922"/>
    <cellStyle name="Normal 3 3 2 2 5 3 2" xfId="25637"/>
    <cellStyle name="Normal 3 3 2 2 5 4" xfId="31673"/>
    <cellStyle name="Normal 3 3 2 2 6" xfId="7387"/>
    <cellStyle name="Normal 3 3 2 2 6 2" xfId="7388"/>
    <cellStyle name="Normal 3 3 2 2 6 2 2" xfId="16547"/>
    <cellStyle name="Normal 3 3 2 2 6 2 2 2" xfId="29954"/>
    <cellStyle name="Normal 3 3 2 2 6 2 3" xfId="31676"/>
    <cellStyle name="Normal 3 3 2 2 6 3" xfId="13499"/>
    <cellStyle name="Normal 3 3 2 2 6 3 2" xfId="27048"/>
    <cellStyle name="Normal 3 3 2 2 6 4" xfId="31675"/>
    <cellStyle name="Normal 3 3 2 2 7" xfId="7389"/>
    <cellStyle name="Normal 3 3 2 2 7 2" xfId="14080"/>
    <cellStyle name="Normal 3 3 2 2 7 2 2" xfId="27629"/>
    <cellStyle name="Normal 3 3 2 2 7 3" xfId="31677"/>
    <cellStyle name="Normal 3 3 2 2 8" xfId="7390"/>
    <cellStyle name="Normal 3 3 2 2 8 2" xfId="15966"/>
    <cellStyle name="Normal 3 3 2 2 8 2 2" xfId="29373"/>
    <cellStyle name="Normal 3 3 2 2 8 3" xfId="31678"/>
    <cellStyle name="Normal 3 3 2 2 9" xfId="10195"/>
    <cellStyle name="Normal 3 3 2 2 9 2" xfId="24398"/>
    <cellStyle name="Normal 3 3 2 3" xfId="7391"/>
    <cellStyle name="Normal 3 3 2 3 2" xfId="7392"/>
    <cellStyle name="Normal 3 3 2 3 2 2" xfId="7393"/>
    <cellStyle name="Normal 3 3 2 3 2 2 2" xfId="7394"/>
    <cellStyle name="Normal 3 3 2 3 2 2 2 2" xfId="16933"/>
    <cellStyle name="Normal 3 3 2 3 2 2 2 2 2" xfId="30340"/>
    <cellStyle name="Normal 3 3 2 3 2 2 2 3" xfId="31682"/>
    <cellStyle name="Normal 3 3 2 3 2 2 3" xfId="11563"/>
    <cellStyle name="Normal 3 3 2 3 2 2 3 2" xfId="25394"/>
    <cellStyle name="Normal 3 3 2 3 2 2 4" xfId="31681"/>
    <cellStyle name="Normal 3 3 2 3 2 3" xfId="7395"/>
    <cellStyle name="Normal 3 3 2 3 2 3 2" xfId="12321"/>
    <cellStyle name="Normal 3 3 2 3 2 3 2 2" xfId="26033"/>
    <cellStyle name="Normal 3 3 2 3 2 3 3" xfId="31683"/>
    <cellStyle name="Normal 3 3 2 3 2 4" xfId="7396"/>
    <cellStyle name="Normal 3 3 2 3 2 4 2" xfId="13885"/>
    <cellStyle name="Normal 3 3 2 3 2 4 2 2" xfId="27434"/>
    <cellStyle name="Normal 3 3 2 3 2 4 3" xfId="31684"/>
    <cellStyle name="Normal 3 3 2 3 2 5" xfId="7397"/>
    <cellStyle name="Normal 3 3 2 3 2 5 2" xfId="14466"/>
    <cellStyle name="Normal 3 3 2 3 2 5 2 2" xfId="28015"/>
    <cellStyle name="Normal 3 3 2 3 2 5 3" xfId="31685"/>
    <cellStyle name="Normal 3 3 2 3 2 6" xfId="7398"/>
    <cellStyle name="Normal 3 3 2 3 2 6 2" xfId="16352"/>
    <cellStyle name="Normal 3 3 2 3 2 6 2 2" xfId="29759"/>
    <cellStyle name="Normal 3 3 2 3 2 6 3" xfId="31686"/>
    <cellStyle name="Normal 3 3 2 3 2 7" xfId="10200"/>
    <cellStyle name="Normal 3 3 2 3 2 7 2" xfId="24403"/>
    <cellStyle name="Normal 3 3 2 3 2 8" xfId="31680"/>
    <cellStyle name="Normal 3 3 2 3 3" xfId="7399"/>
    <cellStyle name="Normal 3 3 2 3 3 2" xfId="7400"/>
    <cellStyle name="Normal 3 3 2 3 3 2 2" xfId="16644"/>
    <cellStyle name="Normal 3 3 2 3 3 2 2 2" xfId="30051"/>
    <cellStyle name="Normal 3 3 2 3 3 2 3" xfId="31688"/>
    <cellStyle name="Normal 3 3 2 3 3 3" xfId="11562"/>
    <cellStyle name="Normal 3 3 2 3 3 3 2" xfId="25393"/>
    <cellStyle name="Normal 3 3 2 3 3 4" xfId="31687"/>
    <cellStyle name="Normal 3 3 2 3 4" xfId="7401"/>
    <cellStyle name="Normal 3 3 2 3 4 2" xfId="12021"/>
    <cellStyle name="Normal 3 3 2 3 4 2 2" xfId="25736"/>
    <cellStyle name="Normal 3 3 2 3 4 3" xfId="31689"/>
    <cellStyle name="Normal 3 3 2 3 5" xfId="7402"/>
    <cellStyle name="Normal 3 3 2 3 5 2" xfId="13596"/>
    <cellStyle name="Normal 3 3 2 3 5 2 2" xfId="27145"/>
    <cellStyle name="Normal 3 3 2 3 5 3" xfId="31690"/>
    <cellStyle name="Normal 3 3 2 3 6" xfId="7403"/>
    <cellStyle name="Normal 3 3 2 3 6 2" xfId="14177"/>
    <cellStyle name="Normal 3 3 2 3 6 2 2" xfId="27726"/>
    <cellStyle name="Normal 3 3 2 3 6 3" xfId="31691"/>
    <cellStyle name="Normal 3 3 2 3 7" xfId="7404"/>
    <cellStyle name="Normal 3 3 2 3 7 2" xfId="16063"/>
    <cellStyle name="Normal 3 3 2 3 7 2 2" xfId="29470"/>
    <cellStyle name="Normal 3 3 2 3 7 3" xfId="31692"/>
    <cellStyle name="Normal 3 3 2 3 8" xfId="10199"/>
    <cellStyle name="Normal 3 3 2 3 8 2" xfId="24402"/>
    <cellStyle name="Normal 3 3 2 3 9" xfId="31679"/>
    <cellStyle name="Normal 3 3 2 4" xfId="7405"/>
    <cellStyle name="Normal 3 3 2 4 2" xfId="7406"/>
    <cellStyle name="Normal 3 3 2 4 2 2" xfId="7407"/>
    <cellStyle name="Normal 3 3 2 4 2 2 2" xfId="16790"/>
    <cellStyle name="Normal 3 3 2 4 2 2 2 2" xfId="30197"/>
    <cellStyle name="Normal 3 3 2 4 2 2 3" xfId="31695"/>
    <cellStyle name="Normal 3 3 2 4 2 3" xfId="11564"/>
    <cellStyle name="Normal 3 3 2 4 2 3 2" xfId="25395"/>
    <cellStyle name="Normal 3 3 2 4 2 4" xfId="31694"/>
    <cellStyle name="Normal 3 3 2 4 3" xfId="7408"/>
    <cellStyle name="Normal 3 3 2 4 3 2" xfId="12178"/>
    <cellStyle name="Normal 3 3 2 4 3 2 2" xfId="25890"/>
    <cellStyle name="Normal 3 3 2 4 3 3" xfId="31696"/>
    <cellStyle name="Normal 3 3 2 4 4" xfId="7409"/>
    <cellStyle name="Normal 3 3 2 4 4 2" xfId="13742"/>
    <cellStyle name="Normal 3 3 2 4 4 2 2" xfId="27291"/>
    <cellStyle name="Normal 3 3 2 4 4 3" xfId="31697"/>
    <cellStyle name="Normal 3 3 2 4 5" xfId="7410"/>
    <cellStyle name="Normal 3 3 2 4 5 2" xfId="14323"/>
    <cellStyle name="Normal 3 3 2 4 5 2 2" xfId="27872"/>
    <cellStyle name="Normal 3 3 2 4 5 3" xfId="31698"/>
    <cellStyle name="Normal 3 3 2 4 6" xfId="7411"/>
    <cellStyle name="Normal 3 3 2 4 6 2" xfId="16209"/>
    <cellStyle name="Normal 3 3 2 4 6 2 2" xfId="29616"/>
    <cellStyle name="Normal 3 3 2 4 6 3" xfId="31699"/>
    <cellStyle name="Normal 3 3 2 4 7" xfId="10201"/>
    <cellStyle name="Normal 3 3 2 4 7 2" xfId="24404"/>
    <cellStyle name="Normal 3 3 2 4 8" xfId="31693"/>
    <cellStyle name="Normal 3 3 2 5" xfId="7412"/>
    <cellStyle name="Normal 3 3 2 5 2" xfId="7413"/>
    <cellStyle name="Normal 3 3 2 5 2 2" xfId="17043"/>
    <cellStyle name="Normal 3 3 2 5 2 2 2" xfId="30444"/>
    <cellStyle name="Normal 3 3 2 5 2 3" xfId="31701"/>
    <cellStyle name="Normal 3 3 2 5 3" xfId="11557"/>
    <cellStyle name="Normal 3 3 2 5 3 2" xfId="25388"/>
    <cellStyle name="Normal 3 3 2 5 4" xfId="31700"/>
    <cellStyle name="Normal 3 3 2 6" xfId="7414"/>
    <cellStyle name="Normal 3 3 2 6 2" xfId="7415"/>
    <cellStyle name="Normal 3 3 2 6 2 2" xfId="17137"/>
    <cellStyle name="Normal 3 3 2 6 2 2 2" xfId="30496"/>
    <cellStyle name="Normal 3 3 2 6 2 3" xfId="31703"/>
    <cellStyle name="Normal 3 3 2 6 3" xfId="11865"/>
    <cellStyle name="Normal 3 3 2 6 3 2" xfId="25580"/>
    <cellStyle name="Normal 3 3 2 6 4" xfId="31702"/>
    <cellStyle name="Normal 3 3 2 7" xfId="7416"/>
    <cellStyle name="Normal 3 3 2 7 2" xfId="7417"/>
    <cellStyle name="Normal 3 3 2 7 2 2" xfId="17226"/>
    <cellStyle name="Normal 3 3 2 7 2 2 2" xfId="30585"/>
    <cellStyle name="Normal 3 3 2 7 2 3" xfId="31705"/>
    <cellStyle name="Normal 3 3 2 7 3" xfId="13453"/>
    <cellStyle name="Normal 3 3 2 7 3 2" xfId="27002"/>
    <cellStyle name="Normal 3 3 2 7 4" xfId="31704"/>
    <cellStyle name="Normal 3 3 2 8" xfId="7418"/>
    <cellStyle name="Normal 3 3 2 8 2" xfId="7419"/>
    <cellStyle name="Normal 3 3 2 8 2 2" xfId="16501"/>
    <cellStyle name="Normal 3 3 2 8 2 2 2" xfId="29908"/>
    <cellStyle name="Normal 3 3 2 8 2 3" xfId="31707"/>
    <cellStyle name="Normal 3 3 2 8 3" xfId="14034"/>
    <cellStyle name="Normal 3 3 2 8 3 2" xfId="27583"/>
    <cellStyle name="Normal 3 3 2 8 4" xfId="31706"/>
    <cellStyle name="Normal 3 3 2 9" xfId="7420"/>
    <cellStyle name="Normal 3 3 2 9 2" xfId="15920"/>
    <cellStyle name="Normal 3 3 2 9 2 2" xfId="29327"/>
    <cellStyle name="Normal 3 3 2 9 3" xfId="31708"/>
    <cellStyle name="Normal 3 3 3" xfId="7421"/>
    <cellStyle name="Normal 3 3 3 10" xfId="31709"/>
    <cellStyle name="Normal 3 3 3 2" xfId="7422"/>
    <cellStyle name="Normal 3 3 3 2 2" xfId="7423"/>
    <cellStyle name="Normal 3 3 3 2 2 2" xfId="7424"/>
    <cellStyle name="Normal 3 3 3 2 2 2 2" xfId="7425"/>
    <cellStyle name="Normal 3 3 3 2 2 2 2 2" xfId="16956"/>
    <cellStyle name="Normal 3 3 3 2 2 2 2 2 2" xfId="30363"/>
    <cellStyle name="Normal 3 3 3 2 2 2 2 3" xfId="31713"/>
    <cellStyle name="Normal 3 3 3 2 2 2 3" xfId="11567"/>
    <cellStyle name="Normal 3 3 3 2 2 2 3 2" xfId="25398"/>
    <cellStyle name="Normal 3 3 3 2 2 2 4" xfId="31712"/>
    <cellStyle name="Normal 3 3 3 2 2 3" xfId="7426"/>
    <cellStyle name="Normal 3 3 3 2 2 3 2" xfId="12344"/>
    <cellStyle name="Normal 3 3 3 2 2 3 2 2" xfId="26056"/>
    <cellStyle name="Normal 3 3 3 2 2 3 3" xfId="31714"/>
    <cellStyle name="Normal 3 3 3 2 2 4" xfId="7427"/>
    <cellStyle name="Normal 3 3 3 2 2 4 2" xfId="13908"/>
    <cellStyle name="Normal 3 3 3 2 2 4 2 2" xfId="27457"/>
    <cellStyle name="Normal 3 3 3 2 2 4 3" xfId="31715"/>
    <cellStyle name="Normal 3 3 3 2 2 5" xfId="7428"/>
    <cellStyle name="Normal 3 3 3 2 2 5 2" xfId="14489"/>
    <cellStyle name="Normal 3 3 3 2 2 5 2 2" xfId="28038"/>
    <cellStyle name="Normal 3 3 3 2 2 5 3" xfId="31716"/>
    <cellStyle name="Normal 3 3 3 2 2 6" xfId="7429"/>
    <cellStyle name="Normal 3 3 3 2 2 6 2" xfId="16375"/>
    <cellStyle name="Normal 3 3 3 2 2 6 2 2" xfId="29782"/>
    <cellStyle name="Normal 3 3 3 2 2 6 3" xfId="31717"/>
    <cellStyle name="Normal 3 3 3 2 2 7" xfId="10204"/>
    <cellStyle name="Normal 3 3 3 2 2 7 2" xfId="24407"/>
    <cellStyle name="Normal 3 3 3 2 2 8" xfId="31711"/>
    <cellStyle name="Normal 3 3 3 2 3" xfId="7430"/>
    <cellStyle name="Normal 3 3 3 2 3 2" xfId="7431"/>
    <cellStyle name="Normal 3 3 3 2 3 2 2" xfId="16667"/>
    <cellStyle name="Normal 3 3 3 2 3 2 2 2" xfId="30074"/>
    <cellStyle name="Normal 3 3 3 2 3 2 3" xfId="31719"/>
    <cellStyle name="Normal 3 3 3 2 3 3" xfId="11566"/>
    <cellStyle name="Normal 3 3 3 2 3 3 2" xfId="25397"/>
    <cellStyle name="Normal 3 3 3 2 3 4" xfId="31718"/>
    <cellStyle name="Normal 3 3 3 2 4" xfId="7432"/>
    <cellStyle name="Normal 3 3 3 2 4 2" xfId="12044"/>
    <cellStyle name="Normal 3 3 3 2 4 2 2" xfId="25759"/>
    <cellStyle name="Normal 3 3 3 2 4 3" xfId="31720"/>
    <cellStyle name="Normal 3 3 3 2 5" xfId="7433"/>
    <cellStyle name="Normal 3 3 3 2 5 2" xfId="13619"/>
    <cellStyle name="Normal 3 3 3 2 5 2 2" xfId="27168"/>
    <cellStyle name="Normal 3 3 3 2 5 3" xfId="31721"/>
    <cellStyle name="Normal 3 3 3 2 6" xfId="7434"/>
    <cellStyle name="Normal 3 3 3 2 6 2" xfId="14200"/>
    <cellStyle name="Normal 3 3 3 2 6 2 2" xfId="27749"/>
    <cellStyle name="Normal 3 3 3 2 6 3" xfId="31722"/>
    <cellStyle name="Normal 3 3 3 2 7" xfId="7435"/>
    <cellStyle name="Normal 3 3 3 2 7 2" xfId="16086"/>
    <cellStyle name="Normal 3 3 3 2 7 2 2" xfId="29493"/>
    <cellStyle name="Normal 3 3 3 2 7 3" xfId="31723"/>
    <cellStyle name="Normal 3 3 3 2 8" xfId="10203"/>
    <cellStyle name="Normal 3 3 3 2 8 2" xfId="24406"/>
    <cellStyle name="Normal 3 3 3 2 9" xfId="31710"/>
    <cellStyle name="Normal 3 3 3 3" xfId="7436"/>
    <cellStyle name="Normal 3 3 3 3 2" xfId="7437"/>
    <cellStyle name="Normal 3 3 3 3 2 2" xfId="7438"/>
    <cellStyle name="Normal 3 3 3 3 2 2 2" xfId="16813"/>
    <cellStyle name="Normal 3 3 3 3 2 2 2 2" xfId="30220"/>
    <cellStyle name="Normal 3 3 3 3 2 2 3" xfId="31726"/>
    <cellStyle name="Normal 3 3 3 3 2 3" xfId="11568"/>
    <cellStyle name="Normal 3 3 3 3 2 3 2" xfId="25399"/>
    <cellStyle name="Normal 3 3 3 3 2 4" xfId="31725"/>
    <cellStyle name="Normal 3 3 3 3 3" xfId="7439"/>
    <cellStyle name="Normal 3 3 3 3 3 2" xfId="12201"/>
    <cellStyle name="Normal 3 3 3 3 3 2 2" xfId="25913"/>
    <cellStyle name="Normal 3 3 3 3 3 3" xfId="31727"/>
    <cellStyle name="Normal 3 3 3 3 4" xfId="7440"/>
    <cellStyle name="Normal 3 3 3 3 4 2" xfId="13765"/>
    <cellStyle name="Normal 3 3 3 3 4 2 2" xfId="27314"/>
    <cellStyle name="Normal 3 3 3 3 4 3" xfId="31728"/>
    <cellStyle name="Normal 3 3 3 3 5" xfId="7441"/>
    <cellStyle name="Normal 3 3 3 3 5 2" xfId="14346"/>
    <cellStyle name="Normal 3 3 3 3 5 2 2" xfId="27895"/>
    <cellStyle name="Normal 3 3 3 3 5 3" xfId="31729"/>
    <cellStyle name="Normal 3 3 3 3 6" xfId="7442"/>
    <cellStyle name="Normal 3 3 3 3 6 2" xfId="16232"/>
    <cellStyle name="Normal 3 3 3 3 6 2 2" xfId="29639"/>
    <cellStyle name="Normal 3 3 3 3 6 3" xfId="31730"/>
    <cellStyle name="Normal 3 3 3 3 7" xfId="10205"/>
    <cellStyle name="Normal 3 3 3 3 7 2" xfId="24408"/>
    <cellStyle name="Normal 3 3 3 3 8" xfId="31724"/>
    <cellStyle name="Normal 3 3 3 4" xfId="7443"/>
    <cellStyle name="Normal 3 3 3 4 2" xfId="7444"/>
    <cellStyle name="Normal 3 3 3 4 2 2" xfId="17160"/>
    <cellStyle name="Normal 3 3 3 4 2 2 2" xfId="30519"/>
    <cellStyle name="Normal 3 3 3 4 2 3" xfId="31732"/>
    <cellStyle name="Normal 3 3 3 4 3" xfId="11565"/>
    <cellStyle name="Normal 3 3 3 4 3 2" xfId="25396"/>
    <cellStyle name="Normal 3 3 3 4 4" xfId="31731"/>
    <cellStyle name="Normal 3 3 3 5" xfId="7445"/>
    <cellStyle name="Normal 3 3 3 5 2" xfId="7446"/>
    <cellStyle name="Normal 3 3 3 5 2 2" xfId="17249"/>
    <cellStyle name="Normal 3 3 3 5 2 2 2" xfId="30608"/>
    <cellStyle name="Normal 3 3 3 5 2 3" xfId="31734"/>
    <cellStyle name="Normal 3 3 3 5 3" xfId="11899"/>
    <cellStyle name="Normal 3 3 3 5 3 2" xfId="25614"/>
    <cellStyle name="Normal 3 3 3 5 4" xfId="31733"/>
    <cellStyle name="Normal 3 3 3 6" xfId="7447"/>
    <cellStyle name="Normal 3 3 3 6 2" xfId="7448"/>
    <cellStyle name="Normal 3 3 3 6 2 2" xfId="16524"/>
    <cellStyle name="Normal 3 3 3 6 2 2 2" xfId="29931"/>
    <cellStyle name="Normal 3 3 3 6 2 3" xfId="31736"/>
    <cellStyle name="Normal 3 3 3 6 3" xfId="13476"/>
    <cellStyle name="Normal 3 3 3 6 3 2" xfId="27025"/>
    <cellStyle name="Normal 3 3 3 6 4" xfId="31735"/>
    <cellStyle name="Normal 3 3 3 7" xfId="7449"/>
    <cellStyle name="Normal 3 3 3 7 2" xfId="14057"/>
    <cellStyle name="Normal 3 3 3 7 2 2" xfId="27606"/>
    <cellStyle name="Normal 3 3 3 7 3" xfId="31737"/>
    <cellStyle name="Normal 3 3 3 8" xfId="7450"/>
    <cellStyle name="Normal 3 3 3 8 2" xfId="15943"/>
    <cellStyle name="Normal 3 3 3 8 2 2" xfId="29350"/>
    <cellStyle name="Normal 3 3 3 8 3" xfId="31738"/>
    <cellStyle name="Normal 3 3 3 9" xfId="10202"/>
    <cellStyle name="Normal 3 3 3 9 2" xfId="24405"/>
    <cellStyle name="Normal 3 3 4" xfId="7451"/>
    <cellStyle name="Normal 3 3 4 10" xfId="31739"/>
    <cellStyle name="Normal 3 3 4 2" xfId="7452"/>
    <cellStyle name="Normal 3 3 4 2 2" xfId="7453"/>
    <cellStyle name="Normal 3 3 4 2 2 2" xfId="7454"/>
    <cellStyle name="Normal 3 3 4 2 2 2 2" xfId="7455"/>
    <cellStyle name="Normal 3 3 4 2 2 2 2 2" xfId="16999"/>
    <cellStyle name="Normal 3 3 4 2 2 2 2 2 2" xfId="30406"/>
    <cellStyle name="Normal 3 3 4 2 2 2 2 3" xfId="31743"/>
    <cellStyle name="Normal 3 3 4 2 2 2 3" xfId="11571"/>
    <cellStyle name="Normal 3 3 4 2 2 2 3 2" xfId="25402"/>
    <cellStyle name="Normal 3 3 4 2 2 2 4" xfId="31742"/>
    <cellStyle name="Normal 3 3 4 2 2 3" xfId="7456"/>
    <cellStyle name="Normal 3 3 4 2 2 3 2" xfId="12387"/>
    <cellStyle name="Normal 3 3 4 2 2 3 2 2" xfId="26099"/>
    <cellStyle name="Normal 3 3 4 2 2 3 3" xfId="31744"/>
    <cellStyle name="Normal 3 3 4 2 2 4" xfId="7457"/>
    <cellStyle name="Normal 3 3 4 2 2 4 2" xfId="13951"/>
    <cellStyle name="Normal 3 3 4 2 2 4 2 2" xfId="27500"/>
    <cellStyle name="Normal 3 3 4 2 2 4 3" xfId="31745"/>
    <cellStyle name="Normal 3 3 4 2 2 5" xfId="7458"/>
    <cellStyle name="Normal 3 3 4 2 2 5 2" xfId="14532"/>
    <cellStyle name="Normal 3 3 4 2 2 5 2 2" xfId="28081"/>
    <cellStyle name="Normal 3 3 4 2 2 5 3" xfId="31746"/>
    <cellStyle name="Normal 3 3 4 2 2 6" xfId="7459"/>
    <cellStyle name="Normal 3 3 4 2 2 6 2" xfId="16418"/>
    <cellStyle name="Normal 3 3 4 2 2 6 2 2" xfId="29825"/>
    <cellStyle name="Normal 3 3 4 2 2 6 3" xfId="31747"/>
    <cellStyle name="Normal 3 3 4 2 2 7" xfId="10208"/>
    <cellStyle name="Normal 3 3 4 2 2 7 2" xfId="24411"/>
    <cellStyle name="Normal 3 3 4 2 2 8" xfId="31741"/>
    <cellStyle name="Normal 3 3 4 2 3" xfId="7460"/>
    <cellStyle name="Normal 3 3 4 2 3 2" xfId="7461"/>
    <cellStyle name="Normal 3 3 4 2 3 2 2" xfId="16710"/>
    <cellStyle name="Normal 3 3 4 2 3 2 2 2" xfId="30117"/>
    <cellStyle name="Normal 3 3 4 2 3 2 3" xfId="31749"/>
    <cellStyle name="Normal 3 3 4 2 3 3" xfId="11570"/>
    <cellStyle name="Normal 3 3 4 2 3 3 2" xfId="25401"/>
    <cellStyle name="Normal 3 3 4 2 3 4" xfId="31748"/>
    <cellStyle name="Normal 3 3 4 2 4" xfId="7462"/>
    <cellStyle name="Normal 3 3 4 2 4 2" xfId="12087"/>
    <cellStyle name="Normal 3 3 4 2 4 2 2" xfId="25802"/>
    <cellStyle name="Normal 3 3 4 2 4 3" xfId="31750"/>
    <cellStyle name="Normal 3 3 4 2 5" xfId="7463"/>
    <cellStyle name="Normal 3 3 4 2 5 2" xfId="13662"/>
    <cellStyle name="Normal 3 3 4 2 5 2 2" xfId="27211"/>
    <cellStyle name="Normal 3 3 4 2 5 3" xfId="31751"/>
    <cellStyle name="Normal 3 3 4 2 6" xfId="7464"/>
    <cellStyle name="Normal 3 3 4 2 6 2" xfId="14243"/>
    <cellStyle name="Normal 3 3 4 2 6 2 2" xfId="27792"/>
    <cellStyle name="Normal 3 3 4 2 6 3" xfId="31752"/>
    <cellStyle name="Normal 3 3 4 2 7" xfId="7465"/>
    <cellStyle name="Normal 3 3 4 2 7 2" xfId="16129"/>
    <cellStyle name="Normal 3 3 4 2 7 2 2" xfId="29536"/>
    <cellStyle name="Normal 3 3 4 2 7 3" xfId="31753"/>
    <cellStyle name="Normal 3 3 4 2 8" xfId="10207"/>
    <cellStyle name="Normal 3 3 4 2 8 2" xfId="24410"/>
    <cellStyle name="Normal 3 3 4 2 9" xfId="31740"/>
    <cellStyle name="Normal 3 3 4 3" xfId="7466"/>
    <cellStyle name="Normal 3 3 4 3 2" xfId="7467"/>
    <cellStyle name="Normal 3 3 4 3 2 2" xfId="7468"/>
    <cellStyle name="Normal 3 3 4 3 2 2 2" xfId="16856"/>
    <cellStyle name="Normal 3 3 4 3 2 2 2 2" xfId="30263"/>
    <cellStyle name="Normal 3 3 4 3 2 2 3" xfId="31756"/>
    <cellStyle name="Normal 3 3 4 3 2 3" xfId="11572"/>
    <cellStyle name="Normal 3 3 4 3 2 3 2" xfId="25403"/>
    <cellStyle name="Normal 3 3 4 3 2 4" xfId="31755"/>
    <cellStyle name="Normal 3 3 4 3 3" xfId="7469"/>
    <cellStyle name="Normal 3 3 4 3 3 2" xfId="12244"/>
    <cellStyle name="Normal 3 3 4 3 3 2 2" xfId="25956"/>
    <cellStyle name="Normal 3 3 4 3 3 3" xfId="31757"/>
    <cellStyle name="Normal 3 3 4 3 4" xfId="7470"/>
    <cellStyle name="Normal 3 3 4 3 4 2" xfId="13808"/>
    <cellStyle name="Normal 3 3 4 3 4 2 2" xfId="27357"/>
    <cellStyle name="Normal 3 3 4 3 4 3" xfId="31758"/>
    <cellStyle name="Normal 3 3 4 3 5" xfId="7471"/>
    <cellStyle name="Normal 3 3 4 3 5 2" xfId="14389"/>
    <cellStyle name="Normal 3 3 4 3 5 2 2" xfId="27938"/>
    <cellStyle name="Normal 3 3 4 3 5 3" xfId="31759"/>
    <cellStyle name="Normal 3 3 4 3 6" xfId="7472"/>
    <cellStyle name="Normal 3 3 4 3 6 2" xfId="16275"/>
    <cellStyle name="Normal 3 3 4 3 6 2 2" xfId="29682"/>
    <cellStyle name="Normal 3 3 4 3 6 3" xfId="31760"/>
    <cellStyle name="Normal 3 3 4 3 7" xfId="10209"/>
    <cellStyle name="Normal 3 3 4 3 7 2" xfId="24412"/>
    <cellStyle name="Normal 3 3 4 3 8" xfId="31754"/>
    <cellStyle name="Normal 3 3 4 4" xfId="7473"/>
    <cellStyle name="Normal 3 3 4 4 2" xfId="7474"/>
    <cellStyle name="Normal 3 3 4 4 2 2" xfId="16567"/>
    <cellStyle name="Normal 3 3 4 4 2 2 2" xfId="29974"/>
    <cellStyle name="Normal 3 3 4 4 2 3" xfId="31762"/>
    <cellStyle name="Normal 3 3 4 4 3" xfId="11569"/>
    <cellStyle name="Normal 3 3 4 4 3 2" xfId="25400"/>
    <cellStyle name="Normal 3 3 4 4 4" xfId="31761"/>
    <cellStyle name="Normal 3 3 4 5" xfId="7475"/>
    <cellStyle name="Normal 3 3 4 5 2" xfId="11942"/>
    <cellStyle name="Normal 3 3 4 5 2 2" xfId="25657"/>
    <cellStyle name="Normal 3 3 4 5 3" xfId="31763"/>
    <cellStyle name="Normal 3 3 4 6" xfId="7476"/>
    <cellStyle name="Normal 3 3 4 6 2" xfId="13519"/>
    <cellStyle name="Normal 3 3 4 6 2 2" xfId="27068"/>
    <cellStyle name="Normal 3 3 4 6 3" xfId="31764"/>
    <cellStyle name="Normal 3 3 4 7" xfId="7477"/>
    <cellStyle name="Normal 3 3 4 7 2" xfId="14100"/>
    <cellStyle name="Normal 3 3 4 7 2 2" xfId="27649"/>
    <cellStyle name="Normal 3 3 4 7 3" xfId="31765"/>
    <cellStyle name="Normal 3 3 4 8" xfId="7478"/>
    <cellStyle name="Normal 3 3 4 8 2" xfId="15986"/>
    <cellStyle name="Normal 3 3 4 8 2 2" xfId="29393"/>
    <cellStyle name="Normal 3 3 4 8 3" xfId="31766"/>
    <cellStyle name="Normal 3 3 4 9" xfId="10206"/>
    <cellStyle name="Normal 3 3 4 9 2" xfId="24409"/>
    <cellStyle name="Normal 3 3 5" xfId="7479"/>
    <cellStyle name="Normal 3 3 5 2" xfId="7480"/>
    <cellStyle name="Normal 3 3 5 2 2" xfId="7481"/>
    <cellStyle name="Normal 3 3 5 2 2 2" xfId="7482"/>
    <cellStyle name="Normal 3 3 5 2 2 2 2" xfId="16910"/>
    <cellStyle name="Normal 3 3 5 2 2 2 2 2" xfId="30317"/>
    <cellStyle name="Normal 3 3 5 2 2 2 3" xfId="31770"/>
    <cellStyle name="Normal 3 3 5 2 2 3" xfId="11574"/>
    <cellStyle name="Normal 3 3 5 2 2 3 2" xfId="25405"/>
    <cellStyle name="Normal 3 3 5 2 2 4" xfId="31769"/>
    <cellStyle name="Normal 3 3 5 2 3" xfId="7483"/>
    <cellStyle name="Normal 3 3 5 2 3 2" xfId="12298"/>
    <cellStyle name="Normal 3 3 5 2 3 2 2" xfId="26010"/>
    <cellStyle name="Normal 3 3 5 2 3 3" xfId="31771"/>
    <cellStyle name="Normal 3 3 5 2 4" xfId="7484"/>
    <cellStyle name="Normal 3 3 5 2 4 2" xfId="13862"/>
    <cellStyle name="Normal 3 3 5 2 4 2 2" xfId="27411"/>
    <cellStyle name="Normal 3 3 5 2 4 3" xfId="31772"/>
    <cellStyle name="Normal 3 3 5 2 5" xfId="7485"/>
    <cellStyle name="Normal 3 3 5 2 5 2" xfId="14443"/>
    <cellStyle name="Normal 3 3 5 2 5 2 2" xfId="27992"/>
    <cellStyle name="Normal 3 3 5 2 5 3" xfId="31773"/>
    <cellStyle name="Normal 3 3 5 2 6" xfId="7486"/>
    <cellStyle name="Normal 3 3 5 2 6 2" xfId="16329"/>
    <cellStyle name="Normal 3 3 5 2 6 2 2" xfId="29736"/>
    <cellStyle name="Normal 3 3 5 2 6 3" xfId="31774"/>
    <cellStyle name="Normal 3 3 5 2 7" xfId="10211"/>
    <cellStyle name="Normal 3 3 5 2 7 2" xfId="24414"/>
    <cellStyle name="Normal 3 3 5 2 8" xfId="31768"/>
    <cellStyle name="Normal 3 3 5 3" xfId="7487"/>
    <cellStyle name="Normal 3 3 5 3 2" xfId="7488"/>
    <cellStyle name="Normal 3 3 5 3 2 2" xfId="16621"/>
    <cellStyle name="Normal 3 3 5 3 2 2 2" xfId="30028"/>
    <cellStyle name="Normal 3 3 5 3 2 3" xfId="31776"/>
    <cellStyle name="Normal 3 3 5 3 3" xfId="11573"/>
    <cellStyle name="Normal 3 3 5 3 3 2" xfId="25404"/>
    <cellStyle name="Normal 3 3 5 3 4" xfId="31775"/>
    <cellStyle name="Normal 3 3 5 4" xfId="7489"/>
    <cellStyle name="Normal 3 3 5 4 2" xfId="11998"/>
    <cellStyle name="Normal 3 3 5 4 2 2" xfId="25713"/>
    <cellStyle name="Normal 3 3 5 4 3" xfId="31777"/>
    <cellStyle name="Normal 3 3 5 5" xfId="7490"/>
    <cellStyle name="Normal 3 3 5 5 2" xfId="13573"/>
    <cellStyle name="Normal 3 3 5 5 2 2" xfId="27122"/>
    <cellStyle name="Normal 3 3 5 5 3" xfId="31778"/>
    <cellStyle name="Normal 3 3 5 6" xfId="7491"/>
    <cellStyle name="Normal 3 3 5 6 2" xfId="14154"/>
    <cellStyle name="Normal 3 3 5 6 2 2" xfId="27703"/>
    <cellStyle name="Normal 3 3 5 6 3" xfId="31779"/>
    <cellStyle name="Normal 3 3 5 7" xfId="7492"/>
    <cellStyle name="Normal 3 3 5 7 2" xfId="16040"/>
    <cellStyle name="Normal 3 3 5 7 2 2" xfId="29447"/>
    <cellStyle name="Normal 3 3 5 7 3" xfId="31780"/>
    <cellStyle name="Normal 3 3 5 8" xfId="10210"/>
    <cellStyle name="Normal 3 3 5 8 2" xfId="24413"/>
    <cellStyle name="Normal 3 3 5 9" xfId="31767"/>
    <cellStyle name="Normal 3 3 6" xfId="7493"/>
    <cellStyle name="Normal 3 3 6 2" xfId="7494"/>
    <cellStyle name="Normal 3 3 6 2 2" xfId="7495"/>
    <cellStyle name="Normal 3 3 6 2 2 2" xfId="16733"/>
    <cellStyle name="Normal 3 3 6 2 2 2 2" xfId="30140"/>
    <cellStyle name="Normal 3 3 6 2 2 3" xfId="31783"/>
    <cellStyle name="Normal 3 3 6 2 3" xfId="11575"/>
    <cellStyle name="Normal 3 3 6 2 3 2" xfId="25406"/>
    <cellStyle name="Normal 3 3 6 2 4" xfId="31782"/>
    <cellStyle name="Normal 3 3 6 3" xfId="7496"/>
    <cellStyle name="Normal 3 3 6 3 2" xfId="12121"/>
    <cellStyle name="Normal 3 3 6 3 2 2" xfId="25833"/>
    <cellStyle name="Normal 3 3 6 3 3" xfId="31784"/>
    <cellStyle name="Normal 3 3 6 4" xfId="7497"/>
    <cellStyle name="Normal 3 3 6 4 2" xfId="13685"/>
    <cellStyle name="Normal 3 3 6 4 2 2" xfId="27234"/>
    <cellStyle name="Normal 3 3 6 4 3" xfId="31785"/>
    <cellStyle name="Normal 3 3 6 5" xfId="7498"/>
    <cellStyle name="Normal 3 3 6 5 2" xfId="14266"/>
    <cellStyle name="Normal 3 3 6 5 2 2" xfId="27815"/>
    <cellStyle name="Normal 3 3 6 5 3" xfId="31786"/>
    <cellStyle name="Normal 3 3 6 6" xfId="7499"/>
    <cellStyle name="Normal 3 3 6 6 2" xfId="16152"/>
    <cellStyle name="Normal 3 3 6 6 2 2" xfId="29559"/>
    <cellStyle name="Normal 3 3 6 6 3" xfId="31787"/>
    <cellStyle name="Normal 3 3 6 7" xfId="10212"/>
    <cellStyle name="Normal 3 3 6 7 2" xfId="24415"/>
    <cellStyle name="Normal 3 3 6 8" xfId="31781"/>
    <cellStyle name="Normal 3 3 7" xfId="7500"/>
    <cellStyle name="Normal 3 3 7 2" xfId="7501"/>
    <cellStyle name="Normal 3 3 7 2 2" xfId="7502"/>
    <cellStyle name="Normal 3 3 7 2 2 2" xfId="17006"/>
    <cellStyle name="Normal 3 3 7 2 2 2 2" xfId="30413"/>
    <cellStyle name="Normal 3 3 7 2 2 3" xfId="31790"/>
    <cellStyle name="Normal 3 3 7 2 3" xfId="11576"/>
    <cellStyle name="Normal 3 3 7 2 3 2" xfId="25407"/>
    <cellStyle name="Normal 3 3 7 2 4" xfId="31789"/>
    <cellStyle name="Normal 3 3 7 3" xfId="7503"/>
    <cellStyle name="Normal 3 3 7 3 2" xfId="12395"/>
    <cellStyle name="Normal 3 3 7 3 2 2" xfId="26107"/>
    <cellStyle name="Normal 3 3 7 3 3" xfId="31791"/>
    <cellStyle name="Normal 3 3 7 4" xfId="7504"/>
    <cellStyle name="Normal 3 3 7 4 2" xfId="13958"/>
    <cellStyle name="Normal 3 3 7 4 2 2" xfId="27507"/>
    <cellStyle name="Normal 3 3 7 4 3" xfId="31792"/>
    <cellStyle name="Normal 3 3 7 5" xfId="7505"/>
    <cellStyle name="Normal 3 3 7 5 2" xfId="14539"/>
    <cellStyle name="Normal 3 3 7 5 2 2" xfId="28088"/>
    <cellStyle name="Normal 3 3 7 5 3" xfId="31793"/>
    <cellStyle name="Normal 3 3 7 6" xfId="7506"/>
    <cellStyle name="Normal 3 3 7 6 2" xfId="16425"/>
    <cellStyle name="Normal 3 3 7 6 2 2" xfId="29832"/>
    <cellStyle name="Normal 3 3 7 6 3" xfId="31794"/>
    <cellStyle name="Normal 3 3 7 7" xfId="10213"/>
    <cellStyle name="Normal 3 3 7 7 2" xfId="24416"/>
    <cellStyle name="Normal 3 3 7 8" xfId="31788"/>
    <cellStyle name="Normal 3 3 8" xfId="7507"/>
    <cellStyle name="Normal 3 3 8 2" xfId="7508"/>
    <cellStyle name="Normal 3 3 8 2 2" xfId="17042"/>
    <cellStyle name="Normal 3 3 8 2 2 2" xfId="30443"/>
    <cellStyle name="Normal 3 3 8 2 3" xfId="31796"/>
    <cellStyle name="Normal 3 3 8 3" xfId="11556"/>
    <cellStyle name="Normal 3 3 8 3 2" xfId="25387"/>
    <cellStyle name="Normal 3 3 8 4" xfId="31795"/>
    <cellStyle name="Normal 3 3 9" xfId="7509"/>
    <cellStyle name="Normal 3 3 9 2" xfId="7510"/>
    <cellStyle name="Normal 3 3 9 2 2" xfId="17114"/>
    <cellStyle name="Normal 3 3 9 2 2 2" xfId="30473"/>
    <cellStyle name="Normal 3 3 9 2 3" xfId="31798"/>
    <cellStyle name="Normal 3 3 9 3" xfId="11829"/>
    <cellStyle name="Normal 3 3 9 3 2" xfId="25544"/>
    <cellStyle name="Normal 3 3 9 4" xfId="31797"/>
    <cellStyle name="Normal 3 4" xfId="7511"/>
    <cellStyle name="Normal 3 4 10" xfId="31799"/>
    <cellStyle name="Normal 3 4 11" xfId="32926"/>
    <cellStyle name="Normal 3 4 12" xfId="32986"/>
    <cellStyle name="Normal 3 4 2" xfId="7512"/>
    <cellStyle name="Normal 3 4 2 10" xfId="33014"/>
    <cellStyle name="Normal 3 4 2 2" xfId="7513"/>
    <cellStyle name="Normal 3 4 2 2 2" xfId="7514"/>
    <cellStyle name="Normal 3 4 2 2 2 2" xfId="17001"/>
    <cellStyle name="Normal 3 4 2 2 2 2 2" xfId="30408"/>
    <cellStyle name="Normal 3 4 2 2 2 3" xfId="31802"/>
    <cellStyle name="Normal 3 4 2 2 3" xfId="11578"/>
    <cellStyle name="Normal 3 4 2 2 3 2" xfId="25409"/>
    <cellStyle name="Normal 3 4 2 2 4" xfId="31801"/>
    <cellStyle name="Normal 3 4 2 3" xfId="7515"/>
    <cellStyle name="Normal 3 4 2 3 2" xfId="12389"/>
    <cellStyle name="Normal 3 4 2 3 2 2" xfId="26101"/>
    <cellStyle name="Normal 3 4 2 3 3" xfId="31803"/>
    <cellStyle name="Normal 3 4 2 4" xfId="7516"/>
    <cellStyle name="Normal 3 4 2 4 2" xfId="13953"/>
    <cellStyle name="Normal 3 4 2 4 2 2" xfId="27502"/>
    <cellStyle name="Normal 3 4 2 4 3" xfId="31804"/>
    <cellStyle name="Normal 3 4 2 5" xfId="7517"/>
    <cellStyle name="Normal 3 4 2 5 2" xfId="14534"/>
    <cellStyle name="Normal 3 4 2 5 2 2" xfId="28083"/>
    <cellStyle name="Normal 3 4 2 5 3" xfId="31805"/>
    <cellStyle name="Normal 3 4 2 6" xfId="7518"/>
    <cellStyle name="Normal 3 4 2 6 2" xfId="16420"/>
    <cellStyle name="Normal 3 4 2 6 2 2" xfId="29827"/>
    <cellStyle name="Normal 3 4 2 6 3" xfId="31806"/>
    <cellStyle name="Normal 3 4 2 7" xfId="10214"/>
    <cellStyle name="Normal 3 4 2 7 2" xfId="24417"/>
    <cellStyle name="Normal 3 4 2 8" xfId="31800"/>
    <cellStyle name="Normal 3 4 2 9" xfId="32956"/>
    <cellStyle name="Normal 3 4 3" xfId="7519"/>
    <cellStyle name="Normal 3 4 3 2" xfId="7520"/>
    <cellStyle name="Normal 3 4 3 2 2" xfId="17044"/>
    <cellStyle name="Normal 3 4 3 2 2 2" xfId="30445"/>
    <cellStyle name="Normal 3 4 3 2 3" xfId="31808"/>
    <cellStyle name="Normal 3 4 3 3" xfId="10215"/>
    <cellStyle name="Normal 3 4 3 4" xfId="31807"/>
    <cellStyle name="Normal 3 4 4" xfId="7521"/>
    <cellStyle name="Normal 3 4 4 2" xfId="11577"/>
    <cellStyle name="Normal 3 4 4 2 2" xfId="25408"/>
    <cellStyle name="Normal 3 4 4 3" xfId="31809"/>
    <cellStyle name="Normal 3 4 5" xfId="7522"/>
    <cellStyle name="Normal 3 4 5 2" xfId="13264"/>
    <cellStyle name="Normal 3 4 5 2 2" xfId="26898"/>
    <cellStyle name="Normal 3 4 5 3" xfId="31810"/>
    <cellStyle name="Normal 3 4 6" xfId="7523"/>
    <cellStyle name="Normal 3 4 6 2" xfId="15704"/>
    <cellStyle name="Normal 3 4 6 2 2" xfId="29190"/>
    <cellStyle name="Normal 3 4 6 3" xfId="31811"/>
    <cellStyle name="Normal 3 4 7" xfId="7524"/>
    <cellStyle name="Normal 3 4 7 2" xfId="15812"/>
    <cellStyle name="Normal 3 4 7 2 2" xfId="29219"/>
    <cellStyle name="Normal 3 4 7 3" xfId="31812"/>
    <cellStyle name="Normal 3 4 8" xfId="8688"/>
    <cellStyle name="Normal 3 4 8 2" xfId="17313"/>
    <cellStyle name="Normal 3 4 8 2 2" xfId="30666"/>
    <cellStyle name="Normal 3 4 8 3" xfId="23218"/>
    <cellStyle name="Normal 3 4 9" xfId="8797"/>
    <cellStyle name="Normal 3 4 9 2" xfId="23275"/>
    <cellStyle name="Normal 3 5" xfId="7525"/>
    <cellStyle name="Normal 3 5 10" xfId="32994"/>
    <cellStyle name="Normal 3 5 2" xfId="7526"/>
    <cellStyle name="Normal 3 5 2 2" xfId="11579"/>
    <cellStyle name="Normal 3 5 2 2 2" xfId="25410"/>
    <cellStyle name="Normal 3 5 2 3" xfId="31814"/>
    <cellStyle name="Normal 3 5 2 4" xfId="32957"/>
    <cellStyle name="Normal 3 5 2 5" xfId="33015"/>
    <cellStyle name="Normal 3 5 3" xfId="7527"/>
    <cellStyle name="Normal 3 5 3 2" xfId="13265"/>
    <cellStyle name="Normal 3 5 3 2 2" xfId="26899"/>
    <cellStyle name="Normal 3 5 3 3" xfId="31815"/>
    <cellStyle name="Normal 3 5 4" xfId="7528"/>
    <cellStyle name="Normal 3 5 4 2" xfId="15705"/>
    <cellStyle name="Normal 3 5 4 2 2" xfId="29191"/>
    <cellStyle name="Normal 3 5 4 3" xfId="31816"/>
    <cellStyle name="Normal 3 5 5" xfId="7529"/>
    <cellStyle name="Normal 3 5 5 2" xfId="15813"/>
    <cellStyle name="Normal 3 5 5 2 2" xfId="29220"/>
    <cellStyle name="Normal 3 5 5 3" xfId="31817"/>
    <cellStyle name="Normal 3 5 6" xfId="8703"/>
    <cellStyle name="Normal 3 5 6 2" xfId="17321"/>
    <cellStyle name="Normal 3 5 6 2 2" xfId="30674"/>
    <cellStyle name="Normal 3 5 6 3" xfId="23226"/>
    <cellStyle name="Normal 3 5 7" xfId="8805"/>
    <cellStyle name="Normal 3 5 7 2" xfId="23283"/>
    <cellStyle name="Normal 3 5 8" xfId="31813"/>
    <cellStyle name="Normal 3 5 9" xfId="32934"/>
    <cellStyle name="Normal 3 6" xfId="7530"/>
    <cellStyle name="Normal 3 6 10" xfId="32993"/>
    <cellStyle name="Normal 3 6 2" xfId="7531"/>
    <cellStyle name="Normal 3 6 2 2" xfId="11580"/>
    <cellStyle name="Normal 3 6 2 2 2" xfId="25411"/>
    <cellStyle name="Normal 3 6 2 3" xfId="31819"/>
    <cellStyle name="Normal 3 6 2 4" xfId="32958"/>
    <cellStyle name="Normal 3 6 2 5" xfId="33016"/>
    <cellStyle name="Normal 3 6 3" xfId="7532"/>
    <cellStyle name="Normal 3 6 3 2" xfId="13266"/>
    <cellStyle name="Normal 3 6 3 2 2" xfId="26900"/>
    <cellStyle name="Normal 3 6 3 3" xfId="31820"/>
    <cellStyle name="Normal 3 6 4" xfId="7533"/>
    <cellStyle name="Normal 3 6 4 2" xfId="15706"/>
    <cellStyle name="Normal 3 6 4 2 2" xfId="29192"/>
    <cellStyle name="Normal 3 6 4 3" xfId="31821"/>
    <cellStyle name="Normal 3 6 5" xfId="7534"/>
    <cellStyle name="Normal 3 6 5 2" xfId="15814"/>
    <cellStyle name="Normal 3 6 5 2 2" xfId="29221"/>
    <cellStyle name="Normal 3 6 5 3" xfId="31822"/>
    <cellStyle name="Normal 3 6 6" xfId="8701"/>
    <cellStyle name="Normal 3 6 6 2" xfId="17320"/>
    <cellStyle name="Normal 3 6 6 2 2" xfId="30673"/>
    <cellStyle name="Normal 3 6 6 3" xfId="23225"/>
    <cellStyle name="Normal 3 6 7" xfId="8804"/>
    <cellStyle name="Normal 3 6 7 2" xfId="23282"/>
    <cellStyle name="Normal 3 6 8" xfId="31818"/>
    <cellStyle name="Normal 3 6 9" xfId="32933"/>
    <cellStyle name="Normal 3 7" xfId="7535"/>
    <cellStyle name="Normal 3 7 10" xfId="32999"/>
    <cellStyle name="Normal 3 7 2" xfId="7536"/>
    <cellStyle name="Normal 3 7 2 2" xfId="11581"/>
    <cellStyle name="Normal 3 7 2 2 2" xfId="25412"/>
    <cellStyle name="Normal 3 7 2 3" xfId="31824"/>
    <cellStyle name="Normal 3 7 2 4" xfId="32959"/>
    <cellStyle name="Normal 3 7 2 5" xfId="33017"/>
    <cellStyle name="Normal 3 7 3" xfId="7537"/>
    <cellStyle name="Normal 3 7 3 2" xfId="13267"/>
    <cellStyle name="Normal 3 7 3 2 2" xfId="26901"/>
    <cellStyle name="Normal 3 7 3 3" xfId="31825"/>
    <cellStyle name="Normal 3 7 4" xfId="7538"/>
    <cellStyle name="Normal 3 7 4 2" xfId="15707"/>
    <cellStyle name="Normal 3 7 4 2 2" xfId="29193"/>
    <cellStyle name="Normal 3 7 4 3" xfId="31826"/>
    <cellStyle name="Normal 3 7 5" xfId="7539"/>
    <cellStyle name="Normal 3 7 5 2" xfId="15815"/>
    <cellStyle name="Normal 3 7 5 2 2" xfId="29222"/>
    <cellStyle name="Normal 3 7 5 3" xfId="31827"/>
    <cellStyle name="Normal 3 7 6" xfId="8714"/>
    <cellStyle name="Normal 3 7 6 2" xfId="17326"/>
    <cellStyle name="Normal 3 7 6 2 2" xfId="30679"/>
    <cellStyle name="Normal 3 7 6 3" xfId="23233"/>
    <cellStyle name="Normal 3 7 7" xfId="8810"/>
    <cellStyle name="Normal 3 7 7 2" xfId="23288"/>
    <cellStyle name="Normal 3 7 8" xfId="31823"/>
    <cellStyle name="Normal 3 7 9" xfId="32940"/>
    <cellStyle name="Normal 3 8" xfId="7540"/>
    <cellStyle name="Normal 3 8 10" xfId="33000"/>
    <cellStyle name="Normal 3 8 2" xfId="7541"/>
    <cellStyle name="Normal 3 8 2 2" xfId="11582"/>
    <cellStyle name="Normal 3 8 2 2 2" xfId="25413"/>
    <cellStyle name="Normal 3 8 2 3" xfId="31829"/>
    <cellStyle name="Normal 3 8 2 4" xfId="32960"/>
    <cellStyle name="Normal 3 8 2 5" xfId="33018"/>
    <cellStyle name="Normal 3 8 3" xfId="7542"/>
    <cellStyle name="Normal 3 8 3 2" xfId="13268"/>
    <cellStyle name="Normal 3 8 3 2 2" xfId="26902"/>
    <cellStyle name="Normal 3 8 3 3" xfId="31830"/>
    <cellStyle name="Normal 3 8 4" xfId="7543"/>
    <cellStyle name="Normal 3 8 4 2" xfId="15708"/>
    <cellStyle name="Normal 3 8 4 2 2" xfId="29194"/>
    <cellStyle name="Normal 3 8 4 3" xfId="31831"/>
    <cellStyle name="Normal 3 8 5" xfId="7544"/>
    <cellStyle name="Normal 3 8 5 2" xfId="15816"/>
    <cellStyle name="Normal 3 8 5 2 2" xfId="29223"/>
    <cellStyle name="Normal 3 8 5 3" xfId="31832"/>
    <cellStyle name="Normal 3 8 6" xfId="8716"/>
    <cellStyle name="Normal 3 8 6 2" xfId="17327"/>
    <cellStyle name="Normal 3 8 6 2 2" xfId="30680"/>
    <cellStyle name="Normal 3 8 6 3" xfId="23234"/>
    <cellStyle name="Normal 3 8 7" xfId="8811"/>
    <cellStyle name="Normal 3 8 7 2" xfId="23289"/>
    <cellStyle name="Normal 3 8 8" xfId="31828"/>
    <cellStyle name="Normal 3 8 9" xfId="32941"/>
    <cellStyle name="Normal 3 9" xfId="7545"/>
    <cellStyle name="Normal 3 9 10" xfId="33001"/>
    <cellStyle name="Normal 3 9 2" xfId="7546"/>
    <cellStyle name="Normal 3 9 2 2" xfId="11583"/>
    <cellStyle name="Normal 3 9 2 2 2" xfId="25414"/>
    <cellStyle name="Normal 3 9 2 3" xfId="31834"/>
    <cellStyle name="Normal 3 9 2 4" xfId="32961"/>
    <cellStyle name="Normal 3 9 2 5" xfId="33019"/>
    <cellStyle name="Normal 3 9 3" xfId="7547"/>
    <cellStyle name="Normal 3 9 3 2" xfId="13269"/>
    <cellStyle name="Normal 3 9 3 2 2" xfId="26903"/>
    <cellStyle name="Normal 3 9 3 3" xfId="31835"/>
    <cellStyle name="Normal 3 9 4" xfId="7548"/>
    <cellStyle name="Normal 3 9 4 2" xfId="15709"/>
    <cellStyle name="Normal 3 9 4 2 2" xfId="29195"/>
    <cellStyle name="Normal 3 9 4 3" xfId="31836"/>
    <cellStyle name="Normal 3 9 5" xfId="7549"/>
    <cellStyle name="Normal 3 9 5 2" xfId="15817"/>
    <cellStyle name="Normal 3 9 5 2 2" xfId="29224"/>
    <cellStyle name="Normal 3 9 5 3" xfId="31837"/>
    <cellStyle name="Normal 3 9 6" xfId="8717"/>
    <cellStyle name="Normal 3 9 6 2" xfId="17328"/>
    <cellStyle name="Normal 3 9 6 2 2" xfId="30681"/>
    <cellStyle name="Normal 3 9 6 3" xfId="23235"/>
    <cellStyle name="Normal 3 9 7" xfId="8812"/>
    <cellStyle name="Normal 3 9 7 2" xfId="23290"/>
    <cellStyle name="Normal 3 9 8" xfId="31833"/>
    <cellStyle name="Normal 3 9 9" xfId="32942"/>
    <cellStyle name="Normal 30" xfId="33111"/>
    <cellStyle name="Normal 34" xfId="7550"/>
    <cellStyle name="Normal 34 2" xfId="17045"/>
    <cellStyle name="Normal 34 3" xfId="31838"/>
    <cellStyle name="Normal 4" xfId="7551"/>
    <cellStyle name="Normal 4 10" xfId="8790"/>
    <cellStyle name="Normal 4 10 2" xfId="23268"/>
    <cellStyle name="Normal 4 11" xfId="32912"/>
    <cellStyle name="Normal 4 12" xfId="32975"/>
    <cellStyle name="Normal 4 2" xfId="7552"/>
    <cellStyle name="Normal 4 2 10" xfId="8794"/>
    <cellStyle name="Normal 4 2 10 2" xfId="23272"/>
    <cellStyle name="Normal 4 2 11" xfId="32923"/>
    <cellStyle name="Normal 4 2 12" xfId="32983"/>
    <cellStyle name="Normal 4 2 13" xfId="33040"/>
    <cellStyle name="Normal 4 2 2" xfId="7553"/>
    <cellStyle name="Normal 4 2 2 2" xfId="7554"/>
    <cellStyle name="Normal 4 2 2 2 2" xfId="11730"/>
    <cellStyle name="Normal 4 2 2 2 2 2" xfId="25449"/>
    <cellStyle name="Normal 4 2 2 2 3" xfId="31839"/>
    <cellStyle name="Normal 4 2 2 3" xfId="7555"/>
    <cellStyle name="Normal 4 2 2 3 2" xfId="17046"/>
    <cellStyle name="Normal 4 2 2 3 2 2" xfId="30446"/>
    <cellStyle name="Normal 4 2 2 3 3" xfId="31840"/>
    <cellStyle name="Normal 4 2 2 4" xfId="10216"/>
    <cellStyle name="Normal 4 2 2 5" xfId="32963"/>
    <cellStyle name="Normal 4 2 2 6" xfId="33021"/>
    <cellStyle name="Normal 4 2 3" xfId="7556"/>
    <cellStyle name="Normal 4 2 3 2" xfId="7557"/>
    <cellStyle name="Normal 4 2 3 2 2" xfId="10218"/>
    <cellStyle name="Normal 4 2 3 3" xfId="7558"/>
    <cellStyle name="Normal 4 2 3 3 2" xfId="13271"/>
    <cellStyle name="Normal 4 2 3 4" xfId="10217"/>
    <cellStyle name="Normal 4 2 4" xfId="7559"/>
    <cellStyle name="Normal 4 2 4 2" xfId="7560"/>
    <cellStyle name="Normal 4 2 4 2 2" xfId="13272"/>
    <cellStyle name="Normal 4 2 4 3" xfId="10523"/>
    <cellStyle name="Normal 4 2 5" xfId="7561"/>
    <cellStyle name="Normal 4 2 5 2" xfId="7562"/>
    <cellStyle name="Normal 4 2 5 2 2" xfId="13273"/>
    <cellStyle name="Normal 4 2 5 2 2 2" xfId="26905"/>
    <cellStyle name="Normal 4 2 5 2 3" xfId="31842"/>
    <cellStyle name="Normal 4 2 5 3" xfId="7563"/>
    <cellStyle name="Normal 4 2 5 3 2" xfId="15711"/>
    <cellStyle name="Normal 4 2 5 3 2 2" xfId="29197"/>
    <cellStyle name="Normal 4 2 5 3 3" xfId="31843"/>
    <cellStyle name="Normal 4 2 5 4" xfId="11585"/>
    <cellStyle name="Normal 4 2 5 4 2" xfId="25416"/>
    <cellStyle name="Normal 4 2 5 5" xfId="31841"/>
    <cellStyle name="Normal 4 2 6" xfId="7564"/>
    <cellStyle name="Normal 4 2 6 2" xfId="13270"/>
    <cellStyle name="Normal 4 2 6 2 2" xfId="26904"/>
    <cellStyle name="Normal 4 2 6 3" xfId="31844"/>
    <cellStyle name="Normal 4 2 7" xfId="7565"/>
    <cellStyle name="Normal 4 2 7 2" xfId="15710"/>
    <cellStyle name="Normal 4 2 7 2 2" xfId="29196"/>
    <cellStyle name="Normal 4 2 7 3" xfId="31845"/>
    <cellStyle name="Normal 4 2 8" xfId="7566"/>
    <cellStyle name="Normal 4 2 8 2" xfId="15819"/>
    <cellStyle name="Normal 4 2 8 2 2" xfId="29226"/>
    <cellStyle name="Normal 4 2 8 3" xfId="31846"/>
    <cellStyle name="Normal 4 2 9" xfId="8685"/>
    <cellStyle name="Normal 4 2 9 2" xfId="17310"/>
    <cellStyle name="Normal 4 2 9 2 2" xfId="30663"/>
    <cellStyle name="Normal 4 2 9 3" xfId="23215"/>
    <cellStyle name="Normal 4 3" xfId="7567"/>
    <cellStyle name="Normal 4 3 10" xfId="8798"/>
    <cellStyle name="Normal 4 3 10 2" xfId="23276"/>
    <cellStyle name="Normal 4 3 11" xfId="32927"/>
    <cellStyle name="Normal 4 3 12" xfId="32987"/>
    <cellStyle name="Normal 4 3 2" xfId="7568"/>
    <cellStyle name="Normal 4 3 2 2" xfId="7569"/>
    <cellStyle name="Normal 4 3 2 2 2" xfId="11731"/>
    <cellStyle name="Normal 4 3 2 2 2 2" xfId="25450"/>
    <cellStyle name="Normal 4 3 2 2 3" xfId="31847"/>
    <cellStyle name="Normal 4 3 2 3" xfId="7570"/>
    <cellStyle name="Normal 4 3 2 3 2" xfId="17047"/>
    <cellStyle name="Normal 4 3 2 3 2 2" xfId="30447"/>
    <cellStyle name="Normal 4 3 2 3 3" xfId="31848"/>
    <cellStyle name="Normal 4 3 2 4" xfId="10219"/>
    <cellStyle name="Normal 4 3 2 5" xfId="32964"/>
    <cellStyle name="Normal 4 3 2 6" xfId="33022"/>
    <cellStyle name="Normal 4 3 3" xfId="7571"/>
    <cellStyle name="Normal 4 3 3 2" xfId="7572"/>
    <cellStyle name="Normal 4 3 3 2 2" xfId="10221"/>
    <cellStyle name="Normal 4 3 3 3" xfId="7573"/>
    <cellStyle name="Normal 4 3 3 3 2" xfId="13275"/>
    <cellStyle name="Normal 4 3 3 4" xfId="10220"/>
    <cellStyle name="Normal 4 3 4" xfId="7574"/>
    <cellStyle name="Normal 4 3 4 2" xfId="7575"/>
    <cellStyle name="Normal 4 3 4 2 2" xfId="13276"/>
    <cellStyle name="Normal 4 3 4 3" xfId="10524"/>
    <cellStyle name="Normal 4 3 5" xfId="7576"/>
    <cellStyle name="Normal 4 3 5 2" xfId="7577"/>
    <cellStyle name="Normal 4 3 5 2 2" xfId="13277"/>
    <cellStyle name="Normal 4 3 5 2 2 2" xfId="26907"/>
    <cellStyle name="Normal 4 3 5 2 3" xfId="31850"/>
    <cellStyle name="Normal 4 3 5 3" xfId="7578"/>
    <cellStyle name="Normal 4 3 5 3 2" xfId="15713"/>
    <cellStyle name="Normal 4 3 5 3 2 2" xfId="29199"/>
    <cellStyle name="Normal 4 3 5 3 3" xfId="31851"/>
    <cellStyle name="Normal 4 3 5 4" xfId="11586"/>
    <cellStyle name="Normal 4 3 5 4 2" xfId="25417"/>
    <cellStyle name="Normal 4 3 5 5" xfId="31849"/>
    <cellStyle name="Normal 4 3 6" xfId="7579"/>
    <cellStyle name="Normal 4 3 6 2" xfId="13274"/>
    <cellStyle name="Normal 4 3 6 2 2" xfId="26906"/>
    <cellStyle name="Normal 4 3 6 3" xfId="31852"/>
    <cellStyle name="Normal 4 3 7" xfId="7580"/>
    <cellStyle name="Normal 4 3 7 2" xfId="15712"/>
    <cellStyle name="Normal 4 3 7 2 2" xfId="29198"/>
    <cellStyle name="Normal 4 3 7 3" xfId="31853"/>
    <cellStyle name="Normal 4 3 8" xfId="7581"/>
    <cellStyle name="Normal 4 3 8 2" xfId="15820"/>
    <cellStyle name="Normal 4 3 8 2 2" xfId="29227"/>
    <cellStyle name="Normal 4 3 8 3" xfId="31854"/>
    <cellStyle name="Normal 4 3 9" xfId="8689"/>
    <cellStyle name="Normal 4 3 9 2" xfId="17314"/>
    <cellStyle name="Normal 4 3 9 2 2" xfId="30667"/>
    <cellStyle name="Normal 4 3 9 3" xfId="23219"/>
    <cellStyle name="Normal 4 4" xfId="7582"/>
    <cellStyle name="Normal 4 4 10" xfId="32935"/>
    <cellStyle name="Normal 4 4 11" xfId="32995"/>
    <cellStyle name="Normal 4 4 2" xfId="7583"/>
    <cellStyle name="Normal 4 4 2 2" xfId="7584"/>
    <cellStyle name="Normal 4 4 2 2 2" xfId="17048"/>
    <cellStyle name="Normal 4 4 2 2 2 2" xfId="30448"/>
    <cellStyle name="Normal 4 4 2 2 3" xfId="31857"/>
    <cellStyle name="Normal 4 4 2 3" xfId="10222"/>
    <cellStyle name="Normal 4 4 2 4" xfId="31856"/>
    <cellStyle name="Normal 4 4 2 5" xfId="32965"/>
    <cellStyle name="Normal 4 4 2 6" xfId="33023"/>
    <cellStyle name="Normal 4 4 3" xfId="7585"/>
    <cellStyle name="Normal 4 4 3 2" xfId="11587"/>
    <cellStyle name="Normal 4 4 3 2 2" xfId="25418"/>
    <cellStyle name="Normal 4 4 3 3" xfId="31858"/>
    <cellStyle name="Normal 4 4 4" xfId="7586"/>
    <cellStyle name="Normal 4 4 4 2" xfId="13278"/>
    <cellStyle name="Normal 4 4 4 2 2" xfId="26908"/>
    <cellStyle name="Normal 4 4 4 3" xfId="31859"/>
    <cellStyle name="Normal 4 4 5" xfId="7587"/>
    <cellStyle name="Normal 4 4 5 2" xfId="15714"/>
    <cellStyle name="Normal 4 4 5 2 2" xfId="29200"/>
    <cellStyle name="Normal 4 4 5 3" xfId="31860"/>
    <cellStyle name="Normal 4 4 6" xfId="7588"/>
    <cellStyle name="Normal 4 4 6 2" xfId="15821"/>
    <cellStyle name="Normal 4 4 6 2 2" xfId="29228"/>
    <cellStyle name="Normal 4 4 6 3" xfId="31861"/>
    <cellStyle name="Normal 4 4 7" xfId="8704"/>
    <cellStyle name="Normal 4 4 7 2" xfId="17322"/>
    <cellStyle name="Normal 4 4 7 2 2" xfId="30675"/>
    <cellStyle name="Normal 4 4 7 3" xfId="23227"/>
    <cellStyle name="Normal 4 4 8" xfId="8806"/>
    <cellStyle name="Normal 4 4 8 2" xfId="23284"/>
    <cellStyle name="Normal 4 4 9" xfId="31855"/>
    <cellStyle name="Normal 4 5" xfId="7589"/>
    <cellStyle name="Normal 4 5 10" xfId="7590"/>
    <cellStyle name="Normal 4 5 10 2" xfId="16421"/>
    <cellStyle name="Normal 4 5 10 2 2" xfId="29828"/>
    <cellStyle name="Normal 4 5 10 3" xfId="31863"/>
    <cellStyle name="Normal 4 5 11" xfId="8692"/>
    <cellStyle name="Normal 4 5 11 2" xfId="17317"/>
    <cellStyle name="Normal 4 5 11 2 2" xfId="30670"/>
    <cellStyle name="Normal 4 5 11 3" xfId="23222"/>
    <cellStyle name="Normal 4 5 12" xfId="8801"/>
    <cellStyle name="Normal 4 5 12 2" xfId="23279"/>
    <cellStyle name="Normal 4 5 13" xfId="31862"/>
    <cellStyle name="Normal 4 5 14" xfId="32930"/>
    <cellStyle name="Normal 4 5 15" xfId="32990"/>
    <cellStyle name="Normal 4 5 2" xfId="7591"/>
    <cellStyle name="Normal 4 5 2 2" xfId="7592"/>
    <cellStyle name="Normal 4 5 2 2 2" xfId="11589"/>
    <cellStyle name="Normal 4 5 2 2 2 2" xfId="25420"/>
    <cellStyle name="Normal 4 5 2 2 3" xfId="31865"/>
    <cellStyle name="Normal 4 5 2 3" xfId="7593"/>
    <cellStyle name="Normal 4 5 2 3 2" xfId="13280"/>
    <cellStyle name="Normal 4 5 2 3 2 2" xfId="26910"/>
    <cellStyle name="Normal 4 5 2 3 3" xfId="31866"/>
    <cellStyle name="Normal 4 5 2 4" xfId="7594"/>
    <cellStyle name="Normal 4 5 2 4 2" xfId="15716"/>
    <cellStyle name="Normal 4 5 2 4 2 2" xfId="29202"/>
    <cellStyle name="Normal 4 5 2 4 3" xfId="31867"/>
    <cellStyle name="Normal 4 5 2 5" xfId="7595"/>
    <cellStyle name="Normal 4 5 2 5 2" xfId="17002"/>
    <cellStyle name="Normal 4 5 2 5 2 2" xfId="30409"/>
    <cellStyle name="Normal 4 5 2 5 3" xfId="31868"/>
    <cellStyle name="Normal 4 5 2 6" xfId="10223"/>
    <cellStyle name="Normal 4 5 2 6 2" xfId="24418"/>
    <cellStyle name="Normal 4 5 2 7" xfId="31864"/>
    <cellStyle name="Normal 4 5 2 8" xfId="32966"/>
    <cellStyle name="Normal 4 5 2 9" xfId="33024"/>
    <cellStyle name="Normal 4 5 3" xfId="7596"/>
    <cellStyle name="Normal 4 5 3 2" xfId="11588"/>
    <cellStyle name="Normal 4 5 3 2 2" xfId="25419"/>
    <cellStyle name="Normal 4 5 3 3" xfId="31869"/>
    <cellStyle name="Normal 4 5 4" xfId="7597"/>
    <cellStyle name="Normal 4 5 4 2" xfId="12390"/>
    <cellStyle name="Normal 4 5 4 2 2" xfId="26102"/>
    <cellStyle name="Normal 4 5 4 3" xfId="31870"/>
    <cellStyle name="Normal 4 5 5" xfId="7598"/>
    <cellStyle name="Normal 4 5 5 2" xfId="13279"/>
    <cellStyle name="Normal 4 5 5 2 2" xfId="26909"/>
    <cellStyle name="Normal 4 5 5 3" xfId="31871"/>
    <cellStyle name="Normal 4 5 6" xfId="7599"/>
    <cellStyle name="Normal 4 5 6 2" xfId="13954"/>
    <cellStyle name="Normal 4 5 6 2 2" xfId="27503"/>
    <cellStyle name="Normal 4 5 6 3" xfId="31872"/>
    <cellStyle name="Normal 4 5 7" xfId="7600"/>
    <cellStyle name="Normal 4 5 7 2" xfId="14535"/>
    <cellStyle name="Normal 4 5 7 2 2" xfId="28084"/>
    <cellStyle name="Normal 4 5 7 3" xfId="31873"/>
    <cellStyle name="Normal 4 5 8" xfId="7601"/>
    <cellStyle name="Normal 4 5 8 2" xfId="15715"/>
    <cellStyle name="Normal 4 5 8 2 2" xfId="29201"/>
    <cellStyle name="Normal 4 5 8 3" xfId="31874"/>
    <cellStyle name="Normal 4 5 9" xfId="7602"/>
    <cellStyle name="Normal 4 5 9 2" xfId="15822"/>
    <cellStyle name="Normal 4 5 9 2 2" xfId="29229"/>
    <cellStyle name="Normal 4 5 9 3" xfId="31875"/>
    <cellStyle name="Normal 4 6" xfId="7603"/>
    <cellStyle name="Normal 4 6 2" xfId="7604"/>
    <cellStyle name="Normal 4 6 2 2" xfId="10225"/>
    <cellStyle name="Normal 4 6 2 3" xfId="32967"/>
    <cellStyle name="Normal 4 6 3" xfId="7605"/>
    <cellStyle name="Normal 4 6 3 2" xfId="11729"/>
    <cellStyle name="Normal 4 6 3 2 2" xfId="25448"/>
    <cellStyle name="Normal 4 6 3 3" xfId="31876"/>
    <cellStyle name="Normal 4 6 4" xfId="7606"/>
    <cellStyle name="Normal 4 6 4 2" xfId="17346"/>
    <cellStyle name="Normal 4 6 4 3" xfId="31877"/>
    <cellStyle name="Normal 4 6 5" xfId="8742"/>
    <cellStyle name="Normal 4 6 6" xfId="10224"/>
    <cellStyle name="Normal 4 6 7" xfId="32919"/>
    <cellStyle name="Normal 4 6 8" xfId="32979"/>
    <cellStyle name="Normal 4 7" xfId="7607"/>
    <cellStyle name="Normal 4 7 2" xfId="7608"/>
    <cellStyle name="Normal 4 7 2 2" xfId="13281"/>
    <cellStyle name="Normal 4 7 2 2 2" xfId="26911"/>
    <cellStyle name="Normal 4 7 2 3" xfId="31879"/>
    <cellStyle name="Normal 4 7 3" xfId="7609"/>
    <cellStyle name="Normal 4 7 3 2" xfId="15717"/>
    <cellStyle name="Normal 4 7 3 2 2" xfId="29203"/>
    <cellStyle name="Normal 4 7 3 3" xfId="31880"/>
    <cellStyle name="Normal 4 7 4" xfId="11584"/>
    <cellStyle name="Normal 4 7 4 2" xfId="25415"/>
    <cellStyle name="Normal 4 7 5" xfId="31878"/>
    <cellStyle name="Normal 4 7 6" xfId="32944"/>
    <cellStyle name="Normal 4 7 7" xfId="33002"/>
    <cellStyle name="Normal 4 8" xfId="7610"/>
    <cellStyle name="Normal 4 8 2" xfId="15818"/>
    <cellStyle name="Normal 4 8 2 2" xfId="29225"/>
    <cellStyle name="Normal 4 8 3" xfId="31881"/>
    <cellStyle name="Normal 4 8 4" xfId="32962"/>
    <cellStyle name="Normal 4 8 5" xfId="33020"/>
    <cellStyle name="Normal 4 9" xfId="8681"/>
    <cellStyle name="Normal 4 9 2" xfId="17306"/>
    <cellStyle name="Normal 4 9 2 2" xfId="30659"/>
    <cellStyle name="Normal 4 9 3" xfId="23211"/>
    <cellStyle name="Normal 5" xfId="7611"/>
    <cellStyle name="Normal 5 10" xfId="7612"/>
    <cellStyle name="Normal 5 10 2" xfId="15823"/>
    <cellStyle name="Normal 5 10 2 2" xfId="29230"/>
    <cellStyle name="Normal 5 10 3" xfId="31882"/>
    <cellStyle name="Normal 5 11" xfId="8682"/>
    <cellStyle name="Normal 5 11 2" xfId="17307"/>
    <cellStyle name="Normal 5 11 2 2" xfId="30660"/>
    <cellStyle name="Normal 5 11 3" xfId="23212"/>
    <cellStyle name="Normal 5 12" xfId="8791"/>
    <cellStyle name="Normal 5 12 2" xfId="23269"/>
    <cellStyle name="Normal 5 2" xfId="7613"/>
    <cellStyle name="Normal 5 2 10" xfId="32984"/>
    <cellStyle name="Normal 5 2 11" xfId="33041"/>
    <cellStyle name="Normal 5 2 2" xfId="7614"/>
    <cellStyle name="Normal 5 2 2 2" xfId="11591"/>
    <cellStyle name="Normal 5 2 2 2 2" xfId="25422"/>
    <cellStyle name="Normal 5 2 2 3" xfId="31883"/>
    <cellStyle name="Normal 5 2 2 4" xfId="32969"/>
    <cellStyle name="Normal 5 2 2 5" xfId="33026"/>
    <cellStyle name="Normal 5 2 3" xfId="7615"/>
    <cellStyle name="Normal 5 2 3 2" xfId="13283"/>
    <cellStyle name="Normal 5 2 3 2 2" xfId="26913"/>
    <cellStyle name="Normal 5 2 3 3" xfId="31884"/>
    <cellStyle name="Normal 5 2 4" xfId="7616"/>
    <cellStyle name="Normal 5 2 4 2" xfId="15719"/>
    <cellStyle name="Normal 5 2 4 2 2" xfId="29205"/>
    <cellStyle name="Normal 5 2 4 3" xfId="31885"/>
    <cellStyle name="Normal 5 2 5" xfId="7617"/>
    <cellStyle name="Normal 5 2 5 2" xfId="15824"/>
    <cellStyle name="Normal 5 2 5 2 2" xfId="29231"/>
    <cellStyle name="Normal 5 2 5 3" xfId="31886"/>
    <cellStyle name="Normal 5 2 6" xfId="7618"/>
    <cellStyle name="Normal 5 2 6 2" xfId="17049"/>
    <cellStyle name="Normal 5 2 7" xfId="8686"/>
    <cellStyle name="Normal 5 2 7 2" xfId="17311"/>
    <cellStyle name="Normal 5 2 7 2 2" xfId="30664"/>
    <cellStyle name="Normal 5 2 7 3" xfId="23216"/>
    <cellStyle name="Normal 5 2 8" xfId="8795"/>
    <cellStyle name="Normal 5 2 8 2" xfId="23273"/>
    <cellStyle name="Normal 5 2 9" xfId="32924"/>
    <cellStyle name="Normal 5 3" xfId="7619"/>
    <cellStyle name="Normal 5 3 10" xfId="32988"/>
    <cellStyle name="Normal 5 3 2" xfId="7620"/>
    <cellStyle name="Normal 5 3 2 2" xfId="11592"/>
    <cellStyle name="Normal 5 3 2 2 2" xfId="25423"/>
    <cellStyle name="Normal 5 3 2 3" xfId="31888"/>
    <cellStyle name="Normal 5 3 2 4" xfId="32970"/>
    <cellStyle name="Normal 5 3 2 5" xfId="33027"/>
    <cellStyle name="Normal 5 3 3" xfId="7621"/>
    <cellStyle name="Normal 5 3 3 2" xfId="13284"/>
    <cellStyle name="Normal 5 3 3 2 2" xfId="26914"/>
    <cellStyle name="Normal 5 3 3 3" xfId="31889"/>
    <cellStyle name="Normal 5 3 4" xfId="7622"/>
    <cellStyle name="Normal 5 3 4 2" xfId="15720"/>
    <cellStyle name="Normal 5 3 4 2 2" xfId="29206"/>
    <cellStyle name="Normal 5 3 4 3" xfId="31890"/>
    <cellStyle name="Normal 5 3 5" xfId="7623"/>
    <cellStyle name="Normal 5 3 5 2" xfId="15825"/>
    <cellStyle name="Normal 5 3 5 2 2" xfId="29232"/>
    <cellStyle name="Normal 5 3 5 3" xfId="31891"/>
    <cellStyle name="Normal 5 3 6" xfId="8690"/>
    <cellStyle name="Normal 5 3 6 2" xfId="17315"/>
    <cellStyle name="Normal 5 3 6 2 2" xfId="30668"/>
    <cellStyle name="Normal 5 3 6 3" xfId="23220"/>
    <cellStyle name="Normal 5 3 7" xfId="8799"/>
    <cellStyle name="Normal 5 3 7 2" xfId="23277"/>
    <cellStyle name="Normal 5 3 8" xfId="31887"/>
    <cellStyle name="Normal 5 3 9" xfId="32928"/>
    <cellStyle name="Normal 5 4" xfId="7624"/>
    <cellStyle name="Normal 5 4 10" xfId="32996"/>
    <cellStyle name="Normal 5 4 2" xfId="7625"/>
    <cellStyle name="Normal 5 4 2 2" xfId="11593"/>
    <cellStyle name="Normal 5 4 2 2 2" xfId="25424"/>
    <cellStyle name="Normal 5 4 2 3" xfId="31893"/>
    <cellStyle name="Normal 5 4 2 4" xfId="32971"/>
    <cellStyle name="Normal 5 4 2 5" xfId="33028"/>
    <cellStyle name="Normal 5 4 3" xfId="7626"/>
    <cellStyle name="Normal 5 4 3 2" xfId="13285"/>
    <cellStyle name="Normal 5 4 3 2 2" xfId="26915"/>
    <cellStyle name="Normal 5 4 3 3" xfId="31894"/>
    <cellStyle name="Normal 5 4 4" xfId="7627"/>
    <cellStyle name="Normal 5 4 4 2" xfId="15721"/>
    <cellStyle name="Normal 5 4 4 2 2" xfId="29207"/>
    <cellStyle name="Normal 5 4 4 3" xfId="31895"/>
    <cellStyle name="Normal 5 4 5" xfId="7628"/>
    <cellStyle name="Normal 5 4 5 2" xfId="15826"/>
    <cellStyle name="Normal 5 4 5 2 2" xfId="29233"/>
    <cellStyle name="Normal 5 4 5 3" xfId="31896"/>
    <cellStyle name="Normal 5 4 6" xfId="8705"/>
    <cellStyle name="Normal 5 4 6 2" xfId="17323"/>
    <cellStyle name="Normal 5 4 6 2 2" xfId="30676"/>
    <cellStyle name="Normal 5 4 6 3" xfId="23228"/>
    <cellStyle name="Normal 5 4 7" xfId="8807"/>
    <cellStyle name="Normal 5 4 7 2" xfId="23285"/>
    <cellStyle name="Normal 5 4 8" xfId="31892"/>
    <cellStyle name="Normal 5 4 9" xfId="32936"/>
    <cellStyle name="Normal 5 5" xfId="7629"/>
    <cellStyle name="Normal 5 5 10" xfId="32991"/>
    <cellStyle name="Normal 5 5 2" xfId="7630"/>
    <cellStyle name="Normal 5 5 2 2" xfId="11594"/>
    <cellStyle name="Normal 5 5 2 2 2" xfId="25425"/>
    <cellStyle name="Normal 5 5 2 3" xfId="31898"/>
    <cellStyle name="Normal 5 5 2 4" xfId="32972"/>
    <cellStyle name="Normal 5 5 2 5" xfId="33029"/>
    <cellStyle name="Normal 5 5 3" xfId="7631"/>
    <cellStyle name="Normal 5 5 3 2" xfId="13286"/>
    <cellStyle name="Normal 5 5 3 2 2" xfId="26916"/>
    <cellStyle name="Normal 5 5 3 3" xfId="31899"/>
    <cellStyle name="Normal 5 5 4" xfId="7632"/>
    <cellStyle name="Normal 5 5 4 2" xfId="15722"/>
    <cellStyle name="Normal 5 5 4 2 2" xfId="29208"/>
    <cellStyle name="Normal 5 5 4 3" xfId="31900"/>
    <cellStyle name="Normal 5 5 5" xfId="7633"/>
    <cellStyle name="Normal 5 5 5 2" xfId="15827"/>
    <cellStyle name="Normal 5 5 5 2 2" xfId="29234"/>
    <cellStyle name="Normal 5 5 5 3" xfId="31901"/>
    <cellStyle name="Normal 5 5 6" xfId="8695"/>
    <cellStyle name="Normal 5 5 6 2" xfId="17318"/>
    <cellStyle name="Normal 5 5 6 2 2" xfId="30671"/>
    <cellStyle name="Normal 5 5 6 3" xfId="23223"/>
    <cellStyle name="Normal 5 5 7" xfId="8802"/>
    <cellStyle name="Normal 5 5 7 2" xfId="23280"/>
    <cellStyle name="Normal 5 5 8" xfId="31897"/>
    <cellStyle name="Normal 5 5 9" xfId="32931"/>
    <cellStyle name="Normal 5 6" xfId="7634"/>
    <cellStyle name="Normal 5 6 2" xfId="7635"/>
    <cellStyle name="Normal 5 6 2 2" xfId="11691"/>
    <cellStyle name="Normal 5 6 2 2 2" xfId="25428"/>
    <cellStyle name="Normal 5 6 2 3" xfId="31903"/>
    <cellStyle name="Normal 5 6 2 4" xfId="32973"/>
    <cellStyle name="Normal 5 6 3" xfId="7636"/>
    <cellStyle name="Normal 5 6 3 2" xfId="17347"/>
    <cellStyle name="Normal 5 6 3 3" xfId="31904"/>
    <cellStyle name="Normal 5 6 4" xfId="8743"/>
    <cellStyle name="Normal 5 6 5" xfId="10226"/>
    <cellStyle name="Normal 5 6 6" xfId="31902"/>
    <cellStyle name="Normal 5 6 7" xfId="32920"/>
    <cellStyle name="Normal 5 6 8" xfId="32980"/>
    <cellStyle name="Normal 5 7" xfId="7637"/>
    <cellStyle name="Normal 5 7 2" xfId="7638"/>
    <cellStyle name="Normal 5 7 2 2" xfId="13287"/>
    <cellStyle name="Normal 5 7 2 2 2" xfId="26917"/>
    <cellStyle name="Normal 5 7 2 3" xfId="31906"/>
    <cellStyle name="Normal 5 7 3" xfId="7639"/>
    <cellStyle name="Normal 5 7 3 2" xfId="15723"/>
    <cellStyle name="Normal 5 7 3 2 2" xfId="29209"/>
    <cellStyle name="Normal 5 7 3 3" xfId="31907"/>
    <cellStyle name="Normal 5 7 4" xfId="11590"/>
    <cellStyle name="Normal 5 7 4 2" xfId="25421"/>
    <cellStyle name="Normal 5 7 5" xfId="31905"/>
    <cellStyle name="Normal 5 7 6" xfId="32968"/>
    <cellStyle name="Normal 5 7 7" xfId="33025"/>
    <cellStyle name="Normal 5 8" xfId="7640"/>
    <cellStyle name="Normal 5 8 2" xfId="13282"/>
    <cellStyle name="Normal 5 8 2 2" xfId="26912"/>
    <cellStyle name="Normal 5 8 3" xfId="31908"/>
    <cellStyle name="Normal 5 9" xfId="7641"/>
    <cellStyle name="Normal 5 9 2" xfId="15718"/>
    <cellStyle name="Normal 5 9 2 2" xfId="29204"/>
    <cellStyle name="Normal 5 9 3" xfId="31909"/>
    <cellStyle name="Normal 55" xfId="7642"/>
    <cellStyle name="Normal 55 2" xfId="7643"/>
    <cellStyle name="Normal 55 2 2" xfId="7644"/>
    <cellStyle name="Normal 55 2 2 2" xfId="17050"/>
    <cellStyle name="Normal 55 2 2 2 2" xfId="30449"/>
    <cellStyle name="Normal 55 2 2 3" xfId="31912"/>
    <cellStyle name="Normal 55 2 3" xfId="11595"/>
    <cellStyle name="Normal 55 2 3 2" xfId="25426"/>
    <cellStyle name="Normal 55 2 4" xfId="31911"/>
    <cellStyle name="Normal 55 3" xfId="7645"/>
    <cellStyle name="Normal 55 3 2" xfId="7646"/>
    <cellStyle name="Normal 55 3 2 2" xfId="17005"/>
    <cellStyle name="Normal 55 3 2 2 2" xfId="30412"/>
    <cellStyle name="Normal 55 3 2 3" xfId="31914"/>
    <cellStyle name="Normal 55 3 3" xfId="12394"/>
    <cellStyle name="Normal 55 3 3 2" xfId="26106"/>
    <cellStyle name="Normal 55 3 4" xfId="31913"/>
    <cellStyle name="Normal 55 4" xfId="7647"/>
    <cellStyle name="Normal 55 4 2" xfId="13957"/>
    <cellStyle name="Normal 55 4 2 2" xfId="27506"/>
    <cellStyle name="Normal 55 4 3" xfId="31915"/>
    <cellStyle name="Normal 55 5" xfId="7648"/>
    <cellStyle name="Normal 55 5 2" xfId="14538"/>
    <cellStyle name="Normal 55 5 2 2" xfId="28087"/>
    <cellStyle name="Normal 55 5 3" xfId="31916"/>
    <cellStyle name="Normal 55 6" xfId="7649"/>
    <cellStyle name="Normal 55 6 2" xfId="16424"/>
    <cellStyle name="Normal 55 6 2 2" xfId="29831"/>
    <cellStyle name="Normal 55 6 3" xfId="31917"/>
    <cellStyle name="Normal 55 7" xfId="10227"/>
    <cellStyle name="Normal 55 7 2" xfId="24419"/>
    <cellStyle name="Normal 55 8" xfId="31910"/>
    <cellStyle name="Normal 6" xfId="7650"/>
    <cellStyle name="Normal 6 2" xfId="7651"/>
    <cellStyle name="Normal 6 2 2" xfId="7652"/>
    <cellStyle name="Normal 6 2 2 2" xfId="10229"/>
    <cellStyle name="Normal 6 2 2 3" xfId="31918"/>
    <cellStyle name="Normal 6 2 2 4" xfId="33094"/>
    <cellStyle name="Normal 6 2 3" xfId="7653"/>
    <cellStyle name="Normal 6 2 3 2" xfId="17348"/>
    <cellStyle name="Normal 6 2 3 3" xfId="31919"/>
    <cellStyle name="Normal 6 2 4" xfId="8744"/>
    <cellStyle name="Normal 6 2 5" xfId="10228"/>
    <cellStyle name="Normal 6 2 6" xfId="33042"/>
    <cellStyle name="Normal 6 3" xfId="7654"/>
    <cellStyle name="Normal 6 3 2" xfId="7655"/>
    <cellStyle name="Normal 6 3 2 2" xfId="17371"/>
    <cellStyle name="Normal 6 3 2 3" xfId="31920"/>
    <cellStyle name="Normal 6 3 3" xfId="8745"/>
    <cellStyle name="Normal 6 3 4" xfId="11596"/>
    <cellStyle name="Normal 6 3 5" xfId="33087"/>
    <cellStyle name="Normal 6 4" xfId="8707"/>
    <cellStyle name="Normal 7" xfId="7656"/>
    <cellStyle name="Normal 7 2" xfId="7657"/>
    <cellStyle name="Normal 7 2 2" xfId="7658"/>
    <cellStyle name="Normal 7 2 2 2" xfId="11732"/>
    <cellStyle name="Normal 7 2 2 3" xfId="31923"/>
    <cellStyle name="Normal 7 2 3" xfId="7659"/>
    <cellStyle name="Normal 7 2 3 2" xfId="17349"/>
    <cellStyle name="Normal 7 2 3 3" xfId="31924"/>
    <cellStyle name="Normal 7 2 4" xfId="8746"/>
    <cellStyle name="Normal 7 2 5" xfId="10230"/>
    <cellStyle name="Normal 7 2 6" xfId="31922"/>
    <cellStyle name="Normal 7 3" xfId="7660"/>
    <cellStyle name="Normal 7 3 2" xfId="11597"/>
    <cellStyle name="Normal 7 3 3" xfId="31925"/>
    <cellStyle name="Normal 7 4" xfId="8698"/>
    <cellStyle name="Normal 7 5" xfId="31921"/>
    <cellStyle name="Normal 8" xfId="7661"/>
    <cellStyle name="Normal 8 2" xfId="7662"/>
    <cellStyle name="Normal 8 2 2" xfId="7663"/>
    <cellStyle name="Normal 8 2 2 2" xfId="17350"/>
    <cellStyle name="Normal 8 2 3" xfId="8747"/>
    <cellStyle name="Normal 8 2 4" xfId="10231"/>
    <cellStyle name="Normal 8 3" xfId="7664"/>
    <cellStyle name="Normal 8 3 2" xfId="7665"/>
    <cellStyle name="Normal 8 3 2 2" xfId="11737"/>
    <cellStyle name="Normal 8 3 2 3" xfId="31927"/>
    <cellStyle name="Normal 8 3 3" xfId="10232"/>
    <cellStyle name="Normal 8 3 4" xfId="31926"/>
    <cellStyle name="Normal 8 4" xfId="7666"/>
    <cellStyle name="Normal 8 4 2" xfId="11598"/>
    <cellStyle name="Normal 8 4 3" xfId="31928"/>
    <cellStyle name="Normal 8 5" xfId="8708"/>
    <cellStyle name="Normal 9" xfId="7667"/>
    <cellStyle name="Normal 9 2" xfId="7668"/>
    <cellStyle name="Normal 9 2 2" xfId="7669"/>
    <cellStyle name="Normal 9 2 2 2" xfId="7670"/>
    <cellStyle name="Normal 9 2 2 2 2" xfId="17051"/>
    <cellStyle name="Normal 9 2 2 2 2 2" xfId="30450"/>
    <cellStyle name="Normal 9 2 2 2 3" xfId="31931"/>
    <cellStyle name="Normal 9 2 2 3" xfId="11599"/>
    <cellStyle name="Normal 9 2 2 3 2" xfId="25427"/>
    <cellStyle name="Normal 9 2 2 4" xfId="31930"/>
    <cellStyle name="Normal 9 2 3" xfId="7671"/>
    <cellStyle name="Normal 9 2 3 2" xfId="7672"/>
    <cellStyle name="Normal 9 2 3 2 2" xfId="17003"/>
    <cellStyle name="Normal 9 2 3 2 2 2" xfId="30410"/>
    <cellStyle name="Normal 9 2 3 2 3" xfId="31933"/>
    <cellStyle name="Normal 9 2 3 3" xfId="12392"/>
    <cellStyle name="Normal 9 2 3 3 2" xfId="26104"/>
    <cellStyle name="Normal 9 2 3 4" xfId="31932"/>
    <cellStyle name="Normal 9 2 4" xfId="7673"/>
    <cellStyle name="Normal 9 2 4 2" xfId="13955"/>
    <cellStyle name="Normal 9 2 4 2 2" xfId="27504"/>
    <cellStyle name="Normal 9 2 4 3" xfId="31934"/>
    <cellStyle name="Normal 9 2 5" xfId="7674"/>
    <cellStyle name="Normal 9 2 5 2" xfId="14536"/>
    <cellStyle name="Normal 9 2 5 2 2" xfId="28085"/>
    <cellStyle name="Normal 9 2 5 3" xfId="31935"/>
    <cellStyle name="Normal 9 2 6" xfId="7675"/>
    <cellStyle name="Normal 9 2 6 2" xfId="16422"/>
    <cellStyle name="Normal 9 2 6 2 2" xfId="29829"/>
    <cellStyle name="Normal 9 2 6 3" xfId="31936"/>
    <cellStyle name="Normal 9 2 7" xfId="10234"/>
    <cellStyle name="Normal 9 2 7 2" xfId="24420"/>
    <cellStyle name="Normal 9 2 8" xfId="31929"/>
    <cellStyle name="Normal 9 3" xfId="7676"/>
    <cellStyle name="Normal 9 3 2" xfId="10233"/>
    <cellStyle name="Normal 9 3 3" xfId="31937"/>
    <cellStyle name="Normal 9 4" xfId="8666"/>
    <cellStyle name="Note" xfId="33035" builtinId="10" customBuiltin="1"/>
    <cellStyle name="Note 2" xfId="7677"/>
    <cellStyle name="Note 2 10" xfId="7678"/>
    <cellStyle name="Note 2 10 2" xfId="7679"/>
    <cellStyle name="Note 2 10 2 2" xfId="13289"/>
    <cellStyle name="Note 2 10 2 3" xfId="31940"/>
    <cellStyle name="Note 2 10 3" xfId="7680"/>
    <cellStyle name="Note 2 10 3 2" xfId="13288"/>
    <cellStyle name="Note 2 10 3 2 2" xfId="26918"/>
    <cellStyle name="Note 2 10 3 3" xfId="31941"/>
    <cellStyle name="Note 2 10 4" xfId="7681"/>
    <cellStyle name="Note 2 10 4 2" xfId="17111"/>
    <cellStyle name="Note 2 10 4 2 2" xfId="30470"/>
    <cellStyle name="Note 2 10 4 3" xfId="31942"/>
    <cellStyle name="Note 2 10 5" xfId="10236"/>
    <cellStyle name="Note 2 10 6" xfId="31939"/>
    <cellStyle name="Note 2 11" xfId="7682"/>
    <cellStyle name="Note 2 11 2" xfId="7683"/>
    <cellStyle name="Note 2 11 2 2" xfId="17200"/>
    <cellStyle name="Note 2 11 2 2 2" xfId="30559"/>
    <cellStyle name="Note 2 11 2 3" xfId="31944"/>
    <cellStyle name="Note 2 11 3" xfId="10237"/>
    <cellStyle name="Note 2 11 4" xfId="31943"/>
    <cellStyle name="Note 2 12" xfId="7684"/>
    <cellStyle name="Note 2 12 2" xfId="7685"/>
    <cellStyle name="Note 2 12 2 2" xfId="7686"/>
    <cellStyle name="Note 2 12 2 2 2" xfId="11602"/>
    <cellStyle name="Note 2 12 2 2 3" xfId="31947"/>
    <cellStyle name="Note 2 12 2 3" xfId="10239"/>
    <cellStyle name="Note 2 12 2 4" xfId="31946"/>
    <cellStyle name="Note 2 12 3" xfId="7687"/>
    <cellStyle name="Note 2 12 3 2" xfId="11601"/>
    <cellStyle name="Note 2 12 3 3" xfId="31948"/>
    <cellStyle name="Note 2 12 4" xfId="7688"/>
    <cellStyle name="Note 2 12 4 2" xfId="17289"/>
    <cellStyle name="Note 2 12 4 2 2" xfId="30648"/>
    <cellStyle name="Note 2 12 4 3" xfId="31949"/>
    <cellStyle name="Note 2 12 5" xfId="10238"/>
    <cellStyle name="Note 2 12 6" xfId="31945"/>
    <cellStyle name="Note 2 13" xfId="7689"/>
    <cellStyle name="Note 2 13 2" xfId="7690"/>
    <cellStyle name="Note 2 13 2 2" xfId="16441"/>
    <cellStyle name="Note 2 13 2 2 2" xfId="29848"/>
    <cellStyle name="Note 2 13 2 3" xfId="31951"/>
    <cellStyle name="Note 2 13 3" xfId="10240"/>
    <cellStyle name="Note 2 13 4" xfId="31950"/>
    <cellStyle name="Note 2 14" xfId="7691"/>
    <cellStyle name="Note 2 14 2" xfId="7692"/>
    <cellStyle name="Note 2 14 2 2" xfId="11603"/>
    <cellStyle name="Note 2 14 2 3" xfId="31953"/>
    <cellStyle name="Note 2 14 3" xfId="10241"/>
    <cellStyle name="Note 2 14 4" xfId="31952"/>
    <cellStyle name="Note 2 15" xfId="7693"/>
    <cellStyle name="Note 2 15 2" xfId="7694"/>
    <cellStyle name="Note 2 15 2 2" xfId="11604"/>
    <cellStyle name="Note 2 15 2 3" xfId="31955"/>
    <cellStyle name="Note 2 15 3" xfId="10242"/>
    <cellStyle name="Note 2 15 4" xfId="31954"/>
    <cellStyle name="Note 2 16" xfId="7695"/>
    <cellStyle name="Note 2 16 2" xfId="7696"/>
    <cellStyle name="Note 2 16 2 2" xfId="11605"/>
    <cellStyle name="Note 2 16 2 3" xfId="31957"/>
    <cellStyle name="Note 2 16 3" xfId="10243"/>
    <cellStyle name="Note 2 16 4" xfId="31956"/>
    <cellStyle name="Note 2 17" xfId="7697"/>
    <cellStyle name="Note 2 17 2" xfId="7698"/>
    <cellStyle name="Note 2 17 2 2" xfId="11606"/>
    <cellStyle name="Note 2 17 2 3" xfId="31959"/>
    <cellStyle name="Note 2 17 3" xfId="10244"/>
    <cellStyle name="Note 2 17 4" xfId="31958"/>
    <cellStyle name="Note 2 18" xfId="7699"/>
    <cellStyle name="Note 2 18 2" xfId="7700"/>
    <cellStyle name="Note 2 18 2 2" xfId="11607"/>
    <cellStyle name="Note 2 18 2 3" xfId="31961"/>
    <cellStyle name="Note 2 18 3" xfId="10245"/>
    <cellStyle name="Note 2 18 4" xfId="31960"/>
    <cellStyle name="Note 2 19" xfId="7701"/>
    <cellStyle name="Note 2 19 2" xfId="7702"/>
    <cellStyle name="Note 2 19 2 2" xfId="11608"/>
    <cellStyle name="Note 2 19 2 3" xfId="31963"/>
    <cellStyle name="Note 2 19 3" xfId="10246"/>
    <cellStyle name="Note 2 19 4" xfId="31962"/>
    <cellStyle name="Note 2 2" xfId="7703"/>
    <cellStyle name="Note 2 2 10" xfId="7704"/>
    <cellStyle name="Note 2 2 10 2" xfId="11609"/>
    <cellStyle name="Note 2 2 10 3" xfId="31965"/>
    <cellStyle name="Note 2 2 11" xfId="7705"/>
    <cellStyle name="Note 2 2 11 2" xfId="7706"/>
    <cellStyle name="Note 2 2 11 2 2" xfId="15724"/>
    <cellStyle name="Note 2 2 11 2 3" xfId="31967"/>
    <cellStyle name="Note 2 2 11 3" xfId="11861"/>
    <cellStyle name="Note 2 2 11 3 2" xfId="25576"/>
    <cellStyle name="Note 2 2 11 4" xfId="31966"/>
    <cellStyle name="Note 2 2 12" xfId="7707"/>
    <cellStyle name="Note 2 2 12 2" xfId="13450"/>
    <cellStyle name="Note 2 2 12 2 2" xfId="26999"/>
    <cellStyle name="Note 2 2 12 3" xfId="31968"/>
    <cellStyle name="Note 2 2 13" xfId="7708"/>
    <cellStyle name="Note 2 2 13 2" xfId="14031"/>
    <cellStyle name="Note 2 2 13 2 2" xfId="27580"/>
    <cellStyle name="Note 2 2 13 3" xfId="31969"/>
    <cellStyle name="Note 2 2 14" xfId="7709"/>
    <cellStyle name="Note 2 2 14 2" xfId="15917"/>
    <cellStyle name="Note 2 2 14 2 2" xfId="29324"/>
    <cellStyle name="Note 2 2 14 3" xfId="31970"/>
    <cellStyle name="Note 2 2 15" xfId="10247"/>
    <cellStyle name="Note 2 2 16" xfId="31964"/>
    <cellStyle name="Note 2 2 2" xfId="7710"/>
    <cellStyle name="Note 2 2 2 10" xfId="31971"/>
    <cellStyle name="Note 2 2 2 2" xfId="7711"/>
    <cellStyle name="Note 2 2 2 2 2" xfId="7712"/>
    <cellStyle name="Note 2 2 2 2 2 2" xfId="7713"/>
    <cellStyle name="Note 2 2 2 2 2 2 2" xfId="7714"/>
    <cellStyle name="Note 2 2 2 2 2 2 2 2" xfId="11610"/>
    <cellStyle name="Note 2 2 2 2 2 2 2 3" xfId="31975"/>
    <cellStyle name="Note 2 2 2 2 2 2 3" xfId="7715"/>
    <cellStyle name="Note 2 2 2 2 2 2 3 2" xfId="16976"/>
    <cellStyle name="Note 2 2 2 2 2 2 3 2 2" xfId="30383"/>
    <cellStyle name="Note 2 2 2 2 2 2 3 3" xfId="31976"/>
    <cellStyle name="Note 2 2 2 2 2 2 4" xfId="10251"/>
    <cellStyle name="Note 2 2 2 2 2 2 5" xfId="31974"/>
    <cellStyle name="Note 2 2 2 2 2 3" xfId="7716"/>
    <cellStyle name="Note 2 2 2 2 2 3 2" xfId="7717"/>
    <cellStyle name="Note 2 2 2 2 2 3 2 2" xfId="13290"/>
    <cellStyle name="Note 2 2 2 2 2 3 2 3" xfId="31978"/>
    <cellStyle name="Note 2 2 2 2 2 3 3" xfId="12364"/>
    <cellStyle name="Note 2 2 2 2 2 3 3 2" xfId="26076"/>
    <cellStyle name="Note 2 2 2 2 2 3 4" xfId="31977"/>
    <cellStyle name="Note 2 2 2 2 2 4" xfId="7718"/>
    <cellStyle name="Note 2 2 2 2 2 4 2" xfId="7719"/>
    <cellStyle name="Note 2 2 2 2 2 4 2 2" xfId="15725"/>
    <cellStyle name="Note 2 2 2 2 2 4 2 3" xfId="31980"/>
    <cellStyle name="Note 2 2 2 2 2 4 3" xfId="13928"/>
    <cellStyle name="Note 2 2 2 2 2 4 3 2" xfId="27477"/>
    <cellStyle name="Note 2 2 2 2 2 4 4" xfId="31979"/>
    <cellStyle name="Note 2 2 2 2 2 5" xfId="7720"/>
    <cellStyle name="Note 2 2 2 2 2 5 2" xfId="14509"/>
    <cellStyle name="Note 2 2 2 2 2 5 2 2" xfId="28058"/>
    <cellStyle name="Note 2 2 2 2 2 5 3" xfId="31981"/>
    <cellStyle name="Note 2 2 2 2 2 6" xfId="7721"/>
    <cellStyle name="Note 2 2 2 2 2 6 2" xfId="16395"/>
    <cellStyle name="Note 2 2 2 2 2 6 2 2" xfId="29802"/>
    <cellStyle name="Note 2 2 2 2 2 6 3" xfId="31982"/>
    <cellStyle name="Note 2 2 2 2 2 7" xfId="10250"/>
    <cellStyle name="Note 2 2 2 2 2 8" xfId="31973"/>
    <cellStyle name="Note 2 2 2 2 3" xfId="7722"/>
    <cellStyle name="Note 2 2 2 2 3 2" xfId="7723"/>
    <cellStyle name="Note 2 2 2 2 3 2 2" xfId="11611"/>
    <cellStyle name="Note 2 2 2 2 3 2 3" xfId="31984"/>
    <cellStyle name="Note 2 2 2 2 3 3" xfId="7724"/>
    <cellStyle name="Note 2 2 2 2 3 3 2" xfId="16687"/>
    <cellStyle name="Note 2 2 2 2 3 3 2 2" xfId="30094"/>
    <cellStyle name="Note 2 2 2 2 3 3 3" xfId="31985"/>
    <cellStyle name="Note 2 2 2 2 3 4" xfId="10252"/>
    <cellStyle name="Note 2 2 2 2 3 5" xfId="31983"/>
    <cellStyle name="Note 2 2 2 2 4" xfId="7725"/>
    <cellStyle name="Note 2 2 2 2 4 2" xfId="7726"/>
    <cellStyle name="Note 2 2 2 2 4 2 2" xfId="13291"/>
    <cellStyle name="Note 2 2 2 2 4 2 3" xfId="31987"/>
    <cellStyle name="Note 2 2 2 2 4 3" xfId="12064"/>
    <cellStyle name="Note 2 2 2 2 4 3 2" xfId="25779"/>
    <cellStyle name="Note 2 2 2 2 4 4" xfId="31986"/>
    <cellStyle name="Note 2 2 2 2 5" xfId="7727"/>
    <cellStyle name="Note 2 2 2 2 5 2" xfId="7728"/>
    <cellStyle name="Note 2 2 2 2 5 2 2" xfId="15726"/>
    <cellStyle name="Note 2 2 2 2 5 2 3" xfId="31989"/>
    <cellStyle name="Note 2 2 2 2 5 3" xfId="13639"/>
    <cellStyle name="Note 2 2 2 2 5 3 2" xfId="27188"/>
    <cellStyle name="Note 2 2 2 2 5 4" xfId="31988"/>
    <cellStyle name="Note 2 2 2 2 6" xfId="7729"/>
    <cellStyle name="Note 2 2 2 2 6 2" xfId="14220"/>
    <cellStyle name="Note 2 2 2 2 6 2 2" xfId="27769"/>
    <cellStyle name="Note 2 2 2 2 6 3" xfId="31990"/>
    <cellStyle name="Note 2 2 2 2 7" xfId="7730"/>
    <cellStyle name="Note 2 2 2 2 7 2" xfId="16106"/>
    <cellStyle name="Note 2 2 2 2 7 2 2" xfId="29513"/>
    <cellStyle name="Note 2 2 2 2 7 3" xfId="31991"/>
    <cellStyle name="Note 2 2 2 2 8" xfId="10249"/>
    <cellStyle name="Note 2 2 2 2 9" xfId="31972"/>
    <cellStyle name="Note 2 2 2 3" xfId="7731"/>
    <cellStyle name="Note 2 2 2 3 2" xfId="7732"/>
    <cellStyle name="Note 2 2 2 3 2 2" xfId="7733"/>
    <cellStyle name="Note 2 2 2 3 2 2 2" xfId="11612"/>
    <cellStyle name="Note 2 2 2 3 2 2 3" xfId="31994"/>
    <cellStyle name="Note 2 2 2 3 2 3" xfId="7734"/>
    <cellStyle name="Note 2 2 2 3 2 3 2" xfId="16833"/>
    <cellStyle name="Note 2 2 2 3 2 3 2 2" xfId="30240"/>
    <cellStyle name="Note 2 2 2 3 2 3 3" xfId="31995"/>
    <cellStyle name="Note 2 2 2 3 2 4" xfId="10254"/>
    <cellStyle name="Note 2 2 2 3 2 5" xfId="31993"/>
    <cellStyle name="Note 2 2 2 3 3" xfId="7735"/>
    <cellStyle name="Note 2 2 2 3 3 2" xfId="7736"/>
    <cellStyle name="Note 2 2 2 3 3 2 2" xfId="13292"/>
    <cellStyle name="Note 2 2 2 3 3 2 3" xfId="31997"/>
    <cellStyle name="Note 2 2 2 3 3 3" xfId="12221"/>
    <cellStyle name="Note 2 2 2 3 3 3 2" xfId="25933"/>
    <cellStyle name="Note 2 2 2 3 3 4" xfId="31996"/>
    <cellStyle name="Note 2 2 2 3 4" xfId="7737"/>
    <cellStyle name="Note 2 2 2 3 4 2" xfId="7738"/>
    <cellStyle name="Note 2 2 2 3 4 2 2" xfId="15727"/>
    <cellStyle name="Note 2 2 2 3 4 2 3" xfId="31999"/>
    <cellStyle name="Note 2 2 2 3 4 3" xfId="13785"/>
    <cellStyle name="Note 2 2 2 3 4 3 2" xfId="27334"/>
    <cellStyle name="Note 2 2 2 3 4 4" xfId="31998"/>
    <cellStyle name="Note 2 2 2 3 5" xfId="7739"/>
    <cellStyle name="Note 2 2 2 3 5 2" xfId="14366"/>
    <cellStyle name="Note 2 2 2 3 5 2 2" xfId="27915"/>
    <cellStyle name="Note 2 2 2 3 5 3" xfId="32000"/>
    <cellStyle name="Note 2 2 2 3 6" xfId="7740"/>
    <cellStyle name="Note 2 2 2 3 6 2" xfId="16252"/>
    <cellStyle name="Note 2 2 2 3 6 2 2" xfId="29659"/>
    <cellStyle name="Note 2 2 2 3 6 3" xfId="32001"/>
    <cellStyle name="Note 2 2 2 3 7" xfId="10253"/>
    <cellStyle name="Note 2 2 2 3 8" xfId="31992"/>
    <cellStyle name="Note 2 2 2 4" xfId="7741"/>
    <cellStyle name="Note 2 2 2 4 2" xfId="7742"/>
    <cellStyle name="Note 2 2 2 4 2 2" xfId="11613"/>
    <cellStyle name="Note 2 2 2 4 2 3" xfId="32003"/>
    <cellStyle name="Note 2 2 2 4 3" xfId="7743"/>
    <cellStyle name="Note 2 2 2 4 3 2" xfId="17180"/>
    <cellStyle name="Note 2 2 2 4 3 2 2" xfId="30539"/>
    <cellStyle name="Note 2 2 2 4 3 3" xfId="32004"/>
    <cellStyle name="Note 2 2 2 4 4" xfId="10255"/>
    <cellStyle name="Note 2 2 2 4 5" xfId="32002"/>
    <cellStyle name="Note 2 2 2 5" xfId="7744"/>
    <cellStyle name="Note 2 2 2 5 2" xfId="7745"/>
    <cellStyle name="Note 2 2 2 5 2 2" xfId="13293"/>
    <cellStyle name="Note 2 2 2 5 2 3" xfId="32006"/>
    <cellStyle name="Note 2 2 2 5 3" xfId="7746"/>
    <cellStyle name="Note 2 2 2 5 3 2" xfId="17269"/>
    <cellStyle name="Note 2 2 2 5 3 2 2" xfId="30628"/>
    <cellStyle name="Note 2 2 2 5 3 3" xfId="32007"/>
    <cellStyle name="Note 2 2 2 5 4" xfId="11919"/>
    <cellStyle name="Note 2 2 2 5 4 2" xfId="25634"/>
    <cellStyle name="Note 2 2 2 5 5" xfId="32005"/>
    <cellStyle name="Note 2 2 2 6" xfId="7747"/>
    <cellStyle name="Note 2 2 2 6 2" xfId="7748"/>
    <cellStyle name="Note 2 2 2 6 2 2" xfId="15728"/>
    <cellStyle name="Note 2 2 2 6 2 3" xfId="32009"/>
    <cellStyle name="Note 2 2 2 6 3" xfId="7749"/>
    <cellStyle name="Note 2 2 2 6 3 2" xfId="16544"/>
    <cellStyle name="Note 2 2 2 6 3 2 2" xfId="29951"/>
    <cellStyle name="Note 2 2 2 6 3 3" xfId="32010"/>
    <cellStyle name="Note 2 2 2 6 4" xfId="13496"/>
    <cellStyle name="Note 2 2 2 6 4 2" xfId="27045"/>
    <cellStyle name="Note 2 2 2 6 5" xfId="32008"/>
    <cellStyle name="Note 2 2 2 7" xfId="7750"/>
    <cellStyle name="Note 2 2 2 7 2" xfId="14077"/>
    <cellStyle name="Note 2 2 2 7 2 2" xfId="27626"/>
    <cellStyle name="Note 2 2 2 7 3" xfId="32011"/>
    <cellStyle name="Note 2 2 2 8" xfId="7751"/>
    <cellStyle name="Note 2 2 2 8 2" xfId="15963"/>
    <cellStyle name="Note 2 2 2 8 2 2" xfId="29370"/>
    <cellStyle name="Note 2 2 2 8 3" xfId="32012"/>
    <cellStyle name="Note 2 2 2 9" xfId="10248"/>
    <cellStyle name="Note 2 2 3" xfId="7752"/>
    <cellStyle name="Note 2 2 3 2" xfId="7753"/>
    <cellStyle name="Note 2 2 3 2 2" xfId="7754"/>
    <cellStyle name="Note 2 2 3 2 2 2" xfId="7755"/>
    <cellStyle name="Note 2 2 3 2 2 2 2" xfId="11614"/>
    <cellStyle name="Note 2 2 3 2 2 2 3" xfId="32016"/>
    <cellStyle name="Note 2 2 3 2 2 3" xfId="7756"/>
    <cellStyle name="Note 2 2 3 2 2 3 2" xfId="16930"/>
    <cellStyle name="Note 2 2 3 2 2 3 2 2" xfId="30337"/>
    <cellStyle name="Note 2 2 3 2 2 3 3" xfId="32017"/>
    <cellStyle name="Note 2 2 3 2 2 4" xfId="10258"/>
    <cellStyle name="Note 2 2 3 2 2 5" xfId="32015"/>
    <cellStyle name="Note 2 2 3 2 3" xfId="7757"/>
    <cellStyle name="Note 2 2 3 2 3 2" xfId="7758"/>
    <cellStyle name="Note 2 2 3 2 3 2 2" xfId="13294"/>
    <cellStyle name="Note 2 2 3 2 3 2 3" xfId="32019"/>
    <cellStyle name="Note 2 2 3 2 3 3" xfId="12318"/>
    <cellStyle name="Note 2 2 3 2 3 3 2" xfId="26030"/>
    <cellStyle name="Note 2 2 3 2 3 4" xfId="32018"/>
    <cellStyle name="Note 2 2 3 2 4" xfId="7759"/>
    <cellStyle name="Note 2 2 3 2 4 2" xfId="7760"/>
    <cellStyle name="Note 2 2 3 2 4 2 2" xfId="15729"/>
    <cellStyle name="Note 2 2 3 2 4 2 3" xfId="32021"/>
    <cellStyle name="Note 2 2 3 2 4 3" xfId="13882"/>
    <cellStyle name="Note 2 2 3 2 4 3 2" xfId="27431"/>
    <cellStyle name="Note 2 2 3 2 4 4" xfId="32020"/>
    <cellStyle name="Note 2 2 3 2 5" xfId="7761"/>
    <cellStyle name="Note 2 2 3 2 5 2" xfId="14463"/>
    <cellStyle name="Note 2 2 3 2 5 2 2" xfId="28012"/>
    <cellStyle name="Note 2 2 3 2 5 3" xfId="32022"/>
    <cellStyle name="Note 2 2 3 2 6" xfId="7762"/>
    <cellStyle name="Note 2 2 3 2 6 2" xfId="16349"/>
    <cellStyle name="Note 2 2 3 2 6 2 2" xfId="29756"/>
    <cellStyle name="Note 2 2 3 2 6 3" xfId="32023"/>
    <cellStyle name="Note 2 2 3 2 7" xfId="10257"/>
    <cellStyle name="Note 2 2 3 2 8" xfId="32014"/>
    <cellStyle name="Note 2 2 3 3" xfId="7763"/>
    <cellStyle name="Note 2 2 3 3 2" xfId="7764"/>
    <cellStyle name="Note 2 2 3 3 2 2" xfId="11615"/>
    <cellStyle name="Note 2 2 3 3 2 3" xfId="32025"/>
    <cellStyle name="Note 2 2 3 3 3" xfId="7765"/>
    <cellStyle name="Note 2 2 3 3 3 2" xfId="16641"/>
    <cellStyle name="Note 2 2 3 3 3 2 2" xfId="30048"/>
    <cellStyle name="Note 2 2 3 3 3 3" xfId="32026"/>
    <cellStyle name="Note 2 2 3 3 4" xfId="10259"/>
    <cellStyle name="Note 2 2 3 3 5" xfId="32024"/>
    <cellStyle name="Note 2 2 3 4" xfId="7766"/>
    <cellStyle name="Note 2 2 3 4 2" xfId="7767"/>
    <cellStyle name="Note 2 2 3 4 2 2" xfId="13295"/>
    <cellStyle name="Note 2 2 3 4 2 3" xfId="32028"/>
    <cellStyle name="Note 2 2 3 4 3" xfId="12018"/>
    <cellStyle name="Note 2 2 3 4 3 2" xfId="25733"/>
    <cellStyle name="Note 2 2 3 4 4" xfId="32027"/>
    <cellStyle name="Note 2 2 3 5" xfId="7768"/>
    <cellStyle name="Note 2 2 3 5 2" xfId="7769"/>
    <cellStyle name="Note 2 2 3 5 2 2" xfId="15730"/>
    <cellStyle name="Note 2 2 3 5 2 3" xfId="32030"/>
    <cellStyle name="Note 2 2 3 5 3" xfId="13593"/>
    <cellStyle name="Note 2 2 3 5 3 2" xfId="27142"/>
    <cellStyle name="Note 2 2 3 5 4" xfId="32029"/>
    <cellStyle name="Note 2 2 3 6" xfId="7770"/>
    <cellStyle name="Note 2 2 3 6 2" xfId="14174"/>
    <cellStyle name="Note 2 2 3 6 2 2" xfId="27723"/>
    <cellStyle name="Note 2 2 3 6 3" xfId="32031"/>
    <cellStyle name="Note 2 2 3 7" xfId="7771"/>
    <cellStyle name="Note 2 2 3 7 2" xfId="16060"/>
    <cellStyle name="Note 2 2 3 7 2 2" xfId="29467"/>
    <cellStyle name="Note 2 2 3 7 3" xfId="32032"/>
    <cellStyle name="Note 2 2 3 8" xfId="10256"/>
    <cellStyle name="Note 2 2 3 9" xfId="32013"/>
    <cellStyle name="Note 2 2 4" xfId="7772"/>
    <cellStyle name="Note 2 2 4 2" xfId="7773"/>
    <cellStyle name="Note 2 2 4 2 2" xfId="7774"/>
    <cellStyle name="Note 2 2 4 2 2 2" xfId="11616"/>
    <cellStyle name="Note 2 2 4 2 2 3" xfId="32035"/>
    <cellStyle name="Note 2 2 4 2 3" xfId="7775"/>
    <cellStyle name="Note 2 2 4 2 3 2" xfId="16787"/>
    <cellStyle name="Note 2 2 4 2 3 2 2" xfId="30194"/>
    <cellStyle name="Note 2 2 4 2 3 3" xfId="32036"/>
    <cellStyle name="Note 2 2 4 2 4" xfId="10261"/>
    <cellStyle name="Note 2 2 4 2 5" xfId="32034"/>
    <cellStyle name="Note 2 2 4 3" xfId="7776"/>
    <cellStyle name="Note 2 2 4 3 2" xfId="7777"/>
    <cellStyle name="Note 2 2 4 3 2 2" xfId="13296"/>
    <cellStyle name="Note 2 2 4 3 2 3" xfId="32038"/>
    <cellStyle name="Note 2 2 4 3 3" xfId="12175"/>
    <cellStyle name="Note 2 2 4 3 3 2" xfId="25887"/>
    <cellStyle name="Note 2 2 4 3 4" xfId="32037"/>
    <cellStyle name="Note 2 2 4 4" xfId="7778"/>
    <cellStyle name="Note 2 2 4 4 2" xfId="7779"/>
    <cellStyle name="Note 2 2 4 4 2 2" xfId="15731"/>
    <cellStyle name="Note 2 2 4 4 2 3" xfId="32040"/>
    <cellStyle name="Note 2 2 4 4 3" xfId="13739"/>
    <cellStyle name="Note 2 2 4 4 3 2" xfId="27288"/>
    <cellStyle name="Note 2 2 4 4 4" xfId="32039"/>
    <cellStyle name="Note 2 2 4 5" xfId="7780"/>
    <cellStyle name="Note 2 2 4 5 2" xfId="14320"/>
    <cellStyle name="Note 2 2 4 5 2 2" xfId="27869"/>
    <cellStyle name="Note 2 2 4 5 3" xfId="32041"/>
    <cellStyle name="Note 2 2 4 6" xfId="7781"/>
    <cellStyle name="Note 2 2 4 6 2" xfId="16206"/>
    <cellStyle name="Note 2 2 4 6 2 2" xfId="29613"/>
    <cellStyle name="Note 2 2 4 6 3" xfId="32042"/>
    <cellStyle name="Note 2 2 4 7" xfId="10260"/>
    <cellStyle name="Note 2 2 4 8" xfId="32033"/>
    <cellStyle name="Note 2 2 5" xfId="7782"/>
    <cellStyle name="Note 2 2 5 2" xfId="7783"/>
    <cellStyle name="Note 2 2 5 2 2" xfId="7784"/>
    <cellStyle name="Note 2 2 5 2 2 2" xfId="11618"/>
    <cellStyle name="Note 2 2 5 2 2 3" xfId="32045"/>
    <cellStyle name="Note 2 2 5 2 3" xfId="10263"/>
    <cellStyle name="Note 2 2 5 2 4" xfId="32044"/>
    <cellStyle name="Note 2 2 5 3" xfId="7785"/>
    <cellStyle name="Note 2 2 5 3 2" xfId="11617"/>
    <cellStyle name="Note 2 2 5 3 3" xfId="32046"/>
    <cellStyle name="Note 2 2 5 4" xfId="7786"/>
    <cellStyle name="Note 2 2 5 4 2" xfId="17053"/>
    <cellStyle name="Note 2 2 5 4 2 2" xfId="30452"/>
    <cellStyle name="Note 2 2 5 4 3" xfId="32047"/>
    <cellStyle name="Note 2 2 5 5" xfId="10262"/>
    <cellStyle name="Note 2 2 5 6" xfId="32043"/>
    <cellStyle name="Note 2 2 6" xfId="7787"/>
    <cellStyle name="Note 2 2 6 2" xfId="7788"/>
    <cellStyle name="Note 2 2 6 2 2" xfId="17134"/>
    <cellStyle name="Note 2 2 6 2 2 2" xfId="30493"/>
    <cellStyle name="Note 2 2 6 2 3" xfId="32049"/>
    <cellStyle name="Note 2 2 6 3" xfId="10264"/>
    <cellStyle name="Note 2 2 6 4" xfId="32048"/>
    <cellStyle name="Note 2 2 7" xfId="7789"/>
    <cellStyle name="Note 2 2 7 2" xfId="7790"/>
    <cellStyle name="Note 2 2 7 2 2" xfId="11619"/>
    <cellStyle name="Note 2 2 7 2 3" xfId="32051"/>
    <cellStyle name="Note 2 2 7 3" xfId="7791"/>
    <cellStyle name="Note 2 2 7 3 2" xfId="17223"/>
    <cellStyle name="Note 2 2 7 3 2 2" xfId="30582"/>
    <cellStyle name="Note 2 2 7 3 3" xfId="32052"/>
    <cellStyle name="Note 2 2 7 4" xfId="10265"/>
    <cellStyle name="Note 2 2 7 5" xfId="32050"/>
    <cellStyle name="Note 2 2 8" xfId="7792"/>
    <cellStyle name="Note 2 2 8 2" xfId="7793"/>
    <cellStyle name="Note 2 2 8 2 2" xfId="11620"/>
    <cellStyle name="Note 2 2 8 2 3" xfId="32054"/>
    <cellStyle name="Note 2 2 8 3" xfId="7794"/>
    <cellStyle name="Note 2 2 8 3 2" xfId="16498"/>
    <cellStyle name="Note 2 2 8 3 2 2" xfId="29905"/>
    <cellStyle name="Note 2 2 8 3 3" xfId="32055"/>
    <cellStyle name="Note 2 2 8 4" xfId="10266"/>
    <cellStyle name="Note 2 2 8 5" xfId="32053"/>
    <cellStyle name="Note 2 2 9" xfId="7795"/>
    <cellStyle name="Note 2 2 9 2" xfId="7796"/>
    <cellStyle name="Note 2 2 9 2 2" xfId="13297"/>
    <cellStyle name="Note 2 2 9 2 2 2" xfId="26919"/>
    <cellStyle name="Note 2 2 9 2 3" xfId="32057"/>
    <cellStyle name="Note 2 2 9 3" xfId="7797"/>
    <cellStyle name="Note 2 2 9 3 2" xfId="15732"/>
    <cellStyle name="Note 2 2 9 3 3" xfId="32058"/>
    <cellStyle name="Note 2 2 9 4" xfId="10543"/>
    <cellStyle name="Note 2 2 9 4 2" xfId="24485"/>
    <cellStyle name="Note 2 2 9 5" xfId="32056"/>
    <cellStyle name="Note 2 20" xfId="7798"/>
    <cellStyle name="Note 2 20 2" xfId="7799"/>
    <cellStyle name="Note 2 20 2 2" xfId="11725"/>
    <cellStyle name="Note 2 20 2 2 2" xfId="25445"/>
    <cellStyle name="Note 2 20 2 3" xfId="32060"/>
    <cellStyle name="Note 2 20 3" xfId="7800"/>
    <cellStyle name="Note 2 20 3 2" xfId="13298"/>
    <cellStyle name="Note 2 20 3 2 2" xfId="26920"/>
    <cellStyle name="Note 2 20 3 3" xfId="32061"/>
    <cellStyle name="Note 2 20 4" xfId="7801"/>
    <cellStyle name="Note 2 20 4 2" xfId="15733"/>
    <cellStyle name="Note 2 20 4 3" xfId="32062"/>
    <cellStyle name="Note 2 20 5" xfId="10498"/>
    <cellStyle name="Note 2 20 5 2" xfId="24449"/>
    <cellStyle name="Note 2 20 6" xfId="32059"/>
    <cellStyle name="Note 2 21" xfId="7802"/>
    <cellStyle name="Note 2 21 2" xfId="7803"/>
    <cellStyle name="Note 2 21 2 2" xfId="13299"/>
    <cellStyle name="Note 2 21 2 2 2" xfId="26921"/>
    <cellStyle name="Note 2 21 2 3" xfId="32064"/>
    <cellStyle name="Note 2 21 3" xfId="7804"/>
    <cellStyle name="Note 2 21 3 2" xfId="15734"/>
    <cellStyle name="Note 2 21 3 3" xfId="32065"/>
    <cellStyle name="Note 2 21 4" xfId="10526"/>
    <cellStyle name="Note 2 21 4 2" xfId="24468"/>
    <cellStyle name="Note 2 21 5" xfId="32063"/>
    <cellStyle name="Note 2 22" xfId="7805"/>
    <cellStyle name="Note 2 22 2" xfId="11600"/>
    <cellStyle name="Note 2 22 3" xfId="32066"/>
    <cellStyle name="Note 2 23" xfId="7806"/>
    <cellStyle name="Note 2 23 2" xfId="11789"/>
    <cellStyle name="Note 2 23 2 2" xfId="25504"/>
    <cellStyle name="Note 2 23 3" xfId="32067"/>
    <cellStyle name="Note 2 24" xfId="7807"/>
    <cellStyle name="Note 2 24 2" xfId="13393"/>
    <cellStyle name="Note 2 24 2 2" xfId="26942"/>
    <cellStyle name="Note 2 24 3" xfId="32068"/>
    <cellStyle name="Note 2 25" xfId="7808"/>
    <cellStyle name="Note 2 25 2" xfId="13974"/>
    <cellStyle name="Note 2 25 2 2" xfId="27523"/>
    <cellStyle name="Note 2 25 3" xfId="32069"/>
    <cellStyle name="Note 2 26" xfId="7809"/>
    <cellStyle name="Note 2 26 2" xfId="15843"/>
    <cellStyle name="Note 2 26 2 2" xfId="29250"/>
    <cellStyle name="Note 2 26 3" xfId="32070"/>
    <cellStyle name="Note 2 27" xfId="7810"/>
    <cellStyle name="Note 2 27 2" xfId="15860"/>
    <cellStyle name="Note 2 27 2 2" xfId="29267"/>
    <cellStyle name="Note 2 27 3" xfId="32071"/>
    <cellStyle name="Note 2 28" xfId="10235"/>
    <cellStyle name="Note 2 29" xfId="31938"/>
    <cellStyle name="Note 2 3" xfId="7811"/>
    <cellStyle name="Note 2 3 10" xfId="10267"/>
    <cellStyle name="Note 2 3 11" xfId="32072"/>
    <cellStyle name="Note 2 3 2" xfId="7812"/>
    <cellStyle name="Note 2 3 2 2" xfId="7813"/>
    <cellStyle name="Note 2 3 2 2 2" xfId="7814"/>
    <cellStyle name="Note 2 3 2 2 2 2" xfId="7815"/>
    <cellStyle name="Note 2 3 2 2 2 2 2" xfId="11621"/>
    <cellStyle name="Note 2 3 2 2 2 2 3" xfId="32076"/>
    <cellStyle name="Note 2 3 2 2 2 3" xfId="7816"/>
    <cellStyle name="Note 2 3 2 2 2 3 2" xfId="16953"/>
    <cellStyle name="Note 2 3 2 2 2 3 2 2" xfId="30360"/>
    <cellStyle name="Note 2 3 2 2 2 3 3" xfId="32077"/>
    <cellStyle name="Note 2 3 2 2 2 4" xfId="10270"/>
    <cellStyle name="Note 2 3 2 2 2 5" xfId="32075"/>
    <cellStyle name="Note 2 3 2 2 3" xfId="7817"/>
    <cellStyle name="Note 2 3 2 2 3 2" xfId="7818"/>
    <cellStyle name="Note 2 3 2 2 3 2 2" xfId="13300"/>
    <cellStyle name="Note 2 3 2 2 3 2 3" xfId="32079"/>
    <cellStyle name="Note 2 3 2 2 3 3" xfId="12341"/>
    <cellStyle name="Note 2 3 2 2 3 3 2" xfId="26053"/>
    <cellStyle name="Note 2 3 2 2 3 4" xfId="32078"/>
    <cellStyle name="Note 2 3 2 2 4" xfId="7819"/>
    <cellStyle name="Note 2 3 2 2 4 2" xfId="7820"/>
    <cellStyle name="Note 2 3 2 2 4 2 2" xfId="15735"/>
    <cellStyle name="Note 2 3 2 2 4 2 3" xfId="32081"/>
    <cellStyle name="Note 2 3 2 2 4 3" xfId="13905"/>
    <cellStyle name="Note 2 3 2 2 4 3 2" xfId="27454"/>
    <cellStyle name="Note 2 3 2 2 4 4" xfId="32080"/>
    <cellStyle name="Note 2 3 2 2 5" xfId="7821"/>
    <cellStyle name="Note 2 3 2 2 5 2" xfId="14486"/>
    <cellStyle name="Note 2 3 2 2 5 2 2" xfId="28035"/>
    <cellStyle name="Note 2 3 2 2 5 3" xfId="32082"/>
    <cellStyle name="Note 2 3 2 2 6" xfId="7822"/>
    <cellStyle name="Note 2 3 2 2 6 2" xfId="16372"/>
    <cellStyle name="Note 2 3 2 2 6 2 2" xfId="29779"/>
    <cellStyle name="Note 2 3 2 2 6 3" xfId="32083"/>
    <cellStyle name="Note 2 3 2 2 7" xfId="10269"/>
    <cellStyle name="Note 2 3 2 2 8" xfId="32074"/>
    <cellStyle name="Note 2 3 2 3" xfId="7823"/>
    <cellStyle name="Note 2 3 2 3 2" xfId="7824"/>
    <cellStyle name="Note 2 3 2 3 2 2" xfId="11622"/>
    <cellStyle name="Note 2 3 2 3 2 3" xfId="32085"/>
    <cellStyle name="Note 2 3 2 3 3" xfId="7825"/>
    <cellStyle name="Note 2 3 2 3 3 2" xfId="16664"/>
    <cellStyle name="Note 2 3 2 3 3 2 2" xfId="30071"/>
    <cellStyle name="Note 2 3 2 3 3 3" xfId="32086"/>
    <cellStyle name="Note 2 3 2 3 4" xfId="10271"/>
    <cellStyle name="Note 2 3 2 3 5" xfId="32084"/>
    <cellStyle name="Note 2 3 2 4" xfId="7826"/>
    <cellStyle name="Note 2 3 2 4 2" xfId="7827"/>
    <cellStyle name="Note 2 3 2 4 2 2" xfId="13301"/>
    <cellStyle name="Note 2 3 2 4 2 3" xfId="32088"/>
    <cellStyle name="Note 2 3 2 4 3" xfId="12041"/>
    <cellStyle name="Note 2 3 2 4 3 2" xfId="25756"/>
    <cellStyle name="Note 2 3 2 4 4" xfId="32087"/>
    <cellStyle name="Note 2 3 2 5" xfId="7828"/>
    <cellStyle name="Note 2 3 2 5 2" xfId="7829"/>
    <cellStyle name="Note 2 3 2 5 2 2" xfId="15736"/>
    <cellStyle name="Note 2 3 2 5 2 3" xfId="32090"/>
    <cellStyle name="Note 2 3 2 5 3" xfId="13616"/>
    <cellStyle name="Note 2 3 2 5 3 2" xfId="27165"/>
    <cellStyle name="Note 2 3 2 5 4" xfId="32089"/>
    <cellStyle name="Note 2 3 2 6" xfId="7830"/>
    <cellStyle name="Note 2 3 2 6 2" xfId="14197"/>
    <cellStyle name="Note 2 3 2 6 2 2" xfId="27746"/>
    <cellStyle name="Note 2 3 2 6 3" xfId="32091"/>
    <cellStyle name="Note 2 3 2 7" xfId="7831"/>
    <cellStyle name="Note 2 3 2 7 2" xfId="16083"/>
    <cellStyle name="Note 2 3 2 7 2 2" xfId="29490"/>
    <cellStyle name="Note 2 3 2 7 3" xfId="32092"/>
    <cellStyle name="Note 2 3 2 8" xfId="10268"/>
    <cellStyle name="Note 2 3 2 9" xfId="32073"/>
    <cellStyle name="Note 2 3 3" xfId="7832"/>
    <cellStyle name="Note 2 3 3 2" xfId="7833"/>
    <cellStyle name="Note 2 3 3 2 2" xfId="7834"/>
    <cellStyle name="Note 2 3 3 2 2 2" xfId="11623"/>
    <cellStyle name="Note 2 3 3 2 2 3" xfId="32095"/>
    <cellStyle name="Note 2 3 3 2 3" xfId="7835"/>
    <cellStyle name="Note 2 3 3 2 3 2" xfId="16810"/>
    <cellStyle name="Note 2 3 3 2 3 2 2" xfId="30217"/>
    <cellStyle name="Note 2 3 3 2 3 3" xfId="32096"/>
    <cellStyle name="Note 2 3 3 2 4" xfId="10273"/>
    <cellStyle name="Note 2 3 3 2 5" xfId="32094"/>
    <cellStyle name="Note 2 3 3 3" xfId="7836"/>
    <cellStyle name="Note 2 3 3 3 2" xfId="7837"/>
    <cellStyle name="Note 2 3 3 3 2 2" xfId="13302"/>
    <cellStyle name="Note 2 3 3 3 2 3" xfId="32098"/>
    <cellStyle name="Note 2 3 3 3 3" xfId="12198"/>
    <cellStyle name="Note 2 3 3 3 3 2" xfId="25910"/>
    <cellStyle name="Note 2 3 3 3 4" xfId="32097"/>
    <cellStyle name="Note 2 3 3 4" xfId="7838"/>
    <cellStyle name="Note 2 3 3 4 2" xfId="7839"/>
    <cellStyle name="Note 2 3 3 4 2 2" xfId="15737"/>
    <cellStyle name="Note 2 3 3 4 2 3" xfId="32100"/>
    <cellStyle name="Note 2 3 3 4 3" xfId="13762"/>
    <cellStyle name="Note 2 3 3 4 3 2" xfId="27311"/>
    <cellStyle name="Note 2 3 3 4 4" xfId="32099"/>
    <cellStyle name="Note 2 3 3 5" xfId="7840"/>
    <cellStyle name="Note 2 3 3 5 2" xfId="14343"/>
    <cellStyle name="Note 2 3 3 5 2 2" xfId="27892"/>
    <cellStyle name="Note 2 3 3 5 3" xfId="32101"/>
    <cellStyle name="Note 2 3 3 6" xfId="7841"/>
    <cellStyle name="Note 2 3 3 6 2" xfId="16229"/>
    <cellStyle name="Note 2 3 3 6 2 2" xfId="29636"/>
    <cellStyle name="Note 2 3 3 6 3" xfId="32102"/>
    <cellStyle name="Note 2 3 3 7" xfId="10272"/>
    <cellStyle name="Note 2 3 3 8" xfId="32093"/>
    <cellStyle name="Note 2 3 4" xfId="7842"/>
    <cellStyle name="Note 2 3 4 2" xfId="7843"/>
    <cellStyle name="Note 2 3 4 2 2" xfId="17157"/>
    <cellStyle name="Note 2 3 4 2 2 2" xfId="30516"/>
    <cellStyle name="Note 2 3 4 2 3" xfId="32104"/>
    <cellStyle name="Note 2 3 4 3" xfId="10274"/>
    <cellStyle name="Note 2 3 4 4" xfId="32103"/>
    <cellStyle name="Note 2 3 5" xfId="7844"/>
    <cellStyle name="Note 2 3 5 2" xfId="7845"/>
    <cellStyle name="Note 2 3 5 2 2" xfId="11624"/>
    <cellStyle name="Note 2 3 5 2 3" xfId="32106"/>
    <cellStyle name="Note 2 3 5 3" xfId="7846"/>
    <cellStyle name="Note 2 3 5 3 2" xfId="17246"/>
    <cellStyle name="Note 2 3 5 3 2 2" xfId="30605"/>
    <cellStyle name="Note 2 3 5 3 3" xfId="32107"/>
    <cellStyle name="Note 2 3 5 4" xfId="10275"/>
    <cellStyle name="Note 2 3 5 5" xfId="32105"/>
    <cellStyle name="Note 2 3 6" xfId="7847"/>
    <cellStyle name="Note 2 3 6 2" xfId="7848"/>
    <cellStyle name="Note 2 3 6 2 2" xfId="13303"/>
    <cellStyle name="Note 2 3 6 2 3" xfId="32109"/>
    <cellStyle name="Note 2 3 6 3" xfId="7849"/>
    <cellStyle name="Note 2 3 6 3 2" xfId="16521"/>
    <cellStyle name="Note 2 3 6 3 2 2" xfId="29928"/>
    <cellStyle name="Note 2 3 6 3 3" xfId="32110"/>
    <cellStyle name="Note 2 3 6 4" xfId="11896"/>
    <cellStyle name="Note 2 3 6 4 2" xfId="25611"/>
    <cellStyle name="Note 2 3 6 5" xfId="32108"/>
    <cellStyle name="Note 2 3 7" xfId="7850"/>
    <cellStyle name="Note 2 3 7 2" xfId="7851"/>
    <cellStyle name="Note 2 3 7 2 2" xfId="15738"/>
    <cellStyle name="Note 2 3 7 2 3" xfId="32112"/>
    <cellStyle name="Note 2 3 7 3" xfId="13473"/>
    <cellStyle name="Note 2 3 7 3 2" xfId="27022"/>
    <cellStyle name="Note 2 3 7 4" xfId="32111"/>
    <cellStyle name="Note 2 3 8" xfId="7852"/>
    <cellStyle name="Note 2 3 8 2" xfId="14054"/>
    <cellStyle name="Note 2 3 8 2 2" xfId="27603"/>
    <cellStyle name="Note 2 3 8 3" xfId="32113"/>
    <cellStyle name="Note 2 3 9" xfId="7853"/>
    <cellStyle name="Note 2 3 9 2" xfId="15940"/>
    <cellStyle name="Note 2 3 9 2 2" xfId="29347"/>
    <cellStyle name="Note 2 3 9 3" xfId="32114"/>
    <cellStyle name="Note 2 30" xfId="33058"/>
    <cellStyle name="Note 2 4" xfId="7854"/>
    <cellStyle name="Note 2 4 10" xfId="32115"/>
    <cellStyle name="Note 2 4 2" xfId="7855"/>
    <cellStyle name="Note 2 4 2 2" xfId="7856"/>
    <cellStyle name="Note 2 4 2 2 2" xfId="7857"/>
    <cellStyle name="Note 2 4 2 2 2 2" xfId="7858"/>
    <cellStyle name="Note 2 4 2 2 2 2 2" xfId="11625"/>
    <cellStyle name="Note 2 4 2 2 2 2 3" xfId="32119"/>
    <cellStyle name="Note 2 4 2 2 2 3" xfId="7859"/>
    <cellStyle name="Note 2 4 2 2 2 3 2" xfId="16907"/>
    <cellStyle name="Note 2 4 2 2 2 3 2 2" xfId="30314"/>
    <cellStyle name="Note 2 4 2 2 2 3 3" xfId="32120"/>
    <cellStyle name="Note 2 4 2 2 2 4" xfId="10279"/>
    <cellStyle name="Note 2 4 2 2 2 5" xfId="32118"/>
    <cellStyle name="Note 2 4 2 2 3" xfId="7860"/>
    <cellStyle name="Note 2 4 2 2 3 2" xfId="7861"/>
    <cellStyle name="Note 2 4 2 2 3 2 2" xfId="13304"/>
    <cellStyle name="Note 2 4 2 2 3 2 3" xfId="32122"/>
    <cellStyle name="Note 2 4 2 2 3 3" xfId="12295"/>
    <cellStyle name="Note 2 4 2 2 3 3 2" xfId="26007"/>
    <cellStyle name="Note 2 4 2 2 3 4" xfId="32121"/>
    <cellStyle name="Note 2 4 2 2 4" xfId="7862"/>
    <cellStyle name="Note 2 4 2 2 4 2" xfId="7863"/>
    <cellStyle name="Note 2 4 2 2 4 2 2" xfId="15739"/>
    <cellStyle name="Note 2 4 2 2 4 2 3" xfId="32124"/>
    <cellStyle name="Note 2 4 2 2 4 3" xfId="13859"/>
    <cellStyle name="Note 2 4 2 2 4 3 2" xfId="27408"/>
    <cellStyle name="Note 2 4 2 2 4 4" xfId="32123"/>
    <cellStyle name="Note 2 4 2 2 5" xfId="7864"/>
    <cellStyle name="Note 2 4 2 2 5 2" xfId="14440"/>
    <cellStyle name="Note 2 4 2 2 5 2 2" xfId="27989"/>
    <cellStyle name="Note 2 4 2 2 5 3" xfId="32125"/>
    <cellStyle name="Note 2 4 2 2 6" xfId="7865"/>
    <cellStyle name="Note 2 4 2 2 6 2" xfId="16326"/>
    <cellStyle name="Note 2 4 2 2 6 2 2" xfId="29733"/>
    <cellStyle name="Note 2 4 2 2 6 3" xfId="32126"/>
    <cellStyle name="Note 2 4 2 2 7" xfId="10278"/>
    <cellStyle name="Note 2 4 2 2 8" xfId="32117"/>
    <cellStyle name="Note 2 4 2 3" xfId="7866"/>
    <cellStyle name="Note 2 4 2 3 2" xfId="7867"/>
    <cellStyle name="Note 2 4 2 3 2 2" xfId="11626"/>
    <cellStyle name="Note 2 4 2 3 2 3" xfId="32128"/>
    <cellStyle name="Note 2 4 2 3 3" xfId="7868"/>
    <cellStyle name="Note 2 4 2 3 3 2" xfId="16618"/>
    <cellStyle name="Note 2 4 2 3 3 2 2" xfId="30025"/>
    <cellStyle name="Note 2 4 2 3 3 3" xfId="32129"/>
    <cellStyle name="Note 2 4 2 3 4" xfId="10280"/>
    <cellStyle name="Note 2 4 2 3 5" xfId="32127"/>
    <cellStyle name="Note 2 4 2 4" xfId="7869"/>
    <cellStyle name="Note 2 4 2 4 2" xfId="7870"/>
    <cellStyle name="Note 2 4 2 4 2 2" xfId="13305"/>
    <cellStyle name="Note 2 4 2 4 2 3" xfId="32131"/>
    <cellStyle name="Note 2 4 2 4 3" xfId="11995"/>
    <cellStyle name="Note 2 4 2 4 3 2" xfId="25710"/>
    <cellStyle name="Note 2 4 2 4 4" xfId="32130"/>
    <cellStyle name="Note 2 4 2 5" xfId="7871"/>
    <cellStyle name="Note 2 4 2 5 2" xfId="7872"/>
    <cellStyle name="Note 2 4 2 5 2 2" xfId="15740"/>
    <cellStyle name="Note 2 4 2 5 2 3" xfId="32133"/>
    <cellStyle name="Note 2 4 2 5 3" xfId="13570"/>
    <cellStyle name="Note 2 4 2 5 3 2" xfId="27119"/>
    <cellStyle name="Note 2 4 2 5 4" xfId="32132"/>
    <cellStyle name="Note 2 4 2 6" xfId="7873"/>
    <cellStyle name="Note 2 4 2 6 2" xfId="14151"/>
    <cellStyle name="Note 2 4 2 6 2 2" xfId="27700"/>
    <cellStyle name="Note 2 4 2 6 3" xfId="32134"/>
    <cellStyle name="Note 2 4 2 7" xfId="7874"/>
    <cellStyle name="Note 2 4 2 7 2" xfId="16037"/>
    <cellStyle name="Note 2 4 2 7 2 2" xfId="29444"/>
    <cellStyle name="Note 2 4 2 7 3" xfId="32135"/>
    <cellStyle name="Note 2 4 2 8" xfId="10277"/>
    <cellStyle name="Note 2 4 2 9" xfId="32116"/>
    <cellStyle name="Note 2 4 3" xfId="7875"/>
    <cellStyle name="Note 2 4 3 2" xfId="7876"/>
    <cellStyle name="Note 2 4 3 2 2" xfId="7877"/>
    <cellStyle name="Note 2 4 3 2 2 2" xfId="11627"/>
    <cellStyle name="Note 2 4 3 2 2 3" xfId="32138"/>
    <cellStyle name="Note 2 4 3 2 3" xfId="7878"/>
    <cellStyle name="Note 2 4 3 2 3 2" xfId="16767"/>
    <cellStyle name="Note 2 4 3 2 3 2 2" xfId="30174"/>
    <cellStyle name="Note 2 4 3 2 3 3" xfId="32139"/>
    <cellStyle name="Note 2 4 3 2 4" xfId="10282"/>
    <cellStyle name="Note 2 4 3 2 5" xfId="32137"/>
    <cellStyle name="Note 2 4 3 3" xfId="7879"/>
    <cellStyle name="Note 2 4 3 3 2" xfId="7880"/>
    <cellStyle name="Note 2 4 3 3 2 2" xfId="13306"/>
    <cellStyle name="Note 2 4 3 3 2 3" xfId="32141"/>
    <cellStyle name="Note 2 4 3 3 3" xfId="12155"/>
    <cellStyle name="Note 2 4 3 3 3 2" xfId="25867"/>
    <cellStyle name="Note 2 4 3 3 4" xfId="32140"/>
    <cellStyle name="Note 2 4 3 4" xfId="7881"/>
    <cellStyle name="Note 2 4 3 4 2" xfId="7882"/>
    <cellStyle name="Note 2 4 3 4 2 2" xfId="15741"/>
    <cellStyle name="Note 2 4 3 4 2 3" xfId="32143"/>
    <cellStyle name="Note 2 4 3 4 3" xfId="13719"/>
    <cellStyle name="Note 2 4 3 4 3 2" xfId="27268"/>
    <cellStyle name="Note 2 4 3 4 4" xfId="32142"/>
    <cellStyle name="Note 2 4 3 5" xfId="7883"/>
    <cellStyle name="Note 2 4 3 5 2" xfId="14300"/>
    <cellStyle name="Note 2 4 3 5 2 2" xfId="27849"/>
    <cellStyle name="Note 2 4 3 5 3" xfId="32144"/>
    <cellStyle name="Note 2 4 3 6" xfId="7884"/>
    <cellStyle name="Note 2 4 3 6 2" xfId="16186"/>
    <cellStyle name="Note 2 4 3 6 2 2" xfId="29593"/>
    <cellStyle name="Note 2 4 3 6 3" xfId="32145"/>
    <cellStyle name="Note 2 4 3 7" xfId="10281"/>
    <cellStyle name="Note 2 4 3 8" xfId="32136"/>
    <cellStyle name="Note 2 4 4" xfId="7885"/>
    <cellStyle name="Note 2 4 4 2" xfId="7886"/>
    <cellStyle name="Note 2 4 4 2 2" xfId="11628"/>
    <cellStyle name="Note 2 4 4 2 3" xfId="32147"/>
    <cellStyle name="Note 2 4 4 3" xfId="7887"/>
    <cellStyle name="Note 2 4 4 3 2" xfId="16475"/>
    <cellStyle name="Note 2 4 4 3 2 2" xfId="29882"/>
    <cellStyle name="Note 2 4 4 3 3" xfId="32148"/>
    <cellStyle name="Note 2 4 4 4" xfId="10283"/>
    <cellStyle name="Note 2 4 4 5" xfId="32146"/>
    <cellStyle name="Note 2 4 5" xfId="7888"/>
    <cellStyle name="Note 2 4 5 2" xfId="7889"/>
    <cellStyle name="Note 2 4 5 2 2" xfId="13307"/>
    <cellStyle name="Note 2 4 5 2 3" xfId="32150"/>
    <cellStyle name="Note 2 4 5 3" xfId="11826"/>
    <cellStyle name="Note 2 4 5 3 2" xfId="25541"/>
    <cellStyle name="Note 2 4 5 4" xfId="32149"/>
    <cellStyle name="Note 2 4 6" xfId="7890"/>
    <cellStyle name="Note 2 4 6 2" xfId="7891"/>
    <cellStyle name="Note 2 4 6 2 2" xfId="15742"/>
    <cellStyle name="Note 2 4 6 2 3" xfId="32152"/>
    <cellStyle name="Note 2 4 6 3" xfId="13427"/>
    <cellStyle name="Note 2 4 6 3 2" xfId="26976"/>
    <cellStyle name="Note 2 4 6 4" xfId="32151"/>
    <cellStyle name="Note 2 4 7" xfId="7892"/>
    <cellStyle name="Note 2 4 7 2" xfId="14008"/>
    <cellStyle name="Note 2 4 7 2 2" xfId="27557"/>
    <cellStyle name="Note 2 4 7 3" xfId="32153"/>
    <cellStyle name="Note 2 4 8" xfId="7893"/>
    <cellStyle name="Note 2 4 8 2" xfId="15894"/>
    <cellStyle name="Note 2 4 8 2 2" xfId="29301"/>
    <cellStyle name="Note 2 4 8 3" xfId="32154"/>
    <cellStyle name="Note 2 4 9" xfId="10276"/>
    <cellStyle name="Note 2 5" xfId="7894"/>
    <cellStyle name="Note 2 5 10" xfId="32155"/>
    <cellStyle name="Note 2 5 2" xfId="7895"/>
    <cellStyle name="Note 2 5 2 2" xfId="7896"/>
    <cellStyle name="Note 2 5 2 2 2" xfId="7897"/>
    <cellStyle name="Note 2 5 2 2 2 2" xfId="7898"/>
    <cellStyle name="Note 2 5 2 2 2 2 2" xfId="11629"/>
    <cellStyle name="Note 2 5 2 2 2 2 3" xfId="32159"/>
    <cellStyle name="Note 2 5 2 2 2 3" xfId="7899"/>
    <cellStyle name="Note 2 5 2 2 2 3 2" xfId="16890"/>
    <cellStyle name="Note 2 5 2 2 2 3 2 2" xfId="30297"/>
    <cellStyle name="Note 2 5 2 2 2 3 3" xfId="32160"/>
    <cellStyle name="Note 2 5 2 2 2 4" xfId="10287"/>
    <cellStyle name="Note 2 5 2 2 2 5" xfId="32158"/>
    <cellStyle name="Note 2 5 2 2 3" xfId="7900"/>
    <cellStyle name="Note 2 5 2 2 3 2" xfId="7901"/>
    <cellStyle name="Note 2 5 2 2 3 2 2" xfId="13308"/>
    <cellStyle name="Note 2 5 2 2 3 2 3" xfId="32162"/>
    <cellStyle name="Note 2 5 2 2 3 3" xfId="12278"/>
    <cellStyle name="Note 2 5 2 2 3 3 2" xfId="25990"/>
    <cellStyle name="Note 2 5 2 2 3 4" xfId="32161"/>
    <cellStyle name="Note 2 5 2 2 4" xfId="7902"/>
    <cellStyle name="Note 2 5 2 2 4 2" xfId="7903"/>
    <cellStyle name="Note 2 5 2 2 4 2 2" xfId="15743"/>
    <cellStyle name="Note 2 5 2 2 4 2 3" xfId="32164"/>
    <cellStyle name="Note 2 5 2 2 4 3" xfId="13842"/>
    <cellStyle name="Note 2 5 2 2 4 3 2" xfId="27391"/>
    <cellStyle name="Note 2 5 2 2 4 4" xfId="32163"/>
    <cellStyle name="Note 2 5 2 2 5" xfId="7904"/>
    <cellStyle name="Note 2 5 2 2 5 2" xfId="14423"/>
    <cellStyle name="Note 2 5 2 2 5 2 2" xfId="27972"/>
    <cellStyle name="Note 2 5 2 2 5 3" xfId="32165"/>
    <cellStyle name="Note 2 5 2 2 6" xfId="7905"/>
    <cellStyle name="Note 2 5 2 2 6 2" xfId="16309"/>
    <cellStyle name="Note 2 5 2 2 6 2 2" xfId="29716"/>
    <cellStyle name="Note 2 5 2 2 6 3" xfId="32166"/>
    <cellStyle name="Note 2 5 2 2 7" xfId="10286"/>
    <cellStyle name="Note 2 5 2 2 8" xfId="32157"/>
    <cellStyle name="Note 2 5 2 3" xfId="7906"/>
    <cellStyle name="Note 2 5 2 3 2" xfId="7907"/>
    <cellStyle name="Note 2 5 2 3 2 2" xfId="11630"/>
    <cellStyle name="Note 2 5 2 3 2 3" xfId="32168"/>
    <cellStyle name="Note 2 5 2 3 3" xfId="7908"/>
    <cellStyle name="Note 2 5 2 3 3 2" xfId="16601"/>
    <cellStyle name="Note 2 5 2 3 3 2 2" xfId="30008"/>
    <cellStyle name="Note 2 5 2 3 3 3" xfId="32169"/>
    <cellStyle name="Note 2 5 2 3 4" xfId="10288"/>
    <cellStyle name="Note 2 5 2 3 5" xfId="32167"/>
    <cellStyle name="Note 2 5 2 4" xfId="7909"/>
    <cellStyle name="Note 2 5 2 4 2" xfId="7910"/>
    <cellStyle name="Note 2 5 2 4 2 2" xfId="13309"/>
    <cellStyle name="Note 2 5 2 4 2 3" xfId="32171"/>
    <cellStyle name="Note 2 5 2 4 3" xfId="11978"/>
    <cellStyle name="Note 2 5 2 4 3 2" xfId="25693"/>
    <cellStyle name="Note 2 5 2 4 4" xfId="32170"/>
    <cellStyle name="Note 2 5 2 5" xfId="7911"/>
    <cellStyle name="Note 2 5 2 5 2" xfId="7912"/>
    <cellStyle name="Note 2 5 2 5 2 2" xfId="15744"/>
    <cellStyle name="Note 2 5 2 5 2 3" xfId="32173"/>
    <cellStyle name="Note 2 5 2 5 3" xfId="13553"/>
    <cellStyle name="Note 2 5 2 5 3 2" xfId="27102"/>
    <cellStyle name="Note 2 5 2 5 4" xfId="32172"/>
    <cellStyle name="Note 2 5 2 6" xfId="7913"/>
    <cellStyle name="Note 2 5 2 6 2" xfId="14134"/>
    <cellStyle name="Note 2 5 2 6 2 2" xfId="27683"/>
    <cellStyle name="Note 2 5 2 6 3" xfId="32174"/>
    <cellStyle name="Note 2 5 2 7" xfId="7914"/>
    <cellStyle name="Note 2 5 2 7 2" xfId="16020"/>
    <cellStyle name="Note 2 5 2 7 2 2" xfId="29427"/>
    <cellStyle name="Note 2 5 2 7 3" xfId="32175"/>
    <cellStyle name="Note 2 5 2 8" xfId="10285"/>
    <cellStyle name="Note 2 5 2 9" xfId="32156"/>
    <cellStyle name="Note 2 5 3" xfId="7915"/>
    <cellStyle name="Note 2 5 3 2" xfId="7916"/>
    <cellStyle name="Note 2 5 3 2 2" xfId="7917"/>
    <cellStyle name="Note 2 5 3 2 2 2" xfId="11631"/>
    <cellStyle name="Note 2 5 3 2 2 3" xfId="32178"/>
    <cellStyle name="Note 2 5 3 2 3" xfId="7918"/>
    <cellStyle name="Note 2 5 3 2 3 2" xfId="16750"/>
    <cellStyle name="Note 2 5 3 2 3 2 2" xfId="30157"/>
    <cellStyle name="Note 2 5 3 2 3 3" xfId="32179"/>
    <cellStyle name="Note 2 5 3 2 4" xfId="10290"/>
    <cellStyle name="Note 2 5 3 2 5" xfId="32177"/>
    <cellStyle name="Note 2 5 3 3" xfId="7919"/>
    <cellStyle name="Note 2 5 3 3 2" xfId="7920"/>
    <cellStyle name="Note 2 5 3 3 2 2" xfId="13310"/>
    <cellStyle name="Note 2 5 3 3 2 3" xfId="32181"/>
    <cellStyle name="Note 2 5 3 3 3" xfId="12138"/>
    <cellStyle name="Note 2 5 3 3 3 2" xfId="25850"/>
    <cellStyle name="Note 2 5 3 3 4" xfId="32180"/>
    <cellStyle name="Note 2 5 3 4" xfId="7921"/>
    <cellStyle name="Note 2 5 3 4 2" xfId="7922"/>
    <cellStyle name="Note 2 5 3 4 2 2" xfId="15745"/>
    <cellStyle name="Note 2 5 3 4 2 3" xfId="32183"/>
    <cellStyle name="Note 2 5 3 4 3" xfId="13702"/>
    <cellStyle name="Note 2 5 3 4 3 2" xfId="27251"/>
    <cellStyle name="Note 2 5 3 4 4" xfId="32182"/>
    <cellStyle name="Note 2 5 3 5" xfId="7923"/>
    <cellStyle name="Note 2 5 3 5 2" xfId="14283"/>
    <cellStyle name="Note 2 5 3 5 2 2" xfId="27832"/>
    <cellStyle name="Note 2 5 3 5 3" xfId="32184"/>
    <cellStyle name="Note 2 5 3 6" xfId="7924"/>
    <cellStyle name="Note 2 5 3 6 2" xfId="16169"/>
    <cellStyle name="Note 2 5 3 6 2 2" xfId="29576"/>
    <cellStyle name="Note 2 5 3 6 3" xfId="32185"/>
    <cellStyle name="Note 2 5 3 7" xfId="10289"/>
    <cellStyle name="Note 2 5 3 8" xfId="32176"/>
    <cellStyle name="Note 2 5 4" xfId="7925"/>
    <cellStyle name="Note 2 5 4 2" xfId="7926"/>
    <cellStyle name="Note 2 5 4 2 2" xfId="11632"/>
    <cellStyle name="Note 2 5 4 2 3" xfId="32187"/>
    <cellStyle name="Note 2 5 4 3" xfId="7927"/>
    <cellStyle name="Note 2 5 4 3 2" xfId="16458"/>
    <cellStyle name="Note 2 5 4 3 2 2" xfId="29865"/>
    <cellStyle name="Note 2 5 4 3 3" xfId="32188"/>
    <cellStyle name="Note 2 5 4 4" xfId="10291"/>
    <cellStyle name="Note 2 5 4 5" xfId="32186"/>
    <cellStyle name="Note 2 5 5" xfId="7928"/>
    <cellStyle name="Note 2 5 5 2" xfId="7929"/>
    <cellStyle name="Note 2 5 5 2 2" xfId="13311"/>
    <cellStyle name="Note 2 5 5 2 3" xfId="32190"/>
    <cellStyle name="Note 2 5 5 3" xfId="11809"/>
    <cellStyle name="Note 2 5 5 3 2" xfId="25524"/>
    <cellStyle name="Note 2 5 5 4" xfId="32189"/>
    <cellStyle name="Note 2 5 6" xfId="7930"/>
    <cellStyle name="Note 2 5 6 2" xfId="7931"/>
    <cellStyle name="Note 2 5 6 2 2" xfId="15746"/>
    <cellStyle name="Note 2 5 6 2 3" xfId="32192"/>
    <cellStyle name="Note 2 5 6 3" xfId="13410"/>
    <cellStyle name="Note 2 5 6 3 2" xfId="26959"/>
    <cellStyle name="Note 2 5 6 4" xfId="32191"/>
    <cellStyle name="Note 2 5 7" xfId="7932"/>
    <cellStyle name="Note 2 5 7 2" xfId="13991"/>
    <cellStyle name="Note 2 5 7 2 2" xfId="27540"/>
    <cellStyle name="Note 2 5 7 3" xfId="32193"/>
    <cellStyle name="Note 2 5 8" xfId="7933"/>
    <cellStyle name="Note 2 5 8 2" xfId="15877"/>
    <cellStyle name="Note 2 5 8 2 2" xfId="29284"/>
    <cellStyle name="Note 2 5 8 3" xfId="32194"/>
    <cellStyle name="Note 2 5 9" xfId="10284"/>
    <cellStyle name="Note 2 6" xfId="7934"/>
    <cellStyle name="Note 2 6 10" xfId="32195"/>
    <cellStyle name="Note 2 6 2" xfId="7935"/>
    <cellStyle name="Note 2 6 2 2" xfId="7936"/>
    <cellStyle name="Note 2 6 2 2 2" xfId="7937"/>
    <cellStyle name="Note 2 6 2 2 2 2" xfId="7938"/>
    <cellStyle name="Note 2 6 2 2 2 2 2" xfId="11633"/>
    <cellStyle name="Note 2 6 2 2 2 2 3" xfId="32199"/>
    <cellStyle name="Note 2 6 2 2 2 3" xfId="7939"/>
    <cellStyle name="Note 2 6 2 2 2 3 2" xfId="16996"/>
    <cellStyle name="Note 2 6 2 2 2 3 2 2" xfId="30403"/>
    <cellStyle name="Note 2 6 2 2 2 3 3" xfId="32200"/>
    <cellStyle name="Note 2 6 2 2 2 4" xfId="10295"/>
    <cellStyle name="Note 2 6 2 2 2 5" xfId="32198"/>
    <cellStyle name="Note 2 6 2 2 3" xfId="7940"/>
    <cellStyle name="Note 2 6 2 2 3 2" xfId="7941"/>
    <cellStyle name="Note 2 6 2 2 3 2 2" xfId="13312"/>
    <cellStyle name="Note 2 6 2 2 3 2 3" xfId="32202"/>
    <cellStyle name="Note 2 6 2 2 3 3" xfId="12384"/>
    <cellStyle name="Note 2 6 2 2 3 3 2" xfId="26096"/>
    <cellStyle name="Note 2 6 2 2 3 4" xfId="32201"/>
    <cellStyle name="Note 2 6 2 2 4" xfId="7942"/>
    <cellStyle name="Note 2 6 2 2 4 2" xfId="7943"/>
    <cellStyle name="Note 2 6 2 2 4 2 2" xfId="15747"/>
    <cellStyle name="Note 2 6 2 2 4 2 3" xfId="32204"/>
    <cellStyle name="Note 2 6 2 2 4 3" xfId="13948"/>
    <cellStyle name="Note 2 6 2 2 4 3 2" xfId="27497"/>
    <cellStyle name="Note 2 6 2 2 4 4" xfId="32203"/>
    <cellStyle name="Note 2 6 2 2 5" xfId="7944"/>
    <cellStyle name="Note 2 6 2 2 5 2" xfId="14529"/>
    <cellStyle name="Note 2 6 2 2 5 2 2" xfId="28078"/>
    <cellStyle name="Note 2 6 2 2 5 3" xfId="32205"/>
    <cellStyle name="Note 2 6 2 2 6" xfId="7945"/>
    <cellStyle name="Note 2 6 2 2 6 2" xfId="16415"/>
    <cellStyle name="Note 2 6 2 2 6 2 2" xfId="29822"/>
    <cellStyle name="Note 2 6 2 2 6 3" xfId="32206"/>
    <cellStyle name="Note 2 6 2 2 7" xfId="10294"/>
    <cellStyle name="Note 2 6 2 2 8" xfId="32197"/>
    <cellStyle name="Note 2 6 2 3" xfId="7946"/>
    <cellStyle name="Note 2 6 2 3 2" xfId="7947"/>
    <cellStyle name="Note 2 6 2 3 2 2" xfId="11634"/>
    <cellStyle name="Note 2 6 2 3 2 3" xfId="32208"/>
    <cellStyle name="Note 2 6 2 3 3" xfId="7948"/>
    <cellStyle name="Note 2 6 2 3 3 2" xfId="16707"/>
    <cellStyle name="Note 2 6 2 3 3 2 2" xfId="30114"/>
    <cellStyle name="Note 2 6 2 3 3 3" xfId="32209"/>
    <cellStyle name="Note 2 6 2 3 4" xfId="10296"/>
    <cellStyle name="Note 2 6 2 3 5" xfId="32207"/>
    <cellStyle name="Note 2 6 2 4" xfId="7949"/>
    <cellStyle name="Note 2 6 2 4 2" xfId="7950"/>
    <cellStyle name="Note 2 6 2 4 2 2" xfId="13313"/>
    <cellStyle name="Note 2 6 2 4 2 3" xfId="32211"/>
    <cellStyle name="Note 2 6 2 4 3" xfId="12084"/>
    <cellStyle name="Note 2 6 2 4 3 2" xfId="25799"/>
    <cellStyle name="Note 2 6 2 4 4" xfId="32210"/>
    <cellStyle name="Note 2 6 2 5" xfId="7951"/>
    <cellStyle name="Note 2 6 2 5 2" xfId="7952"/>
    <cellStyle name="Note 2 6 2 5 2 2" xfId="15748"/>
    <cellStyle name="Note 2 6 2 5 2 3" xfId="32213"/>
    <cellStyle name="Note 2 6 2 5 3" xfId="13659"/>
    <cellStyle name="Note 2 6 2 5 3 2" xfId="27208"/>
    <cellStyle name="Note 2 6 2 5 4" xfId="32212"/>
    <cellStyle name="Note 2 6 2 6" xfId="7953"/>
    <cellStyle name="Note 2 6 2 6 2" xfId="14240"/>
    <cellStyle name="Note 2 6 2 6 2 2" xfId="27789"/>
    <cellStyle name="Note 2 6 2 6 3" xfId="32214"/>
    <cellStyle name="Note 2 6 2 7" xfId="7954"/>
    <cellStyle name="Note 2 6 2 7 2" xfId="16126"/>
    <cellStyle name="Note 2 6 2 7 2 2" xfId="29533"/>
    <cellStyle name="Note 2 6 2 7 3" xfId="32215"/>
    <cellStyle name="Note 2 6 2 8" xfId="10293"/>
    <cellStyle name="Note 2 6 2 9" xfId="32196"/>
    <cellStyle name="Note 2 6 3" xfId="7955"/>
    <cellStyle name="Note 2 6 3 2" xfId="7956"/>
    <cellStyle name="Note 2 6 3 2 2" xfId="7957"/>
    <cellStyle name="Note 2 6 3 2 2 2" xfId="11635"/>
    <cellStyle name="Note 2 6 3 2 2 3" xfId="32218"/>
    <cellStyle name="Note 2 6 3 2 3" xfId="7958"/>
    <cellStyle name="Note 2 6 3 2 3 2" xfId="16853"/>
    <cellStyle name="Note 2 6 3 2 3 2 2" xfId="30260"/>
    <cellStyle name="Note 2 6 3 2 3 3" xfId="32219"/>
    <cellStyle name="Note 2 6 3 2 4" xfId="10298"/>
    <cellStyle name="Note 2 6 3 2 5" xfId="32217"/>
    <cellStyle name="Note 2 6 3 3" xfId="7959"/>
    <cellStyle name="Note 2 6 3 3 2" xfId="7960"/>
    <cellStyle name="Note 2 6 3 3 2 2" xfId="13314"/>
    <cellStyle name="Note 2 6 3 3 2 3" xfId="32221"/>
    <cellStyle name="Note 2 6 3 3 3" xfId="12241"/>
    <cellStyle name="Note 2 6 3 3 3 2" xfId="25953"/>
    <cellStyle name="Note 2 6 3 3 4" xfId="32220"/>
    <cellStyle name="Note 2 6 3 4" xfId="7961"/>
    <cellStyle name="Note 2 6 3 4 2" xfId="7962"/>
    <cellStyle name="Note 2 6 3 4 2 2" xfId="15749"/>
    <cellStyle name="Note 2 6 3 4 2 3" xfId="32223"/>
    <cellStyle name="Note 2 6 3 4 3" xfId="13805"/>
    <cellStyle name="Note 2 6 3 4 3 2" xfId="27354"/>
    <cellStyle name="Note 2 6 3 4 4" xfId="32222"/>
    <cellStyle name="Note 2 6 3 5" xfId="7963"/>
    <cellStyle name="Note 2 6 3 5 2" xfId="14386"/>
    <cellStyle name="Note 2 6 3 5 2 2" xfId="27935"/>
    <cellStyle name="Note 2 6 3 5 3" xfId="32224"/>
    <cellStyle name="Note 2 6 3 6" xfId="7964"/>
    <cellStyle name="Note 2 6 3 6 2" xfId="16272"/>
    <cellStyle name="Note 2 6 3 6 2 2" xfId="29679"/>
    <cellStyle name="Note 2 6 3 6 3" xfId="32225"/>
    <cellStyle name="Note 2 6 3 7" xfId="10297"/>
    <cellStyle name="Note 2 6 3 8" xfId="32216"/>
    <cellStyle name="Note 2 6 4" xfId="7965"/>
    <cellStyle name="Note 2 6 4 2" xfId="7966"/>
    <cellStyle name="Note 2 6 4 2 2" xfId="11636"/>
    <cellStyle name="Note 2 6 4 2 3" xfId="32227"/>
    <cellStyle name="Note 2 6 4 3" xfId="7967"/>
    <cellStyle name="Note 2 6 4 3 2" xfId="16564"/>
    <cellStyle name="Note 2 6 4 3 2 2" xfId="29971"/>
    <cellStyle name="Note 2 6 4 3 3" xfId="32228"/>
    <cellStyle name="Note 2 6 4 4" xfId="10299"/>
    <cellStyle name="Note 2 6 4 5" xfId="32226"/>
    <cellStyle name="Note 2 6 5" xfId="7968"/>
    <cellStyle name="Note 2 6 5 2" xfId="7969"/>
    <cellStyle name="Note 2 6 5 2 2" xfId="13315"/>
    <cellStyle name="Note 2 6 5 2 3" xfId="32230"/>
    <cellStyle name="Note 2 6 5 3" xfId="11939"/>
    <cellStyle name="Note 2 6 5 3 2" xfId="25654"/>
    <cellStyle name="Note 2 6 5 4" xfId="32229"/>
    <cellStyle name="Note 2 6 6" xfId="7970"/>
    <cellStyle name="Note 2 6 6 2" xfId="7971"/>
    <cellStyle name="Note 2 6 6 2 2" xfId="15750"/>
    <cellStyle name="Note 2 6 6 2 3" xfId="32232"/>
    <cellStyle name="Note 2 6 6 3" xfId="13516"/>
    <cellStyle name="Note 2 6 6 3 2" xfId="27065"/>
    <cellStyle name="Note 2 6 6 4" xfId="32231"/>
    <cellStyle name="Note 2 6 7" xfId="7972"/>
    <cellStyle name="Note 2 6 7 2" xfId="14097"/>
    <cellStyle name="Note 2 6 7 2 2" xfId="27646"/>
    <cellStyle name="Note 2 6 7 3" xfId="32233"/>
    <cellStyle name="Note 2 6 8" xfId="7973"/>
    <cellStyle name="Note 2 6 8 2" xfId="15983"/>
    <cellStyle name="Note 2 6 8 2 2" xfId="29390"/>
    <cellStyle name="Note 2 6 8 3" xfId="32234"/>
    <cellStyle name="Note 2 6 9" xfId="10292"/>
    <cellStyle name="Note 2 7" xfId="7974"/>
    <cellStyle name="Note 2 7 2" xfId="7975"/>
    <cellStyle name="Note 2 7 2 2" xfId="7976"/>
    <cellStyle name="Note 2 7 2 2 2" xfId="7977"/>
    <cellStyle name="Note 2 7 2 2 2 2" xfId="11637"/>
    <cellStyle name="Note 2 7 2 2 2 3" xfId="32238"/>
    <cellStyle name="Note 2 7 2 2 3" xfId="7978"/>
    <cellStyle name="Note 2 7 2 2 3 2" xfId="16873"/>
    <cellStyle name="Note 2 7 2 2 3 2 2" xfId="30280"/>
    <cellStyle name="Note 2 7 2 2 3 3" xfId="32239"/>
    <cellStyle name="Note 2 7 2 2 4" xfId="10302"/>
    <cellStyle name="Note 2 7 2 2 5" xfId="32237"/>
    <cellStyle name="Note 2 7 2 3" xfId="7979"/>
    <cellStyle name="Note 2 7 2 3 2" xfId="7980"/>
    <cellStyle name="Note 2 7 2 3 2 2" xfId="13316"/>
    <cellStyle name="Note 2 7 2 3 2 3" xfId="32241"/>
    <cellStyle name="Note 2 7 2 3 3" xfId="12261"/>
    <cellStyle name="Note 2 7 2 3 3 2" xfId="25973"/>
    <cellStyle name="Note 2 7 2 3 4" xfId="32240"/>
    <cellStyle name="Note 2 7 2 4" xfId="7981"/>
    <cellStyle name="Note 2 7 2 4 2" xfId="7982"/>
    <cellStyle name="Note 2 7 2 4 2 2" xfId="15751"/>
    <cellStyle name="Note 2 7 2 4 2 3" xfId="32243"/>
    <cellStyle name="Note 2 7 2 4 3" xfId="13825"/>
    <cellStyle name="Note 2 7 2 4 3 2" xfId="27374"/>
    <cellStyle name="Note 2 7 2 4 4" xfId="32242"/>
    <cellStyle name="Note 2 7 2 5" xfId="7983"/>
    <cellStyle name="Note 2 7 2 5 2" xfId="14406"/>
    <cellStyle name="Note 2 7 2 5 2 2" xfId="27955"/>
    <cellStyle name="Note 2 7 2 5 3" xfId="32244"/>
    <cellStyle name="Note 2 7 2 6" xfId="7984"/>
    <cellStyle name="Note 2 7 2 6 2" xfId="16292"/>
    <cellStyle name="Note 2 7 2 6 2 2" xfId="29699"/>
    <cellStyle name="Note 2 7 2 6 3" xfId="32245"/>
    <cellStyle name="Note 2 7 2 7" xfId="10301"/>
    <cellStyle name="Note 2 7 2 8" xfId="32236"/>
    <cellStyle name="Note 2 7 3" xfId="7985"/>
    <cellStyle name="Note 2 7 3 2" xfId="7986"/>
    <cellStyle name="Note 2 7 3 2 2" xfId="11638"/>
    <cellStyle name="Note 2 7 3 2 3" xfId="32247"/>
    <cellStyle name="Note 2 7 3 3" xfId="7987"/>
    <cellStyle name="Note 2 7 3 3 2" xfId="16584"/>
    <cellStyle name="Note 2 7 3 3 2 2" xfId="29991"/>
    <cellStyle name="Note 2 7 3 3 3" xfId="32248"/>
    <cellStyle name="Note 2 7 3 4" xfId="10303"/>
    <cellStyle name="Note 2 7 3 5" xfId="32246"/>
    <cellStyle name="Note 2 7 4" xfId="7988"/>
    <cellStyle name="Note 2 7 4 2" xfId="7989"/>
    <cellStyle name="Note 2 7 4 2 2" xfId="13317"/>
    <cellStyle name="Note 2 7 4 2 3" xfId="32250"/>
    <cellStyle name="Note 2 7 4 3" xfId="11961"/>
    <cellStyle name="Note 2 7 4 3 2" xfId="25676"/>
    <cellStyle name="Note 2 7 4 4" xfId="32249"/>
    <cellStyle name="Note 2 7 5" xfId="7990"/>
    <cellStyle name="Note 2 7 5 2" xfId="7991"/>
    <cellStyle name="Note 2 7 5 2 2" xfId="15752"/>
    <cellStyle name="Note 2 7 5 2 3" xfId="32252"/>
    <cellStyle name="Note 2 7 5 3" xfId="13536"/>
    <cellStyle name="Note 2 7 5 3 2" xfId="27085"/>
    <cellStyle name="Note 2 7 5 4" xfId="32251"/>
    <cellStyle name="Note 2 7 6" xfId="7992"/>
    <cellStyle name="Note 2 7 6 2" xfId="14117"/>
    <cellStyle name="Note 2 7 6 2 2" xfId="27666"/>
    <cellStyle name="Note 2 7 6 3" xfId="32253"/>
    <cellStyle name="Note 2 7 7" xfId="7993"/>
    <cellStyle name="Note 2 7 7 2" xfId="16003"/>
    <cellStyle name="Note 2 7 7 2 2" xfId="29410"/>
    <cellStyle name="Note 2 7 7 3" xfId="32254"/>
    <cellStyle name="Note 2 7 8" xfId="10300"/>
    <cellStyle name="Note 2 7 9" xfId="32235"/>
    <cellStyle name="Note 2 8" xfId="7994"/>
    <cellStyle name="Note 2 8 2" xfId="7995"/>
    <cellStyle name="Note 2 8 2 2" xfId="7996"/>
    <cellStyle name="Note 2 8 2 2 2" xfId="11639"/>
    <cellStyle name="Note 2 8 2 2 3" xfId="32257"/>
    <cellStyle name="Note 2 8 2 3" xfId="7997"/>
    <cellStyle name="Note 2 8 2 3 2" xfId="16729"/>
    <cellStyle name="Note 2 8 2 3 2 2" xfId="30136"/>
    <cellStyle name="Note 2 8 2 3 3" xfId="32258"/>
    <cellStyle name="Note 2 8 2 4" xfId="10305"/>
    <cellStyle name="Note 2 8 2 5" xfId="32256"/>
    <cellStyle name="Note 2 8 3" xfId="7998"/>
    <cellStyle name="Note 2 8 3 2" xfId="7999"/>
    <cellStyle name="Note 2 8 3 2 2" xfId="13318"/>
    <cellStyle name="Note 2 8 3 2 3" xfId="32260"/>
    <cellStyle name="Note 2 8 3 3" xfId="12117"/>
    <cellStyle name="Note 2 8 3 3 2" xfId="25829"/>
    <cellStyle name="Note 2 8 3 4" xfId="32259"/>
    <cellStyle name="Note 2 8 4" xfId="8000"/>
    <cellStyle name="Note 2 8 4 2" xfId="8001"/>
    <cellStyle name="Note 2 8 4 2 2" xfId="15753"/>
    <cellStyle name="Note 2 8 4 2 3" xfId="32262"/>
    <cellStyle name="Note 2 8 4 3" xfId="13681"/>
    <cellStyle name="Note 2 8 4 3 2" xfId="27230"/>
    <cellStyle name="Note 2 8 4 4" xfId="32261"/>
    <cellStyle name="Note 2 8 5" xfId="8002"/>
    <cellStyle name="Note 2 8 5 2" xfId="14262"/>
    <cellStyle name="Note 2 8 5 2 2" xfId="27811"/>
    <cellStyle name="Note 2 8 5 3" xfId="32263"/>
    <cellStyle name="Note 2 8 6" xfId="8003"/>
    <cellStyle name="Note 2 8 6 2" xfId="16148"/>
    <cellStyle name="Note 2 8 6 2 2" xfId="29555"/>
    <cellStyle name="Note 2 8 6 3" xfId="32264"/>
    <cellStyle name="Note 2 8 7" xfId="10304"/>
    <cellStyle name="Note 2 8 8" xfId="32255"/>
    <cellStyle name="Note 2 9" xfId="8004"/>
    <cellStyle name="Note 2 9 2" xfId="8005"/>
    <cellStyle name="Note 2 9 2 2" xfId="13319"/>
    <cellStyle name="Note 2 9 2 3" xfId="32266"/>
    <cellStyle name="Note 2 9 3" xfId="8006"/>
    <cellStyle name="Note 2 9 3 2" xfId="17052"/>
    <cellStyle name="Note 2 9 3 2 2" xfId="30451"/>
    <cellStyle name="Note 2 9 3 3" xfId="32267"/>
    <cellStyle name="Note 2 9 4" xfId="10306"/>
    <cellStyle name="Note 2 9 5" xfId="32265"/>
    <cellStyle name="Note 3" xfId="8007"/>
    <cellStyle name="Note 3 10" xfId="10307"/>
    <cellStyle name="Note 3 11" xfId="32268"/>
    <cellStyle name="Note 3 2" xfId="8008"/>
    <cellStyle name="Note 3 2 10" xfId="32269"/>
    <cellStyle name="Note 3 2 2" xfId="8009"/>
    <cellStyle name="Note 3 2 2 2" xfId="8010"/>
    <cellStyle name="Note 3 2 2 2 2" xfId="8011"/>
    <cellStyle name="Note 3 2 2 2 2 2" xfId="8012"/>
    <cellStyle name="Note 3 2 2 2 2 2 2" xfId="11640"/>
    <cellStyle name="Note 3 2 2 2 2 2 3" xfId="32273"/>
    <cellStyle name="Note 3 2 2 2 2 3" xfId="8013"/>
    <cellStyle name="Note 3 2 2 2 2 3 2" xfId="16960"/>
    <cellStyle name="Note 3 2 2 2 2 3 2 2" xfId="30367"/>
    <cellStyle name="Note 3 2 2 2 2 3 3" xfId="32274"/>
    <cellStyle name="Note 3 2 2 2 2 4" xfId="10311"/>
    <cellStyle name="Note 3 2 2 2 2 5" xfId="32272"/>
    <cellStyle name="Note 3 2 2 2 3" xfId="8014"/>
    <cellStyle name="Note 3 2 2 2 3 2" xfId="8015"/>
    <cellStyle name="Note 3 2 2 2 3 2 2" xfId="13320"/>
    <cellStyle name="Note 3 2 2 2 3 2 3" xfId="32276"/>
    <cellStyle name="Note 3 2 2 2 3 3" xfId="12348"/>
    <cellStyle name="Note 3 2 2 2 3 3 2" xfId="26060"/>
    <cellStyle name="Note 3 2 2 2 3 4" xfId="32275"/>
    <cellStyle name="Note 3 2 2 2 4" xfId="8016"/>
    <cellStyle name="Note 3 2 2 2 4 2" xfId="8017"/>
    <cellStyle name="Note 3 2 2 2 4 2 2" xfId="15754"/>
    <cellStyle name="Note 3 2 2 2 4 2 3" xfId="32278"/>
    <cellStyle name="Note 3 2 2 2 4 3" xfId="13912"/>
    <cellStyle name="Note 3 2 2 2 4 3 2" xfId="27461"/>
    <cellStyle name="Note 3 2 2 2 4 4" xfId="32277"/>
    <cellStyle name="Note 3 2 2 2 5" xfId="8018"/>
    <cellStyle name="Note 3 2 2 2 5 2" xfId="14493"/>
    <cellStyle name="Note 3 2 2 2 5 2 2" xfId="28042"/>
    <cellStyle name="Note 3 2 2 2 5 3" xfId="32279"/>
    <cellStyle name="Note 3 2 2 2 6" xfId="8019"/>
    <cellStyle name="Note 3 2 2 2 6 2" xfId="16379"/>
    <cellStyle name="Note 3 2 2 2 6 2 2" xfId="29786"/>
    <cellStyle name="Note 3 2 2 2 6 3" xfId="32280"/>
    <cellStyle name="Note 3 2 2 2 7" xfId="10310"/>
    <cellStyle name="Note 3 2 2 2 8" xfId="32271"/>
    <cellStyle name="Note 3 2 2 3" xfId="8020"/>
    <cellStyle name="Note 3 2 2 3 2" xfId="8021"/>
    <cellStyle name="Note 3 2 2 3 2 2" xfId="11641"/>
    <cellStyle name="Note 3 2 2 3 2 3" xfId="32282"/>
    <cellStyle name="Note 3 2 2 3 3" xfId="8022"/>
    <cellStyle name="Note 3 2 2 3 3 2" xfId="16671"/>
    <cellStyle name="Note 3 2 2 3 3 2 2" xfId="30078"/>
    <cellStyle name="Note 3 2 2 3 3 3" xfId="32283"/>
    <cellStyle name="Note 3 2 2 3 4" xfId="10312"/>
    <cellStyle name="Note 3 2 2 3 5" xfId="32281"/>
    <cellStyle name="Note 3 2 2 4" xfId="8023"/>
    <cellStyle name="Note 3 2 2 4 2" xfId="8024"/>
    <cellStyle name="Note 3 2 2 4 2 2" xfId="13321"/>
    <cellStyle name="Note 3 2 2 4 2 3" xfId="32285"/>
    <cellStyle name="Note 3 2 2 4 3" xfId="12048"/>
    <cellStyle name="Note 3 2 2 4 3 2" xfId="25763"/>
    <cellStyle name="Note 3 2 2 4 4" xfId="32284"/>
    <cellStyle name="Note 3 2 2 5" xfId="8025"/>
    <cellStyle name="Note 3 2 2 5 2" xfId="8026"/>
    <cellStyle name="Note 3 2 2 5 2 2" xfId="15755"/>
    <cellStyle name="Note 3 2 2 5 2 3" xfId="32287"/>
    <cellStyle name="Note 3 2 2 5 3" xfId="13623"/>
    <cellStyle name="Note 3 2 2 5 3 2" xfId="27172"/>
    <cellStyle name="Note 3 2 2 5 4" xfId="32286"/>
    <cellStyle name="Note 3 2 2 6" xfId="8027"/>
    <cellStyle name="Note 3 2 2 6 2" xfId="14204"/>
    <cellStyle name="Note 3 2 2 6 2 2" xfId="27753"/>
    <cellStyle name="Note 3 2 2 6 3" xfId="32288"/>
    <cellStyle name="Note 3 2 2 7" xfId="8028"/>
    <cellStyle name="Note 3 2 2 7 2" xfId="16090"/>
    <cellStyle name="Note 3 2 2 7 2 2" xfId="29497"/>
    <cellStyle name="Note 3 2 2 7 3" xfId="32289"/>
    <cellStyle name="Note 3 2 2 8" xfId="10309"/>
    <cellStyle name="Note 3 2 2 9" xfId="32270"/>
    <cellStyle name="Note 3 2 3" xfId="8029"/>
    <cellStyle name="Note 3 2 3 2" xfId="8030"/>
    <cellStyle name="Note 3 2 3 2 2" xfId="8031"/>
    <cellStyle name="Note 3 2 3 2 2 2" xfId="11642"/>
    <cellStyle name="Note 3 2 3 2 2 3" xfId="32292"/>
    <cellStyle name="Note 3 2 3 2 3" xfId="8032"/>
    <cellStyle name="Note 3 2 3 2 3 2" xfId="16817"/>
    <cellStyle name="Note 3 2 3 2 3 2 2" xfId="30224"/>
    <cellStyle name="Note 3 2 3 2 3 3" xfId="32293"/>
    <cellStyle name="Note 3 2 3 2 4" xfId="10314"/>
    <cellStyle name="Note 3 2 3 2 5" xfId="32291"/>
    <cellStyle name="Note 3 2 3 3" xfId="8033"/>
    <cellStyle name="Note 3 2 3 3 2" xfId="8034"/>
    <cellStyle name="Note 3 2 3 3 2 2" xfId="13322"/>
    <cellStyle name="Note 3 2 3 3 2 3" xfId="32295"/>
    <cellStyle name="Note 3 2 3 3 3" xfId="12205"/>
    <cellStyle name="Note 3 2 3 3 3 2" xfId="25917"/>
    <cellStyle name="Note 3 2 3 3 4" xfId="32294"/>
    <cellStyle name="Note 3 2 3 4" xfId="8035"/>
    <cellStyle name="Note 3 2 3 4 2" xfId="8036"/>
    <cellStyle name="Note 3 2 3 4 2 2" xfId="15756"/>
    <cellStyle name="Note 3 2 3 4 2 3" xfId="32297"/>
    <cellStyle name="Note 3 2 3 4 3" xfId="13769"/>
    <cellStyle name="Note 3 2 3 4 3 2" xfId="27318"/>
    <cellStyle name="Note 3 2 3 4 4" xfId="32296"/>
    <cellStyle name="Note 3 2 3 5" xfId="8037"/>
    <cellStyle name="Note 3 2 3 5 2" xfId="14350"/>
    <cellStyle name="Note 3 2 3 5 2 2" xfId="27899"/>
    <cellStyle name="Note 3 2 3 5 3" xfId="32298"/>
    <cellStyle name="Note 3 2 3 6" xfId="8038"/>
    <cellStyle name="Note 3 2 3 6 2" xfId="16236"/>
    <cellStyle name="Note 3 2 3 6 2 2" xfId="29643"/>
    <cellStyle name="Note 3 2 3 6 3" xfId="32299"/>
    <cellStyle name="Note 3 2 3 7" xfId="10313"/>
    <cellStyle name="Note 3 2 3 8" xfId="32290"/>
    <cellStyle name="Note 3 2 4" xfId="8039"/>
    <cellStyle name="Note 3 2 4 2" xfId="8040"/>
    <cellStyle name="Note 3 2 4 2 2" xfId="11643"/>
    <cellStyle name="Note 3 2 4 2 3" xfId="32301"/>
    <cellStyle name="Note 3 2 4 3" xfId="8041"/>
    <cellStyle name="Note 3 2 4 3 2" xfId="17164"/>
    <cellStyle name="Note 3 2 4 3 2 2" xfId="30523"/>
    <cellStyle name="Note 3 2 4 3 3" xfId="32302"/>
    <cellStyle name="Note 3 2 4 4" xfId="10315"/>
    <cellStyle name="Note 3 2 4 5" xfId="32300"/>
    <cellStyle name="Note 3 2 5" xfId="8042"/>
    <cellStyle name="Note 3 2 5 2" xfId="8043"/>
    <cellStyle name="Note 3 2 5 2 2" xfId="13323"/>
    <cellStyle name="Note 3 2 5 2 3" xfId="32304"/>
    <cellStyle name="Note 3 2 5 3" xfId="8044"/>
    <cellStyle name="Note 3 2 5 3 2" xfId="17253"/>
    <cellStyle name="Note 3 2 5 3 2 2" xfId="30612"/>
    <cellStyle name="Note 3 2 5 3 3" xfId="32305"/>
    <cellStyle name="Note 3 2 5 4" xfId="11903"/>
    <cellStyle name="Note 3 2 5 4 2" xfId="25618"/>
    <cellStyle name="Note 3 2 5 5" xfId="32303"/>
    <cellStyle name="Note 3 2 6" xfId="8045"/>
    <cellStyle name="Note 3 2 6 2" xfId="8046"/>
    <cellStyle name="Note 3 2 6 2 2" xfId="15757"/>
    <cellStyle name="Note 3 2 6 2 3" xfId="32307"/>
    <cellStyle name="Note 3 2 6 3" xfId="8047"/>
    <cellStyle name="Note 3 2 6 3 2" xfId="16528"/>
    <cellStyle name="Note 3 2 6 3 2 2" xfId="29935"/>
    <cellStyle name="Note 3 2 6 3 3" xfId="32308"/>
    <cellStyle name="Note 3 2 6 4" xfId="13480"/>
    <cellStyle name="Note 3 2 6 4 2" xfId="27029"/>
    <cellStyle name="Note 3 2 6 5" xfId="32306"/>
    <cellStyle name="Note 3 2 7" xfId="8048"/>
    <cellStyle name="Note 3 2 7 2" xfId="14061"/>
    <cellStyle name="Note 3 2 7 2 2" xfId="27610"/>
    <cellStyle name="Note 3 2 7 3" xfId="32309"/>
    <cellStyle name="Note 3 2 8" xfId="8049"/>
    <cellStyle name="Note 3 2 8 2" xfId="15947"/>
    <cellStyle name="Note 3 2 8 2 2" xfId="29354"/>
    <cellStyle name="Note 3 2 8 3" xfId="32310"/>
    <cellStyle name="Note 3 2 9" xfId="10308"/>
    <cellStyle name="Note 3 3" xfId="8050"/>
    <cellStyle name="Note 3 3 2" xfId="8051"/>
    <cellStyle name="Note 3 3 2 2" xfId="8052"/>
    <cellStyle name="Note 3 3 2 2 2" xfId="8053"/>
    <cellStyle name="Note 3 3 2 2 2 2" xfId="11644"/>
    <cellStyle name="Note 3 3 2 2 2 3" xfId="32314"/>
    <cellStyle name="Note 3 3 2 2 3" xfId="8054"/>
    <cellStyle name="Note 3 3 2 2 3 2" xfId="16914"/>
    <cellStyle name="Note 3 3 2 2 3 2 2" xfId="30321"/>
    <cellStyle name="Note 3 3 2 2 3 3" xfId="32315"/>
    <cellStyle name="Note 3 3 2 2 4" xfId="10318"/>
    <cellStyle name="Note 3 3 2 2 5" xfId="32313"/>
    <cellStyle name="Note 3 3 2 3" xfId="8055"/>
    <cellStyle name="Note 3 3 2 3 2" xfId="8056"/>
    <cellStyle name="Note 3 3 2 3 2 2" xfId="13324"/>
    <cellStyle name="Note 3 3 2 3 2 3" xfId="32317"/>
    <cellStyle name="Note 3 3 2 3 3" xfId="12302"/>
    <cellStyle name="Note 3 3 2 3 3 2" xfId="26014"/>
    <cellStyle name="Note 3 3 2 3 4" xfId="32316"/>
    <cellStyle name="Note 3 3 2 4" xfId="8057"/>
    <cellStyle name="Note 3 3 2 4 2" xfId="8058"/>
    <cellStyle name="Note 3 3 2 4 2 2" xfId="15758"/>
    <cellStyle name="Note 3 3 2 4 2 3" xfId="32319"/>
    <cellStyle name="Note 3 3 2 4 3" xfId="13866"/>
    <cellStyle name="Note 3 3 2 4 3 2" xfId="27415"/>
    <cellStyle name="Note 3 3 2 4 4" xfId="32318"/>
    <cellStyle name="Note 3 3 2 5" xfId="8059"/>
    <cellStyle name="Note 3 3 2 5 2" xfId="14447"/>
    <cellStyle name="Note 3 3 2 5 2 2" xfId="27996"/>
    <cellStyle name="Note 3 3 2 5 3" xfId="32320"/>
    <cellStyle name="Note 3 3 2 6" xfId="8060"/>
    <cellStyle name="Note 3 3 2 6 2" xfId="16333"/>
    <cellStyle name="Note 3 3 2 6 2 2" xfId="29740"/>
    <cellStyle name="Note 3 3 2 6 3" xfId="32321"/>
    <cellStyle name="Note 3 3 2 7" xfId="10317"/>
    <cellStyle name="Note 3 3 2 8" xfId="32312"/>
    <cellStyle name="Note 3 3 3" xfId="8061"/>
    <cellStyle name="Note 3 3 3 2" xfId="8062"/>
    <cellStyle name="Note 3 3 3 2 2" xfId="11645"/>
    <cellStyle name="Note 3 3 3 2 3" xfId="32323"/>
    <cellStyle name="Note 3 3 3 3" xfId="8063"/>
    <cellStyle name="Note 3 3 3 3 2" xfId="16625"/>
    <cellStyle name="Note 3 3 3 3 2 2" xfId="30032"/>
    <cellStyle name="Note 3 3 3 3 3" xfId="32324"/>
    <cellStyle name="Note 3 3 3 4" xfId="10319"/>
    <cellStyle name="Note 3 3 3 5" xfId="32322"/>
    <cellStyle name="Note 3 3 4" xfId="8064"/>
    <cellStyle name="Note 3 3 4 2" xfId="8065"/>
    <cellStyle name="Note 3 3 4 2 2" xfId="13325"/>
    <cellStyle name="Note 3 3 4 2 3" xfId="32326"/>
    <cellStyle name="Note 3 3 4 3" xfId="12002"/>
    <cellStyle name="Note 3 3 4 3 2" xfId="25717"/>
    <cellStyle name="Note 3 3 4 4" xfId="32325"/>
    <cellStyle name="Note 3 3 5" xfId="8066"/>
    <cellStyle name="Note 3 3 5 2" xfId="8067"/>
    <cellStyle name="Note 3 3 5 2 2" xfId="15759"/>
    <cellStyle name="Note 3 3 5 2 3" xfId="32328"/>
    <cellStyle name="Note 3 3 5 3" xfId="13577"/>
    <cellStyle name="Note 3 3 5 3 2" xfId="27126"/>
    <cellStyle name="Note 3 3 5 4" xfId="32327"/>
    <cellStyle name="Note 3 3 6" xfId="8068"/>
    <cellStyle name="Note 3 3 6 2" xfId="14158"/>
    <cellStyle name="Note 3 3 6 2 2" xfId="27707"/>
    <cellStyle name="Note 3 3 6 3" xfId="32329"/>
    <cellStyle name="Note 3 3 7" xfId="8069"/>
    <cellStyle name="Note 3 3 7 2" xfId="16044"/>
    <cellStyle name="Note 3 3 7 2 2" xfId="29451"/>
    <cellStyle name="Note 3 3 7 3" xfId="32330"/>
    <cellStyle name="Note 3 3 8" xfId="10316"/>
    <cellStyle name="Note 3 3 9" xfId="32311"/>
    <cellStyle name="Note 3 4" xfId="8070"/>
    <cellStyle name="Note 3 4 2" xfId="8071"/>
    <cellStyle name="Note 3 4 2 2" xfId="8072"/>
    <cellStyle name="Note 3 4 2 2 2" xfId="11646"/>
    <cellStyle name="Note 3 4 2 2 3" xfId="32333"/>
    <cellStyle name="Note 3 4 2 3" xfId="8073"/>
    <cellStyle name="Note 3 4 2 3 2" xfId="16771"/>
    <cellStyle name="Note 3 4 2 3 2 2" xfId="30178"/>
    <cellStyle name="Note 3 4 2 3 3" xfId="32334"/>
    <cellStyle name="Note 3 4 2 4" xfId="10321"/>
    <cellStyle name="Note 3 4 2 5" xfId="32332"/>
    <cellStyle name="Note 3 4 3" xfId="8074"/>
    <cellStyle name="Note 3 4 3 2" xfId="8075"/>
    <cellStyle name="Note 3 4 3 2 2" xfId="13326"/>
    <cellStyle name="Note 3 4 3 2 3" xfId="32336"/>
    <cellStyle name="Note 3 4 3 3" xfId="12159"/>
    <cellStyle name="Note 3 4 3 3 2" xfId="25871"/>
    <cellStyle name="Note 3 4 3 4" xfId="32335"/>
    <cellStyle name="Note 3 4 4" xfId="8076"/>
    <cellStyle name="Note 3 4 4 2" xfId="8077"/>
    <cellStyle name="Note 3 4 4 2 2" xfId="15760"/>
    <cellStyle name="Note 3 4 4 2 3" xfId="32338"/>
    <cellStyle name="Note 3 4 4 3" xfId="13723"/>
    <cellStyle name="Note 3 4 4 3 2" xfId="27272"/>
    <cellStyle name="Note 3 4 4 4" xfId="32337"/>
    <cellStyle name="Note 3 4 5" xfId="8078"/>
    <cellStyle name="Note 3 4 5 2" xfId="14304"/>
    <cellStyle name="Note 3 4 5 2 2" xfId="27853"/>
    <cellStyle name="Note 3 4 5 3" xfId="32339"/>
    <cellStyle name="Note 3 4 6" xfId="8079"/>
    <cellStyle name="Note 3 4 6 2" xfId="16190"/>
    <cellStyle name="Note 3 4 6 2 2" xfId="29597"/>
    <cellStyle name="Note 3 4 6 3" xfId="32340"/>
    <cellStyle name="Note 3 4 7" xfId="10320"/>
    <cellStyle name="Note 3 4 8" xfId="32331"/>
    <cellStyle name="Note 3 5" xfId="8080"/>
    <cellStyle name="Note 3 5 2" xfId="8081"/>
    <cellStyle name="Note 3 5 2 2" xfId="11647"/>
    <cellStyle name="Note 3 5 2 3" xfId="32342"/>
    <cellStyle name="Note 3 5 3" xfId="8082"/>
    <cellStyle name="Note 3 5 3 2" xfId="17118"/>
    <cellStyle name="Note 3 5 3 2 2" xfId="30477"/>
    <cellStyle name="Note 3 5 3 3" xfId="32343"/>
    <cellStyle name="Note 3 5 4" xfId="10322"/>
    <cellStyle name="Note 3 5 5" xfId="32341"/>
    <cellStyle name="Note 3 6" xfId="8083"/>
    <cellStyle name="Note 3 6 2" xfId="8084"/>
    <cellStyle name="Note 3 6 2 2" xfId="13327"/>
    <cellStyle name="Note 3 6 2 3" xfId="32345"/>
    <cellStyle name="Note 3 6 3" xfId="8085"/>
    <cellStyle name="Note 3 6 3 2" xfId="17207"/>
    <cellStyle name="Note 3 6 3 2 2" xfId="30566"/>
    <cellStyle name="Note 3 6 3 3" xfId="32346"/>
    <cellStyle name="Note 3 6 4" xfId="11834"/>
    <cellStyle name="Note 3 6 4 2" xfId="25549"/>
    <cellStyle name="Note 3 6 5" xfId="32344"/>
    <cellStyle name="Note 3 7" xfId="8086"/>
    <cellStyle name="Note 3 7 2" xfId="8087"/>
    <cellStyle name="Note 3 7 2 2" xfId="15761"/>
    <cellStyle name="Note 3 7 2 3" xfId="32348"/>
    <cellStyle name="Note 3 7 3" xfId="8088"/>
    <cellStyle name="Note 3 7 3 2" xfId="16482"/>
    <cellStyle name="Note 3 7 3 2 2" xfId="29889"/>
    <cellStyle name="Note 3 7 3 3" xfId="32349"/>
    <cellStyle name="Note 3 7 4" xfId="13434"/>
    <cellStyle name="Note 3 7 4 2" xfId="26983"/>
    <cellStyle name="Note 3 7 5" xfId="32347"/>
    <cellStyle name="Note 3 8" xfId="8089"/>
    <cellStyle name="Note 3 8 2" xfId="14015"/>
    <cellStyle name="Note 3 8 2 2" xfId="27564"/>
    <cellStyle name="Note 3 8 3" xfId="32350"/>
    <cellStyle name="Note 3 9" xfId="8090"/>
    <cellStyle name="Note 3 9 2" xfId="15901"/>
    <cellStyle name="Note 3 9 2 2" xfId="29308"/>
    <cellStyle name="Note 3 9 3" xfId="32351"/>
    <cellStyle name="Note 4" xfId="17373"/>
    <cellStyle name="Note 4 2" xfId="30689"/>
    <cellStyle name="Note 5" xfId="17294"/>
    <cellStyle name="Note 5 2" xfId="30653"/>
    <cellStyle name="Output" xfId="23" builtinId="21" customBuiltin="1"/>
    <cellStyle name="Output 10" xfId="8091"/>
    <cellStyle name="Output 10 2" xfId="10324"/>
    <cellStyle name="Output 10 3" xfId="32352"/>
    <cellStyle name="Output 11" xfId="8092"/>
    <cellStyle name="Output 11 2" xfId="10325"/>
    <cellStyle name="Output 11 3" xfId="32353"/>
    <cellStyle name="Output 12" xfId="8093"/>
    <cellStyle name="Output 12 2" xfId="8094"/>
    <cellStyle name="Output 12 2 2" xfId="15762"/>
    <cellStyle name="Output 12 2 3" xfId="32355"/>
    <cellStyle name="Output 12 3" xfId="10499"/>
    <cellStyle name="Output 12 4" xfId="32354"/>
    <cellStyle name="Output 13" xfId="8095"/>
    <cellStyle name="Output 13 2" xfId="11648"/>
    <cellStyle name="Output 13 3" xfId="32356"/>
    <cellStyle name="Output 14" xfId="8096"/>
    <cellStyle name="Output 14 2" xfId="10323"/>
    <cellStyle name="Output 14 3" xfId="32357"/>
    <cellStyle name="Output 2" xfId="8097"/>
    <cellStyle name="Output 2 2" xfId="10326"/>
    <cellStyle name="Output 2 3" xfId="32358"/>
    <cellStyle name="Output 2 4" xfId="33053"/>
    <cellStyle name="Output 3" xfId="8098"/>
    <cellStyle name="Output 3 2" xfId="8099"/>
    <cellStyle name="Output 3 2 2" xfId="10328"/>
    <cellStyle name="Output 3 2 3" xfId="32360"/>
    <cellStyle name="Output 3 3" xfId="10327"/>
    <cellStyle name="Output 3 4" xfId="32359"/>
    <cellStyle name="Output 4" xfId="8100"/>
    <cellStyle name="Output 4 2" xfId="8101"/>
    <cellStyle name="Output 4 2 2" xfId="13329"/>
    <cellStyle name="Output 4 2 3" xfId="32362"/>
    <cellStyle name="Output 4 3" xfId="8102"/>
    <cellStyle name="Output 4 3 2" xfId="13328"/>
    <cellStyle name="Output 4 3 3" xfId="32363"/>
    <cellStyle name="Output 4 4" xfId="10329"/>
    <cellStyle name="Output 4 5" xfId="32361"/>
    <cellStyle name="Output 5" xfId="8103"/>
    <cellStyle name="Output 5 2" xfId="8104"/>
    <cellStyle name="Output 5 2 2" xfId="10331"/>
    <cellStyle name="Output 5 2 3" xfId="32365"/>
    <cellStyle name="Output 5 3" xfId="10330"/>
    <cellStyle name="Output 5 4" xfId="32364"/>
    <cellStyle name="Output 6" xfId="8105"/>
    <cellStyle name="Output 6 2" xfId="10332"/>
    <cellStyle name="Output 6 3" xfId="32366"/>
    <cellStyle name="Output 7" xfId="8106"/>
    <cellStyle name="Output 7 2" xfId="10333"/>
    <cellStyle name="Output 7 3" xfId="32367"/>
    <cellStyle name="Output 8" xfId="8107"/>
    <cellStyle name="Output 8 2" xfId="10334"/>
    <cellStyle name="Output 8 3" xfId="32368"/>
    <cellStyle name="Output 9" xfId="8108"/>
    <cellStyle name="Output 9 2" xfId="10335"/>
    <cellStyle name="Output 9 3" xfId="32369"/>
    <cellStyle name="Percent" xfId="9" builtinId="5"/>
    <cellStyle name="Percent 10" xfId="10336"/>
    <cellStyle name="Percent 11" xfId="17374"/>
    <cellStyle name="Percent 11 2" xfId="30690"/>
    <cellStyle name="Percent 12" xfId="8787"/>
    <cellStyle name="Percent 13" xfId="51"/>
    <cellStyle name="Percent 2" xfId="10"/>
    <cellStyle name="Percent 2 10" xfId="8110"/>
    <cellStyle name="Percent 2 10 2" xfId="10338"/>
    <cellStyle name="Percent 2 10 3" xfId="32370"/>
    <cellStyle name="Percent 2 11" xfId="8111"/>
    <cellStyle name="Percent 2 11 2" xfId="8112"/>
    <cellStyle name="Percent 2 11 2 2" xfId="13330"/>
    <cellStyle name="Percent 2 11 2 3" xfId="32372"/>
    <cellStyle name="Percent 2 11 3" xfId="8113"/>
    <cellStyle name="Percent 2 11 3 2" xfId="17054"/>
    <cellStyle name="Percent 2 11 3 2 2" xfId="30453"/>
    <cellStyle name="Percent 2 11 3 3" xfId="32373"/>
    <cellStyle name="Percent 2 11 4" xfId="10339"/>
    <cellStyle name="Percent 2 11 5" xfId="32371"/>
    <cellStyle name="Percent 2 12" xfId="8114"/>
    <cellStyle name="Percent 2 12 2" xfId="8115"/>
    <cellStyle name="Percent 2 12 2 2" xfId="13332"/>
    <cellStyle name="Percent 2 12 2 3" xfId="32375"/>
    <cellStyle name="Percent 2 12 3" xfId="8116"/>
    <cellStyle name="Percent 2 12 3 2" xfId="13331"/>
    <cellStyle name="Percent 2 12 3 2 2" xfId="26922"/>
    <cellStyle name="Percent 2 12 3 3" xfId="32376"/>
    <cellStyle name="Percent 2 12 4" xfId="8117"/>
    <cellStyle name="Percent 2 12 4 2" xfId="17112"/>
    <cellStyle name="Percent 2 12 4 2 2" xfId="30471"/>
    <cellStyle name="Percent 2 12 4 3" xfId="32377"/>
    <cellStyle name="Percent 2 12 5" xfId="10340"/>
    <cellStyle name="Percent 2 12 6" xfId="32374"/>
    <cellStyle name="Percent 2 13" xfId="8118"/>
    <cellStyle name="Percent 2 13 2" xfId="8119"/>
    <cellStyle name="Percent 2 13 2 2" xfId="17201"/>
    <cellStyle name="Percent 2 13 2 2 2" xfId="30560"/>
    <cellStyle name="Percent 2 13 2 3" xfId="32379"/>
    <cellStyle name="Percent 2 13 3" xfId="10341"/>
    <cellStyle name="Percent 2 13 4" xfId="32378"/>
    <cellStyle name="Percent 2 14" xfId="8120"/>
    <cellStyle name="Percent 2 14 2" xfId="8121"/>
    <cellStyle name="Percent 2 14 2 2" xfId="8122"/>
    <cellStyle name="Percent 2 14 2 2 2" xfId="11651"/>
    <cellStyle name="Percent 2 14 2 2 3" xfId="32382"/>
    <cellStyle name="Percent 2 14 2 3" xfId="10343"/>
    <cellStyle name="Percent 2 14 2 4" xfId="32381"/>
    <cellStyle name="Percent 2 14 3" xfId="8123"/>
    <cellStyle name="Percent 2 14 3 2" xfId="11650"/>
    <cellStyle name="Percent 2 14 3 3" xfId="32383"/>
    <cellStyle name="Percent 2 14 4" xfId="8124"/>
    <cellStyle name="Percent 2 14 4 2" xfId="17290"/>
    <cellStyle name="Percent 2 14 4 2 2" xfId="30649"/>
    <cellStyle name="Percent 2 14 4 3" xfId="32384"/>
    <cellStyle name="Percent 2 14 5" xfId="10342"/>
    <cellStyle name="Percent 2 14 6" xfId="32380"/>
    <cellStyle name="Percent 2 15" xfId="8125"/>
    <cellStyle name="Percent 2 15 2" xfId="8126"/>
    <cellStyle name="Percent 2 15 2 2" xfId="11652"/>
    <cellStyle name="Percent 2 15 2 3" xfId="32386"/>
    <cellStyle name="Percent 2 15 3" xfId="8127"/>
    <cellStyle name="Percent 2 15 3 2" xfId="16442"/>
    <cellStyle name="Percent 2 15 3 2 2" xfId="29849"/>
    <cellStyle name="Percent 2 15 3 3" xfId="32387"/>
    <cellStyle name="Percent 2 15 4" xfId="10344"/>
    <cellStyle name="Percent 2 15 5" xfId="32385"/>
    <cellStyle name="Percent 2 16" xfId="8128"/>
    <cellStyle name="Percent 2 16 2" xfId="8129"/>
    <cellStyle name="Percent 2 16 2 2" xfId="11653"/>
    <cellStyle name="Percent 2 16 2 3" xfId="32389"/>
    <cellStyle name="Percent 2 16 3" xfId="10345"/>
    <cellStyle name="Percent 2 16 4" xfId="32388"/>
    <cellStyle name="Percent 2 17" xfId="8130"/>
    <cellStyle name="Percent 2 17 2" xfId="8131"/>
    <cellStyle name="Percent 2 17 2 2" xfId="11654"/>
    <cellStyle name="Percent 2 17 2 3" xfId="32391"/>
    <cellStyle name="Percent 2 17 3" xfId="10346"/>
    <cellStyle name="Percent 2 17 4" xfId="32390"/>
    <cellStyle name="Percent 2 18" xfId="8132"/>
    <cellStyle name="Percent 2 18 2" xfId="8133"/>
    <cellStyle name="Percent 2 18 2 2" xfId="11655"/>
    <cellStyle name="Percent 2 18 2 3" xfId="32393"/>
    <cellStyle name="Percent 2 18 3" xfId="10347"/>
    <cellStyle name="Percent 2 18 4" xfId="32392"/>
    <cellStyle name="Percent 2 19" xfId="8134"/>
    <cellStyle name="Percent 2 19 2" xfId="8135"/>
    <cellStyle name="Percent 2 19 2 2" xfId="11656"/>
    <cellStyle name="Percent 2 19 2 3" xfId="32395"/>
    <cellStyle name="Percent 2 19 3" xfId="10348"/>
    <cellStyle name="Percent 2 19 4" xfId="32394"/>
    <cellStyle name="Percent 2 2" xfId="8136"/>
    <cellStyle name="Percent 2 2 10" xfId="8137"/>
    <cellStyle name="Percent 2 2 10 2" xfId="11657"/>
    <cellStyle name="Percent 2 2 10 3" xfId="32397"/>
    <cellStyle name="Percent 2 2 11" xfId="8138"/>
    <cellStyle name="Percent 2 2 11 2" xfId="8139"/>
    <cellStyle name="Percent 2 2 11 2 2" xfId="13333"/>
    <cellStyle name="Percent 2 2 11 2 2 2" xfId="26923"/>
    <cellStyle name="Percent 2 2 11 2 3" xfId="32399"/>
    <cellStyle name="Percent 2 2 11 3" xfId="8140"/>
    <cellStyle name="Percent 2 2 11 3 2" xfId="15763"/>
    <cellStyle name="Percent 2 2 11 3 3" xfId="32400"/>
    <cellStyle name="Percent 2 2 11 4" xfId="11733"/>
    <cellStyle name="Percent 2 2 11 5" xfId="32398"/>
    <cellStyle name="Percent 2 2 12" xfId="8141"/>
    <cellStyle name="Percent 2 2 12 2" xfId="11863"/>
    <cellStyle name="Percent 2 2 12 2 2" xfId="25578"/>
    <cellStyle name="Percent 2 2 12 3" xfId="32401"/>
    <cellStyle name="Percent 2 2 13" xfId="8142"/>
    <cellStyle name="Percent 2 2 13 2" xfId="13451"/>
    <cellStyle name="Percent 2 2 13 2 2" xfId="27000"/>
    <cellStyle name="Percent 2 2 13 3" xfId="32402"/>
    <cellStyle name="Percent 2 2 14" xfId="8143"/>
    <cellStyle name="Percent 2 2 14 2" xfId="14032"/>
    <cellStyle name="Percent 2 2 14 2 2" xfId="27581"/>
    <cellStyle name="Percent 2 2 14 3" xfId="32403"/>
    <cellStyle name="Percent 2 2 15" xfId="8144"/>
    <cellStyle name="Percent 2 2 15 2" xfId="15918"/>
    <cellStyle name="Percent 2 2 15 2 2" xfId="29325"/>
    <cellStyle name="Percent 2 2 15 3" xfId="32404"/>
    <cellStyle name="Percent 2 2 16" xfId="8145"/>
    <cellStyle name="Percent 2 2 16 2" xfId="10349"/>
    <cellStyle name="Percent 2 2 16 3" xfId="32405"/>
    <cellStyle name="Percent 2 2 17" xfId="8709"/>
    <cellStyle name="Percent 2 2 18" xfId="32396"/>
    <cellStyle name="Percent 2 2 2" xfId="8146"/>
    <cellStyle name="Percent 2 2 2 10" xfId="10350"/>
    <cellStyle name="Percent 2 2 2 11" xfId="32406"/>
    <cellStyle name="Percent 2 2 2 2" xfId="8147"/>
    <cellStyle name="Percent 2 2 2 2 2" xfId="8148"/>
    <cellStyle name="Percent 2 2 2 2 2 2" xfId="8149"/>
    <cellStyle name="Percent 2 2 2 2 2 2 2" xfId="8150"/>
    <cellStyle name="Percent 2 2 2 2 2 2 2 2" xfId="11658"/>
    <cellStyle name="Percent 2 2 2 2 2 2 2 3" xfId="32410"/>
    <cellStyle name="Percent 2 2 2 2 2 2 3" xfId="8151"/>
    <cellStyle name="Percent 2 2 2 2 2 2 3 2" xfId="16977"/>
    <cellStyle name="Percent 2 2 2 2 2 2 3 2 2" xfId="30384"/>
    <cellStyle name="Percent 2 2 2 2 2 2 3 3" xfId="32411"/>
    <cellStyle name="Percent 2 2 2 2 2 2 4" xfId="10353"/>
    <cellStyle name="Percent 2 2 2 2 2 2 5" xfId="32409"/>
    <cellStyle name="Percent 2 2 2 2 2 3" xfId="8152"/>
    <cellStyle name="Percent 2 2 2 2 2 3 2" xfId="8153"/>
    <cellStyle name="Percent 2 2 2 2 2 3 2 2" xfId="13334"/>
    <cellStyle name="Percent 2 2 2 2 2 3 2 3" xfId="32413"/>
    <cellStyle name="Percent 2 2 2 2 2 3 3" xfId="12365"/>
    <cellStyle name="Percent 2 2 2 2 2 3 3 2" xfId="26077"/>
    <cellStyle name="Percent 2 2 2 2 2 3 4" xfId="32412"/>
    <cellStyle name="Percent 2 2 2 2 2 4" xfId="8154"/>
    <cellStyle name="Percent 2 2 2 2 2 4 2" xfId="8155"/>
    <cellStyle name="Percent 2 2 2 2 2 4 2 2" xfId="15764"/>
    <cellStyle name="Percent 2 2 2 2 2 4 2 3" xfId="32415"/>
    <cellStyle name="Percent 2 2 2 2 2 4 3" xfId="13929"/>
    <cellStyle name="Percent 2 2 2 2 2 4 3 2" xfId="27478"/>
    <cellStyle name="Percent 2 2 2 2 2 4 4" xfId="32414"/>
    <cellStyle name="Percent 2 2 2 2 2 5" xfId="8156"/>
    <cellStyle name="Percent 2 2 2 2 2 5 2" xfId="14510"/>
    <cellStyle name="Percent 2 2 2 2 2 5 2 2" xfId="28059"/>
    <cellStyle name="Percent 2 2 2 2 2 5 3" xfId="32416"/>
    <cellStyle name="Percent 2 2 2 2 2 6" xfId="8157"/>
    <cellStyle name="Percent 2 2 2 2 2 6 2" xfId="16396"/>
    <cellStyle name="Percent 2 2 2 2 2 6 2 2" xfId="29803"/>
    <cellStyle name="Percent 2 2 2 2 2 6 3" xfId="32417"/>
    <cellStyle name="Percent 2 2 2 2 2 7" xfId="10352"/>
    <cellStyle name="Percent 2 2 2 2 2 8" xfId="32408"/>
    <cellStyle name="Percent 2 2 2 2 3" xfId="8158"/>
    <cellStyle name="Percent 2 2 2 2 3 2" xfId="8159"/>
    <cellStyle name="Percent 2 2 2 2 3 2 2" xfId="11659"/>
    <cellStyle name="Percent 2 2 2 2 3 2 3" xfId="32419"/>
    <cellStyle name="Percent 2 2 2 2 3 3" xfId="8160"/>
    <cellStyle name="Percent 2 2 2 2 3 3 2" xfId="16688"/>
    <cellStyle name="Percent 2 2 2 2 3 3 2 2" xfId="30095"/>
    <cellStyle name="Percent 2 2 2 2 3 3 3" xfId="32420"/>
    <cellStyle name="Percent 2 2 2 2 3 4" xfId="10354"/>
    <cellStyle name="Percent 2 2 2 2 3 5" xfId="32418"/>
    <cellStyle name="Percent 2 2 2 2 4" xfId="8161"/>
    <cellStyle name="Percent 2 2 2 2 4 2" xfId="8162"/>
    <cellStyle name="Percent 2 2 2 2 4 2 2" xfId="13335"/>
    <cellStyle name="Percent 2 2 2 2 4 2 3" xfId="32422"/>
    <cellStyle name="Percent 2 2 2 2 4 3" xfId="12065"/>
    <cellStyle name="Percent 2 2 2 2 4 3 2" xfId="25780"/>
    <cellStyle name="Percent 2 2 2 2 4 4" xfId="32421"/>
    <cellStyle name="Percent 2 2 2 2 5" xfId="8163"/>
    <cellStyle name="Percent 2 2 2 2 5 2" xfId="8164"/>
    <cellStyle name="Percent 2 2 2 2 5 2 2" xfId="15765"/>
    <cellStyle name="Percent 2 2 2 2 5 2 3" xfId="32424"/>
    <cellStyle name="Percent 2 2 2 2 5 3" xfId="13640"/>
    <cellStyle name="Percent 2 2 2 2 5 3 2" xfId="27189"/>
    <cellStyle name="Percent 2 2 2 2 5 4" xfId="32423"/>
    <cellStyle name="Percent 2 2 2 2 6" xfId="8165"/>
    <cellStyle name="Percent 2 2 2 2 6 2" xfId="14221"/>
    <cellStyle name="Percent 2 2 2 2 6 2 2" xfId="27770"/>
    <cellStyle name="Percent 2 2 2 2 6 3" xfId="32425"/>
    <cellStyle name="Percent 2 2 2 2 7" xfId="8166"/>
    <cellStyle name="Percent 2 2 2 2 7 2" xfId="16107"/>
    <cellStyle name="Percent 2 2 2 2 7 2 2" xfId="29514"/>
    <cellStyle name="Percent 2 2 2 2 7 3" xfId="32426"/>
    <cellStyle name="Percent 2 2 2 2 8" xfId="10351"/>
    <cellStyle name="Percent 2 2 2 2 9" xfId="32407"/>
    <cellStyle name="Percent 2 2 2 3" xfId="8167"/>
    <cellStyle name="Percent 2 2 2 3 2" xfId="8168"/>
    <cellStyle name="Percent 2 2 2 3 2 2" xfId="8169"/>
    <cellStyle name="Percent 2 2 2 3 2 2 2" xfId="11660"/>
    <cellStyle name="Percent 2 2 2 3 2 2 3" xfId="32429"/>
    <cellStyle name="Percent 2 2 2 3 2 3" xfId="8170"/>
    <cellStyle name="Percent 2 2 2 3 2 3 2" xfId="16834"/>
    <cellStyle name="Percent 2 2 2 3 2 3 2 2" xfId="30241"/>
    <cellStyle name="Percent 2 2 2 3 2 3 3" xfId="32430"/>
    <cellStyle name="Percent 2 2 2 3 2 4" xfId="10356"/>
    <cellStyle name="Percent 2 2 2 3 2 5" xfId="32428"/>
    <cellStyle name="Percent 2 2 2 3 3" xfId="8171"/>
    <cellStyle name="Percent 2 2 2 3 3 2" xfId="8172"/>
    <cellStyle name="Percent 2 2 2 3 3 2 2" xfId="13336"/>
    <cellStyle name="Percent 2 2 2 3 3 2 3" xfId="32432"/>
    <cellStyle name="Percent 2 2 2 3 3 3" xfId="12222"/>
    <cellStyle name="Percent 2 2 2 3 3 3 2" xfId="25934"/>
    <cellStyle name="Percent 2 2 2 3 3 4" xfId="32431"/>
    <cellStyle name="Percent 2 2 2 3 4" xfId="8173"/>
    <cellStyle name="Percent 2 2 2 3 4 2" xfId="8174"/>
    <cellStyle name="Percent 2 2 2 3 4 2 2" xfId="15766"/>
    <cellStyle name="Percent 2 2 2 3 4 2 3" xfId="32434"/>
    <cellStyle name="Percent 2 2 2 3 4 3" xfId="13786"/>
    <cellStyle name="Percent 2 2 2 3 4 3 2" xfId="27335"/>
    <cellStyle name="Percent 2 2 2 3 4 4" xfId="32433"/>
    <cellStyle name="Percent 2 2 2 3 5" xfId="8175"/>
    <cellStyle name="Percent 2 2 2 3 5 2" xfId="14367"/>
    <cellStyle name="Percent 2 2 2 3 5 2 2" xfId="27916"/>
    <cellStyle name="Percent 2 2 2 3 5 3" xfId="32435"/>
    <cellStyle name="Percent 2 2 2 3 6" xfId="8176"/>
    <cellStyle name="Percent 2 2 2 3 6 2" xfId="16253"/>
    <cellStyle name="Percent 2 2 2 3 6 2 2" xfId="29660"/>
    <cellStyle name="Percent 2 2 2 3 6 3" xfId="32436"/>
    <cellStyle name="Percent 2 2 2 3 7" xfId="10355"/>
    <cellStyle name="Percent 2 2 2 3 8" xfId="32427"/>
    <cellStyle name="Percent 2 2 2 4" xfId="8177"/>
    <cellStyle name="Percent 2 2 2 4 2" xfId="8178"/>
    <cellStyle name="Percent 2 2 2 4 2 2" xfId="17181"/>
    <cellStyle name="Percent 2 2 2 4 2 2 2" xfId="30540"/>
    <cellStyle name="Percent 2 2 2 4 2 3" xfId="32438"/>
    <cellStyle name="Percent 2 2 2 4 3" xfId="10357"/>
    <cellStyle name="Percent 2 2 2 4 4" xfId="32437"/>
    <cellStyle name="Percent 2 2 2 5" xfId="8179"/>
    <cellStyle name="Percent 2 2 2 5 2" xfId="8180"/>
    <cellStyle name="Percent 2 2 2 5 2 2" xfId="11661"/>
    <cellStyle name="Percent 2 2 2 5 2 3" xfId="32440"/>
    <cellStyle name="Percent 2 2 2 5 3" xfId="8181"/>
    <cellStyle name="Percent 2 2 2 5 3 2" xfId="17270"/>
    <cellStyle name="Percent 2 2 2 5 3 2 2" xfId="30629"/>
    <cellStyle name="Percent 2 2 2 5 3 3" xfId="32441"/>
    <cellStyle name="Percent 2 2 2 5 4" xfId="10358"/>
    <cellStyle name="Percent 2 2 2 5 5" xfId="32439"/>
    <cellStyle name="Percent 2 2 2 6" xfId="8182"/>
    <cellStyle name="Percent 2 2 2 6 2" xfId="8183"/>
    <cellStyle name="Percent 2 2 2 6 2 2" xfId="13337"/>
    <cellStyle name="Percent 2 2 2 6 2 3" xfId="32443"/>
    <cellStyle name="Percent 2 2 2 6 3" xfId="8184"/>
    <cellStyle name="Percent 2 2 2 6 3 2" xfId="16545"/>
    <cellStyle name="Percent 2 2 2 6 3 2 2" xfId="29952"/>
    <cellStyle name="Percent 2 2 2 6 3 3" xfId="32444"/>
    <cellStyle name="Percent 2 2 2 6 4" xfId="11920"/>
    <cellStyle name="Percent 2 2 2 6 4 2" xfId="25635"/>
    <cellStyle name="Percent 2 2 2 6 5" xfId="32442"/>
    <cellStyle name="Percent 2 2 2 7" xfId="8185"/>
    <cellStyle name="Percent 2 2 2 7 2" xfId="8186"/>
    <cellStyle name="Percent 2 2 2 7 2 2" xfId="15767"/>
    <cellStyle name="Percent 2 2 2 7 2 3" xfId="32446"/>
    <cellStyle name="Percent 2 2 2 7 3" xfId="13497"/>
    <cellStyle name="Percent 2 2 2 7 3 2" xfId="27046"/>
    <cellStyle name="Percent 2 2 2 7 4" xfId="32445"/>
    <cellStyle name="Percent 2 2 2 8" xfId="8187"/>
    <cellStyle name="Percent 2 2 2 8 2" xfId="14078"/>
    <cellStyle name="Percent 2 2 2 8 2 2" xfId="27627"/>
    <cellStyle name="Percent 2 2 2 8 3" xfId="32447"/>
    <cellStyle name="Percent 2 2 2 9" xfId="8188"/>
    <cellStyle name="Percent 2 2 2 9 2" xfId="15964"/>
    <cellStyle name="Percent 2 2 2 9 2 2" xfId="29371"/>
    <cellStyle name="Percent 2 2 2 9 3" xfId="32448"/>
    <cellStyle name="Percent 2 2 3" xfId="8189"/>
    <cellStyle name="Percent 2 2 3 2" xfId="8190"/>
    <cellStyle name="Percent 2 2 3 2 2" xfId="8191"/>
    <cellStyle name="Percent 2 2 3 2 2 2" xfId="8192"/>
    <cellStyle name="Percent 2 2 3 2 2 2 2" xfId="11662"/>
    <cellStyle name="Percent 2 2 3 2 2 2 3" xfId="32452"/>
    <cellStyle name="Percent 2 2 3 2 2 3" xfId="8193"/>
    <cellStyle name="Percent 2 2 3 2 2 3 2" xfId="16931"/>
    <cellStyle name="Percent 2 2 3 2 2 3 2 2" xfId="30338"/>
    <cellStyle name="Percent 2 2 3 2 2 3 3" xfId="32453"/>
    <cellStyle name="Percent 2 2 3 2 2 4" xfId="10361"/>
    <cellStyle name="Percent 2 2 3 2 2 5" xfId="32451"/>
    <cellStyle name="Percent 2 2 3 2 3" xfId="8194"/>
    <cellStyle name="Percent 2 2 3 2 3 2" xfId="8195"/>
    <cellStyle name="Percent 2 2 3 2 3 2 2" xfId="13338"/>
    <cellStyle name="Percent 2 2 3 2 3 2 3" xfId="32455"/>
    <cellStyle name="Percent 2 2 3 2 3 3" xfId="12319"/>
    <cellStyle name="Percent 2 2 3 2 3 3 2" xfId="26031"/>
    <cellStyle name="Percent 2 2 3 2 3 4" xfId="32454"/>
    <cellStyle name="Percent 2 2 3 2 4" xfId="8196"/>
    <cellStyle name="Percent 2 2 3 2 4 2" xfId="8197"/>
    <cellStyle name="Percent 2 2 3 2 4 2 2" xfId="15768"/>
    <cellStyle name="Percent 2 2 3 2 4 2 3" xfId="32457"/>
    <cellStyle name="Percent 2 2 3 2 4 3" xfId="13883"/>
    <cellStyle name="Percent 2 2 3 2 4 3 2" xfId="27432"/>
    <cellStyle name="Percent 2 2 3 2 4 4" xfId="32456"/>
    <cellStyle name="Percent 2 2 3 2 5" xfId="8198"/>
    <cellStyle name="Percent 2 2 3 2 5 2" xfId="14464"/>
    <cellStyle name="Percent 2 2 3 2 5 2 2" xfId="28013"/>
    <cellStyle name="Percent 2 2 3 2 5 3" xfId="32458"/>
    <cellStyle name="Percent 2 2 3 2 6" xfId="8199"/>
    <cellStyle name="Percent 2 2 3 2 6 2" xfId="16350"/>
    <cellStyle name="Percent 2 2 3 2 6 2 2" xfId="29757"/>
    <cellStyle name="Percent 2 2 3 2 6 3" xfId="32459"/>
    <cellStyle name="Percent 2 2 3 2 7" xfId="10360"/>
    <cellStyle name="Percent 2 2 3 2 8" xfId="32450"/>
    <cellStyle name="Percent 2 2 3 3" xfId="8200"/>
    <cellStyle name="Percent 2 2 3 3 2" xfId="8201"/>
    <cellStyle name="Percent 2 2 3 3 2 2" xfId="11663"/>
    <cellStyle name="Percent 2 2 3 3 2 3" xfId="32461"/>
    <cellStyle name="Percent 2 2 3 3 3" xfId="8202"/>
    <cellStyle name="Percent 2 2 3 3 3 2" xfId="16642"/>
    <cellStyle name="Percent 2 2 3 3 3 2 2" xfId="30049"/>
    <cellStyle name="Percent 2 2 3 3 3 3" xfId="32462"/>
    <cellStyle name="Percent 2 2 3 3 4" xfId="10362"/>
    <cellStyle name="Percent 2 2 3 3 5" xfId="32460"/>
    <cellStyle name="Percent 2 2 3 4" xfId="8203"/>
    <cellStyle name="Percent 2 2 3 4 2" xfId="8204"/>
    <cellStyle name="Percent 2 2 3 4 2 2" xfId="13339"/>
    <cellStyle name="Percent 2 2 3 4 2 3" xfId="32464"/>
    <cellStyle name="Percent 2 2 3 4 3" xfId="12019"/>
    <cellStyle name="Percent 2 2 3 4 3 2" xfId="25734"/>
    <cellStyle name="Percent 2 2 3 4 4" xfId="32463"/>
    <cellStyle name="Percent 2 2 3 5" xfId="8205"/>
    <cellStyle name="Percent 2 2 3 5 2" xfId="8206"/>
    <cellStyle name="Percent 2 2 3 5 2 2" xfId="15769"/>
    <cellStyle name="Percent 2 2 3 5 2 3" xfId="32466"/>
    <cellStyle name="Percent 2 2 3 5 3" xfId="13594"/>
    <cellStyle name="Percent 2 2 3 5 3 2" xfId="27143"/>
    <cellStyle name="Percent 2 2 3 5 4" xfId="32465"/>
    <cellStyle name="Percent 2 2 3 6" xfId="8207"/>
    <cellStyle name="Percent 2 2 3 6 2" xfId="14175"/>
    <cellStyle name="Percent 2 2 3 6 2 2" xfId="27724"/>
    <cellStyle name="Percent 2 2 3 6 3" xfId="32467"/>
    <cellStyle name="Percent 2 2 3 7" xfId="8208"/>
    <cellStyle name="Percent 2 2 3 7 2" xfId="16061"/>
    <cellStyle name="Percent 2 2 3 7 2 2" xfId="29468"/>
    <cellStyle name="Percent 2 2 3 7 3" xfId="32468"/>
    <cellStyle name="Percent 2 2 3 8" xfId="10359"/>
    <cellStyle name="Percent 2 2 3 9" xfId="32449"/>
    <cellStyle name="Percent 2 2 4" xfId="8209"/>
    <cellStyle name="Percent 2 2 4 2" xfId="8210"/>
    <cellStyle name="Percent 2 2 4 2 2" xfId="8211"/>
    <cellStyle name="Percent 2 2 4 2 2 2" xfId="11665"/>
    <cellStyle name="Percent 2 2 4 2 2 3" xfId="32471"/>
    <cellStyle name="Percent 2 2 4 2 3" xfId="8212"/>
    <cellStyle name="Percent 2 2 4 2 3 2" xfId="16788"/>
    <cellStyle name="Percent 2 2 4 2 3 2 2" xfId="30195"/>
    <cellStyle name="Percent 2 2 4 2 3 3" xfId="32472"/>
    <cellStyle name="Percent 2 2 4 2 4" xfId="10364"/>
    <cellStyle name="Percent 2 2 4 2 5" xfId="32470"/>
    <cellStyle name="Percent 2 2 4 3" xfId="8213"/>
    <cellStyle name="Percent 2 2 4 3 2" xfId="8214"/>
    <cellStyle name="Percent 2 2 4 3 2 2" xfId="13340"/>
    <cellStyle name="Percent 2 2 4 3 2 3" xfId="32474"/>
    <cellStyle name="Percent 2 2 4 3 3" xfId="12176"/>
    <cellStyle name="Percent 2 2 4 3 3 2" xfId="25888"/>
    <cellStyle name="Percent 2 2 4 3 4" xfId="32473"/>
    <cellStyle name="Percent 2 2 4 4" xfId="8215"/>
    <cellStyle name="Percent 2 2 4 4 2" xfId="8216"/>
    <cellStyle name="Percent 2 2 4 4 2 2" xfId="15770"/>
    <cellStyle name="Percent 2 2 4 4 2 3" xfId="32476"/>
    <cellStyle name="Percent 2 2 4 4 3" xfId="13740"/>
    <cellStyle name="Percent 2 2 4 4 3 2" xfId="27289"/>
    <cellStyle name="Percent 2 2 4 4 4" xfId="32475"/>
    <cellStyle name="Percent 2 2 4 5" xfId="8217"/>
    <cellStyle name="Percent 2 2 4 5 2" xfId="14321"/>
    <cellStyle name="Percent 2 2 4 5 2 2" xfId="27870"/>
    <cellStyle name="Percent 2 2 4 5 3" xfId="32477"/>
    <cellStyle name="Percent 2 2 4 6" xfId="8218"/>
    <cellStyle name="Percent 2 2 4 6 2" xfId="16207"/>
    <cellStyle name="Percent 2 2 4 6 2 2" xfId="29614"/>
    <cellStyle name="Percent 2 2 4 6 3" xfId="32478"/>
    <cellStyle name="Percent 2 2 4 7" xfId="10363"/>
    <cellStyle name="Percent 2 2 4 8" xfId="32469"/>
    <cellStyle name="Percent 2 2 5" xfId="8219"/>
    <cellStyle name="Percent 2 2 5 2" xfId="8220"/>
    <cellStyle name="Percent 2 2 5 2 2" xfId="8221"/>
    <cellStyle name="Percent 2 2 5 2 2 2" xfId="11667"/>
    <cellStyle name="Percent 2 2 5 2 2 3" xfId="32481"/>
    <cellStyle name="Percent 2 2 5 2 3" xfId="10366"/>
    <cellStyle name="Percent 2 2 5 2 4" xfId="32480"/>
    <cellStyle name="Percent 2 2 5 3" xfId="8222"/>
    <cellStyle name="Percent 2 2 5 3 2" xfId="11666"/>
    <cellStyle name="Percent 2 2 5 3 3" xfId="32482"/>
    <cellStyle name="Percent 2 2 5 4" xfId="8223"/>
    <cellStyle name="Percent 2 2 5 4 2" xfId="17055"/>
    <cellStyle name="Percent 2 2 5 4 2 2" xfId="30454"/>
    <cellStyle name="Percent 2 2 5 4 3" xfId="32483"/>
    <cellStyle name="Percent 2 2 5 5" xfId="10365"/>
    <cellStyle name="Percent 2 2 5 6" xfId="32479"/>
    <cellStyle name="Percent 2 2 6" xfId="8224"/>
    <cellStyle name="Percent 2 2 6 2" xfId="8225"/>
    <cellStyle name="Percent 2 2 6 2 2" xfId="17135"/>
    <cellStyle name="Percent 2 2 6 2 2 2" xfId="30494"/>
    <cellStyle name="Percent 2 2 6 2 3" xfId="32485"/>
    <cellStyle name="Percent 2 2 6 3" xfId="10367"/>
    <cellStyle name="Percent 2 2 6 4" xfId="32484"/>
    <cellStyle name="Percent 2 2 7" xfId="8226"/>
    <cellStyle name="Percent 2 2 7 2" xfId="8227"/>
    <cellStyle name="Percent 2 2 7 2 2" xfId="11668"/>
    <cellStyle name="Percent 2 2 7 2 3" xfId="32487"/>
    <cellStyle name="Percent 2 2 7 3" xfId="8228"/>
    <cellStyle name="Percent 2 2 7 3 2" xfId="17224"/>
    <cellStyle name="Percent 2 2 7 3 2 2" xfId="30583"/>
    <cellStyle name="Percent 2 2 7 3 3" xfId="32488"/>
    <cellStyle name="Percent 2 2 7 4" xfId="10368"/>
    <cellStyle name="Percent 2 2 7 5" xfId="32486"/>
    <cellStyle name="Percent 2 2 8" xfId="8229"/>
    <cellStyle name="Percent 2 2 8 2" xfId="8230"/>
    <cellStyle name="Percent 2 2 8 2 2" xfId="11669"/>
    <cellStyle name="Percent 2 2 8 2 3" xfId="32490"/>
    <cellStyle name="Percent 2 2 8 3" xfId="8231"/>
    <cellStyle name="Percent 2 2 8 3 2" xfId="16499"/>
    <cellStyle name="Percent 2 2 8 3 2 2" xfId="29906"/>
    <cellStyle name="Percent 2 2 8 3 3" xfId="32491"/>
    <cellStyle name="Percent 2 2 8 4" xfId="10369"/>
    <cellStyle name="Percent 2 2 8 5" xfId="32489"/>
    <cellStyle name="Percent 2 2 9" xfId="8232"/>
    <cellStyle name="Percent 2 2 9 2" xfId="8233"/>
    <cellStyle name="Percent 2 2 9 2 2" xfId="13341"/>
    <cellStyle name="Percent 2 2 9 2 2 2" xfId="26924"/>
    <cellStyle name="Percent 2 2 9 2 3" xfId="32493"/>
    <cellStyle name="Percent 2 2 9 3" xfId="8234"/>
    <cellStyle name="Percent 2 2 9 3 2" xfId="15771"/>
    <cellStyle name="Percent 2 2 9 3 3" xfId="32494"/>
    <cellStyle name="Percent 2 2 9 4" xfId="10544"/>
    <cellStyle name="Percent 2 2 9 4 2" xfId="24486"/>
    <cellStyle name="Percent 2 2 9 5" xfId="32492"/>
    <cellStyle name="Percent 2 20" xfId="8235"/>
    <cellStyle name="Percent 2 20 2" xfId="8236"/>
    <cellStyle name="Percent 2 20 2 2" xfId="11670"/>
    <cellStyle name="Percent 2 20 2 3" xfId="32496"/>
    <cellStyle name="Percent 2 20 3" xfId="10370"/>
    <cellStyle name="Percent 2 20 4" xfId="32495"/>
    <cellStyle name="Percent 2 21" xfId="8237"/>
    <cellStyle name="Percent 2 21 2" xfId="8238"/>
    <cellStyle name="Percent 2 21 2 2" xfId="11726"/>
    <cellStyle name="Percent 2 21 2 2 2" xfId="25446"/>
    <cellStyle name="Percent 2 21 2 3" xfId="32498"/>
    <cellStyle name="Percent 2 21 3" xfId="8239"/>
    <cellStyle name="Percent 2 21 3 2" xfId="13342"/>
    <cellStyle name="Percent 2 21 3 2 2" xfId="26925"/>
    <cellStyle name="Percent 2 21 3 3" xfId="32499"/>
    <cellStyle name="Percent 2 21 4" xfId="8240"/>
    <cellStyle name="Percent 2 21 4 2" xfId="15772"/>
    <cellStyle name="Percent 2 21 4 3" xfId="32500"/>
    <cellStyle name="Percent 2 21 5" xfId="10500"/>
    <cellStyle name="Percent 2 21 5 2" xfId="24450"/>
    <cellStyle name="Percent 2 21 6" xfId="32497"/>
    <cellStyle name="Percent 2 22" xfId="8241"/>
    <cellStyle name="Percent 2 22 2" xfId="8242"/>
    <cellStyle name="Percent 2 22 2 2" xfId="13343"/>
    <cellStyle name="Percent 2 22 2 2 2" xfId="26926"/>
    <cellStyle name="Percent 2 22 2 3" xfId="32502"/>
    <cellStyle name="Percent 2 22 3" xfId="8243"/>
    <cellStyle name="Percent 2 22 3 2" xfId="15773"/>
    <cellStyle name="Percent 2 22 3 3" xfId="32503"/>
    <cellStyle name="Percent 2 22 4" xfId="10527"/>
    <cellStyle name="Percent 2 22 4 2" xfId="24469"/>
    <cellStyle name="Percent 2 22 5" xfId="32501"/>
    <cellStyle name="Percent 2 23" xfId="8244"/>
    <cellStyle name="Percent 2 23 2" xfId="11649"/>
    <cellStyle name="Percent 2 23 3" xfId="32504"/>
    <cellStyle name="Percent 2 24" xfId="8245"/>
    <cellStyle name="Percent 2 24 2" xfId="11791"/>
    <cellStyle name="Percent 2 24 2 2" xfId="25506"/>
    <cellStyle name="Percent 2 24 3" xfId="32505"/>
    <cellStyle name="Percent 2 25" xfId="8246"/>
    <cellStyle name="Percent 2 25 2" xfId="13394"/>
    <cellStyle name="Percent 2 25 2 2" xfId="26943"/>
    <cellStyle name="Percent 2 25 3" xfId="32506"/>
    <cellStyle name="Percent 2 26" xfId="8247"/>
    <cellStyle name="Percent 2 26 2" xfId="13975"/>
    <cellStyle name="Percent 2 26 2 2" xfId="27524"/>
    <cellStyle name="Percent 2 26 3" xfId="32507"/>
    <cellStyle name="Percent 2 27" xfId="8248"/>
    <cellStyle name="Percent 2 27 2" xfId="15844"/>
    <cellStyle name="Percent 2 27 2 2" xfId="29251"/>
    <cellStyle name="Percent 2 27 3" xfId="32508"/>
    <cellStyle name="Percent 2 28" xfId="8249"/>
    <cellStyle name="Percent 2 28 2" xfId="15861"/>
    <cellStyle name="Percent 2 28 2 2" xfId="29268"/>
    <cellStyle name="Percent 2 28 3" xfId="32509"/>
    <cellStyle name="Percent 2 29" xfId="8654"/>
    <cellStyle name="Percent 2 29 2" xfId="10337"/>
    <cellStyle name="Percent 2 3" xfId="8250"/>
    <cellStyle name="Percent 2 3 10" xfId="8251"/>
    <cellStyle name="Percent 2 3 10 2" xfId="17351"/>
    <cellStyle name="Percent 2 3 10 3" xfId="32510"/>
    <cellStyle name="Percent 2 3 11" xfId="8748"/>
    <cellStyle name="Percent 2 3 12" xfId="10371"/>
    <cellStyle name="Percent 2 3 2" xfId="8252"/>
    <cellStyle name="Percent 2 3 2 2" xfId="8253"/>
    <cellStyle name="Percent 2 3 2 2 2" xfId="8254"/>
    <cellStyle name="Percent 2 3 2 2 2 2" xfId="8255"/>
    <cellStyle name="Percent 2 3 2 2 2 2 2" xfId="11671"/>
    <cellStyle name="Percent 2 3 2 2 2 2 3" xfId="32514"/>
    <cellStyle name="Percent 2 3 2 2 2 3" xfId="8256"/>
    <cellStyle name="Percent 2 3 2 2 2 3 2" xfId="16954"/>
    <cellStyle name="Percent 2 3 2 2 2 3 2 2" xfId="30361"/>
    <cellStyle name="Percent 2 3 2 2 2 3 3" xfId="32515"/>
    <cellStyle name="Percent 2 3 2 2 2 4" xfId="10374"/>
    <cellStyle name="Percent 2 3 2 2 2 5" xfId="32513"/>
    <cellStyle name="Percent 2 3 2 2 3" xfId="8257"/>
    <cellStyle name="Percent 2 3 2 2 3 2" xfId="8258"/>
    <cellStyle name="Percent 2 3 2 2 3 2 2" xfId="13344"/>
    <cellStyle name="Percent 2 3 2 2 3 2 3" xfId="32517"/>
    <cellStyle name="Percent 2 3 2 2 3 3" xfId="12342"/>
    <cellStyle name="Percent 2 3 2 2 3 3 2" xfId="26054"/>
    <cellStyle name="Percent 2 3 2 2 3 4" xfId="32516"/>
    <cellStyle name="Percent 2 3 2 2 4" xfId="8259"/>
    <cellStyle name="Percent 2 3 2 2 4 2" xfId="8260"/>
    <cellStyle name="Percent 2 3 2 2 4 2 2" xfId="15774"/>
    <cellStyle name="Percent 2 3 2 2 4 2 3" xfId="32519"/>
    <cellStyle name="Percent 2 3 2 2 4 3" xfId="13906"/>
    <cellStyle name="Percent 2 3 2 2 4 3 2" xfId="27455"/>
    <cellStyle name="Percent 2 3 2 2 4 4" xfId="32518"/>
    <cellStyle name="Percent 2 3 2 2 5" xfId="8261"/>
    <cellStyle name="Percent 2 3 2 2 5 2" xfId="14487"/>
    <cellStyle name="Percent 2 3 2 2 5 2 2" xfId="28036"/>
    <cellStyle name="Percent 2 3 2 2 5 3" xfId="32520"/>
    <cellStyle name="Percent 2 3 2 2 6" xfId="8262"/>
    <cellStyle name="Percent 2 3 2 2 6 2" xfId="16373"/>
    <cellStyle name="Percent 2 3 2 2 6 2 2" xfId="29780"/>
    <cellStyle name="Percent 2 3 2 2 6 3" xfId="32521"/>
    <cellStyle name="Percent 2 3 2 2 7" xfId="10373"/>
    <cellStyle name="Percent 2 3 2 2 8" xfId="32512"/>
    <cellStyle name="Percent 2 3 2 3" xfId="8263"/>
    <cellStyle name="Percent 2 3 2 3 2" xfId="8264"/>
    <cellStyle name="Percent 2 3 2 3 2 2" xfId="11672"/>
    <cellStyle name="Percent 2 3 2 3 2 3" xfId="32523"/>
    <cellStyle name="Percent 2 3 2 3 3" xfId="8265"/>
    <cellStyle name="Percent 2 3 2 3 3 2" xfId="16665"/>
    <cellStyle name="Percent 2 3 2 3 3 2 2" xfId="30072"/>
    <cellStyle name="Percent 2 3 2 3 3 3" xfId="32524"/>
    <cellStyle name="Percent 2 3 2 3 4" xfId="10375"/>
    <cellStyle name="Percent 2 3 2 3 5" xfId="32522"/>
    <cellStyle name="Percent 2 3 2 4" xfId="8266"/>
    <cellStyle name="Percent 2 3 2 4 2" xfId="8267"/>
    <cellStyle name="Percent 2 3 2 4 2 2" xfId="13345"/>
    <cellStyle name="Percent 2 3 2 4 2 3" xfId="32526"/>
    <cellStyle name="Percent 2 3 2 4 3" xfId="12042"/>
    <cellStyle name="Percent 2 3 2 4 3 2" xfId="25757"/>
    <cellStyle name="Percent 2 3 2 4 4" xfId="32525"/>
    <cellStyle name="Percent 2 3 2 5" xfId="8268"/>
    <cellStyle name="Percent 2 3 2 5 2" xfId="8269"/>
    <cellStyle name="Percent 2 3 2 5 2 2" xfId="15775"/>
    <cellStyle name="Percent 2 3 2 5 2 3" xfId="32528"/>
    <cellStyle name="Percent 2 3 2 5 3" xfId="13617"/>
    <cellStyle name="Percent 2 3 2 5 3 2" xfId="27166"/>
    <cellStyle name="Percent 2 3 2 5 4" xfId="32527"/>
    <cellStyle name="Percent 2 3 2 6" xfId="8270"/>
    <cellStyle name="Percent 2 3 2 6 2" xfId="14198"/>
    <cellStyle name="Percent 2 3 2 6 2 2" xfId="27747"/>
    <cellStyle name="Percent 2 3 2 6 3" xfId="32529"/>
    <cellStyle name="Percent 2 3 2 7" xfId="8271"/>
    <cellStyle name="Percent 2 3 2 7 2" xfId="16084"/>
    <cellStyle name="Percent 2 3 2 7 2 2" xfId="29491"/>
    <cellStyle name="Percent 2 3 2 7 3" xfId="32530"/>
    <cellStyle name="Percent 2 3 2 8" xfId="10372"/>
    <cellStyle name="Percent 2 3 2 9" xfId="32511"/>
    <cellStyle name="Percent 2 3 3" xfId="8272"/>
    <cellStyle name="Percent 2 3 3 2" xfId="8273"/>
    <cellStyle name="Percent 2 3 3 2 2" xfId="8274"/>
    <cellStyle name="Percent 2 3 3 2 2 2" xfId="11673"/>
    <cellStyle name="Percent 2 3 3 2 2 3" xfId="32533"/>
    <cellStyle name="Percent 2 3 3 2 3" xfId="8275"/>
    <cellStyle name="Percent 2 3 3 2 3 2" xfId="16811"/>
    <cellStyle name="Percent 2 3 3 2 3 2 2" xfId="30218"/>
    <cellStyle name="Percent 2 3 3 2 3 3" xfId="32534"/>
    <cellStyle name="Percent 2 3 3 2 4" xfId="10377"/>
    <cellStyle name="Percent 2 3 3 2 5" xfId="32532"/>
    <cellStyle name="Percent 2 3 3 3" xfId="8276"/>
    <cellStyle name="Percent 2 3 3 3 2" xfId="8277"/>
    <cellStyle name="Percent 2 3 3 3 2 2" xfId="13346"/>
    <cellStyle name="Percent 2 3 3 3 2 3" xfId="32536"/>
    <cellStyle name="Percent 2 3 3 3 3" xfId="12199"/>
    <cellStyle name="Percent 2 3 3 3 3 2" xfId="25911"/>
    <cellStyle name="Percent 2 3 3 3 4" xfId="32535"/>
    <cellStyle name="Percent 2 3 3 4" xfId="8278"/>
    <cellStyle name="Percent 2 3 3 4 2" xfId="8279"/>
    <cellStyle name="Percent 2 3 3 4 2 2" xfId="15776"/>
    <cellStyle name="Percent 2 3 3 4 2 3" xfId="32538"/>
    <cellStyle name="Percent 2 3 3 4 3" xfId="13763"/>
    <cellStyle name="Percent 2 3 3 4 3 2" xfId="27312"/>
    <cellStyle name="Percent 2 3 3 4 4" xfId="32537"/>
    <cellStyle name="Percent 2 3 3 5" xfId="8280"/>
    <cellStyle name="Percent 2 3 3 5 2" xfId="14344"/>
    <cellStyle name="Percent 2 3 3 5 2 2" xfId="27893"/>
    <cellStyle name="Percent 2 3 3 5 3" xfId="32539"/>
    <cellStyle name="Percent 2 3 3 6" xfId="8281"/>
    <cellStyle name="Percent 2 3 3 6 2" xfId="16230"/>
    <cellStyle name="Percent 2 3 3 6 2 2" xfId="29637"/>
    <cellStyle name="Percent 2 3 3 6 3" xfId="32540"/>
    <cellStyle name="Percent 2 3 3 7" xfId="10376"/>
    <cellStyle name="Percent 2 3 3 8" xfId="32531"/>
    <cellStyle name="Percent 2 3 4" xfId="8282"/>
    <cellStyle name="Percent 2 3 4 2" xfId="8283"/>
    <cellStyle name="Percent 2 3 4 2 2" xfId="13347"/>
    <cellStyle name="Percent 2 3 4 2 3" xfId="32542"/>
    <cellStyle name="Percent 2 3 4 3" xfId="8284"/>
    <cellStyle name="Percent 2 3 4 3 2" xfId="17158"/>
    <cellStyle name="Percent 2 3 4 3 2 2" xfId="30517"/>
    <cellStyle name="Percent 2 3 4 3 3" xfId="32543"/>
    <cellStyle name="Percent 2 3 4 4" xfId="10378"/>
    <cellStyle name="Percent 2 3 4 5" xfId="32541"/>
    <cellStyle name="Percent 2 3 5" xfId="8285"/>
    <cellStyle name="Percent 2 3 5 2" xfId="8286"/>
    <cellStyle name="Percent 2 3 5 2 2" xfId="11674"/>
    <cellStyle name="Percent 2 3 5 2 3" xfId="32545"/>
    <cellStyle name="Percent 2 3 5 3" xfId="8287"/>
    <cellStyle name="Percent 2 3 5 3 2" xfId="17247"/>
    <cellStyle name="Percent 2 3 5 3 2 2" xfId="30606"/>
    <cellStyle name="Percent 2 3 5 3 3" xfId="32546"/>
    <cellStyle name="Percent 2 3 5 4" xfId="10379"/>
    <cellStyle name="Percent 2 3 5 5" xfId="32544"/>
    <cellStyle name="Percent 2 3 6" xfId="8288"/>
    <cellStyle name="Percent 2 3 6 2" xfId="8289"/>
    <cellStyle name="Percent 2 3 6 2 2" xfId="15777"/>
    <cellStyle name="Percent 2 3 6 2 3" xfId="32548"/>
    <cellStyle name="Percent 2 3 6 3" xfId="8290"/>
    <cellStyle name="Percent 2 3 6 3 2" xfId="16522"/>
    <cellStyle name="Percent 2 3 6 3 2 2" xfId="29929"/>
    <cellStyle name="Percent 2 3 6 3 3" xfId="32549"/>
    <cellStyle name="Percent 2 3 6 4" xfId="11897"/>
    <cellStyle name="Percent 2 3 6 4 2" xfId="25612"/>
    <cellStyle name="Percent 2 3 6 5" xfId="32547"/>
    <cellStyle name="Percent 2 3 7" xfId="8291"/>
    <cellStyle name="Percent 2 3 7 2" xfId="13474"/>
    <cellStyle name="Percent 2 3 7 2 2" xfId="27023"/>
    <cellStyle name="Percent 2 3 7 3" xfId="32550"/>
    <cellStyle name="Percent 2 3 8" xfId="8292"/>
    <cellStyle name="Percent 2 3 8 2" xfId="14055"/>
    <cellStyle name="Percent 2 3 8 2 2" xfId="27604"/>
    <cellStyle name="Percent 2 3 8 3" xfId="32551"/>
    <cellStyle name="Percent 2 3 9" xfId="8293"/>
    <cellStyle name="Percent 2 3 9 2" xfId="15941"/>
    <cellStyle name="Percent 2 3 9 2 2" xfId="29348"/>
    <cellStyle name="Percent 2 3 9 3" xfId="32552"/>
    <cellStyle name="Percent 2 30" xfId="33030"/>
    <cellStyle name="Percent 2 31" xfId="8109"/>
    <cellStyle name="Percent 2 4" xfId="8294"/>
    <cellStyle name="Percent 2 4 10" xfId="10380"/>
    <cellStyle name="Percent 2 4 11" xfId="32553"/>
    <cellStyle name="Percent 2 4 2" xfId="8295"/>
    <cellStyle name="Percent 2 4 2 2" xfId="8296"/>
    <cellStyle name="Percent 2 4 2 2 2" xfId="8297"/>
    <cellStyle name="Percent 2 4 2 2 2 2" xfId="8298"/>
    <cellStyle name="Percent 2 4 2 2 2 2 2" xfId="11675"/>
    <cellStyle name="Percent 2 4 2 2 2 2 3" xfId="32557"/>
    <cellStyle name="Percent 2 4 2 2 2 3" xfId="8299"/>
    <cellStyle name="Percent 2 4 2 2 2 3 2" xfId="16908"/>
    <cellStyle name="Percent 2 4 2 2 2 3 2 2" xfId="30315"/>
    <cellStyle name="Percent 2 4 2 2 2 3 3" xfId="32558"/>
    <cellStyle name="Percent 2 4 2 2 2 4" xfId="10383"/>
    <cellStyle name="Percent 2 4 2 2 2 5" xfId="32556"/>
    <cellStyle name="Percent 2 4 2 2 3" xfId="8300"/>
    <cellStyle name="Percent 2 4 2 2 3 2" xfId="8301"/>
    <cellStyle name="Percent 2 4 2 2 3 2 2" xfId="13348"/>
    <cellStyle name="Percent 2 4 2 2 3 2 3" xfId="32560"/>
    <cellStyle name="Percent 2 4 2 2 3 3" xfId="12296"/>
    <cellStyle name="Percent 2 4 2 2 3 3 2" xfId="26008"/>
    <cellStyle name="Percent 2 4 2 2 3 4" xfId="32559"/>
    <cellStyle name="Percent 2 4 2 2 4" xfId="8302"/>
    <cellStyle name="Percent 2 4 2 2 4 2" xfId="8303"/>
    <cellStyle name="Percent 2 4 2 2 4 2 2" xfId="15778"/>
    <cellStyle name="Percent 2 4 2 2 4 2 3" xfId="32562"/>
    <cellStyle name="Percent 2 4 2 2 4 3" xfId="13860"/>
    <cellStyle name="Percent 2 4 2 2 4 3 2" xfId="27409"/>
    <cellStyle name="Percent 2 4 2 2 4 4" xfId="32561"/>
    <cellStyle name="Percent 2 4 2 2 5" xfId="8304"/>
    <cellStyle name="Percent 2 4 2 2 5 2" xfId="14441"/>
    <cellStyle name="Percent 2 4 2 2 5 2 2" xfId="27990"/>
    <cellStyle name="Percent 2 4 2 2 5 3" xfId="32563"/>
    <cellStyle name="Percent 2 4 2 2 6" xfId="8305"/>
    <cellStyle name="Percent 2 4 2 2 6 2" xfId="16327"/>
    <cellStyle name="Percent 2 4 2 2 6 2 2" xfId="29734"/>
    <cellStyle name="Percent 2 4 2 2 6 3" xfId="32564"/>
    <cellStyle name="Percent 2 4 2 2 7" xfId="10382"/>
    <cellStyle name="Percent 2 4 2 2 8" xfId="32555"/>
    <cellStyle name="Percent 2 4 2 3" xfId="8306"/>
    <cellStyle name="Percent 2 4 2 3 2" xfId="8307"/>
    <cellStyle name="Percent 2 4 2 3 2 2" xfId="11676"/>
    <cellStyle name="Percent 2 4 2 3 2 3" xfId="32566"/>
    <cellStyle name="Percent 2 4 2 3 3" xfId="8308"/>
    <cellStyle name="Percent 2 4 2 3 3 2" xfId="16619"/>
    <cellStyle name="Percent 2 4 2 3 3 2 2" xfId="30026"/>
    <cellStyle name="Percent 2 4 2 3 3 3" xfId="32567"/>
    <cellStyle name="Percent 2 4 2 3 4" xfId="10384"/>
    <cellStyle name="Percent 2 4 2 3 5" xfId="32565"/>
    <cellStyle name="Percent 2 4 2 4" xfId="8309"/>
    <cellStyle name="Percent 2 4 2 4 2" xfId="8310"/>
    <cellStyle name="Percent 2 4 2 4 2 2" xfId="13349"/>
    <cellStyle name="Percent 2 4 2 4 2 3" xfId="32569"/>
    <cellStyle name="Percent 2 4 2 4 3" xfId="11996"/>
    <cellStyle name="Percent 2 4 2 4 3 2" xfId="25711"/>
    <cellStyle name="Percent 2 4 2 4 4" xfId="32568"/>
    <cellStyle name="Percent 2 4 2 5" xfId="8311"/>
    <cellStyle name="Percent 2 4 2 5 2" xfId="8312"/>
    <cellStyle name="Percent 2 4 2 5 2 2" xfId="15779"/>
    <cellStyle name="Percent 2 4 2 5 2 3" xfId="32571"/>
    <cellStyle name="Percent 2 4 2 5 3" xfId="13571"/>
    <cellStyle name="Percent 2 4 2 5 3 2" xfId="27120"/>
    <cellStyle name="Percent 2 4 2 5 4" xfId="32570"/>
    <cellStyle name="Percent 2 4 2 6" xfId="8313"/>
    <cellStyle name="Percent 2 4 2 6 2" xfId="14152"/>
    <cellStyle name="Percent 2 4 2 6 2 2" xfId="27701"/>
    <cellStyle name="Percent 2 4 2 6 3" xfId="32572"/>
    <cellStyle name="Percent 2 4 2 7" xfId="8314"/>
    <cellStyle name="Percent 2 4 2 7 2" xfId="16038"/>
    <cellStyle name="Percent 2 4 2 7 2 2" xfId="29445"/>
    <cellStyle name="Percent 2 4 2 7 3" xfId="32573"/>
    <cellStyle name="Percent 2 4 2 8" xfId="10381"/>
    <cellStyle name="Percent 2 4 2 9" xfId="32554"/>
    <cellStyle name="Percent 2 4 3" xfId="8315"/>
    <cellStyle name="Percent 2 4 3 2" xfId="8316"/>
    <cellStyle name="Percent 2 4 3 2 2" xfId="8317"/>
    <cellStyle name="Percent 2 4 3 2 2 2" xfId="11677"/>
    <cellStyle name="Percent 2 4 3 2 2 3" xfId="32576"/>
    <cellStyle name="Percent 2 4 3 2 3" xfId="8318"/>
    <cellStyle name="Percent 2 4 3 2 3 2" xfId="16768"/>
    <cellStyle name="Percent 2 4 3 2 3 2 2" xfId="30175"/>
    <cellStyle name="Percent 2 4 3 2 3 3" xfId="32577"/>
    <cellStyle name="Percent 2 4 3 2 4" xfId="10386"/>
    <cellStyle name="Percent 2 4 3 2 5" xfId="32575"/>
    <cellStyle name="Percent 2 4 3 3" xfId="8319"/>
    <cellStyle name="Percent 2 4 3 3 2" xfId="8320"/>
    <cellStyle name="Percent 2 4 3 3 2 2" xfId="13350"/>
    <cellStyle name="Percent 2 4 3 3 2 3" xfId="32579"/>
    <cellStyle name="Percent 2 4 3 3 3" xfId="12156"/>
    <cellStyle name="Percent 2 4 3 3 3 2" xfId="25868"/>
    <cellStyle name="Percent 2 4 3 3 4" xfId="32578"/>
    <cellStyle name="Percent 2 4 3 4" xfId="8321"/>
    <cellStyle name="Percent 2 4 3 4 2" xfId="8322"/>
    <cellStyle name="Percent 2 4 3 4 2 2" xfId="15780"/>
    <cellStyle name="Percent 2 4 3 4 2 3" xfId="32581"/>
    <cellStyle name="Percent 2 4 3 4 3" xfId="13720"/>
    <cellStyle name="Percent 2 4 3 4 3 2" xfId="27269"/>
    <cellStyle name="Percent 2 4 3 4 4" xfId="32580"/>
    <cellStyle name="Percent 2 4 3 5" xfId="8323"/>
    <cellStyle name="Percent 2 4 3 5 2" xfId="14301"/>
    <cellStyle name="Percent 2 4 3 5 2 2" xfId="27850"/>
    <cellStyle name="Percent 2 4 3 5 3" xfId="32582"/>
    <cellStyle name="Percent 2 4 3 6" xfId="8324"/>
    <cellStyle name="Percent 2 4 3 6 2" xfId="16187"/>
    <cellStyle name="Percent 2 4 3 6 2 2" xfId="29594"/>
    <cellStyle name="Percent 2 4 3 6 3" xfId="32583"/>
    <cellStyle name="Percent 2 4 3 7" xfId="10385"/>
    <cellStyle name="Percent 2 4 3 8" xfId="32574"/>
    <cellStyle name="Percent 2 4 4" xfId="8325"/>
    <cellStyle name="Percent 2 4 4 2" xfId="8326"/>
    <cellStyle name="Percent 2 4 4 2 2" xfId="16476"/>
    <cellStyle name="Percent 2 4 4 2 2 2" xfId="29883"/>
    <cellStyle name="Percent 2 4 4 2 3" xfId="32585"/>
    <cellStyle name="Percent 2 4 4 3" xfId="10387"/>
    <cellStyle name="Percent 2 4 4 4" xfId="32584"/>
    <cellStyle name="Percent 2 4 5" xfId="8327"/>
    <cellStyle name="Percent 2 4 5 2" xfId="8328"/>
    <cellStyle name="Percent 2 4 5 2 2" xfId="11678"/>
    <cellStyle name="Percent 2 4 5 2 3" xfId="32587"/>
    <cellStyle name="Percent 2 4 5 3" xfId="10388"/>
    <cellStyle name="Percent 2 4 5 4" xfId="32586"/>
    <cellStyle name="Percent 2 4 6" xfId="8329"/>
    <cellStyle name="Percent 2 4 6 2" xfId="8330"/>
    <cellStyle name="Percent 2 4 6 2 2" xfId="13351"/>
    <cellStyle name="Percent 2 4 6 2 3" xfId="32589"/>
    <cellStyle name="Percent 2 4 6 3" xfId="11827"/>
    <cellStyle name="Percent 2 4 6 3 2" xfId="25542"/>
    <cellStyle name="Percent 2 4 6 4" xfId="32588"/>
    <cellStyle name="Percent 2 4 7" xfId="8331"/>
    <cellStyle name="Percent 2 4 7 2" xfId="8332"/>
    <cellStyle name="Percent 2 4 7 2 2" xfId="15781"/>
    <cellStyle name="Percent 2 4 7 2 3" xfId="32591"/>
    <cellStyle name="Percent 2 4 7 3" xfId="13428"/>
    <cellStyle name="Percent 2 4 7 3 2" xfId="26977"/>
    <cellStyle name="Percent 2 4 7 4" xfId="32590"/>
    <cellStyle name="Percent 2 4 8" xfId="8333"/>
    <cellStyle name="Percent 2 4 8 2" xfId="14009"/>
    <cellStyle name="Percent 2 4 8 2 2" xfId="27558"/>
    <cellStyle name="Percent 2 4 8 3" xfId="32592"/>
    <cellStyle name="Percent 2 4 9" xfId="8334"/>
    <cellStyle name="Percent 2 4 9 2" xfId="15895"/>
    <cellStyle name="Percent 2 4 9 2 2" xfId="29302"/>
    <cellStyle name="Percent 2 4 9 3" xfId="32593"/>
    <cellStyle name="Percent 2 5" xfId="8335"/>
    <cellStyle name="Percent 2 5 10" xfId="10389"/>
    <cellStyle name="Percent 2 5 11" xfId="32594"/>
    <cellStyle name="Percent 2 5 2" xfId="8336"/>
    <cellStyle name="Percent 2 5 2 2" xfId="8337"/>
    <cellStyle name="Percent 2 5 2 2 2" xfId="8338"/>
    <cellStyle name="Percent 2 5 2 2 2 2" xfId="8339"/>
    <cellStyle name="Percent 2 5 2 2 2 2 2" xfId="11679"/>
    <cellStyle name="Percent 2 5 2 2 2 2 3" xfId="32598"/>
    <cellStyle name="Percent 2 5 2 2 2 3" xfId="8340"/>
    <cellStyle name="Percent 2 5 2 2 2 3 2" xfId="16891"/>
    <cellStyle name="Percent 2 5 2 2 2 3 2 2" xfId="30298"/>
    <cellStyle name="Percent 2 5 2 2 2 3 3" xfId="32599"/>
    <cellStyle name="Percent 2 5 2 2 2 4" xfId="10392"/>
    <cellStyle name="Percent 2 5 2 2 2 5" xfId="32597"/>
    <cellStyle name="Percent 2 5 2 2 3" xfId="8341"/>
    <cellStyle name="Percent 2 5 2 2 3 2" xfId="8342"/>
    <cellStyle name="Percent 2 5 2 2 3 2 2" xfId="13352"/>
    <cellStyle name="Percent 2 5 2 2 3 2 3" xfId="32601"/>
    <cellStyle name="Percent 2 5 2 2 3 3" xfId="12279"/>
    <cellStyle name="Percent 2 5 2 2 3 3 2" xfId="25991"/>
    <cellStyle name="Percent 2 5 2 2 3 4" xfId="32600"/>
    <cellStyle name="Percent 2 5 2 2 4" xfId="8343"/>
    <cellStyle name="Percent 2 5 2 2 4 2" xfId="8344"/>
    <cellStyle name="Percent 2 5 2 2 4 2 2" xfId="15782"/>
    <cellStyle name="Percent 2 5 2 2 4 2 3" xfId="32603"/>
    <cellStyle name="Percent 2 5 2 2 4 3" xfId="13843"/>
    <cellStyle name="Percent 2 5 2 2 4 3 2" xfId="27392"/>
    <cellStyle name="Percent 2 5 2 2 4 4" xfId="32602"/>
    <cellStyle name="Percent 2 5 2 2 5" xfId="8345"/>
    <cellStyle name="Percent 2 5 2 2 5 2" xfId="14424"/>
    <cellStyle name="Percent 2 5 2 2 5 2 2" xfId="27973"/>
    <cellStyle name="Percent 2 5 2 2 5 3" xfId="32604"/>
    <cellStyle name="Percent 2 5 2 2 6" xfId="8346"/>
    <cellStyle name="Percent 2 5 2 2 6 2" xfId="16310"/>
    <cellStyle name="Percent 2 5 2 2 6 2 2" xfId="29717"/>
    <cellStyle name="Percent 2 5 2 2 6 3" xfId="32605"/>
    <cellStyle name="Percent 2 5 2 2 7" xfId="10391"/>
    <cellStyle name="Percent 2 5 2 2 8" xfId="32596"/>
    <cellStyle name="Percent 2 5 2 3" xfId="8347"/>
    <cellStyle name="Percent 2 5 2 3 2" xfId="8348"/>
    <cellStyle name="Percent 2 5 2 3 2 2" xfId="11680"/>
    <cellStyle name="Percent 2 5 2 3 2 3" xfId="32607"/>
    <cellStyle name="Percent 2 5 2 3 3" xfId="8349"/>
    <cellStyle name="Percent 2 5 2 3 3 2" xfId="16602"/>
    <cellStyle name="Percent 2 5 2 3 3 2 2" xfId="30009"/>
    <cellStyle name="Percent 2 5 2 3 3 3" xfId="32608"/>
    <cellStyle name="Percent 2 5 2 3 4" xfId="10393"/>
    <cellStyle name="Percent 2 5 2 3 5" xfId="32606"/>
    <cellStyle name="Percent 2 5 2 4" xfId="8350"/>
    <cellStyle name="Percent 2 5 2 4 2" xfId="8351"/>
    <cellStyle name="Percent 2 5 2 4 2 2" xfId="13353"/>
    <cellStyle name="Percent 2 5 2 4 2 3" xfId="32610"/>
    <cellStyle name="Percent 2 5 2 4 3" xfId="11979"/>
    <cellStyle name="Percent 2 5 2 4 3 2" xfId="25694"/>
    <cellStyle name="Percent 2 5 2 4 4" xfId="32609"/>
    <cellStyle name="Percent 2 5 2 5" xfId="8352"/>
    <cellStyle name="Percent 2 5 2 5 2" xfId="8353"/>
    <cellStyle name="Percent 2 5 2 5 2 2" xfId="15783"/>
    <cellStyle name="Percent 2 5 2 5 2 3" xfId="32612"/>
    <cellStyle name="Percent 2 5 2 5 3" xfId="13554"/>
    <cellStyle name="Percent 2 5 2 5 3 2" xfId="27103"/>
    <cellStyle name="Percent 2 5 2 5 4" xfId="32611"/>
    <cellStyle name="Percent 2 5 2 6" xfId="8354"/>
    <cellStyle name="Percent 2 5 2 6 2" xfId="14135"/>
    <cellStyle name="Percent 2 5 2 6 2 2" xfId="27684"/>
    <cellStyle name="Percent 2 5 2 6 3" xfId="32613"/>
    <cellStyle name="Percent 2 5 2 7" xfId="8355"/>
    <cellStyle name="Percent 2 5 2 7 2" xfId="16021"/>
    <cellStyle name="Percent 2 5 2 7 2 2" xfId="29428"/>
    <cellStyle name="Percent 2 5 2 7 3" xfId="32614"/>
    <cellStyle name="Percent 2 5 2 8" xfId="10390"/>
    <cellStyle name="Percent 2 5 2 9" xfId="32595"/>
    <cellStyle name="Percent 2 5 3" xfId="8356"/>
    <cellStyle name="Percent 2 5 3 2" xfId="8357"/>
    <cellStyle name="Percent 2 5 3 2 2" xfId="8358"/>
    <cellStyle name="Percent 2 5 3 2 2 2" xfId="11681"/>
    <cellStyle name="Percent 2 5 3 2 2 3" xfId="32617"/>
    <cellStyle name="Percent 2 5 3 2 3" xfId="8359"/>
    <cellStyle name="Percent 2 5 3 2 3 2" xfId="16751"/>
    <cellStyle name="Percent 2 5 3 2 3 2 2" xfId="30158"/>
    <cellStyle name="Percent 2 5 3 2 3 3" xfId="32618"/>
    <cellStyle name="Percent 2 5 3 2 4" xfId="10395"/>
    <cellStyle name="Percent 2 5 3 2 5" xfId="32616"/>
    <cellStyle name="Percent 2 5 3 3" xfId="8360"/>
    <cellStyle name="Percent 2 5 3 3 2" xfId="8361"/>
    <cellStyle name="Percent 2 5 3 3 2 2" xfId="13354"/>
    <cellStyle name="Percent 2 5 3 3 2 3" xfId="32620"/>
    <cellStyle name="Percent 2 5 3 3 3" xfId="12139"/>
    <cellStyle name="Percent 2 5 3 3 3 2" xfId="25851"/>
    <cellStyle name="Percent 2 5 3 3 4" xfId="32619"/>
    <cellStyle name="Percent 2 5 3 4" xfId="8362"/>
    <cellStyle name="Percent 2 5 3 4 2" xfId="8363"/>
    <cellStyle name="Percent 2 5 3 4 2 2" xfId="15784"/>
    <cellStyle name="Percent 2 5 3 4 2 3" xfId="32622"/>
    <cellStyle name="Percent 2 5 3 4 3" xfId="13703"/>
    <cellStyle name="Percent 2 5 3 4 3 2" xfId="27252"/>
    <cellStyle name="Percent 2 5 3 4 4" xfId="32621"/>
    <cellStyle name="Percent 2 5 3 5" xfId="8364"/>
    <cellStyle name="Percent 2 5 3 5 2" xfId="14284"/>
    <cellStyle name="Percent 2 5 3 5 2 2" xfId="27833"/>
    <cellStyle name="Percent 2 5 3 5 3" xfId="32623"/>
    <cellStyle name="Percent 2 5 3 6" xfId="8365"/>
    <cellStyle name="Percent 2 5 3 6 2" xfId="16170"/>
    <cellStyle name="Percent 2 5 3 6 2 2" xfId="29577"/>
    <cellStyle name="Percent 2 5 3 6 3" xfId="32624"/>
    <cellStyle name="Percent 2 5 3 7" xfId="10394"/>
    <cellStyle name="Percent 2 5 3 8" xfId="32615"/>
    <cellStyle name="Percent 2 5 4" xfId="8366"/>
    <cellStyle name="Percent 2 5 4 2" xfId="8367"/>
    <cellStyle name="Percent 2 5 4 2 2" xfId="16459"/>
    <cellStyle name="Percent 2 5 4 2 2 2" xfId="29866"/>
    <cellStyle name="Percent 2 5 4 2 3" xfId="32626"/>
    <cellStyle name="Percent 2 5 4 3" xfId="10396"/>
    <cellStyle name="Percent 2 5 4 4" xfId="32625"/>
    <cellStyle name="Percent 2 5 5" xfId="8368"/>
    <cellStyle name="Percent 2 5 5 2" xfId="8369"/>
    <cellStyle name="Percent 2 5 5 2 2" xfId="11682"/>
    <cellStyle name="Percent 2 5 5 2 3" xfId="32628"/>
    <cellStyle name="Percent 2 5 5 3" xfId="10397"/>
    <cellStyle name="Percent 2 5 5 4" xfId="32627"/>
    <cellStyle name="Percent 2 5 6" xfId="8370"/>
    <cellStyle name="Percent 2 5 6 2" xfId="8371"/>
    <cellStyle name="Percent 2 5 6 2 2" xfId="13355"/>
    <cellStyle name="Percent 2 5 6 2 3" xfId="32630"/>
    <cellStyle name="Percent 2 5 6 3" xfId="11810"/>
    <cellStyle name="Percent 2 5 6 3 2" xfId="25525"/>
    <cellStyle name="Percent 2 5 6 4" xfId="32629"/>
    <cellStyle name="Percent 2 5 7" xfId="8372"/>
    <cellStyle name="Percent 2 5 7 2" xfId="8373"/>
    <cellStyle name="Percent 2 5 7 2 2" xfId="15785"/>
    <cellStyle name="Percent 2 5 7 2 3" xfId="32632"/>
    <cellStyle name="Percent 2 5 7 3" xfId="13411"/>
    <cellStyle name="Percent 2 5 7 3 2" xfId="26960"/>
    <cellStyle name="Percent 2 5 7 4" xfId="32631"/>
    <cellStyle name="Percent 2 5 8" xfId="8374"/>
    <cellStyle name="Percent 2 5 8 2" xfId="13992"/>
    <cellStyle name="Percent 2 5 8 2 2" xfId="27541"/>
    <cellStyle name="Percent 2 5 8 3" xfId="32633"/>
    <cellStyle name="Percent 2 5 9" xfId="8375"/>
    <cellStyle name="Percent 2 5 9 2" xfId="15878"/>
    <cellStyle name="Percent 2 5 9 2 2" xfId="29285"/>
    <cellStyle name="Percent 2 5 9 3" xfId="32634"/>
    <cellStyle name="Percent 2 6" xfId="8376"/>
    <cellStyle name="Percent 2 6 10" xfId="10398"/>
    <cellStyle name="Percent 2 6 11" xfId="32635"/>
    <cellStyle name="Percent 2 6 2" xfId="8377"/>
    <cellStyle name="Percent 2 6 2 2" xfId="8378"/>
    <cellStyle name="Percent 2 6 2 2 2" xfId="8379"/>
    <cellStyle name="Percent 2 6 2 2 2 2" xfId="8380"/>
    <cellStyle name="Percent 2 6 2 2 2 2 2" xfId="11683"/>
    <cellStyle name="Percent 2 6 2 2 2 2 3" xfId="32639"/>
    <cellStyle name="Percent 2 6 2 2 2 3" xfId="8381"/>
    <cellStyle name="Percent 2 6 2 2 2 3 2" xfId="16997"/>
    <cellStyle name="Percent 2 6 2 2 2 3 2 2" xfId="30404"/>
    <cellStyle name="Percent 2 6 2 2 2 3 3" xfId="32640"/>
    <cellStyle name="Percent 2 6 2 2 2 4" xfId="10401"/>
    <cellStyle name="Percent 2 6 2 2 2 5" xfId="32638"/>
    <cellStyle name="Percent 2 6 2 2 3" xfId="8382"/>
    <cellStyle name="Percent 2 6 2 2 3 2" xfId="8383"/>
    <cellStyle name="Percent 2 6 2 2 3 2 2" xfId="13356"/>
    <cellStyle name="Percent 2 6 2 2 3 2 3" xfId="32642"/>
    <cellStyle name="Percent 2 6 2 2 3 3" xfId="12385"/>
    <cellStyle name="Percent 2 6 2 2 3 3 2" xfId="26097"/>
    <cellStyle name="Percent 2 6 2 2 3 4" xfId="32641"/>
    <cellStyle name="Percent 2 6 2 2 4" xfId="8384"/>
    <cellStyle name="Percent 2 6 2 2 4 2" xfId="8385"/>
    <cellStyle name="Percent 2 6 2 2 4 2 2" xfId="15786"/>
    <cellStyle name="Percent 2 6 2 2 4 2 3" xfId="32644"/>
    <cellStyle name="Percent 2 6 2 2 4 3" xfId="13949"/>
    <cellStyle name="Percent 2 6 2 2 4 3 2" xfId="27498"/>
    <cellStyle name="Percent 2 6 2 2 4 4" xfId="32643"/>
    <cellStyle name="Percent 2 6 2 2 5" xfId="8386"/>
    <cellStyle name="Percent 2 6 2 2 5 2" xfId="14530"/>
    <cellStyle name="Percent 2 6 2 2 5 2 2" xfId="28079"/>
    <cellStyle name="Percent 2 6 2 2 5 3" xfId="32645"/>
    <cellStyle name="Percent 2 6 2 2 6" xfId="8387"/>
    <cellStyle name="Percent 2 6 2 2 6 2" xfId="16416"/>
    <cellStyle name="Percent 2 6 2 2 6 2 2" xfId="29823"/>
    <cellStyle name="Percent 2 6 2 2 6 3" xfId="32646"/>
    <cellStyle name="Percent 2 6 2 2 7" xfId="10400"/>
    <cellStyle name="Percent 2 6 2 2 8" xfId="32637"/>
    <cellStyle name="Percent 2 6 2 3" xfId="8388"/>
    <cellStyle name="Percent 2 6 2 3 2" xfId="8389"/>
    <cellStyle name="Percent 2 6 2 3 2 2" xfId="11684"/>
    <cellStyle name="Percent 2 6 2 3 2 3" xfId="32648"/>
    <cellStyle name="Percent 2 6 2 3 3" xfId="8390"/>
    <cellStyle name="Percent 2 6 2 3 3 2" xfId="16708"/>
    <cellStyle name="Percent 2 6 2 3 3 2 2" xfId="30115"/>
    <cellStyle name="Percent 2 6 2 3 3 3" xfId="32649"/>
    <cellStyle name="Percent 2 6 2 3 4" xfId="10402"/>
    <cellStyle name="Percent 2 6 2 3 5" xfId="32647"/>
    <cellStyle name="Percent 2 6 2 4" xfId="8391"/>
    <cellStyle name="Percent 2 6 2 4 2" xfId="8392"/>
    <cellStyle name="Percent 2 6 2 4 2 2" xfId="13357"/>
    <cellStyle name="Percent 2 6 2 4 2 3" xfId="32651"/>
    <cellStyle name="Percent 2 6 2 4 3" xfId="12085"/>
    <cellStyle name="Percent 2 6 2 4 3 2" xfId="25800"/>
    <cellStyle name="Percent 2 6 2 4 4" xfId="32650"/>
    <cellStyle name="Percent 2 6 2 5" xfId="8393"/>
    <cellStyle name="Percent 2 6 2 5 2" xfId="8394"/>
    <cellStyle name="Percent 2 6 2 5 2 2" xfId="15787"/>
    <cellStyle name="Percent 2 6 2 5 2 3" xfId="32653"/>
    <cellStyle name="Percent 2 6 2 5 3" xfId="13660"/>
    <cellStyle name="Percent 2 6 2 5 3 2" xfId="27209"/>
    <cellStyle name="Percent 2 6 2 5 4" xfId="32652"/>
    <cellStyle name="Percent 2 6 2 6" xfId="8395"/>
    <cellStyle name="Percent 2 6 2 6 2" xfId="14241"/>
    <cellStyle name="Percent 2 6 2 6 2 2" xfId="27790"/>
    <cellStyle name="Percent 2 6 2 6 3" xfId="32654"/>
    <cellStyle name="Percent 2 6 2 7" xfId="8396"/>
    <cellStyle name="Percent 2 6 2 7 2" xfId="16127"/>
    <cellStyle name="Percent 2 6 2 7 2 2" xfId="29534"/>
    <cellStyle name="Percent 2 6 2 7 3" xfId="32655"/>
    <cellStyle name="Percent 2 6 2 8" xfId="10399"/>
    <cellStyle name="Percent 2 6 2 9" xfId="32636"/>
    <cellStyle name="Percent 2 6 3" xfId="8397"/>
    <cellStyle name="Percent 2 6 3 2" xfId="8398"/>
    <cellStyle name="Percent 2 6 3 2 2" xfId="8399"/>
    <cellStyle name="Percent 2 6 3 2 2 2" xfId="11685"/>
    <cellStyle name="Percent 2 6 3 2 2 3" xfId="32658"/>
    <cellStyle name="Percent 2 6 3 2 3" xfId="8400"/>
    <cellStyle name="Percent 2 6 3 2 3 2" xfId="16854"/>
    <cellStyle name="Percent 2 6 3 2 3 2 2" xfId="30261"/>
    <cellStyle name="Percent 2 6 3 2 3 3" xfId="32659"/>
    <cellStyle name="Percent 2 6 3 2 4" xfId="10404"/>
    <cellStyle name="Percent 2 6 3 2 5" xfId="32657"/>
    <cellStyle name="Percent 2 6 3 3" xfId="8401"/>
    <cellStyle name="Percent 2 6 3 3 2" xfId="8402"/>
    <cellStyle name="Percent 2 6 3 3 2 2" xfId="13358"/>
    <cellStyle name="Percent 2 6 3 3 2 3" xfId="32661"/>
    <cellStyle name="Percent 2 6 3 3 3" xfId="12242"/>
    <cellStyle name="Percent 2 6 3 3 3 2" xfId="25954"/>
    <cellStyle name="Percent 2 6 3 3 4" xfId="32660"/>
    <cellStyle name="Percent 2 6 3 4" xfId="8403"/>
    <cellStyle name="Percent 2 6 3 4 2" xfId="8404"/>
    <cellStyle name="Percent 2 6 3 4 2 2" xfId="15788"/>
    <cellStyle name="Percent 2 6 3 4 2 3" xfId="32663"/>
    <cellStyle name="Percent 2 6 3 4 3" xfId="13806"/>
    <cellStyle name="Percent 2 6 3 4 3 2" xfId="27355"/>
    <cellStyle name="Percent 2 6 3 4 4" xfId="32662"/>
    <cellStyle name="Percent 2 6 3 5" xfId="8405"/>
    <cellStyle name="Percent 2 6 3 5 2" xfId="14387"/>
    <cellStyle name="Percent 2 6 3 5 2 2" xfId="27936"/>
    <cellStyle name="Percent 2 6 3 5 3" xfId="32664"/>
    <cellStyle name="Percent 2 6 3 6" xfId="8406"/>
    <cellStyle name="Percent 2 6 3 6 2" xfId="16273"/>
    <cellStyle name="Percent 2 6 3 6 2 2" xfId="29680"/>
    <cellStyle name="Percent 2 6 3 6 3" xfId="32665"/>
    <cellStyle name="Percent 2 6 3 7" xfId="10403"/>
    <cellStyle name="Percent 2 6 3 8" xfId="32656"/>
    <cellStyle name="Percent 2 6 4" xfId="8407"/>
    <cellStyle name="Percent 2 6 4 2" xfId="8408"/>
    <cellStyle name="Percent 2 6 4 2 2" xfId="16565"/>
    <cellStyle name="Percent 2 6 4 2 2 2" xfId="29972"/>
    <cellStyle name="Percent 2 6 4 2 3" xfId="32667"/>
    <cellStyle name="Percent 2 6 4 3" xfId="10405"/>
    <cellStyle name="Percent 2 6 4 4" xfId="32666"/>
    <cellStyle name="Percent 2 6 5" xfId="8409"/>
    <cellStyle name="Percent 2 6 5 2" xfId="8410"/>
    <cellStyle name="Percent 2 6 5 2 2" xfId="11686"/>
    <cellStyle name="Percent 2 6 5 2 3" xfId="32669"/>
    <cellStyle name="Percent 2 6 5 3" xfId="10406"/>
    <cellStyle name="Percent 2 6 5 4" xfId="32668"/>
    <cellStyle name="Percent 2 6 6" xfId="8411"/>
    <cellStyle name="Percent 2 6 6 2" xfId="8412"/>
    <cellStyle name="Percent 2 6 6 2 2" xfId="13359"/>
    <cellStyle name="Percent 2 6 6 2 3" xfId="32671"/>
    <cellStyle name="Percent 2 6 6 3" xfId="11940"/>
    <cellStyle name="Percent 2 6 6 3 2" xfId="25655"/>
    <cellStyle name="Percent 2 6 6 4" xfId="32670"/>
    <cellStyle name="Percent 2 6 7" xfId="8413"/>
    <cellStyle name="Percent 2 6 7 2" xfId="8414"/>
    <cellStyle name="Percent 2 6 7 2 2" xfId="15789"/>
    <cellStyle name="Percent 2 6 7 2 3" xfId="32673"/>
    <cellStyle name="Percent 2 6 7 3" xfId="13517"/>
    <cellStyle name="Percent 2 6 7 3 2" xfId="27066"/>
    <cellStyle name="Percent 2 6 7 4" xfId="32672"/>
    <cellStyle name="Percent 2 6 8" xfId="8415"/>
    <cellStyle name="Percent 2 6 8 2" xfId="14098"/>
    <cellStyle name="Percent 2 6 8 2 2" xfId="27647"/>
    <cellStyle name="Percent 2 6 8 3" xfId="32674"/>
    <cellStyle name="Percent 2 6 9" xfId="8416"/>
    <cellStyle name="Percent 2 6 9 2" xfId="15984"/>
    <cellStyle name="Percent 2 6 9 2 2" xfId="29391"/>
    <cellStyle name="Percent 2 6 9 3" xfId="32675"/>
    <cellStyle name="Percent 2 7" xfId="8417"/>
    <cellStyle name="Percent 2 7 2" xfId="8418"/>
    <cellStyle name="Percent 2 7 2 2" xfId="8419"/>
    <cellStyle name="Percent 2 7 2 2 2" xfId="8420"/>
    <cellStyle name="Percent 2 7 2 2 2 2" xfId="11687"/>
    <cellStyle name="Percent 2 7 2 2 2 3" xfId="32679"/>
    <cellStyle name="Percent 2 7 2 2 3" xfId="8421"/>
    <cellStyle name="Percent 2 7 2 2 3 2" xfId="16874"/>
    <cellStyle name="Percent 2 7 2 2 3 2 2" xfId="30281"/>
    <cellStyle name="Percent 2 7 2 2 3 3" xfId="32680"/>
    <cellStyle name="Percent 2 7 2 2 4" xfId="10409"/>
    <cellStyle name="Percent 2 7 2 2 5" xfId="32678"/>
    <cellStyle name="Percent 2 7 2 3" xfId="8422"/>
    <cellStyle name="Percent 2 7 2 3 2" xfId="8423"/>
    <cellStyle name="Percent 2 7 2 3 2 2" xfId="13360"/>
    <cellStyle name="Percent 2 7 2 3 2 3" xfId="32682"/>
    <cellStyle name="Percent 2 7 2 3 3" xfId="12262"/>
    <cellStyle name="Percent 2 7 2 3 3 2" xfId="25974"/>
    <cellStyle name="Percent 2 7 2 3 4" xfId="32681"/>
    <cellStyle name="Percent 2 7 2 4" xfId="8424"/>
    <cellStyle name="Percent 2 7 2 4 2" xfId="8425"/>
    <cellStyle name="Percent 2 7 2 4 2 2" xfId="15790"/>
    <cellStyle name="Percent 2 7 2 4 2 3" xfId="32684"/>
    <cellStyle name="Percent 2 7 2 4 3" xfId="13826"/>
    <cellStyle name="Percent 2 7 2 4 3 2" xfId="27375"/>
    <cellStyle name="Percent 2 7 2 4 4" xfId="32683"/>
    <cellStyle name="Percent 2 7 2 5" xfId="8426"/>
    <cellStyle name="Percent 2 7 2 5 2" xfId="14407"/>
    <cellStyle name="Percent 2 7 2 5 2 2" xfId="27956"/>
    <cellStyle name="Percent 2 7 2 5 3" xfId="32685"/>
    <cellStyle name="Percent 2 7 2 6" xfId="8427"/>
    <cellStyle name="Percent 2 7 2 6 2" xfId="16293"/>
    <cellStyle name="Percent 2 7 2 6 2 2" xfId="29700"/>
    <cellStyle name="Percent 2 7 2 6 3" xfId="32686"/>
    <cellStyle name="Percent 2 7 2 7" xfId="10408"/>
    <cellStyle name="Percent 2 7 2 8" xfId="32677"/>
    <cellStyle name="Percent 2 7 3" xfId="8428"/>
    <cellStyle name="Percent 2 7 3 2" xfId="8429"/>
    <cellStyle name="Percent 2 7 3 2 2" xfId="11688"/>
    <cellStyle name="Percent 2 7 3 2 3" xfId="32688"/>
    <cellStyle name="Percent 2 7 3 3" xfId="8430"/>
    <cellStyle name="Percent 2 7 3 3 2" xfId="16585"/>
    <cellStyle name="Percent 2 7 3 3 2 2" xfId="29992"/>
    <cellStyle name="Percent 2 7 3 3 3" xfId="32689"/>
    <cellStyle name="Percent 2 7 3 4" xfId="10410"/>
    <cellStyle name="Percent 2 7 3 5" xfId="32687"/>
    <cellStyle name="Percent 2 7 4" xfId="8431"/>
    <cellStyle name="Percent 2 7 4 2" xfId="8432"/>
    <cellStyle name="Percent 2 7 4 2 2" xfId="13361"/>
    <cellStyle name="Percent 2 7 4 2 3" xfId="32691"/>
    <cellStyle name="Percent 2 7 4 3" xfId="11962"/>
    <cellStyle name="Percent 2 7 4 3 2" xfId="25677"/>
    <cellStyle name="Percent 2 7 4 4" xfId="32690"/>
    <cellStyle name="Percent 2 7 5" xfId="8433"/>
    <cellStyle name="Percent 2 7 5 2" xfId="8434"/>
    <cellStyle name="Percent 2 7 5 2 2" xfId="15791"/>
    <cellStyle name="Percent 2 7 5 2 3" xfId="32693"/>
    <cellStyle name="Percent 2 7 5 3" xfId="13537"/>
    <cellStyle name="Percent 2 7 5 3 2" xfId="27086"/>
    <cellStyle name="Percent 2 7 5 4" xfId="32692"/>
    <cellStyle name="Percent 2 7 6" xfId="8435"/>
    <cellStyle name="Percent 2 7 6 2" xfId="14118"/>
    <cellStyle name="Percent 2 7 6 2 2" xfId="27667"/>
    <cellStyle name="Percent 2 7 6 3" xfId="32694"/>
    <cellStyle name="Percent 2 7 7" xfId="8436"/>
    <cellStyle name="Percent 2 7 7 2" xfId="16004"/>
    <cellStyle name="Percent 2 7 7 2 2" xfId="29411"/>
    <cellStyle name="Percent 2 7 7 3" xfId="32695"/>
    <cellStyle name="Percent 2 7 8" xfId="10407"/>
    <cellStyle name="Percent 2 7 9" xfId="32676"/>
    <cellStyle name="Percent 2 8" xfId="8437"/>
    <cellStyle name="Percent 2 8 2" xfId="8438"/>
    <cellStyle name="Percent 2 8 2 2" xfId="8439"/>
    <cellStyle name="Percent 2 8 2 2 2" xfId="11689"/>
    <cellStyle name="Percent 2 8 2 2 3" xfId="32698"/>
    <cellStyle name="Percent 2 8 2 3" xfId="8440"/>
    <cellStyle name="Percent 2 8 2 3 2" xfId="16731"/>
    <cellStyle name="Percent 2 8 2 3 2 2" xfId="30138"/>
    <cellStyle name="Percent 2 8 2 3 3" xfId="32699"/>
    <cellStyle name="Percent 2 8 2 4" xfId="10412"/>
    <cellStyle name="Percent 2 8 2 5" xfId="32697"/>
    <cellStyle name="Percent 2 8 3" xfId="8441"/>
    <cellStyle name="Percent 2 8 3 2" xfId="8442"/>
    <cellStyle name="Percent 2 8 3 2 2" xfId="13362"/>
    <cellStyle name="Percent 2 8 3 2 3" xfId="32701"/>
    <cellStyle name="Percent 2 8 3 3" xfId="12119"/>
    <cellStyle name="Percent 2 8 3 3 2" xfId="25831"/>
    <cellStyle name="Percent 2 8 3 4" xfId="32700"/>
    <cellStyle name="Percent 2 8 4" xfId="8443"/>
    <cellStyle name="Percent 2 8 4 2" xfId="8444"/>
    <cellStyle name="Percent 2 8 4 2 2" xfId="15792"/>
    <cellStyle name="Percent 2 8 4 2 3" xfId="32703"/>
    <cellStyle name="Percent 2 8 4 3" xfId="13683"/>
    <cellStyle name="Percent 2 8 4 3 2" xfId="27232"/>
    <cellStyle name="Percent 2 8 4 4" xfId="32702"/>
    <cellStyle name="Percent 2 8 5" xfId="8445"/>
    <cellStyle name="Percent 2 8 5 2" xfId="14264"/>
    <cellStyle name="Percent 2 8 5 2 2" xfId="27813"/>
    <cellStyle name="Percent 2 8 5 3" xfId="32704"/>
    <cellStyle name="Percent 2 8 6" xfId="8446"/>
    <cellStyle name="Percent 2 8 6 2" xfId="16150"/>
    <cellStyle name="Percent 2 8 6 2 2" xfId="29557"/>
    <cellStyle name="Percent 2 8 6 3" xfId="32705"/>
    <cellStyle name="Percent 2 8 7" xfId="10411"/>
    <cellStyle name="Percent 2 8 8" xfId="32696"/>
    <cellStyle name="Percent 2 9" xfId="8447"/>
    <cellStyle name="Percent 2 9 2" xfId="8448"/>
    <cellStyle name="Percent 2 9 2 2" xfId="8449"/>
    <cellStyle name="Percent 2 9 2 2 2" xfId="11690"/>
    <cellStyle name="Percent 2 9 2 2 3" xfId="32708"/>
    <cellStyle name="Percent 2 9 2 3" xfId="8450"/>
    <cellStyle name="Percent 2 9 2 3 2" xfId="16736"/>
    <cellStyle name="Percent 2 9 2 3 2 2" xfId="30143"/>
    <cellStyle name="Percent 2 9 2 3 3" xfId="32709"/>
    <cellStyle name="Percent 2 9 2 4" xfId="10414"/>
    <cellStyle name="Percent 2 9 2 5" xfId="32707"/>
    <cellStyle name="Percent 2 9 3" xfId="8451"/>
    <cellStyle name="Percent 2 9 3 2" xfId="8452"/>
    <cellStyle name="Percent 2 9 3 2 2" xfId="13363"/>
    <cellStyle name="Percent 2 9 3 2 3" xfId="32711"/>
    <cellStyle name="Percent 2 9 3 3" xfId="12124"/>
    <cellStyle name="Percent 2 9 3 3 2" xfId="25836"/>
    <cellStyle name="Percent 2 9 3 4" xfId="32710"/>
    <cellStyle name="Percent 2 9 4" xfId="8453"/>
    <cellStyle name="Percent 2 9 4 2" xfId="8454"/>
    <cellStyle name="Percent 2 9 4 2 2" xfId="15793"/>
    <cellStyle name="Percent 2 9 4 2 3" xfId="32713"/>
    <cellStyle name="Percent 2 9 4 3" xfId="13688"/>
    <cellStyle name="Percent 2 9 4 3 2" xfId="27237"/>
    <cellStyle name="Percent 2 9 4 4" xfId="32712"/>
    <cellStyle name="Percent 2 9 5" xfId="8455"/>
    <cellStyle name="Percent 2 9 5 2" xfId="14269"/>
    <cellStyle name="Percent 2 9 5 2 2" xfId="27818"/>
    <cellStyle name="Percent 2 9 5 3" xfId="32714"/>
    <cellStyle name="Percent 2 9 6" xfId="8456"/>
    <cellStyle name="Percent 2 9 6 2" xfId="16155"/>
    <cellStyle name="Percent 2 9 6 2 2" xfId="29562"/>
    <cellStyle name="Percent 2 9 6 3" xfId="32715"/>
    <cellStyle name="Percent 2 9 7" xfId="10413"/>
    <cellStyle name="Percent 2 9 8" xfId="32706"/>
    <cellStyle name="Percent 3" xfId="8457"/>
    <cellStyle name="Percent 3 2" xfId="8458"/>
    <cellStyle name="Percent 3 2 2" xfId="8719"/>
    <cellStyle name="Percent 3 2 3" xfId="32717"/>
    <cellStyle name="Percent 3 2 4" xfId="32914"/>
    <cellStyle name="Percent 3 3" xfId="8459"/>
    <cellStyle name="Percent 3 3 2" xfId="8460"/>
    <cellStyle name="Percent 3 3 2 2" xfId="17352"/>
    <cellStyle name="Percent 3 3 2 3" xfId="32719"/>
    <cellStyle name="Percent 3 3 3" xfId="8749"/>
    <cellStyle name="Percent 3 3 4" xfId="10416"/>
    <cellStyle name="Percent 3 3 5" xfId="32718"/>
    <cellStyle name="Percent 3 4" xfId="8657"/>
    <cellStyle name="Percent 3 4 2" xfId="10415"/>
    <cellStyle name="Percent 3 5" xfId="32716"/>
    <cellStyle name="Percent 3 6" xfId="32913"/>
    <cellStyle name="Percent 3 7" xfId="33096"/>
    <cellStyle name="Percent 4" xfId="8461"/>
    <cellStyle name="Percent 4 2" xfId="8462"/>
    <cellStyle name="Percent 4 2 2" xfId="10418"/>
    <cellStyle name="Percent 4 2 3" xfId="32721"/>
    <cellStyle name="Percent 4 3" xfId="8463"/>
    <cellStyle name="Percent 4 3 2" xfId="13364"/>
    <cellStyle name="Percent 4 3 3" xfId="32722"/>
    <cellStyle name="Percent 4 4" xfId="8464"/>
    <cellStyle name="Percent 4 4 2" xfId="10417"/>
    <cellStyle name="Percent 4 4 3" xfId="32723"/>
    <cellStyle name="Percent 4 5" xfId="8674"/>
    <cellStyle name="Percent 4 6" xfId="32720"/>
    <cellStyle name="Percent 4 7" xfId="32915"/>
    <cellStyle name="Percent 5" xfId="8465"/>
    <cellStyle name="Percent 5 2" xfId="8466"/>
    <cellStyle name="Percent 5 2 2" xfId="17353"/>
    <cellStyle name="Percent 5 2 3" xfId="32725"/>
    <cellStyle name="Percent 5 2 4" xfId="32945"/>
    <cellStyle name="Percent 5 2 5" xfId="33003"/>
    <cellStyle name="Percent 5 3" xfId="8750"/>
    <cellStyle name="Percent 5 4" xfId="32724"/>
    <cellStyle name="Percent 5 5" xfId="32916"/>
    <cellStyle name="Percent 5 6" xfId="32976"/>
    <cellStyle name="Percent 6" xfId="8467"/>
    <cellStyle name="Percent 6 10" xfId="8751"/>
    <cellStyle name="Percent 6 11" xfId="10419"/>
    <cellStyle name="Percent 6 12" xfId="32726"/>
    <cellStyle name="Percent 6 2" xfId="8468"/>
    <cellStyle name="Percent 6 2 2" xfId="8469"/>
    <cellStyle name="Percent 6 2 2 2" xfId="8470"/>
    <cellStyle name="Percent 6 2 2 2 2" xfId="8471"/>
    <cellStyle name="Percent 6 2 2 2 2 2" xfId="11695"/>
    <cellStyle name="Percent 6 2 2 2 2 3" xfId="32730"/>
    <cellStyle name="Percent 6 2 2 2 3" xfId="8472"/>
    <cellStyle name="Percent 6 2 2 2 3 2" xfId="16937"/>
    <cellStyle name="Percent 6 2 2 2 3 2 2" xfId="30344"/>
    <cellStyle name="Percent 6 2 2 2 3 3" xfId="32731"/>
    <cellStyle name="Percent 6 2 2 2 4" xfId="10422"/>
    <cellStyle name="Percent 6 2 2 2 5" xfId="32729"/>
    <cellStyle name="Percent 6 2 2 3" xfId="8473"/>
    <cellStyle name="Percent 6 2 2 3 2" xfId="8474"/>
    <cellStyle name="Percent 6 2 2 3 2 2" xfId="13365"/>
    <cellStyle name="Percent 6 2 2 3 2 3" xfId="32733"/>
    <cellStyle name="Percent 6 2 2 3 3" xfId="12325"/>
    <cellStyle name="Percent 6 2 2 3 3 2" xfId="26037"/>
    <cellStyle name="Percent 6 2 2 3 4" xfId="32732"/>
    <cellStyle name="Percent 6 2 2 4" xfId="8475"/>
    <cellStyle name="Percent 6 2 2 4 2" xfId="8476"/>
    <cellStyle name="Percent 6 2 2 4 2 2" xfId="15794"/>
    <cellStyle name="Percent 6 2 2 4 2 3" xfId="32735"/>
    <cellStyle name="Percent 6 2 2 4 3" xfId="13889"/>
    <cellStyle name="Percent 6 2 2 4 3 2" xfId="27438"/>
    <cellStyle name="Percent 6 2 2 4 4" xfId="32734"/>
    <cellStyle name="Percent 6 2 2 5" xfId="8477"/>
    <cellStyle name="Percent 6 2 2 5 2" xfId="14470"/>
    <cellStyle name="Percent 6 2 2 5 2 2" xfId="28019"/>
    <cellStyle name="Percent 6 2 2 5 3" xfId="32736"/>
    <cellStyle name="Percent 6 2 2 6" xfId="8478"/>
    <cellStyle name="Percent 6 2 2 6 2" xfId="16356"/>
    <cellStyle name="Percent 6 2 2 6 2 2" xfId="29763"/>
    <cellStyle name="Percent 6 2 2 6 3" xfId="32737"/>
    <cellStyle name="Percent 6 2 2 7" xfId="10421"/>
    <cellStyle name="Percent 6 2 2 8" xfId="32728"/>
    <cellStyle name="Percent 6 2 3" xfId="8479"/>
    <cellStyle name="Percent 6 2 3 2" xfId="8480"/>
    <cellStyle name="Percent 6 2 3 2 2" xfId="11696"/>
    <cellStyle name="Percent 6 2 3 2 3" xfId="32739"/>
    <cellStyle name="Percent 6 2 3 3" xfId="8481"/>
    <cellStyle name="Percent 6 2 3 3 2" xfId="16648"/>
    <cellStyle name="Percent 6 2 3 3 2 2" xfId="30055"/>
    <cellStyle name="Percent 6 2 3 3 3" xfId="32740"/>
    <cellStyle name="Percent 6 2 3 4" xfId="10423"/>
    <cellStyle name="Percent 6 2 3 5" xfId="32738"/>
    <cellStyle name="Percent 6 2 4" xfId="8482"/>
    <cellStyle name="Percent 6 2 4 2" xfId="8483"/>
    <cellStyle name="Percent 6 2 4 2 2" xfId="13366"/>
    <cellStyle name="Percent 6 2 4 2 3" xfId="32742"/>
    <cellStyle name="Percent 6 2 4 3" xfId="12025"/>
    <cellStyle name="Percent 6 2 4 3 2" xfId="25740"/>
    <cellStyle name="Percent 6 2 4 4" xfId="32741"/>
    <cellStyle name="Percent 6 2 5" xfId="8484"/>
    <cellStyle name="Percent 6 2 5 2" xfId="8485"/>
    <cellStyle name="Percent 6 2 5 2 2" xfId="15795"/>
    <cellStyle name="Percent 6 2 5 2 3" xfId="32744"/>
    <cellStyle name="Percent 6 2 5 3" xfId="13600"/>
    <cellStyle name="Percent 6 2 5 3 2" xfId="27149"/>
    <cellStyle name="Percent 6 2 5 4" xfId="32743"/>
    <cellStyle name="Percent 6 2 6" xfId="8486"/>
    <cellStyle name="Percent 6 2 6 2" xfId="14181"/>
    <cellStyle name="Percent 6 2 6 2 2" xfId="27730"/>
    <cellStyle name="Percent 6 2 6 3" xfId="32745"/>
    <cellStyle name="Percent 6 2 7" xfId="8487"/>
    <cellStyle name="Percent 6 2 7 2" xfId="16067"/>
    <cellStyle name="Percent 6 2 7 2 2" xfId="29474"/>
    <cellStyle name="Percent 6 2 7 3" xfId="32746"/>
    <cellStyle name="Percent 6 2 8" xfId="10420"/>
    <cellStyle name="Percent 6 2 9" xfId="32727"/>
    <cellStyle name="Percent 6 3" xfId="8488"/>
    <cellStyle name="Percent 6 3 2" xfId="8489"/>
    <cellStyle name="Percent 6 3 2 2" xfId="8490"/>
    <cellStyle name="Percent 6 3 2 2 2" xfId="11697"/>
    <cellStyle name="Percent 6 3 2 2 3" xfId="32749"/>
    <cellStyle name="Percent 6 3 2 3" xfId="8491"/>
    <cellStyle name="Percent 6 3 2 3 2" xfId="16794"/>
    <cellStyle name="Percent 6 3 2 3 2 2" xfId="30201"/>
    <cellStyle name="Percent 6 3 2 3 3" xfId="32750"/>
    <cellStyle name="Percent 6 3 2 4" xfId="10425"/>
    <cellStyle name="Percent 6 3 2 5" xfId="32748"/>
    <cellStyle name="Percent 6 3 3" xfId="8492"/>
    <cellStyle name="Percent 6 3 3 2" xfId="8493"/>
    <cellStyle name="Percent 6 3 3 2 2" xfId="13367"/>
    <cellStyle name="Percent 6 3 3 2 3" xfId="32752"/>
    <cellStyle name="Percent 6 3 3 3" xfId="12182"/>
    <cellStyle name="Percent 6 3 3 3 2" xfId="25894"/>
    <cellStyle name="Percent 6 3 3 4" xfId="32751"/>
    <cellStyle name="Percent 6 3 4" xfId="8494"/>
    <cellStyle name="Percent 6 3 4 2" xfId="8495"/>
    <cellStyle name="Percent 6 3 4 2 2" xfId="15796"/>
    <cellStyle name="Percent 6 3 4 2 3" xfId="32754"/>
    <cellStyle name="Percent 6 3 4 3" xfId="13746"/>
    <cellStyle name="Percent 6 3 4 3 2" xfId="27295"/>
    <cellStyle name="Percent 6 3 4 4" xfId="32753"/>
    <cellStyle name="Percent 6 3 5" xfId="8496"/>
    <cellStyle name="Percent 6 3 5 2" xfId="14327"/>
    <cellStyle name="Percent 6 3 5 2 2" xfId="27876"/>
    <cellStyle name="Percent 6 3 5 3" xfId="32755"/>
    <cellStyle name="Percent 6 3 6" xfId="8497"/>
    <cellStyle name="Percent 6 3 6 2" xfId="16213"/>
    <cellStyle name="Percent 6 3 6 2 2" xfId="29620"/>
    <cellStyle name="Percent 6 3 6 3" xfId="32756"/>
    <cellStyle name="Percent 6 3 7" xfId="10424"/>
    <cellStyle name="Percent 6 3 8" xfId="32747"/>
    <cellStyle name="Percent 6 4" xfId="8498"/>
    <cellStyle name="Percent 6 4 2" xfId="8499"/>
    <cellStyle name="Percent 6 4 2 2" xfId="11698"/>
    <cellStyle name="Percent 6 4 2 3" xfId="32758"/>
    <cellStyle name="Percent 6 4 3" xfId="8500"/>
    <cellStyle name="Percent 6 4 3 2" xfId="17141"/>
    <cellStyle name="Percent 6 4 3 2 2" xfId="30500"/>
    <cellStyle name="Percent 6 4 3 3" xfId="32759"/>
    <cellStyle name="Percent 6 4 4" xfId="10426"/>
    <cellStyle name="Percent 6 4 5" xfId="32757"/>
    <cellStyle name="Percent 6 5" xfId="8501"/>
    <cellStyle name="Percent 6 5 2" xfId="8502"/>
    <cellStyle name="Percent 6 5 2 2" xfId="13368"/>
    <cellStyle name="Percent 6 5 2 3" xfId="32761"/>
    <cellStyle name="Percent 6 5 3" xfId="8503"/>
    <cellStyle name="Percent 6 5 3 2" xfId="17230"/>
    <cellStyle name="Percent 6 5 3 2 2" xfId="30589"/>
    <cellStyle name="Percent 6 5 3 3" xfId="32762"/>
    <cellStyle name="Percent 6 5 4" xfId="11877"/>
    <cellStyle name="Percent 6 5 4 2" xfId="25592"/>
    <cellStyle name="Percent 6 5 5" xfId="32760"/>
    <cellStyle name="Percent 6 6" xfId="8504"/>
    <cellStyle name="Percent 6 6 2" xfId="8505"/>
    <cellStyle name="Percent 6 6 2 2" xfId="15797"/>
    <cellStyle name="Percent 6 6 2 3" xfId="32764"/>
    <cellStyle name="Percent 6 6 3" xfId="8506"/>
    <cellStyle name="Percent 6 6 3 2" xfId="16505"/>
    <cellStyle name="Percent 6 6 3 2 2" xfId="29912"/>
    <cellStyle name="Percent 6 6 3 3" xfId="32765"/>
    <cellStyle name="Percent 6 6 4" xfId="13457"/>
    <cellStyle name="Percent 6 6 4 2" xfId="27006"/>
    <cellStyle name="Percent 6 6 5" xfId="32763"/>
    <cellStyle name="Percent 6 7" xfId="8507"/>
    <cellStyle name="Percent 6 7 2" xfId="14038"/>
    <cellStyle name="Percent 6 7 2 2" xfId="27587"/>
    <cellStyle name="Percent 6 7 3" xfId="32766"/>
    <cellStyle name="Percent 6 8" xfId="8508"/>
    <cellStyle name="Percent 6 8 2" xfId="15924"/>
    <cellStyle name="Percent 6 8 2 2" xfId="29331"/>
    <cellStyle name="Percent 6 8 3" xfId="32767"/>
    <cellStyle name="Percent 6 9" xfId="8509"/>
    <cellStyle name="Percent 6 9 2" xfId="17354"/>
    <cellStyle name="Percent 6 9 3" xfId="32768"/>
    <cellStyle name="Percent 7" xfId="8510"/>
    <cellStyle name="Percent 7 2" xfId="10427"/>
    <cellStyle name="Percent 7 3" xfId="32769"/>
    <cellStyle name="Percent 8" xfId="8511"/>
    <cellStyle name="Percent 8 2" xfId="8512"/>
    <cellStyle name="Percent 8 2 2" xfId="10429"/>
    <cellStyle name="Percent 8 2 3" xfId="32771"/>
    <cellStyle name="Percent 8 3" xfId="8513"/>
    <cellStyle name="Percent 8 3 2" xfId="13369"/>
    <cellStyle name="Percent 8 3 3" xfId="32772"/>
    <cellStyle name="Percent 8 4" xfId="10428"/>
    <cellStyle name="Percent 8 5" xfId="32770"/>
    <cellStyle name="Percent 9" xfId="8514"/>
    <cellStyle name="Percent 9 2" xfId="8515"/>
    <cellStyle name="Percent 9 2 2" xfId="13371"/>
    <cellStyle name="Percent 9 2 3" xfId="32774"/>
    <cellStyle name="Percent 9 3" xfId="8516"/>
    <cellStyle name="Percent 9 3 2" xfId="13370"/>
    <cellStyle name="Percent 9 3 3" xfId="32775"/>
    <cellStyle name="Percent 9 4" xfId="10525"/>
    <cellStyle name="Percent 9 5" xfId="32773"/>
    <cellStyle name="SAPBEXaggData" xfId="8517"/>
    <cellStyle name="SAPBEXaggData 2" xfId="17056"/>
    <cellStyle name="SAPBEXaggData 3" xfId="32776"/>
    <cellStyle name="SAPBEXaggDataEmph" xfId="8518"/>
    <cellStyle name="SAPBEXaggDataEmph 2" xfId="17057"/>
    <cellStyle name="SAPBEXaggDataEmph 3" xfId="32777"/>
    <cellStyle name="SAPBEXaggItem" xfId="8519"/>
    <cellStyle name="SAPBEXaggItem 2" xfId="17058"/>
    <cellStyle name="SAPBEXaggItem 3" xfId="32778"/>
    <cellStyle name="SAPBEXaggItemX" xfId="8520"/>
    <cellStyle name="SAPBEXaggItemX 2" xfId="17059"/>
    <cellStyle name="SAPBEXaggItemX 3" xfId="32779"/>
    <cellStyle name="SAPBEXchaText" xfId="8521"/>
    <cellStyle name="SAPBEXchaText 2" xfId="17060"/>
    <cellStyle name="SAPBEXchaText 3" xfId="32780"/>
    <cellStyle name="SAPBEXexcBad7" xfId="8522"/>
    <cellStyle name="SAPBEXexcBad7 2" xfId="17061"/>
    <cellStyle name="SAPBEXexcBad7 3" xfId="32781"/>
    <cellStyle name="SAPBEXexcBad8" xfId="8523"/>
    <cellStyle name="SAPBEXexcBad8 2" xfId="17062"/>
    <cellStyle name="SAPBEXexcBad8 3" xfId="32782"/>
    <cellStyle name="SAPBEXexcBad9" xfId="8524"/>
    <cellStyle name="SAPBEXexcBad9 2" xfId="17063"/>
    <cellStyle name="SAPBEXexcBad9 3" xfId="32783"/>
    <cellStyle name="SAPBEXexcCritical4" xfId="8525"/>
    <cellStyle name="SAPBEXexcCritical4 2" xfId="17064"/>
    <cellStyle name="SAPBEXexcCritical4 3" xfId="32784"/>
    <cellStyle name="SAPBEXexcCritical5" xfId="8526"/>
    <cellStyle name="SAPBEXexcCritical5 2" xfId="17065"/>
    <cellStyle name="SAPBEXexcCritical5 3" xfId="32785"/>
    <cellStyle name="SAPBEXexcCritical6" xfId="8527"/>
    <cellStyle name="SAPBEXexcCritical6 2" xfId="17066"/>
    <cellStyle name="SAPBEXexcCritical6 3" xfId="32786"/>
    <cellStyle name="SAPBEXexcGood1" xfId="8528"/>
    <cellStyle name="SAPBEXexcGood1 2" xfId="17067"/>
    <cellStyle name="SAPBEXexcGood1 3" xfId="32787"/>
    <cellStyle name="SAPBEXexcGood2" xfId="8529"/>
    <cellStyle name="SAPBEXexcGood2 2" xfId="17068"/>
    <cellStyle name="SAPBEXexcGood2 3" xfId="32788"/>
    <cellStyle name="SAPBEXexcGood3" xfId="8530"/>
    <cellStyle name="SAPBEXexcGood3 2" xfId="17069"/>
    <cellStyle name="SAPBEXexcGood3 3" xfId="32789"/>
    <cellStyle name="SAPBEXfilterDrill" xfId="8531"/>
    <cellStyle name="SAPBEXfilterDrill 2" xfId="17070"/>
    <cellStyle name="SAPBEXfilterDrill 3" xfId="32790"/>
    <cellStyle name="SAPBEXfilterItem" xfId="8532"/>
    <cellStyle name="SAPBEXfilterItem 2" xfId="17071"/>
    <cellStyle name="SAPBEXfilterItem 3" xfId="32791"/>
    <cellStyle name="SAPBEXfilterText" xfId="8533"/>
    <cellStyle name="SAPBEXfilterText 2" xfId="17072"/>
    <cellStyle name="SAPBEXfilterText 3" xfId="32792"/>
    <cellStyle name="SAPBEXformats" xfId="8534"/>
    <cellStyle name="SAPBEXformats 2" xfId="17073"/>
    <cellStyle name="SAPBEXformats 3" xfId="32793"/>
    <cellStyle name="SAPBEXheaderItem" xfId="8535"/>
    <cellStyle name="SAPBEXheaderItem 2" xfId="17074"/>
    <cellStyle name="SAPBEXheaderItem 3" xfId="32794"/>
    <cellStyle name="SAPBEXheaderText" xfId="8536"/>
    <cellStyle name="SAPBEXheaderText 2" xfId="17075"/>
    <cellStyle name="SAPBEXheaderText 3" xfId="32795"/>
    <cellStyle name="SAPBEXHLevel0" xfId="8537"/>
    <cellStyle name="SAPBEXHLevel0 2" xfId="17076"/>
    <cellStyle name="SAPBEXHLevel0 3" xfId="32796"/>
    <cellStyle name="SAPBEXHLevel0X" xfId="8538"/>
    <cellStyle name="SAPBEXHLevel0X 2" xfId="17077"/>
    <cellStyle name="SAPBEXHLevel0X 3" xfId="32797"/>
    <cellStyle name="SAPBEXHLevel1" xfId="8539"/>
    <cellStyle name="SAPBEXHLevel1 2" xfId="17078"/>
    <cellStyle name="SAPBEXHLevel1 3" xfId="32798"/>
    <cellStyle name="SAPBEXHLevel1X" xfId="8540"/>
    <cellStyle name="SAPBEXHLevel1X 2" xfId="17079"/>
    <cellStyle name="SAPBEXHLevel1X 3" xfId="32799"/>
    <cellStyle name="SAPBEXHLevel2" xfId="8541"/>
    <cellStyle name="SAPBEXHLevel2 2" xfId="17080"/>
    <cellStyle name="SAPBEXHLevel2 3" xfId="32800"/>
    <cellStyle name="SAPBEXHLevel2X" xfId="8542"/>
    <cellStyle name="SAPBEXHLevel2X 2" xfId="17081"/>
    <cellStyle name="SAPBEXHLevel2X 3" xfId="32801"/>
    <cellStyle name="SAPBEXHLevel3" xfId="8543"/>
    <cellStyle name="SAPBEXHLevel3 2" xfId="17082"/>
    <cellStyle name="SAPBEXHLevel3 3" xfId="32802"/>
    <cellStyle name="SAPBEXHLevel3X" xfId="8544"/>
    <cellStyle name="SAPBEXHLevel3X 2" xfId="17083"/>
    <cellStyle name="SAPBEXHLevel3X 3" xfId="32803"/>
    <cellStyle name="SAPBEXinputData" xfId="8545"/>
    <cellStyle name="SAPBEXinputData 2" xfId="17084"/>
    <cellStyle name="SAPBEXinputData 3" xfId="32804"/>
    <cellStyle name="SAPBEXresData" xfId="8546"/>
    <cellStyle name="SAPBEXresData 2" xfId="17085"/>
    <cellStyle name="SAPBEXresData 3" xfId="32805"/>
    <cellStyle name="SAPBEXresDataEmph" xfId="8547"/>
    <cellStyle name="SAPBEXresDataEmph 2" xfId="17086"/>
    <cellStyle name="SAPBEXresDataEmph 3" xfId="32806"/>
    <cellStyle name="SAPBEXresItem" xfId="8548"/>
    <cellStyle name="SAPBEXresItem 2" xfId="17087"/>
    <cellStyle name="SAPBEXresItem 3" xfId="32807"/>
    <cellStyle name="SAPBEXresItemX" xfId="8549"/>
    <cellStyle name="SAPBEXresItemX 2" xfId="17088"/>
    <cellStyle name="SAPBEXresItemX 3" xfId="32808"/>
    <cellStyle name="SAPBEXstdData" xfId="8550"/>
    <cellStyle name="SAPBEXstdData 2" xfId="17089"/>
    <cellStyle name="SAPBEXstdData 3" xfId="32809"/>
    <cellStyle name="SAPBEXstdDataEmph" xfId="8551"/>
    <cellStyle name="SAPBEXstdDataEmph 2" xfId="17090"/>
    <cellStyle name="SAPBEXstdDataEmph 3" xfId="32810"/>
    <cellStyle name="SAPBEXstdItem" xfId="8552"/>
    <cellStyle name="SAPBEXstdItem 2" xfId="17091"/>
    <cellStyle name="SAPBEXstdItem 3" xfId="32811"/>
    <cellStyle name="SAPBEXstdItemX" xfId="8553"/>
    <cellStyle name="SAPBEXstdItemX 2" xfId="17092"/>
    <cellStyle name="SAPBEXstdItemX 3" xfId="32812"/>
    <cellStyle name="SAPBEXtitle" xfId="8554"/>
    <cellStyle name="SAPBEXtitle 2" xfId="17093"/>
    <cellStyle name="SAPBEXtitle 3" xfId="32813"/>
    <cellStyle name="SAPBEXundefined" xfId="8555"/>
    <cellStyle name="SAPBEXundefined 2" xfId="17094"/>
    <cellStyle name="SAPBEXundefined 3" xfId="32814"/>
    <cellStyle name="Sheet Title" xfId="8556"/>
    <cellStyle name="Sheet Title 2" xfId="17095"/>
    <cellStyle name="Sheet Title 3" xfId="32815"/>
    <cellStyle name="Style 1" xfId="11"/>
    <cellStyle name="Style 2" xfId="12"/>
    <cellStyle name="TableStyleLight1" xfId="8557"/>
    <cellStyle name="TableStyleLight1 2" xfId="10430"/>
    <cellStyle name="TableStyleLight1 3" xfId="32816"/>
    <cellStyle name="Title" xfId="14" builtinId="15" customBuiltin="1"/>
    <cellStyle name="Title 10" xfId="8558"/>
    <cellStyle name="Title 10 2" xfId="8559"/>
    <cellStyle name="Title 10 2 2" xfId="11701"/>
    <cellStyle name="Title 10 2 3" xfId="32818"/>
    <cellStyle name="Title 10 3" xfId="10432"/>
    <cellStyle name="Title 10 4" xfId="32817"/>
    <cellStyle name="Title 11" xfId="8560"/>
    <cellStyle name="Title 11 2" xfId="8561"/>
    <cellStyle name="Title 11 2 2" xfId="15798"/>
    <cellStyle name="Title 11 2 3" xfId="32820"/>
    <cellStyle name="Title 11 3" xfId="10433"/>
    <cellStyle name="Title 11 4" xfId="32819"/>
    <cellStyle name="Title 12" xfId="8562"/>
    <cellStyle name="Title 12 2" xfId="8563"/>
    <cellStyle name="Title 12 2 2" xfId="15799"/>
    <cellStyle name="Title 12 2 3" xfId="32822"/>
    <cellStyle name="Title 12 3" xfId="10501"/>
    <cellStyle name="Title 12 4" xfId="32821"/>
    <cellStyle name="Title 13" xfId="8564"/>
    <cellStyle name="Title 13 2" xfId="11700"/>
    <cellStyle name="Title 13 3" xfId="32823"/>
    <cellStyle name="Title 14" xfId="8565"/>
    <cellStyle name="Title 14 2" xfId="10431"/>
    <cellStyle name="Title 14 3" xfId="32824"/>
    <cellStyle name="Title 2" xfId="8566"/>
    <cellStyle name="Title 2 2" xfId="8567"/>
    <cellStyle name="Title 2 2 2" xfId="10435"/>
    <cellStyle name="Title 2 2 3" xfId="32826"/>
    <cellStyle name="Title 2 3" xfId="8568"/>
    <cellStyle name="Title 2 3 2" xfId="13372"/>
    <cellStyle name="Title 2 3 3" xfId="32827"/>
    <cellStyle name="Title 2 4" xfId="10434"/>
    <cellStyle name="Title 2 5" xfId="32825"/>
    <cellStyle name="Title 2 6" xfId="33099"/>
    <cellStyle name="Title 3" xfId="8569"/>
    <cellStyle name="Title 3 2" xfId="8570"/>
    <cellStyle name="Title 3 2 2" xfId="10437"/>
    <cellStyle name="Title 3 2 3" xfId="32829"/>
    <cellStyle name="Title 3 3" xfId="8571"/>
    <cellStyle name="Title 3 3 2" xfId="13374"/>
    <cellStyle name="Title 3 3 3" xfId="32830"/>
    <cellStyle name="Title 3 4" xfId="8572"/>
    <cellStyle name="Title 3 4 2" xfId="13373"/>
    <cellStyle name="Title 3 4 3" xfId="32831"/>
    <cellStyle name="Title 3 5" xfId="10436"/>
    <cellStyle name="Title 3 6" xfId="32828"/>
    <cellStyle name="Title 3 7" xfId="33101"/>
    <cellStyle name="Title 4" xfId="8573"/>
    <cellStyle name="Title 4 2" xfId="8574"/>
    <cellStyle name="Title 4 2 2" xfId="8575"/>
    <cellStyle name="Title 4 2 2 2" xfId="11703"/>
    <cellStyle name="Title 4 2 2 3" xfId="32834"/>
    <cellStyle name="Title 4 2 3" xfId="10439"/>
    <cellStyle name="Title 4 2 4" xfId="32833"/>
    <cellStyle name="Title 4 3" xfId="8576"/>
    <cellStyle name="Title 4 3 2" xfId="11702"/>
    <cellStyle name="Title 4 3 3" xfId="32835"/>
    <cellStyle name="Title 4 4" xfId="8577"/>
    <cellStyle name="Title 4 4 2" xfId="13375"/>
    <cellStyle name="Title 4 4 3" xfId="32836"/>
    <cellStyle name="Title 4 5" xfId="8578"/>
    <cellStyle name="Title 4 5 2" xfId="15800"/>
    <cellStyle name="Title 4 5 3" xfId="32837"/>
    <cellStyle name="Title 4 6" xfId="10438"/>
    <cellStyle name="Title 4 7" xfId="32832"/>
    <cellStyle name="Title 5" xfId="8579"/>
    <cellStyle name="Title 5 2" xfId="8580"/>
    <cellStyle name="Title 5 2 2" xfId="8581"/>
    <cellStyle name="Title 5 2 2 2" xfId="11705"/>
    <cellStyle name="Title 5 2 2 3" xfId="32840"/>
    <cellStyle name="Title 5 2 3" xfId="10441"/>
    <cellStyle name="Title 5 2 4" xfId="32839"/>
    <cellStyle name="Title 5 3" xfId="8582"/>
    <cellStyle name="Title 5 3 2" xfId="11704"/>
    <cellStyle name="Title 5 3 3" xfId="32841"/>
    <cellStyle name="Title 5 4" xfId="10440"/>
    <cellStyle name="Title 5 5" xfId="32838"/>
    <cellStyle name="Title 6" xfId="8583"/>
    <cellStyle name="Title 6 2" xfId="8584"/>
    <cellStyle name="Title 6 2 2" xfId="11706"/>
    <cellStyle name="Title 6 2 3" xfId="32843"/>
    <cellStyle name="Title 6 3" xfId="10442"/>
    <cellStyle name="Title 6 4" xfId="32842"/>
    <cellStyle name="Title 7" xfId="8585"/>
    <cellStyle name="Title 7 2" xfId="8586"/>
    <cellStyle name="Title 7 2 2" xfId="11707"/>
    <cellStyle name="Title 7 2 3" xfId="32845"/>
    <cellStyle name="Title 7 3" xfId="10443"/>
    <cellStyle name="Title 7 4" xfId="32844"/>
    <cellStyle name="Title 8" xfId="8587"/>
    <cellStyle name="Title 8 2" xfId="8588"/>
    <cellStyle name="Title 8 2 2" xfId="11708"/>
    <cellStyle name="Title 8 2 3" xfId="32847"/>
    <cellStyle name="Title 8 3" xfId="10444"/>
    <cellStyle name="Title 8 4" xfId="32846"/>
    <cellStyle name="Title 9" xfId="8589"/>
    <cellStyle name="Title 9 2" xfId="8590"/>
    <cellStyle name="Title 9 2 2" xfId="11709"/>
    <cellStyle name="Title 9 2 3" xfId="32849"/>
    <cellStyle name="Title 9 3" xfId="10445"/>
    <cellStyle name="Title 9 4" xfId="32848"/>
    <cellStyle name="Total" xfId="26" builtinId="25" customBuiltin="1"/>
    <cellStyle name="Total 10" xfId="8591"/>
    <cellStyle name="Total 10 2" xfId="8752"/>
    <cellStyle name="Total 10 3" xfId="32850"/>
    <cellStyle name="Total 11" xfId="8592"/>
    <cellStyle name="Total 11 2" xfId="8753"/>
    <cellStyle name="Total 11 3" xfId="32851"/>
    <cellStyle name="Total 12" xfId="8593"/>
    <cellStyle name="Total 12 2" xfId="8754"/>
    <cellStyle name="Total 12 3" xfId="32852"/>
    <cellStyle name="Total 13" xfId="8594"/>
    <cellStyle name="Total 13 2" xfId="8755"/>
    <cellStyle name="Total 13 3" xfId="32853"/>
    <cellStyle name="Total 14" xfId="8595"/>
    <cellStyle name="Total 14 2" xfId="8756"/>
    <cellStyle name="Total 14 3" xfId="32854"/>
    <cellStyle name="Total 15" xfId="8596"/>
    <cellStyle name="Total 15 2" xfId="8757"/>
    <cellStyle name="Total 15 3" xfId="32855"/>
    <cellStyle name="Total 16" xfId="8597"/>
    <cellStyle name="Total 16 2" xfId="8758"/>
    <cellStyle name="Total 16 3" xfId="32856"/>
    <cellStyle name="Total 17" xfId="8598"/>
    <cellStyle name="Total 17 2" xfId="8759"/>
    <cellStyle name="Total 17 3" xfId="32857"/>
    <cellStyle name="Total 18" xfId="8599"/>
    <cellStyle name="Total 18 2" xfId="8760"/>
    <cellStyle name="Total 18 3" xfId="32858"/>
    <cellStyle name="Total 19" xfId="8600"/>
    <cellStyle name="Total 19 2" xfId="8761"/>
    <cellStyle name="Total 19 3" xfId="32859"/>
    <cellStyle name="Total 2" xfId="8601"/>
    <cellStyle name="Total 2 10" xfId="8602"/>
    <cellStyle name="Total 2 10 2" xfId="8603"/>
    <cellStyle name="Total 2 10 2 2" xfId="17355"/>
    <cellStyle name="Total 2 10 2 3" xfId="32862"/>
    <cellStyle name="Total 2 10 3" xfId="8762"/>
    <cellStyle name="Total 2 10 4" xfId="10446"/>
    <cellStyle name="Total 2 10 5" xfId="32861"/>
    <cellStyle name="Total 2 11" xfId="8604"/>
    <cellStyle name="Total 2 11 2" xfId="8605"/>
    <cellStyle name="Total 2 11 2 2" xfId="17356"/>
    <cellStyle name="Total 2 11 2 3" xfId="32864"/>
    <cellStyle name="Total 2 11 3" xfId="8763"/>
    <cellStyle name="Total 2 11 4" xfId="10447"/>
    <cellStyle name="Total 2 11 5" xfId="32863"/>
    <cellStyle name="Total 2 12" xfId="8606"/>
    <cellStyle name="Total 2 12 2" xfId="8607"/>
    <cellStyle name="Total 2 12 2 2" xfId="17357"/>
    <cellStyle name="Total 2 12 2 3" xfId="32866"/>
    <cellStyle name="Total 2 12 3" xfId="8764"/>
    <cellStyle name="Total 2 12 4" xfId="10448"/>
    <cellStyle name="Total 2 12 5" xfId="32865"/>
    <cellStyle name="Total 2 13" xfId="8608"/>
    <cellStyle name="Total 2 13 2" xfId="8609"/>
    <cellStyle name="Total 2 13 2 2" xfId="17358"/>
    <cellStyle name="Total 2 13 2 3" xfId="32868"/>
    <cellStyle name="Total 2 13 3" xfId="8765"/>
    <cellStyle name="Total 2 13 4" xfId="10449"/>
    <cellStyle name="Total 2 13 5" xfId="32867"/>
    <cellStyle name="Total 2 14" xfId="8610"/>
    <cellStyle name="Total 2 14 2" xfId="8611"/>
    <cellStyle name="Total 2 14 2 2" xfId="15801"/>
    <cellStyle name="Total 2 14 2 3" xfId="32870"/>
    <cellStyle name="Total 2 14 3" xfId="8612"/>
    <cellStyle name="Total 2 14 3 2" xfId="17367"/>
    <cellStyle name="Total 2 14 3 3" xfId="32871"/>
    <cellStyle name="Total 2 14 4" xfId="8766"/>
    <cellStyle name="Total 2 14 5" xfId="10502"/>
    <cellStyle name="Total 2 14 6" xfId="32869"/>
    <cellStyle name="Total 2 15" xfId="8613"/>
    <cellStyle name="Total 2 15 2" xfId="8767"/>
    <cellStyle name="Total 2 15 3" xfId="32872"/>
    <cellStyle name="Total 2 16" xfId="8614"/>
    <cellStyle name="Total 2 16 2" xfId="8768"/>
    <cellStyle name="Total 2 16 3" xfId="32873"/>
    <cellStyle name="Total 2 17" xfId="8615"/>
    <cellStyle name="Total 2 17 2" xfId="8769"/>
    <cellStyle name="Total 2 17 3" xfId="32874"/>
    <cellStyle name="Total 2 18" xfId="8616"/>
    <cellStyle name="Total 2 18 2" xfId="8770"/>
    <cellStyle name="Total 2 18 3" xfId="32875"/>
    <cellStyle name="Total 2 19" xfId="8700"/>
    <cellStyle name="Total 2 2" xfId="8617"/>
    <cellStyle name="Total 2 2 2" xfId="8618"/>
    <cellStyle name="Total 2 2 2 2" xfId="10451"/>
    <cellStyle name="Total 2 2 2 3" xfId="32877"/>
    <cellStyle name="Total 2 2 3" xfId="8619"/>
    <cellStyle name="Total 2 2 3 2" xfId="8620"/>
    <cellStyle name="Total 2 2 3 2 2" xfId="15802"/>
    <cellStyle name="Total 2 2 3 2 3" xfId="32879"/>
    <cellStyle name="Total 2 2 3 3" xfId="11734"/>
    <cellStyle name="Total 2 2 3 4" xfId="32878"/>
    <cellStyle name="Total 2 2 4" xfId="8621"/>
    <cellStyle name="Total 2 2 4 2" xfId="12102"/>
    <cellStyle name="Total 2 2 4 3" xfId="32880"/>
    <cellStyle name="Total 2 2 5" xfId="8622"/>
    <cellStyle name="Total 2 2 5 2" xfId="17359"/>
    <cellStyle name="Total 2 2 5 3" xfId="32881"/>
    <cellStyle name="Total 2 2 6" xfId="8771"/>
    <cellStyle name="Total 2 2 7" xfId="10450"/>
    <cellStyle name="Total 2 2 8" xfId="32876"/>
    <cellStyle name="Total 2 20" xfId="32860"/>
    <cellStyle name="Total 2 21" xfId="33060"/>
    <cellStyle name="Total 2 3" xfId="8623"/>
    <cellStyle name="Total 2 3 2" xfId="8624"/>
    <cellStyle name="Total 2 3 2 2" xfId="10453"/>
    <cellStyle name="Total 2 3 2 3" xfId="32883"/>
    <cellStyle name="Total 2 3 3" xfId="8625"/>
    <cellStyle name="Total 2 3 3 2" xfId="17360"/>
    <cellStyle name="Total 2 3 3 3" xfId="32884"/>
    <cellStyle name="Total 2 3 4" xfId="8772"/>
    <cellStyle name="Total 2 3 5" xfId="10452"/>
    <cellStyle name="Total 2 3 6" xfId="32882"/>
    <cellStyle name="Total 2 4" xfId="8626"/>
    <cellStyle name="Total 2 4 2" xfId="8627"/>
    <cellStyle name="Total 2 4 2 2" xfId="10455"/>
    <cellStyle name="Total 2 4 2 3" xfId="32886"/>
    <cellStyle name="Total 2 4 3" xfId="8628"/>
    <cellStyle name="Total 2 4 3 2" xfId="17361"/>
    <cellStyle name="Total 2 4 3 3" xfId="32887"/>
    <cellStyle name="Total 2 4 4" xfId="8773"/>
    <cellStyle name="Total 2 4 5" xfId="10454"/>
    <cellStyle name="Total 2 4 6" xfId="32885"/>
    <cellStyle name="Total 2 5" xfId="8629"/>
    <cellStyle name="Total 2 5 2" xfId="8630"/>
    <cellStyle name="Total 2 5 2 2" xfId="13377"/>
    <cellStyle name="Total 2 5 2 3" xfId="32889"/>
    <cellStyle name="Total 2 5 3" xfId="8631"/>
    <cellStyle name="Total 2 5 3 2" xfId="13376"/>
    <cellStyle name="Total 2 5 3 3" xfId="32890"/>
    <cellStyle name="Total 2 5 4" xfId="8632"/>
    <cellStyle name="Total 2 5 4 2" xfId="17362"/>
    <cellStyle name="Total 2 5 4 3" xfId="32891"/>
    <cellStyle name="Total 2 5 5" xfId="8774"/>
    <cellStyle name="Total 2 5 6" xfId="10456"/>
    <cellStyle name="Total 2 5 7" xfId="32888"/>
    <cellStyle name="Total 2 6" xfId="8633"/>
    <cellStyle name="Total 2 6 2" xfId="8634"/>
    <cellStyle name="Total 2 6 2 2" xfId="17363"/>
    <cellStyle name="Total 2 6 2 3" xfId="32893"/>
    <cellStyle name="Total 2 6 3" xfId="8775"/>
    <cellStyle name="Total 2 6 4" xfId="10457"/>
    <cellStyle name="Total 2 6 5" xfId="32892"/>
    <cellStyle name="Total 2 7" xfId="8635"/>
    <cellStyle name="Total 2 7 2" xfId="8636"/>
    <cellStyle name="Total 2 7 2 2" xfId="10459"/>
    <cellStyle name="Total 2 7 2 3" xfId="32895"/>
    <cellStyle name="Total 2 7 3" xfId="8637"/>
    <cellStyle name="Total 2 7 3 2" xfId="17364"/>
    <cellStyle name="Total 2 7 3 3" xfId="32896"/>
    <cellStyle name="Total 2 7 4" xfId="8776"/>
    <cellStyle name="Total 2 7 5" xfId="10458"/>
    <cellStyle name="Total 2 7 6" xfId="32894"/>
    <cellStyle name="Total 2 8" xfId="8638"/>
    <cellStyle name="Total 2 8 2" xfId="8639"/>
    <cellStyle name="Total 2 8 2 2" xfId="17365"/>
    <cellStyle name="Total 2 8 2 3" xfId="32898"/>
    <cellStyle name="Total 2 8 3" xfId="8777"/>
    <cellStyle name="Total 2 8 4" xfId="10460"/>
    <cellStyle name="Total 2 8 5" xfId="32897"/>
    <cellStyle name="Total 2 9" xfId="8640"/>
    <cellStyle name="Total 2 9 2" xfId="8641"/>
    <cellStyle name="Total 2 9 2 2" xfId="17366"/>
    <cellStyle name="Total 2 9 2 3" xfId="32900"/>
    <cellStyle name="Total 2 9 3" xfId="8778"/>
    <cellStyle name="Total 2 9 4" xfId="10461"/>
    <cellStyle name="Total 2 9 5" xfId="32899"/>
    <cellStyle name="Total 20" xfId="8642"/>
    <cellStyle name="Total 20 2" xfId="8779"/>
    <cellStyle name="Total 20 3" xfId="32901"/>
    <cellStyle name="Total 3" xfId="8643"/>
    <cellStyle name="Total 3 2" xfId="8675"/>
    <cellStyle name="Total 3 3" xfId="32902"/>
    <cellStyle name="Total 3 4" xfId="33092"/>
    <cellStyle name="Total 4" xfId="8644"/>
    <cellStyle name="Total 4 2" xfId="8780"/>
    <cellStyle name="Total 4 3" xfId="32903"/>
    <cellStyle name="Total 5" xfId="8645"/>
    <cellStyle name="Total 5 2" xfId="8781"/>
    <cellStyle name="Total 5 3" xfId="32904"/>
    <cellStyle name="Total 6" xfId="8646"/>
    <cellStyle name="Total 6 2" xfId="8782"/>
    <cellStyle name="Total 6 3" xfId="32905"/>
    <cellStyle name="Total 7" xfId="8647"/>
    <cellStyle name="Total 7 2" xfId="8783"/>
    <cellStyle name="Total 7 3" xfId="32906"/>
    <cellStyle name="Total 8" xfId="8648"/>
    <cellStyle name="Total 8 2" xfId="8784"/>
    <cellStyle name="Total 8 3" xfId="32907"/>
    <cellStyle name="Total 9" xfId="8649"/>
    <cellStyle name="Total 9 2" xfId="8785"/>
    <cellStyle name="Total 9 3" xfId="32908"/>
    <cellStyle name="Warning Text" xfId="33034" builtinId="11" customBuiltin="1"/>
    <cellStyle name="Warning Text 2" xfId="8814"/>
    <cellStyle name="Warning Text 2 2" xfId="33057"/>
    <cellStyle name="Warning Text 3" xfId="32909"/>
    <cellStyle name="Warning Text 4" xfId="8650"/>
  </cellStyles>
  <dxfs count="81">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FF000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indexed="22"/>
        </patternFill>
      </fill>
    </dxf>
    <dxf>
      <fill>
        <patternFill>
          <bgColor rgb="FFF0F0F0"/>
        </patternFill>
      </fill>
    </dxf>
    <dxf>
      <fill>
        <patternFill>
          <bgColor rgb="FFF0F0F0"/>
        </patternFill>
      </fill>
    </dxf>
    <dxf>
      <font>
        <b/>
        <i val="0"/>
      </font>
      <border>
        <left style="thin">
          <color auto="1"/>
        </left>
        <right style="thin">
          <color auto="1"/>
        </right>
        <top style="thin">
          <color auto="1"/>
        </top>
        <bottom style="thin">
          <color auto="1"/>
        </bottom>
      </border>
    </dxf>
    <dxf>
      <font>
        <b/>
        <i val="0"/>
      </font>
      <fill>
        <patternFill>
          <bgColor rgb="FFFF9999"/>
        </patternFill>
      </fill>
    </dxf>
    <dxf>
      <fill>
        <patternFill>
          <bgColor indexed="42"/>
        </patternFill>
      </fill>
    </dxf>
    <dxf>
      <font>
        <b/>
        <i val="0"/>
      </font>
      <fill>
        <patternFill patternType="none">
          <bgColor auto="1"/>
        </patternFill>
      </fill>
    </dxf>
    <dxf>
      <fill>
        <patternFill>
          <bgColor rgb="FFF0F0F0"/>
        </patternFill>
      </fill>
    </dxf>
    <dxf>
      <fill>
        <patternFill>
          <bgColor rgb="FFF0F0F0"/>
        </patternFill>
      </fill>
    </dxf>
    <dxf>
      <fill>
        <patternFill>
          <bgColor indexed="42"/>
        </patternFill>
      </fill>
    </dxf>
    <dxf>
      <fill>
        <patternFill>
          <bgColor indexed="42"/>
        </patternFill>
      </fill>
    </dxf>
    <dxf>
      <fill>
        <patternFill>
          <bgColor indexed="42"/>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rgb="FFCCCCCC"/>
        </patternFill>
      </fill>
    </dxf>
    <dxf>
      <fill>
        <patternFill>
          <bgColor indexed="42"/>
        </patternFill>
      </fill>
    </dxf>
    <dxf>
      <fill>
        <patternFill>
          <bgColor rgb="FFCCCCCC"/>
        </patternFill>
      </fill>
    </dxf>
    <dxf>
      <fill>
        <patternFill>
          <bgColor indexed="42"/>
        </patternFill>
      </fill>
    </dxf>
    <dxf>
      <fill>
        <patternFill>
          <bgColor indexed="42"/>
        </patternFill>
      </fill>
    </dxf>
    <dxf>
      <fill>
        <patternFill>
          <bgColor rgb="FFCCCCCC"/>
        </patternFill>
      </fill>
    </dxf>
    <dxf>
      <fill>
        <patternFill>
          <bgColor indexed="22"/>
        </patternFill>
      </fill>
    </dxf>
    <dxf>
      <fill>
        <patternFill>
          <bgColor indexed="42"/>
        </patternFill>
      </fill>
    </dxf>
    <dxf>
      <fill>
        <patternFill>
          <bgColor indexed="22"/>
        </patternFill>
      </fill>
    </dxf>
    <dxf>
      <fill>
        <patternFill>
          <bgColor indexed="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color rgb="FF0000FF"/>
      <color rgb="FFFFFF99"/>
    </mruColors>
  </colors>
  <extLst>
    <ext xmlns:x14="http://schemas.microsoft.com/office/spreadsheetml/2009/9/main" uri="{46F421CA-312F-682f-3DD2-61675219B42D}">
      <x14:dxfs count="1">
        <dxf>
          <fill>
            <patternFill>
              <bgColor rgb="FFFF0000"/>
            </patternFill>
          </fill>
        </dxf>
      </x14:dxfs>
    </ex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Marketing Costs over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numRef>
              <c:f>Marketing!$H$35:$N$35</c:f>
              <c:numCache>
                <c:formatCode>"SYE "General</c:formatCode>
                <c:ptCount val="7"/>
                <c:pt idx="0">
                  <c:v>2025</c:v>
                </c:pt>
                <c:pt idx="1">
                  <c:v>2026</c:v>
                </c:pt>
                <c:pt idx="2">
                  <c:v>2027</c:v>
                </c:pt>
                <c:pt idx="3">
                  <c:v>2028</c:v>
                </c:pt>
                <c:pt idx="4">
                  <c:v>2029</c:v>
                </c:pt>
                <c:pt idx="5">
                  <c:v>2030</c:v>
                </c:pt>
                <c:pt idx="6">
                  <c:v>2031</c:v>
                </c:pt>
              </c:numCache>
            </c:numRef>
          </c:cat>
          <c:val>
            <c:numRef>
              <c:f>Marketing!$H$45:$N$45</c:f>
              <c:numCache>
                <c:formatCode>0%;[Red]\(0%\);"-%"</c:formatCode>
                <c:ptCount val="7"/>
                <c:pt idx="0">
                  <c:v>0</c:v>
                </c:pt>
                <c:pt idx="1">
                  <c:v>0.16666666666666666</c:v>
                </c:pt>
                <c:pt idx="2">
                  <c:v>0.16666666666666666</c:v>
                </c:pt>
                <c:pt idx="3">
                  <c:v>0.16666666666666666</c:v>
                </c:pt>
                <c:pt idx="4">
                  <c:v>0.16666666666666666</c:v>
                </c:pt>
                <c:pt idx="5">
                  <c:v>0.16666666666666666</c:v>
                </c:pt>
                <c:pt idx="6">
                  <c:v>0.16666666666666666</c:v>
                </c:pt>
              </c:numCache>
            </c:numRef>
          </c:val>
          <c:extLst xmlns:c16r2="http://schemas.microsoft.com/office/drawing/2015/06/chart">
            <c:ext xmlns:c16="http://schemas.microsoft.com/office/drawing/2014/chart" uri="{C3380CC4-5D6E-409C-BE32-E72D297353CC}">
              <c16:uniqueId val="{00000000-5CB2-48AE-9193-C06B0AC357F4}"/>
            </c:ext>
          </c:extLst>
        </c:ser>
        <c:dLbls>
          <c:showLegendKey val="0"/>
          <c:showVal val="0"/>
          <c:showCatName val="0"/>
          <c:showSerName val="0"/>
          <c:showPercent val="0"/>
          <c:showBubbleSize val="0"/>
        </c:dLbls>
        <c:gapWidth val="219"/>
        <c:overlap val="-27"/>
        <c:axId val="266628232"/>
        <c:axId val="11301664"/>
      </c:barChart>
      <c:catAx>
        <c:axId val="266628232"/>
        <c:scaling>
          <c:orientation val="minMax"/>
        </c:scaling>
        <c:delete val="0"/>
        <c:axPos val="b"/>
        <c:numFmt formatCode="&quot;SYE &quot;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1664"/>
        <c:crosses val="autoZero"/>
        <c:auto val="1"/>
        <c:lblAlgn val="ctr"/>
        <c:lblOffset val="100"/>
        <c:noMultiLvlLbl val="0"/>
      </c:catAx>
      <c:valAx>
        <c:axId val="11301664"/>
        <c:scaling>
          <c:orientation val="minMax"/>
        </c:scaling>
        <c:delete val="0"/>
        <c:axPos val="l"/>
        <c:majorGridlines>
          <c:spPr>
            <a:ln w="9525" cap="flat" cmpd="sng" algn="ctr">
              <a:solidFill>
                <a:schemeClr val="tx1">
                  <a:lumMod val="15000"/>
                  <a:lumOff val="85000"/>
                </a:schemeClr>
              </a:solidFill>
              <a:round/>
            </a:ln>
            <a:effectLst/>
          </c:spPr>
        </c:majorGridlines>
        <c:numFmt formatCode="0%;[Red]\(0%\);&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6628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https://tax.nv.gov/LocalGovt/PolicyPub/ArchiveFiles/PersonalPropertyManual/2020-2021_Personal_Property_Manual_rev_03282019/" TargetMode="External"/></Relationships>
</file>

<file path=xl/drawings/drawing1.xml><?xml version="1.0" encoding="utf-8"?>
<xdr:wsDr xmlns:xdr="http://schemas.openxmlformats.org/drawingml/2006/spreadsheetDrawing" xmlns:a="http://schemas.openxmlformats.org/drawingml/2006/main">
  <xdr:twoCellAnchor>
    <xdr:from>
      <xdr:col>7</xdr:col>
      <xdr:colOff>625668</xdr:colOff>
      <xdr:row>97</xdr:row>
      <xdr:rowOff>133350</xdr:rowOff>
    </xdr:from>
    <xdr:to>
      <xdr:col>8</xdr:col>
      <xdr:colOff>1353545</xdr:colOff>
      <xdr:row>105</xdr:row>
      <xdr:rowOff>98231</xdr:rowOff>
    </xdr:to>
    <xdr:sp macro="" textlink="">
      <xdr:nvSpPr>
        <xdr:cNvPr id="2" name="TextBox 1">
          <a:extLst>
            <a:ext uri="{FF2B5EF4-FFF2-40B4-BE49-F238E27FC236}">
              <a16:creationId xmlns:a16="http://schemas.microsoft.com/office/drawing/2014/main" xmlns="" id="{1334E5A0-3049-4880-A491-B51E80F9CCAF}"/>
            </a:ext>
          </a:extLst>
        </xdr:cNvPr>
        <xdr:cNvSpPr txBox="1"/>
      </xdr:nvSpPr>
      <xdr:spPr>
        <a:xfrm>
          <a:off x="8760018" y="15039975"/>
          <a:ext cx="2166152" cy="1165031"/>
        </a:xfrm>
        <a:prstGeom prst="rect">
          <a:avLst/>
        </a:prstGeom>
        <a:solidFill>
          <a:srgbClr xmlns:mc="http://schemas.openxmlformats.org/markup-compatibility/2006" xmlns:a14="http://schemas.microsoft.com/office/drawing/2010/main" val="FFFF99" mc:Ignorable="a14" a14:legacySpreadsheetColorIndex="4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Overwrite your inputs to the left.  These assumptions are provided as examples only.  They</a:t>
          </a:r>
          <a:r>
            <a:rPr lang="en-US" sz="1100" baseline="0"/>
            <a:t> </a:t>
          </a:r>
          <a:r>
            <a:rPr lang="en-US" sz="1100"/>
            <a:t>are those that other schools have used. They may not be applicable to your situation.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351075</xdr:colOff>
      <xdr:row>54</xdr:row>
      <xdr:rowOff>152289</xdr:rowOff>
    </xdr:from>
    <xdr:to>
      <xdr:col>5</xdr:col>
      <xdr:colOff>425530</xdr:colOff>
      <xdr:row>91</xdr:row>
      <xdr:rowOff>107675</xdr:rowOff>
    </xdr:to>
    <xdr:sp macro="" textlink="">
      <xdr:nvSpPr>
        <xdr:cNvPr id="2" name="TextBox 1">
          <a:extLst>
            <a:ext uri="{FF2B5EF4-FFF2-40B4-BE49-F238E27FC236}">
              <a16:creationId xmlns:a16="http://schemas.microsoft.com/office/drawing/2014/main" xmlns="" id="{240D1027-C1D0-47E6-B105-8D66286594A0}"/>
            </a:ext>
          </a:extLst>
        </xdr:cNvPr>
        <xdr:cNvSpPr txBox="1"/>
      </xdr:nvSpPr>
      <xdr:spPr>
        <a:xfrm>
          <a:off x="351075" y="10861702"/>
          <a:ext cx="6418933" cy="7003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Times New Roman" panose="02020603050405020304" pitchFamily="18" charset="0"/>
              <a:ea typeface="+mn-ea"/>
              <a:cs typeface="+mn-cs"/>
            </a:rPr>
            <a:t>NAC 388A.190</a:t>
          </a:r>
          <a:r>
            <a:rPr lang="en-US" sz="1100">
              <a:solidFill>
                <a:schemeClr val="dk1"/>
              </a:solidFill>
              <a:effectLst/>
              <a:latin typeface="Times New Roman" panose="02020603050405020304" pitchFamily="18" charset="0"/>
              <a:ea typeface="+mn-ea"/>
              <a:cs typeface="+mn-cs"/>
            </a:rPr>
            <a:t>  </a:t>
          </a:r>
          <a:r>
            <a:rPr lang="en-US" sz="1100" b="1">
              <a:solidFill>
                <a:schemeClr val="dk1"/>
              </a:solidFill>
              <a:effectLst/>
              <a:latin typeface="Times New Roman" panose="02020603050405020304" pitchFamily="18" charset="0"/>
              <a:ea typeface="+mn-ea"/>
              <a:cs typeface="+mn-cs"/>
            </a:rPr>
            <a:t>Provision and maintenance of industrial and general liability insurance coverage.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NRS 385.080</a:t>
          </a:r>
          <a:r>
            <a:rPr lang="en-US" sz="1100" b="1">
              <a:solidFill>
                <a:schemeClr val="dk1"/>
              </a:solidFill>
              <a:effectLst/>
              <a:latin typeface="Times New Roman" panose="02020603050405020304" pitchFamily="18" charset="0"/>
              <a:ea typeface="+mn-ea"/>
              <a:cs typeface="+mn-cs"/>
            </a:rPr>
            <a:t>,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388A.110</a:t>
          </a:r>
          <a:r>
            <a:rPr lang="en-US" sz="1100" b="1">
              <a:solidFill>
                <a:schemeClr val="dk1"/>
              </a:solidFill>
              <a:effectLst/>
              <a:latin typeface="Times New Roman" panose="02020603050405020304" pitchFamily="18" charset="0"/>
              <a:ea typeface="+mn-ea"/>
              <a:cs typeface="+mn-cs"/>
            </a:rPr>
            <a:t>)</a:t>
          </a:r>
          <a:endParaRPr lang="en-US" sz="1100">
            <a:solidFill>
              <a:schemeClr val="dk1"/>
            </a:solidFill>
            <a:effectLst/>
            <a:latin typeface="Times New Roman" panose="02020603050405020304" pitchFamily="18" charset="0"/>
            <a:ea typeface="+mn-ea"/>
            <a:cs typeface="+mn-cs"/>
          </a:endParaRPr>
        </a:p>
        <a:p>
          <a:r>
            <a:rPr lang="en-US" sz="1100">
              <a:solidFill>
                <a:schemeClr val="dk1"/>
              </a:solidFill>
              <a:effectLst/>
              <a:latin typeface="Times New Roman" panose="02020603050405020304" pitchFamily="18" charset="0"/>
              <a:ea typeface="+mn-ea"/>
              <a:cs typeface="+mn-cs"/>
            </a:rPr>
            <a:t>     1.  Except as otherwise provided in subsection 4 of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NAC 388A.140</a:t>
          </a:r>
          <a:r>
            <a:rPr lang="en-US" sz="1100">
              <a:solidFill>
                <a:schemeClr val="dk1"/>
              </a:solidFill>
              <a:effectLst/>
              <a:latin typeface="Times New Roman" panose="02020603050405020304" pitchFamily="18" charset="0"/>
              <a:ea typeface="+mn-ea"/>
              <a:cs typeface="+mn-cs"/>
            </a:rPr>
            <a:t>, a committee to form a charter school shall obtain insurance from an authorized insurer as follows:</a:t>
          </a:r>
        </a:p>
        <a:p>
          <a:r>
            <a:rPr lang="en-US" sz="1100">
              <a:solidFill>
                <a:schemeClr val="dk1"/>
              </a:solidFill>
              <a:effectLst/>
              <a:latin typeface="Times New Roman" panose="02020603050405020304" pitchFamily="18" charset="0"/>
              <a:ea typeface="+mn-ea"/>
              <a:cs typeface="+mn-cs"/>
            </a:rPr>
            <a:t>     (a) Industrial insurance coverage in accordance with the applicable provisions of the Nevada Industrial Insurance Act,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chapters 616A</a:t>
          </a:r>
          <a:r>
            <a:rPr lang="en-US" sz="1100">
              <a:solidFill>
                <a:schemeClr val="dk1"/>
              </a:solidFill>
              <a:effectLst/>
              <a:latin typeface="Times New Roman" panose="02020603050405020304" pitchFamily="18" charset="0"/>
              <a:ea typeface="+mn-ea"/>
              <a:cs typeface="+mn-cs"/>
            </a:rPr>
            <a:t> to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616D</a:t>
          </a:r>
          <a:r>
            <a:rPr lang="en-US" sz="1100">
              <a:solidFill>
                <a:schemeClr val="dk1"/>
              </a:solidFill>
              <a:effectLst/>
              <a:latin typeface="Times New Roman" panose="02020603050405020304" pitchFamily="18" charset="0"/>
              <a:ea typeface="+mn-ea"/>
              <a:cs typeface="+mn-cs"/>
            </a:rPr>
            <a:t>, inclusive, of NRS.</a:t>
          </a:r>
        </a:p>
        <a:p>
          <a:r>
            <a:rPr lang="en-US" sz="1100">
              <a:solidFill>
                <a:schemeClr val="dk1"/>
              </a:solidFill>
              <a:effectLst/>
              <a:latin typeface="Times New Roman" panose="02020603050405020304" pitchFamily="18" charset="0"/>
              <a:ea typeface="+mn-ea"/>
              <a:cs typeface="+mn-cs"/>
            </a:rPr>
            <a:t>     (b) Except as otherwise provided in subsection 2, </a:t>
          </a:r>
          <a:r>
            <a:rPr lang="en-US" sz="1100" b="0">
              <a:solidFill>
                <a:schemeClr val="dk1"/>
              </a:solidFill>
              <a:effectLst/>
              <a:latin typeface="Times New Roman" panose="02020603050405020304" pitchFamily="18" charset="0"/>
              <a:ea typeface="+mn-ea"/>
              <a:cs typeface="+mn-cs"/>
            </a:rPr>
            <a:t>general liability</a:t>
          </a:r>
          <a:r>
            <a:rPr lang="en-US" sz="1100">
              <a:solidFill>
                <a:schemeClr val="dk1"/>
              </a:solidFill>
              <a:effectLst/>
              <a:latin typeface="Times New Roman" panose="02020603050405020304" pitchFamily="18" charset="0"/>
              <a:ea typeface="+mn-ea"/>
              <a:cs typeface="+mn-cs"/>
            </a:rPr>
            <a:t> insurance with a minimum coverage of $1,000,000. The general liability insurance policy must include coverage for molestation and sexual abuse, and have a broad form policy, with the named insureds as follows:</a:t>
          </a:r>
        </a:p>
        <a:p>
          <a:r>
            <a:rPr lang="en-US" sz="1100">
              <a:solidFill>
                <a:schemeClr val="dk1"/>
              </a:solidFill>
              <a:effectLst/>
              <a:latin typeface="Times New Roman" panose="02020603050405020304" pitchFamily="18" charset="0"/>
              <a:ea typeface="+mn-ea"/>
              <a:cs typeface="+mn-cs"/>
            </a:rPr>
            <a:t>          (1) The sponsor of the charter school;</a:t>
          </a:r>
        </a:p>
        <a:p>
          <a:r>
            <a:rPr lang="en-US" sz="1100">
              <a:solidFill>
                <a:schemeClr val="dk1"/>
              </a:solidFill>
              <a:effectLst/>
              <a:latin typeface="Times New Roman" panose="02020603050405020304" pitchFamily="18" charset="0"/>
              <a:ea typeface="+mn-ea"/>
              <a:cs typeface="+mn-cs"/>
            </a:rPr>
            <a:t>          (2) All employees of the charter school, including, without limitation, former, present and future employees;</a:t>
          </a:r>
        </a:p>
        <a:p>
          <a:r>
            <a:rPr lang="en-US" sz="1100">
              <a:solidFill>
                <a:schemeClr val="dk1"/>
              </a:solidFill>
              <a:effectLst/>
              <a:latin typeface="Times New Roman" panose="02020603050405020304" pitchFamily="18" charset="0"/>
              <a:ea typeface="+mn-ea"/>
              <a:cs typeface="+mn-cs"/>
            </a:rPr>
            <a:t>          (3) Volunteers at the charter school; and</a:t>
          </a:r>
        </a:p>
        <a:p>
          <a:r>
            <a:rPr lang="en-US" sz="1100">
              <a:solidFill>
                <a:schemeClr val="dk1"/>
              </a:solidFill>
              <a:effectLst/>
              <a:latin typeface="Times New Roman" panose="02020603050405020304" pitchFamily="18" charset="0"/>
              <a:ea typeface="+mn-ea"/>
              <a:cs typeface="+mn-cs"/>
            </a:rPr>
            <a:t>          (4) </a:t>
          </a:r>
          <a:r>
            <a:rPr lang="en-US" sz="1100" b="0">
              <a:solidFill>
                <a:schemeClr val="dk1"/>
              </a:solidFill>
              <a:effectLst/>
              <a:latin typeface="Times New Roman" panose="02020603050405020304" pitchFamily="18" charset="0"/>
              <a:ea typeface="+mn-ea"/>
              <a:cs typeface="+mn-cs"/>
            </a:rPr>
            <a:t>Directors </a:t>
          </a:r>
          <a:r>
            <a:rPr lang="en-US" sz="1100">
              <a:solidFill>
                <a:schemeClr val="dk1"/>
              </a:solidFill>
              <a:effectLst/>
              <a:latin typeface="Times New Roman" panose="02020603050405020304" pitchFamily="18" charset="0"/>
              <a:ea typeface="+mn-ea"/>
              <a:cs typeface="+mn-cs"/>
            </a:rPr>
            <a:t>of the charter school, including, </a:t>
          </a:r>
          <a:r>
            <a:rPr lang="en-US" sz="1100" b="0">
              <a:solidFill>
                <a:schemeClr val="dk1"/>
              </a:solidFill>
              <a:effectLst/>
              <a:latin typeface="Times New Roman" panose="02020603050405020304" pitchFamily="18" charset="0"/>
              <a:ea typeface="+mn-ea"/>
              <a:cs typeface="+mn-cs"/>
            </a:rPr>
            <a:t>without limitation, executive directors.</a:t>
          </a:r>
        </a:p>
        <a:p>
          <a:r>
            <a:rPr lang="en-US" sz="1100">
              <a:solidFill>
                <a:schemeClr val="dk1"/>
              </a:solidFill>
              <a:effectLst/>
              <a:latin typeface="Times New Roman" panose="02020603050405020304" pitchFamily="18" charset="0"/>
              <a:ea typeface="+mn-ea"/>
              <a:cs typeface="+mn-cs"/>
            </a:rPr>
            <a:t>     (c) Umbrella liability insurance with a minimum coverage of $3,000,000.               </a:t>
          </a:r>
        </a:p>
        <a:p>
          <a:r>
            <a:rPr lang="en-US" sz="1100">
              <a:solidFill>
                <a:schemeClr val="dk1"/>
              </a:solidFill>
              <a:effectLst/>
              <a:latin typeface="Times New Roman" panose="02020603050405020304" pitchFamily="18" charset="0"/>
              <a:ea typeface="+mn-ea"/>
              <a:cs typeface="+mn-cs"/>
            </a:rPr>
            <a:t>     (d) Educators’ legal liability insurance with a minimum coverage of $1,000,000.</a:t>
          </a:r>
        </a:p>
        <a:p>
          <a:r>
            <a:rPr lang="en-US" sz="1100">
              <a:solidFill>
                <a:schemeClr val="dk1"/>
              </a:solidFill>
              <a:effectLst/>
              <a:latin typeface="Times New Roman" panose="02020603050405020304" pitchFamily="18" charset="0"/>
              <a:ea typeface="+mn-ea"/>
              <a:cs typeface="+mn-cs"/>
            </a:rPr>
            <a:t>     (e) Employment practices liability insurance with a minimum coverage of $1,000,000.</a:t>
          </a:r>
        </a:p>
        <a:p>
          <a:r>
            <a:rPr lang="en-US" sz="1100">
              <a:solidFill>
                <a:schemeClr val="dk1"/>
              </a:solidFill>
              <a:effectLst/>
              <a:latin typeface="Times New Roman" panose="02020603050405020304" pitchFamily="18" charset="0"/>
              <a:ea typeface="+mn-ea"/>
              <a:cs typeface="+mn-cs"/>
            </a:rPr>
            <a:t>     (f) Employment benefits liability insurance with a minimum coverage of $1,000,000.</a:t>
          </a:r>
        </a:p>
        <a:p>
          <a:r>
            <a:rPr lang="en-US" sz="1100">
              <a:solidFill>
                <a:schemeClr val="dk1"/>
              </a:solidFill>
              <a:effectLst/>
              <a:latin typeface="Times New Roman" panose="02020603050405020304" pitchFamily="18" charset="0"/>
              <a:ea typeface="+mn-ea"/>
              <a:cs typeface="+mn-cs"/>
            </a:rPr>
            <a:t>     (g) Insurance covering errors and omissions of the sponsor and governing body of the charter school with a minimum coverage of $1,000,000.</a:t>
          </a:r>
        </a:p>
        <a:p>
          <a:r>
            <a:rPr lang="en-US" sz="1100">
              <a:solidFill>
                <a:schemeClr val="dk1"/>
              </a:solidFill>
              <a:effectLst/>
              <a:latin typeface="Times New Roman" panose="02020603050405020304" pitchFamily="18" charset="0"/>
              <a:ea typeface="+mn-ea"/>
              <a:cs typeface="+mn-cs"/>
            </a:rPr>
            <a:t>     (h) If applicable, motor vehicle liability insurance with a minimum coverage of $1,000,000.</a:t>
          </a:r>
        </a:p>
        <a:p>
          <a:r>
            <a:rPr lang="en-US" sz="1100">
              <a:solidFill>
                <a:schemeClr val="dk1"/>
              </a:solidFill>
              <a:effectLst/>
              <a:latin typeface="Times New Roman" panose="02020603050405020304" pitchFamily="18" charset="0"/>
              <a:ea typeface="+mn-ea"/>
              <a:cs typeface="+mn-cs"/>
            </a:rPr>
            <a:t>     (i) If applicable, liability insurance for sports and athletic participation with a minimum coverage of $1,000,000.</a:t>
          </a:r>
        </a:p>
        <a:p>
          <a:r>
            <a:rPr lang="en-US" sz="1100">
              <a:solidFill>
                <a:schemeClr val="dk1"/>
              </a:solidFill>
              <a:effectLst/>
              <a:latin typeface="Times New Roman" panose="02020603050405020304" pitchFamily="18" charset="0"/>
              <a:ea typeface="+mn-ea"/>
              <a:cs typeface="+mn-cs"/>
            </a:rPr>
            <a:t>Ê The cost of insurance required by this subsection must be provided to the proposed sponsor by the authorized insurer and included in each budget submitted pursuant to subsection 4 of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NAC 388A.160</a:t>
          </a:r>
          <a:r>
            <a:rPr lang="en-US" sz="1100">
              <a:solidFill>
                <a:schemeClr val="dk1"/>
              </a:solidFill>
              <a:effectLst/>
              <a:latin typeface="Times New Roman" panose="02020603050405020304" pitchFamily="18" charset="0"/>
              <a:ea typeface="+mn-ea"/>
              <a:cs typeface="+mn-cs"/>
            </a:rPr>
            <a:t> and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NAC 387.725</a:t>
          </a:r>
          <a:r>
            <a:rPr lang="en-US" sz="1100">
              <a:solidFill>
                <a:schemeClr val="dk1"/>
              </a:solidFill>
              <a:effectLst/>
              <a:latin typeface="Times New Roman" panose="02020603050405020304" pitchFamily="18" charset="0"/>
              <a:ea typeface="+mn-ea"/>
              <a:cs typeface="+mn-cs"/>
            </a:rPr>
            <a:t>.</a:t>
          </a:r>
        </a:p>
        <a:p>
          <a:r>
            <a:rPr lang="en-US" sz="1100">
              <a:solidFill>
                <a:schemeClr val="dk1"/>
              </a:solidFill>
              <a:effectLst/>
              <a:latin typeface="Times New Roman" panose="02020603050405020304" pitchFamily="18" charset="0"/>
              <a:ea typeface="+mn-ea"/>
              <a:cs typeface="+mn-cs"/>
            </a:rPr>
            <a:t>     2.  The sponsor of a charter school may waive all or part of the general liability insurance required pursuant to paragraph (b) of subsection 1 if the sponsor determines that such a waiver is reasonable based upon the risk profile of the charter school or the conditions of the insurance market, or both, including, without limitation, a determination that the cost of obtaining the insurance is excessive or that the insurance is not available because of special circumstances of the charter school.</a:t>
          </a:r>
        </a:p>
        <a:p>
          <a:r>
            <a:rPr lang="en-US" sz="1100">
              <a:solidFill>
                <a:schemeClr val="dk1"/>
              </a:solidFill>
              <a:effectLst/>
              <a:latin typeface="Times New Roman" panose="02020603050405020304" pitchFamily="18" charset="0"/>
              <a:ea typeface="+mn-ea"/>
              <a:cs typeface="+mn-cs"/>
            </a:rPr>
            <a:t>     3.  If an application to form a charter school is approved, the governing body of the charter school shall maintain the insurance required by this section.</a:t>
          </a:r>
        </a:p>
        <a:p>
          <a:r>
            <a:rPr lang="en-US" sz="1100">
              <a:solidFill>
                <a:schemeClr val="dk1"/>
              </a:solidFill>
              <a:effectLst/>
              <a:latin typeface="Times New Roman" panose="02020603050405020304" pitchFamily="18" charset="0"/>
              <a:ea typeface="+mn-ea"/>
              <a:cs typeface="+mn-cs"/>
            </a:rPr>
            <a:t>     4.  An insurer that provides any insurance required pursuant to this section must have a rating of “A-” or better and be classified in a financial category of “VII” or better as determined by A.M. Best Company of Oldwick, New Jersey.</a:t>
          </a:r>
        </a:p>
        <a:p>
          <a:r>
            <a:rPr lang="en-US" sz="1100">
              <a:solidFill>
                <a:schemeClr val="dk1"/>
              </a:solidFill>
              <a:effectLst/>
              <a:latin typeface="Times New Roman" panose="02020603050405020304" pitchFamily="18" charset="0"/>
              <a:ea typeface="+mn-ea"/>
              <a:cs typeface="+mn-cs"/>
            </a:rPr>
            <a:t>     5.  As used in this section, “motor vehicle” has the meaning ascribed to it in </a:t>
          </a:r>
          <a:r>
            <a:rPr lang="en-US" sz="1100" u="sng">
              <a:solidFill>
                <a:schemeClr val="dk1"/>
              </a:solidFill>
              <a:effectLst/>
              <a:latin typeface="Times New Roman" panose="02020603050405020304" pitchFamily="18" charset="0"/>
              <a:ea typeface="+mn-ea"/>
              <a:cs typeface="+mn-cs"/>
              <a:hlinkClick xmlns:r="http://schemas.openxmlformats.org/officeDocument/2006/relationships" r:id=""/>
            </a:rPr>
            <a:t>NRS 485.050</a:t>
          </a:r>
          <a:r>
            <a:rPr lang="en-US" sz="1100">
              <a:solidFill>
                <a:schemeClr val="dk1"/>
              </a:solidFill>
              <a:effectLst/>
              <a:latin typeface="Times New Roman" panose="02020603050405020304" pitchFamily="18" charset="0"/>
              <a:ea typeface="+mn-ea"/>
              <a:cs typeface="+mn-cs"/>
            </a:rPr>
            <a:t>.</a:t>
          </a:r>
        </a:p>
        <a:p>
          <a:r>
            <a:rPr lang="en-US" sz="1100">
              <a:solidFill>
                <a:schemeClr val="dk1"/>
              </a:solidFill>
              <a:effectLst/>
              <a:latin typeface="Times New Roman" panose="02020603050405020304" pitchFamily="18" charset="0"/>
              <a:ea typeface="+mn-ea"/>
              <a:cs typeface="+mn-cs"/>
            </a:rPr>
            <a:t>     (Added to NAC by Dep’t of Education by R044-05, eff. 10-31-2005; A by R074-07, 10-31-2007; A by Bd. of Education by R026-09, 10-27-2009; A by Dep’t of Education by R035-14, 12-22-2014) — (Substituted in revision for NAC 386.215)</a:t>
          </a:r>
        </a:p>
        <a:p>
          <a:endParaRPr lang="en-US" sz="1100">
            <a:latin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xdr:colOff>
      <xdr:row>0</xdr:row>
      <xdr:rowOff>42861</xdr:rowOff>
    </xdr:from>
    <xdr:to>
      <xdr:col>14</xdr:col>
      <xdr:colOff>0</xdr:colOff>
      <xdr:row>8</xdr:row>
      <xdr:rowOff>133350</xdr:rowOff>
    </xdr:to>
    <xdr:graphicFrame macro="">
      <xdr:nvGraphicFramePr>
        <xdr:cNvPr id="3" name="Chart 2">
          <a:extLst>
            <a:ext uri="{FF2B5EF4-FFF2-40B4-BE49-F238E27FC236}">
              <a16:creationId xmlns:a16="http://schemas.microsoft.com/office/drawing/2014/main" xmlns="" id="{252BAAC3-BACD-46F0-9E2E-B6D3A33A0F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125016</xdr:colOff>
      <xdr:row>16</xdr:row>
      <xdr:rowOff>8283</xdr:rowOff>
    </xdr:from>
    <xdr:to>
      <xdr:col>4</xdr:col>
      <xdr:colOff>414130</xdr:colOff>
      <xdr:row>21</xdr:row>
      <xdr:rowOff>190500</xdr:rowOff>
    </xdr:to>
    <xdr:sp macro="" textlink="">
      <xdr:nvSpPr>
        <xdr:cNvPr id="2" name="Right Brace 1">
          <a:extLst>
            <a:ext uri="{FF2B5EF4-FFF2-40B4-BE49-F238E27FC236}">
              <a16:creationId xmlns:a16="http://schemas.microsoft.com/office/drawing/2014/main" xmlns="" id="{0F46D520-CD22-4243-8B12-BE1C09720F3A}"/>
            </a:ext>
          </a:extLst>
        </xdr:cNvPr>
        <xdr:cNvSpPr/>
      </xdr:nvSpPr>
      <xdr:spPr bwMode="auto">
        <a:xfrm>
          <a:off x="5417603" y="3163957"/>
          <a:ext cx="289114" cy="977347"/>
        </a:xfrm>
        <a:prstGeom prst="rightBrace">
          <a:avLst>
            <a:gd name="adj1" fmla="val 0"/>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238125</xdr:colOff>
      <xdr:row>268</xdr:row>
      <xdr:rowOff>190500</xdr:rowOff>
    </xdr:from>
    <xdr:to>
      <xdr:col>31</xdr:col>
      <xdr:colOff>266700</xdr:colOff>
      <xdr:row>289</xdr:row>
      <xdr:rowOff>133350</xdr:rowOff>
    </xdr:to>
    <xdr:sp macro="" textlink="">
      <xdr:nvSpPr>
        <xdr:cNvPr id="4" name="TextBox 3">
          <a:extLst>
            <a:ext uri="{FF2B5EF4-FFF2-40B4-BE49-F238E27FC236}">
              <a16:creationId xmlns:a16="http://schemas.microsoft.com/office/drawing/2014/main" xmlns="" id="{E02FF4D1-AE58-4044-885C-AF51C7C1B860}"/>
            </a:ext>
          </a:extLst>
        </xdr:cNvPr>
        <xdr:cNvSpPr txBox="1"/>
      </xdr:nvSpPr>
      <xdr:spPr>
        <a:xfrm>
          <a:off x="9229725" y="24745950"/>
          <a:ext cx="39528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Though a student can only be counted</a:t>
          </a:r>
          <a:r>
            <a:rPr lang="en-US" sz="1100" baseline="0"/>
            <a:t> in one category if they otherwise qualify for multiple categories I'm breaking out the mixture of  where a student is being counted and not counted.</a:t>
          </a:r>
        </a:p>
        <a:p>
          <a:endParaRPr lang="en-US" sz="1100" baseline="0"/>
        </a:p>
        <a:p>
          <a:r>
            <a:rPr lang="en-US" sz="1100" baseline="0"/>
            <a:t>That's because we've been counting "blended" students  historically and I think we want to still be able to  continue that "measurement" approach.</a:t>
          </a:r>
        </a:p>
        <a:p>
          <a:endParaRPr lang="en-US" sz="1100" baseline="0"/>
        </a:p>
        <a:p>
          <a:r>
            <a:rPr lang="en-US" sz="1100" baseline="0"/>
            <a:t>At the same time we want to know how many qualifying students there are for additional funding.  And  by having those students that are not qualified then we can essentially do a check for reasonability.  that check would be to ask how reasonable it would be to have a certain proportion of blended/diverse students versus not.  It's highly likely that some students should be counted in multiple categories they otherwise qualify for even if they dont't qualify for the additional funding.   </a:t>
          </a:r>
          <a:endParaRPr lang="en-US" sz="1100"/>
        </a:p>
      </xdr:txBody>
    </xdr:sp>
    <xdr:clientData/>
  </xdr:twoCellAnchor>
  <xdr:oneCellAnchor>
    <xdr:from>
      <xdr:col>5</xdr:col>
      <xdr:colOff>771525</xdr:colOff>
      <xdr:row>93</xdr:row>
      <xdr:rowOff>142875</xdr:rowOff>
    </xdr:from>
    <xdr:ext cx="184731" cy="264560"/>
    <xdr:sp macro="" textlink="">
      <xdr:nvSpPr>
        <xdr:cNvPr id="5" name="TextBox 4">
          <a:extLst>
            <a:ext uri="{FF2B5EF4-FFF2-40B4-BE49-F238E27FC236}">
              <a16:creationId xmlns:a16="http://schemas.microsoft.com/office/drawing/2014/main" xmlns="" id="{CF1715AC-FB00-451D-860C-E637E4496418}"/>
            </a:ext>
          </a:extLst>
        </xdr:cNvPr>
        <xdr:cNvSpPr txBox="1"/>
      </xdr:nvSpPr>
      <xdr:spPr>
        <a:xfrm>
          <a:off x="4953000" y="1089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478568</xdr:colOff>
      <xdr:row>25</xdr:row>
      <xdr:rowOff>26918</xdr:rowOff>
    </xdr:from>
    <xdr:to>
      <xdr:col>20</xdr:col>
      <xdr:colOff>57232</xdr:colOff>
      <xdr:row>46</xdr:row>
      <xdr:rowOff>154470</xdr:rowOff>
    </xdr:to>
    <xdr:pic>
      <xdr:nvPicPr>
        <xdr:cNvPr id="4" name="Picture 10">
          <a:extLst>
            <a:ext uri="{FF2B5EF4-FFF2-40B4-BE49-F238E27FC236}">
              <a16:creationId xmlns:a16="http://schemas.microsoft.com/office/drawing/2014/main" xmlns="" id="{10F8F633-D7A6-43D2-98E4-4A8A182DB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088" y="1261358"/>
          <a:ext cx="11450624" cy="3647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198782</xdr:colOff>
      <xdr:row>47</xdr:row>
      <xdr:rowOff>124239</xdr:rowOff>
    </xdr:from>
    <xdr:to>
      <xdr:col>10</xdr:col>
      <xdr:colOff>480391</xdr:colOff>
      <xdr:row>55</xdr:row>
      <xdr:rowOff>107674</xdr:rowOff>
    </xdr:to>
    <xdr:sp macro="" textlink="">
      <xdr:nvSpPr>
        <xdr:cNvPr id="3" name="TextBox 2">
          <a:extLst>
            <a:ext uri="{FF2B5EF4-FFF2-40B4-BE49-F238E27FC236}">
              <a16:creationId xmlns:a16="http://schemas.microsoft.com/office/drawing/2014/main" xmlns="" id="{D104F1A3-32FF-4A1B-9B3B-9F2787368E25}"/>
            </a:ext>
          </a:extLst>
        </xdr:cNvPr>
        <xdr:cNvSpPr txBox="1"/>
      </xdr:nvSpPr>
      <xdr:spPr>
        <a:xfrm>
          <a:off x="198782" y="4994413"/>
          <a:ext cx="6137413" cy="130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Question on the FFE&amp;T tab of the budget workbook – the formula in row 55 is including only noncapitalized expenses and excluding the costs of furniture and computer equipment.  If the school has a capitalization policy of $5,000, these items would be considered noncapital and should be expensed fully in the year purchased (because individual costs are less than $5k).  What is the recommended workaround for properly including these expenses in each year?  Also, - in looking at row 53, a fixed 15 year life for all capitalized expenditures seems too long, particularly for computers. 7/13/2020</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115957</xdr:colOff>
      <xdr:row>5</xdr:row>
      <xdr:rowOff>49696</xdr:rowOff>
    </xdr:from>
    <xdr:to>
      <xdr:col>8</xdr:col>
      <xdr:colOff>397565</xdr:colOff>
      <xdr:row>25</xdr:row>
      <xdr:rowOff>1</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26377E2C-059C-47BD-AD43-F0EAE52F1DE5}"/>
            </a:ext>
          </a:extLst>
        </xdr:cNvPr>
        <xdr:cNvSpPr txBox="1"/>
      </xdr:nvSpPr>
      <xdr:spPr>
        <a:xfrm>
          <a:off x="115957" y="944218"/>
          <a:ext cx="5284304" cy="32633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Generic Facilities and FFE narrative</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New to this application is built in capitalization and depreciation/amortization.  This applies to capital outlays on leases (such as tenant improvements) and several categories of FFE&amp;T.  Capital outlays are depreciated based on a 15-year schedule.  The FFE&amp;T tab states what depreciation schedule is being used for each category.  These schedules are based on the Nevada Personal Property Manual’s expected life for each category.  You can access the version of the NV Personal Property Manual used here: </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hlinkClick xmlns:r="http://schemas.openxmlformats.org/officeDocument/2006/relationships" r:id="">
                <a:extLst>
                  <a:ext uri="{A12FA001-AC4F-418D-AE19-62706E023703}">
                    <ahyp:hlinkClr xmlns:ahyp="http://schemas.microsoft.com/office/drawing/2018/hyperlinkcolor" xmlns="" val="tx"/>
                  </a:ext>
                </a:extLst>
              </a:hlinkClick>
            </a:rPr>
            <a:t>https://tax.nv.gov/LocalGovt/PolicyPub/ArchiveFiles/PersonalPropertyManual/2020-2021_Personal_Property_Manual_rev_03282019/</a:t>
          </a:r>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 .  The values used come from the Information Systems section on page 11, and the Office Furniture, Retail Sales Equipment, Other section on page 16.</a:t>
          </a:r>
        </a:p>
        <a:p>
          <a:endPar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endParaRPr>
        </a:p>
        <a:p>
          <a:r>
            <a:rPr lang="en-US" sz="1100" u="none" strike="noStrike" baseline="0">
              <a:solidFill>
                <a:srgbClr xmlns:mc="http://schemas.openxmlformats.org/markup-compatibility/2006" xmlns:a14="http://schemas.microsoft.com/office/drawing/2010/main" val="000000" mc:Ignorable="a14" a14:legacySpreadsheetColorIndex="8"/>
              </a:solidFill>
              <a:effectLst/>
              <a:latin typeface="Times New Roman" panose="02020603050405020304" pitchFamily="18" charset="0"/>
              <a:ea typeface="+mn-ea"/>
              <a:cs typeface="+mn-cs"/>
            </a:rPr>
            <a:t>The primary purpose of these additions is to give a better picture of what an audited full accrual basis Statement of Activities will look like for an applicant while still allowing for an analysis of the cash cost and cash flow outlook of operating the proposed school.  With the exception of the rows for “Other Equipment”, these calculations will all be done automatically for you and require no additional inputs.</a:t>
          </a:r>
        </a:p>
        <a:p>
          <a:r>
            <a:rPr lang="en-US" sz="1100" u="none" strike="noStrike" baseline="0">
              <a:solidFill>
                <a:srgbClr xmlns:mc="http://schemas.openxmlformats.org/markup-compatibility/2006" xmlns:a14="http://schemas.microsoft.com/office/drawing/2010/main" val="000000" mc:Ignorable="a14" a14:legacySpreadsheetColorIndex="8"/>
              </a:solidFill>
              <a:latin typeface="Times New Roman" panose="02020603050405020304" pitchFamily="18" charset="0"/>
            </a:rPr>
            <a:t>sdf</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115956</xdr:colOff>
      <xdr:row>8</xdr:row>
      <xdr:rowOff>124238</xdr:rowOff>
    </xdr:from>
    <xdr:ext cx="2923761" cy="1297919"/>
    <xdr:sp macro="" textlink="">
      <xdr:nvSpPr>
        <xdr:cNvPr id="2" name="TextBox 1">
          <a:extLst>
            <a:ext uri="{FF2B5EF4-FFF2-40B4-BE49-F238E27FC236}">
              <a16:creationId xmlns:a16="http://schemas.microsoft.com/office/drawing/2014/main" xmlns="" id="{344B4FE5-32CA-449D-ADED-41FA2D531554}"/>
            </a:ext>
          </a:extLst>
        </xdr:cNvPr>
        <xdr:cNvSpPr txBox="1"/>
      </xdr:nvSpPr>
      <xdr:spPr>
        <a:xfrm>
          <a:off x="10576891" y="1292086"/>
          <a:ext cx="2923761" cy="1297919"/>
        </a:xfrm>
        <a:prstGeom prst="rect">
          <a:avLst/>
        </a:prstGeom>
        <a:solidFill>
          <a:schemeClr val="accent1">
            <a:alpha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page is intended to be a quick view of how each cost center is affecting overall financial performance. </a:t>
          </a:r>
        </a:p>
        <a:p>
          <a:r>
            <a:rPr lang="en-US" sz="1100"/>
            <a:t>It will automatically populate</a:t>
          </a:r>
          <a:r>
            <a:rPr lang="en-US" sz="1100" baseline="0"/>
            <a:t> as you complete the required tabs in the application. The use of this tab is completely optional and at your discretion.</a:t>
          </a:r>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Michael Dang" id="{58D7CBF4-770A-4C73-A5CB-9F34A753C88F}" userId="Michael Dang" providerId="None"/>
  <person displayName="Michael Dang" id="{53965B3A-B08B-4BC2-8174-88EB25E8A830}" userId="S::mdang@spcsa.nv.gov::a3e2d36e-033d-41a4-80d1-b0cff51c0698" providerId="AD"/>
  <person displayName="Austin Chang" id="{6842F451-414D-4465-8637-D3DB6611917A}" userId="S::changa6@unlv.nevada.edu::096dc6db-3c4f-4a70-ba8d-3e4596611dce" providerId="AD"/>
  <person displayName="Michael Hutchins" id="{B99A2D5D-3262-48B4-9518-41102A0FECDD}" userId="S::m.hutchins@spcsa.nv.gov::0dee9529-13a7-462b-a458-930bcfd86a30" providerId="AD"/>
  <person displayName="Rebecca Feiden" id="{7A64DA6E-3042-4603-90E5-A73BD641A103}" userId="S::rebecca.feiden@spcsa.nv.gov::fd18cebc-0508-4b38-b6c1-d0a03d487c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9" personId="{58D7CBF4-770A-4C73-A5CB-9F34A753C88F}" id="{C9720B80-4DE7-4342-B7EE-57EDC974AF12}">
    <text>Freeze pane anchor cell.</text>
  </threadedComment>
  <threadedComment ref="B15" dT="2019-10-09T22:19:25.08" personId="{B99A2D5D-3262-48B4-9518-41102A0FECDD}" id="{9909DB41-4054-4051-8E9D-3A06A152DDC1}">
    <text>Lines renamed to match profile</text>
  </threadedComment>
  <threadedComment ref="B44" dT="2019-10-09T22:19:55.60" personId="{B99A2D5D-3262-48B4-9518-41102A0FECDD}" id="{AE8693CC-D799-40D8-BC0A-DDEFCADE3B8B}">
    <text>Lines renamed to match profile and other tabs</text>
  </threadedComment>
  <threadedComment ref="C44" dT="2019-10-09T22:20:22.95" personId="{B99A2D5D-3262-48B4-9518-41102A0FECDD}" id="{14D4832A-A429-4B66-9D06-54B3C5043617}">
    <text>Numbers now pulling from depreciation based expenses instead of cash acquisition cost.</text>
  </threadedComment>
</ThreadedComments>
</file>

<file path=xl/threadedComments/threadedComment2.xml><?xml version="1.0" encoding="utf-8"?>
<ThreadedComments xmlns="http://schemas.microsoft.com/office/spreadsheetml/2018/threadedcomments" xmlns:x="http://schemas.openxmlformats.org/spreadsheetml/2006/main">
  <threadedComment ref="C9" personId="{58D7CBF4-770A-4C73-A5CB-9F34A753C88F}" id="{3C354C26-ABAF-4990-B105-01215F15C21A}">
    <text>Freeze pane anchor cell.</text>
  </threadedComment>
  <threadedComment ref="B76" dT="2019-10-09T22:21:33.10" personId="{B99A2D5D-3262-48B4-9518-41102A0FECDD}" id="{B6F42B41-A78D-412D-AF3D-9126A5E0D606}">
    <text>lines changed for consistency</text>
  </threadedComment>
  <threadedComment ref="B93" dT="2019-10-09T22:21:46.00" personId="{B99A2D5D-3262-48B4-9518-41102A0FECDD}" id="{60129E67-CD70-46E7-91DA-906463589E3F}">
    <text>lines changed for consistency</text>
  </threadedComment>
  <threadedComment ref="B113" dT="2019-10-09T22:21:59.11" personId="{B99A2D5D-3262-48B4-9518-41102A0FECDD}" id="{E0B74DCF-2136-4060-977D-5542CAFEBFAB}">
    <text>lines changed for consistency</text>
  </threadedComment>
</ThreadedComments>
</file>

<file path=xl/threadedComments/threadedComment3.xml><?xml version="1.0" encoding="utf-8"?>
<ThreadedComments xmlns="http://schemas.microsoft.com/office/spreadsheetml/2018/threadedcomments" xmlns:x="http://schemas.openxmlformats.org/spreadsheetml/2006/main">
  <threadedComment ref="B34" personId="{58D7CBF4-770A-4C73-A5CB-9F34A753C88F}" id="{87EFE0C2-FEF2-455B-9DF6-67099F02ADE0}">
    <text>A five mile distance as the crow flies or by google maps travel distance.</text>
  </threadedComment>
  <threadedComment ref="I34" personId="{58D7CBF4-770A-4C73-A5CB-9F34A753C88F}" id="{F01B7D95-1612-4E39-9CC5-6D2B6DA04B58}">
    <text>Based on Google Maps or another mapping program of your choice.
The distance from the school can be to your targeted location or to nearby cross-streets.</text>
  </threadedComment>
  <threadedComment ref="B66" personId="{58D7CBF4-770A-4C73-A5CB-9F34A753C88F}" id="{561B544A-2D67-4E3A-99F3-D87FFDF6A489}">
    <text>A five mile distance as the crow flies or by google maps travel distance.</text>
  </threadedComment>
  <threadedComment ref="I66" personId="{58D7CBF4-770A-4C73-A5CB-9F34A753C88F}" id="{0811A250-739D-43A0-A3B3-E75FBF9A76FD}">
    <text>Based on Google Maps or another mapping program of your choice.
The distance from the school can be to your targeted location or to nearby cross-streets.</text>
  </threadedComment>
</ThreadedComments>
</file>

<file path=xl/threadedComments/threadedComment4.xml><?xml version="1.0" encoding="utf-8"?>
<ThreadedComments xmlns="http://schemas.microsoft.com/office/spreadsheetml/2018/threadedcomments" xmlns:x="http://schemas.openxmlformats.org/spreadsheetml/2006/main">
  <threadedComment ref="D12" personId="{58D7CBF4-770A-4C73-A5CB-9F34A753C88F}" id="{44638AEC-F4AF-481B-B482-D02A8E76DFE4}">
    <text xml:space="preserve">Freeze Pane Anchor cell.
Place cursor here if you wish to freeze the panes so you can see which e so you can continue to see the years for the columns you want to review. </text>
  </threadedComment>
  <threadedComment ref="B47" dT="2021-10-04T23:22:54.99" personId="{7A64DA6E-3042-4603-90E5-A73BD641A103}" id="{ACFF2C00-C68D-444F-A86C-AF37774166CB}">
    <text>I would call this "ENROLLMENT BY STUDENT GROUP (Federally Fundable)</text>
  </threadedComment>
  <threadedComment ref="B47" dT="2021-10-04T23:33:10.37" personId="{53965B3A-B08B-4BC2-8174-88EB25E8A830}" id="{EBFCEABF-E48C-4A48-80CC-451A555DB4CA}" parentId="{ACFF2C00-C68D-444F-A86C-AF37774166CB}">
    <text>Thank you.  It's updated.</text>
  </threadedComment>
  <threadedComment ref="C99" personId="{58D7CBF4-770A-4C73-A5CB-9F34A753C88F}" id="{FAF9EAF0-2408-4BEA-AA7F-D3ED4C6366EF}">
    <text>From $350. 2019.11.14</text>
  </threadedComment>
  <threadedComment ref="C99" dT="2021-09-30T17:34:30.93" personId="{53965B3A-B08B-4BC2-8174-88EB25E8A830}" id="{D547E158-008F-4D23-A342-727E8EDADA7E}" parentId="{FAF9EAF0-2408-4BEA-AA7F-D3ED4C6366EF}">
    <text>August 26, 2021 em from RF: $400 PP</text>
  </threadedComment>
  <threadedComment ref="C99" dT="2021-09-30T20:49:37.35" personId="{53965B3A-B08B-4BC2-8174-88EB25E8A830}" id="{80965E5C-60E9-4736-A322-1CF90D3DBC29}" parentId="{FAF9EAF0-2408-4BEA-AA7F-D3ED4C6366EF}">
    <text>RF 8/26/21 em @ $400</text>
  </threadedComment>
  <threadedComment ref="B118" dT="2024-01-23T01:26:52.26" personId="{53965B3A-B08B-4BC2-8174-88EB25E8A830}" id="{0F7764B7-2B20-4F23-826F-F6F42C20F046}">
    <text>Inflation adjustor applied to base rate only, to be conservative.</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19-10-09T22:22:23.61" personId="{B99A2D5D-3262-48B4-9518-41102A0FECDD}" id="{428C169F-7646-4CB0-B350-6B3997D0EBEC}">
    <text>lines changed to align with profile tab</text>
  </threadedComment>
  <threadedComment ref="B39" dT="2019-10-09T22:22:57.48" personId="{B99A2D5D-3262-48B4-9518-41102A0FECDD}" id="{747F349B-9CDE-4C7C-8445-7504F225BB0C}">
    <text>Lines changed to line up with profile and other tabs</text>
  </threadedComment>
  <threadedComment ref="E39" dT="2019-10-09T22:23:07.55" personId="{B99A2D5D-3262-48B4-9518-41102A0FECDD}" id="{5F5A5891-0F7E-438F-98FE-D46B19DAAF7A}">
    <text>conditional formatting added</text>
  </threadedComment>
  <threadedComment ref="B75" dT="2019-10-09T22:23:55.26" personId="{B99A2D5D-3262-48B4-9518-41102A0FECDD}" id="{E1B0AABC-FE85-4305-BCDA-D864236FBEFC}">
    <text>lines changed for consistency</text>
  </threadedComment>
  <threadedComment ref="B97" dT="2019-10-09T22:24:07.51" personId="{B99A2D5D-3262-48B4-9518-41102A0FECDD}" id="{105A4EF2-9C02-45A7-B312-9628B5927DF1}">
    <text>lines changed for consistency</text>
  </threadedComment>
</ThreadedComments>
</file>

<file path=xl/threadedComments/threadedComment6.xml><?xml version="1.0" encoding="utf-8"?>
<ThreadedComments xmlns="http://schemas.microsoft.com/office/spreadsheetml/2018/threadedcomments" xmlns:x="http://schemas.openxmlformats.org/spreadsheetml/2006/main">
  <threadedComment ref="C59" dT="2023-02-08T01:03:49.48" personId="{53965B3A-B08B-4BC2-8174-88EB25E8A830}" id="{5AB4F22B-B34E-46CC-85F4-92C228ADA667}">
    <text xml:space="preserve">7.65% for employees on Social Security
1.45% for employees on PERS
Applicants should derive a weighted average estimate FICA rate depending on how many SS employees they plan to have versus PERS employees.
FICA is the Federal Insurance Contributions Act.  
https://defcomp.nv.gov/Resources/FICA_Info___FAQ_s/#:~:text=How%20much%20do%20I%20have,on%20a%20tax%20deferred%20basis.
How much do I have to contribute from my paycheck?
You must contribute 7.5% of your gross compensation per pay period to the Plan. Your contributions are made on a tax deferred basis.
</text>
    <extLst>
      <x:ext xmlns:xltc2="http://schemas.microsoft.com/office/spreadsheetml/2020/threadedcomments2" uri="{F7C98A9C-CBB3-438F-8F68-D28B6AF4A901}">
        <xltc2:checksum>2360989648</xltc2:checksum>
        <xltc2:hyperlink startIndex="258" length="118" url="https://defcomp.nv.gov/Resources/FICA_Info___FAQ_s/#:~:text=How%20much%20do%20I%20have,on%20a%20tax%20deferred%20basis"/>
      </x:ext>
    </extLst>
  </threadedComment>
  <threadedComment ref="C60" dT="2022-12-30T18:20:15.58" personId="{53965B3A-B08B-4BC2-8174-88EB25E8A830}" id="{5B5C6FFC-D74F-4D89-957C-272E389EFD53}">
    <text>For full EPC, use new rate:  Contribution Rate Changes – Employer Pay Contribution (EPC) Plan:  Regular Members – will increase from 29.75% to 33.50.
As of July 1, 2023
Use a blended rate between the EPC and the EE/Er rates, depending on your estimates of type of participation by your employees. 
https://www.nvpers.org/sites/default/files/publications/21735_NV_PERS_News_2022_p6_1.pdf</text>
  </threadedComment>
  <threadedComment ref="C62" personId="{58D7CBF4-770A-4C73-A5CB-9F34A753C88F}" id="{3FB75770-6A7E-41E4-989A-899F878C4E99}">
    <text xml:space="preserve">8/10/20  
GASB Statement No. 45 (Superseded by GASB Statement 75 eff. FY 2018)
GASB 45 recognizes the liability within a footnote of the financial statements, with only a portion of the total liability going on the book through the Net OPEB Obligation. GASB 75 does away with the Net OPEB Obligation, requiring the full liability to be recognized immediately on the balance sheet.
Move over GASB 45, here comes GASB 75​ | The Burke Groupburkegroup.com 
GASB 75 = Accounting and Financial Reporting for Postemployment Benefits Other Than Pensionshttps://www.gasb.org/jsp/GASB/Document_C/DocumentPage?cid=1176166144750&amp;acceptedDisclaimer=true
Notes re GASB 45
https://www.trs.texas.gov/Pages/re_gasb_45.aspx 
GASB Statement No. 45, Accounting and Financial Reporting by Employers for Postemployment Benefits Other Than Pensions became effective in three phases based on a government's total annual revenues in the first fiscal year ending after June 15, 1999 with all employers implementing by periods beginning after December 15, 2008 or earlier.
This statement establishes standards for the measurement, recognition, and display of other postemployment benefits (OPEB) expense/expenditure and related liabilities (assets), note disclosures, and if applicable required supplementary information (RSI) in the financial reports of state and local government employers.
The Teacher Retirement System of Texas is furnishing this information to assist reporting employer in complying with the GASB requirements. Certain information required by GASB 45 will have to be derived from the reporting employer's payroll records. Please forward this document to your reporting employer's financial/accounting manager and your auditor.
</text>
  </threadedComment>
  <threadedComment ref="C63" dT="2023-02-08T00:19:20.03" personId="{53965B3A-B08B-4BC2-8174-88EB25E8A830}" id="{8B28DE3F-0513-4202-B787-159B600CA677}">
    <text>Unemployment Insurance Information 
https://ui.nv.gov/ESSHTML/ui_information.htm
Unemployment Insurance Rates:
Employing Units in Nevada, who meet registration requirements, must pay unemployment insurance (UI) tax at a rate of 2.95 percent (.0295) of wages paid to each employee up to the taxable wage limit.  The employer retains this rate for a period of 14 to 17 calendar quarters (this is dependent on the quarter in which the employer becomes subject to the law), after which the rate will be determined under the "Experience Rating" system. An additional .05 percent (.0005) tax is charged for the Career Enhancement Program (CEP).
See website for more information.</text>
    <extLst>
      <x:ext xmlns:xltc2="http://schemas.microsoft.com/office/spreadsheetml/2020/threadedcomments2" uri="{F7C98A9C-CBB3-438F-8F68-D28B6AF4A901}">
        <xltc2:checksum>1913804148</xltc2:checksum>
        <xltc2:hyperlink startIndex="36" length="44" url="https://ui.nv.gov/ESSHTML/ui_information.htm"/>
      </x:ext>
    </extLst>
  </threadedComment>
  <threadedComment ref="C64" dT="2023-02-08T00:35:15.23" personId="{53965B3A-B08B-4BC2-8174-88EB25E8A830}" id="{31D788BA-A50C-47FC-8E94-21A195E0BD60}">
    <text xml:space="preserve">Employer costs for workers’ compensation insurance (per $100 of covered wages)
https://pieinsurance.com/blog/workers-comp/workers-comp-how-much/
</text>
    <extLst>
      <x:ext xmlns:xltc2="http://schemas.microsoft.com/office/spreadsheetml/2020/threadedcomments2" uri="{F7C98A9C-CBB3-438F-8F68-D28B6AF4A901}">
        <xltc2:checksum>2176889104</xltc2:checksum>
        <xltc2:hyperlink startIndex="79" length="65" url="https://pieinsurance.com/blog/workers-comp/workers-comp-how-much/"/>
      </x:ext>
    </extLst>
  </threadedComment>
  <threadedComment ref="G142" dT="2020-09-22T19:01:17.23" personId="{53965B3A-B08B-4BC2-8174-88EB25E8A830}" id="{9FA39296-9023-4041-80FE-8575CCE2873E}">
    <text>You may now increase/decrease staff counts in this section of the model.</text>
  </threadedComment>
  <threadedComment ref="B431" dT="2020-10-14T22:58:10.23" personId="{53965B3A-B08B-4BC2-8174-88EB25E8A830}" id="{D1F6324D-8682-456C-9C83-BF47E7B5D48E}">
    <text>E.g., 0.5 + 0.5 + 0.25 + 0.6 = 1.85 PTE</text>
  </threadedComment>
</ThreadedComments>
</file>

<file path=xl/threadedComments/threadedComment7.xml><?xml version="1.0" encoding="utf-8"?>
<ThreadedComments xmlns="http://schemas.microsoft.com/office/spreadsheetml/2018/threadedcomments" xmlns:x="http://schemas.openxmlformats.org/spreadsheetml/2006/main">
  <threadedComment ref="C9" personId="{58D7CBF4-770A-4C73-A5CB-9F34A753C88F}" id="{8EDDD725-5C94-46C0-924D-C11E83DCC10F}">
    <text>Freeze Pane Anchor cell</text>
  </threadedComment>
  <threadedComment ref="F40" dT="2019-10-09T22:26:48.95" personId="{B99A2D5D-3262-48B4-9518-41102A0FECDD}" id="{049FD8B7-A556-4458-B741-9CE337C84F58}">
    <text>added capitalization assumption for capital outlay.  15 year depreciation schedule used based on Nevada Personal Property Manual (PPM)</text>
  </threadedComment>
  <threadedComment ref="G40" dT="2019-10-09T22:26:48.95" personId="{B99A2D5D-3262-48B4-9518-41102A0FECDD}" id="{7EE94EAF-B192-4E48-A3B1-248D938F898C}">
    <text>added capitalization assumption for capital outlay.  15 year depreciation schedule used based on Nevada Personal Property Manual (PPM)</text>
  </threadedComment>
  <threadedComment ref="F41" dT="2019-10-09T22:28:14.70" personId="{B99A2D5D-3262-48B4-9518-41102A0FECDD}" id="{DBC2E7CB-2685-404F-A07E-01603B5F45EF}">
    <text>LIst both the cash cost and the book expense</text>
  </threadedComment>
  <threadedComment ref="G41" dT="2019-10-09T22:28:14.70" personId="{B99A2D5D-3262-48B4-9518-41102A0FECDD}" id="{4D20B39F-CCD5-40F6-88A7-DA908090EB1A}">
    <text>LIst both the cash cost and the book expense</text>
  </threadedComment>
  <threadedComment ref="H41" dT="2019-10-09T22:28:14.70" personId="{B99A2D5D-3262-48B4-9518-41102A0FECDD}" id="{21BECB29-E1AE-4A1A-B3D7-3382A184FF5F}">
    <text>LIst both the cash cost and the book expense</text>
  </threadedComment>
  <threadedComment ref="I41" dT="2019-10-09T22:28:14.70" personId="{B99A2D5D-3262-48B4-9518-41102A0FECDD}" id="{CCEB1454-32E8-49D9-8901-DA3D297336F2}">
    <text>LIst both the cash cost and the book expense</text>
  </threadedComment>
  <threadedComment ref="J41" dT="2019-10-09T22:28:14.70" personId="{B99A2D5D-3262-48B4-9518-41102A0FECDD}" id="{37ECE0C7-2DF0-4069-83FB-34611AA80C80}">
    <text>LIst both the cash cost and the book expense</text>
  </threadedComment>
  <threadedComment ref="K41" dT="2019-10-09T22:28:14.70" personId="{B99A2D5D-3262-48B4-9518-41102A0FECDD}" id="{FEAE4CC4-5BE1-46EA-B674-1643248BBC0F}">
    <text>LIst both the cash cost and the book expense</text>
  </threadedComment>
  <threadedComment ref="L41" dT="2019-10-09T22:28:14.70" personId="{B99A2D5D-3262-48B4-9518-41102A0FECDD}" id="{E09D1AC0-CF29-4CCB-8732-58DCF484386E}">
    <text>LIst both the cash cost and the book expense</text>
  </threadedComment>
  <threadedComment ref="F71" dT="2019-10-09T22:28:29.17" personId="{B99A2D5D-3262-48B4-9518-41102A0FECDD}" id="{5A1E9927-B689-4F2F-9FDF-9AC411BA394B}">
    <text>LIst both the cash cost and the book expense</text>
  </threadedComment>
  <threadedComment ref="G71" dT="2019-10-09T22:28:29.17" personId="{B99A2D5D-3262-48B4-9518-41102A0FECDD}" id="{8B4CE012-06EE-44EF-B9A4-70A151D8CD64}">
    <text>LIst both the cash cost and the book expense</text>
  </threadedComment>
  <threadedComment ref="F72" dT="2019-10-09T22:27:53.20" personId="{B99A2D5D-3262-48B4-9518-41102A0FECDD}" id="{4A77444D-2667-414A-ACA6-5CACB9E7392C}">
    <text>Added a depreciation schedule for new building purchase/construction using a 50 year asset life per the Nevada PPM.</text>
  </threadedComment>
  <threadedComment ref="G72" dT="2019-10-09T22:27:53.20" personId="{B99A2D5D-3262-48B4-9518-41102A0FECDD}" id="{C044C3D4-0587-448F-AE58-11BAA9E73751}">
    <text>Added a depreciation schedule for new building purchase/construction using a 50 year asset life per the Nevada PPM.</text>
  </threadedComment>
  <threadedComment ref="F76" dT="2019-10-09T22:28:23.38" personId="{B99A2D5D-3262-48B4-9518-41102A0FECDD}" id="{CE06D8D1-4B55-4EF4-8B14-2444C8B0CA22}">
    <text>LIst both the cash cost and the book expense</text>
  </threadedComment>
</ThreadedComments>
</file>

<file path=xl/threadedComments/threadedComment8.xml><?xml version="1.0" encoding="utf-8"?>
<ThreadedComments xmlns="http://schemas.microsoft.com/office/spreadsheetml/2018/threadedcomments" xmlns:x="http://schemas.openxmlformats.org/spreadsheetml/2006/main">
  <threadedComment ref="D12" personId="{58D7CBF4-770A-4C73-A5CB-9F34A753C88F}" id="{88D99629-9430-4799-888B-536E1B48C1B0}">
    <text xml:space="preserve">Freeze Pane Anchor cell.
Place cursor here if you wish to freeze the panes so you can see which e so you can continue to see the years for the columns you want to review. </text>
  </threadedComment>
  <threadedComment ref="B66" dT="2019-10-09T22:25:54.66" personId="{B99A2D5D-3262-48B4-9518-41102A0FECDD}" id="{B7BA76B9-72DC-4B51-84FC-DCB653FB95D7}">
    <text>removed marketing from this section</text>
  </threadedComment>
  <threadedComment ref="D146" personId="{58D7CBF4-770A-4C73-A5CB-9F34A753C88F}" id="{9A98AA4F-1C78-4B0C-ADC0-E55A5537B0DC}">
    <text>Per student</text>
  </threadedComment>
  <threadedComment ref="D147" personId="{58D7CBF4-770A-4C73-A5CB-9F34A753C88F}" id="{B89FAE20-3CE4-47C1-AE62-E249220CB33F}">
    <text>Per student (not covered by Title I)</text>
  </threadedComment>
  <threadedComment ref="D148" personId="{58D7CBF4-770A-4C73-A5CB-9F34A753C88F}" id="{8B1027DD-1690-4078-BE4E-8CCE2602C947}">
    <text>Per student</text>
  </threadedComment>
  <threadedComment ref="D149" personId="{58D7CBF4-770A-4C73-A5CB-9F34A753C88F}" id="{081B3B9E-102C-4FB3-AD68-C0B3B1CBEAFF}">
    <text>Input "yes or "no"</text>
  </threadedComment>
</ThreadedComments>
</file>

<file path=xl/threadedComments/threadedComment9.xml><?xml version="1.0" encoding="utf-8"?>
<ThreadedComments xmlns="http://schemas.microsoft.com/office/spreadsheetml/2018/threadedcomments" xmlns:x="http://schemas.openxmlformats.org/spreadsheetml/2006/main">
  <threadedComment ref="C13" dT="2019-10-09T22:28:59.88" personId="{B99A2D5D-3262-48B4-9518-41102A0FECDD}" id="{F988B70B-290B-4766-ABAF-6F3E355164A9}">
    <text>added depreciation schedules with asset lives based on their category in the Nevada PPM</text>
  </threadedComment>
  <threadedComment ref="C18" dT="2020-09-18T16:50:29.94" personId="{53965B3A-B08B-4BC2-8174-88EB25E8A830}" id="{3FF9201C-DBC8-4F22-A8BB-367D4D170A1D}">
    <text>you can comment here</text>
  </threadedComment>
  <threadedComment ref="C18" dT="2024-09-24T20:16:08.08" personId="{6842F451-414D-4465-8637-D3DB6611917A}" id="{D16F466D-4D0F-4C8D-8AF1-205045EC5D75}" parentId="{3FF9201C-DBC8-4F22-A8BB-367D4D170A1D}">
    <text xml:space="preserve">It costs $1,200 per laptop for faculty (Latitude 5540) </text>
  </threadedComment>
</ThreadedComments>
</file>

<file path=xl/threadedComments/threadedComment10.xml><?xml version="1.0" encoding="utf-8"?>
<ThreadedComments xmlns="http://schemas.microsoft.com/office/spreadsheetml/2018/threadedcomments" xmlns:x="http://schemas.openxmlformats.org/spreadsheetml/2006/main">
  <threadedComment ref="B36" personId="{58D7CBF4-770A-4C73-A5CB-9F34A753C88F}" id="{5A0475E5-6B0D-4D68-9F79-BF251AC40EF8}">
    <text xml:space="preserve">Keep at &gt;=1 in FTE section; use PT section for PT, like 0.5 </text>
  </threadedComment>
</ThreadedComments>
</file>

<file path=xl/threadedComments/threadedComment11.xml><?xml version="1.0" encoding="utf-8"?>
<ThreadedComments xmlns="http://schemas.microsoft.com/office/spreadsheetml/2018/threadedcomments" xmlns:x="http://schemas.openxmlformats.org/spreadsheetml/2006/main">
  <threadedComment ref="B33" personId="{58D7CBF4-770A-4C73-A5CB-9F34A753C88F}" id="{3A938AAD-556B-4D4E-BDCA-B0961C23113C}">
    <text>Great Teaching &amp; Leading, NV Ready Technology, Teacher Incentives, and other measures in AB309 of the 2019 legislative session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harterschools.nv.gov/About/Strategic_Plan/" TargetMode="External"/><Relationship Id="rId1" Type="http://schemas.openxmlformats.org/officeDocument/2006/relationships/hyperlink" Target="https://doe.nv.gov/DataCenter"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www.leg.state.nv.us/Session/82nd2023/Bills/SB/SB503_EN.pdf" TargetMode="External"/><Relationship Id="rId6" Type="http://schemas.microsoft.com/office/2017/10/relationships/threadedComment" Target="../threadedComments/threadedComment4.xm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s://transparentnevada.com/agencies/salaries/charter-schools/" TargetMode="External"/><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 Id="rId4" Type="http://schemas.microsoft.com/office/2017/10/relationships/threadedComment" Target="../threadedComments/threadedComment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charterschools.nv.gov/OpenASchool/Application_Packet/" TargetMode="External"/><Relationship Id="rId1" Type="http://schemas.openxmlformats.org/officeDocument/2006/relationships/hyperlink" Target="https://doe.nv.gov/DataCenter/Enrollment_Data/"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leg.state.nv.us/Session/82nd2023/Bills/SB/SB503_EN.pdf" TargetMode="External"/><Relationship Id="rId2" Type="http://schemas.openxmlformats.org/officeDocument/2006/relationships/hyperlink" Target="https://www.leg.state.nv.us/Session/82nd2023/Bills/SB/SB503_EN.pdf" TargetMode="External"/><Relationship Id="rId1" Type="http://schemas.openxmlformats.org/officeDocument/2006/relationships/hyperlink" Target="https://www.leg.state.nv.us/App/NELIS/REL/81st2021/Bill/8227/Text" TargetMode="External"/><Relationship Id="rId5" Type="http://schemas.openxmlformats.org/officeDocument/2006/relationships/drawing" Target="../drawings/drawing5.xml"/><Relationship Id="rId4"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20.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 Id="rId4" Type="http://schemas.microsoft.com/office/2017/10/relationships/threadedComment" Target="../threadedComments/threadedComment1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sheetPr>
  <dimension ref="A1:Z107"/>
  <sheetViews>
    <sheetView topLeftCell="A93" zoomScale="110" zoomScaleNormal="110" workbookViewId="0">
      <selection activeCell="I10" sqref="I10"/>
    </sheetView>
  </sheetViews>
  <sheetFormatPr defaultRowHeight="14.4"/>
  <cols>
    <col min="1" max="1" width="119.21875" customWidth="1"/>
  </cols>
  <sheetData>
    <row r="1" spans="1:11" ht="26.7" customHeight="1">
      <c r="A1" s="1351" t="s">
        <v>0</v>
      </c>
    </row>
    <row r="2" spans="1:11" ht="15.6">
      <c r="A2" s="21" t="s">
        <v>1</v>
      </c>
    </row>
    <row r="3" spans="1:11" ht="15.6">
      <c r="A3" s="1653" t="str">
        <f>SchoolName</f>
        <v>The Delta Academy</v>
      </c>
    </row>
    <row r="4" spans="1:11">
      <c r="A4" s="375" t="s">
        <v>2</v>
      </c>
      <c r="G4" s="453"/>
      <c r="H4" s="453"/>
      <c r="I4" s="453"/>
      <c r="J4" s="453"/>
      <c r="K4" s="453"/>
    </row>
    <row r="5" spans="1:11">
      <c r="A5" s="376" t="str">
        <f ca="1">CELL("filename")</f>
        <v>C:\Users\kyle.konold\Downloads\[FY25 Budget - Delta Academy_Final.xlsx]Form 1 Cover</v>
      </c>
    </row>
    <row r="6" spans="1:11" ht="15.6">
      <c r="A6" s="1358" t="s">
        <v>3</v>
      </c>
    </row>
    <row r="7" spans="1:11" ht="6" customHeight="1">
      <c r="A7" s="1357"/>
    </row>
    <row r="8" spans="1:11" ht="15.6">
      <c r="A8" s="406" t="s">
        <v>4</v>
      </c>
    </row>
    <row r="9" spans="1:11" ht="12.6" customHeight="1"/>
    <row r="10" spans="1:11" ht="138.75" customHeight="1">
      <c r="A10" s="683" t="s">
        <v>5</v>
      </c>
    </row>
    <row r="12" spans="1:11" ht="15.6">
      <c r="A12" s="406" t="s">
        <v>6</v>
      </c>
    </row>
    <row r="13" spans="1:11" ht="95.25" customHeight="1">
      <c r="A13" s="302" t="s">
        <v>7</v>
      </c>
    </row>
    <row r="14" spans="1:11">
      <c r="A14" s="2"/>
    </row>
    <row r="15" spans="1:11">
      <c r="A15" s="304" t="s">
        <v>8</v>
      </c>
    </row>
    <row r="16" spans="1:11">
      <c r="A16" s="3" t="s">
        <v>9</v>
      </c>
    </row>
    <row r="17" spans="1:1">
      <c r="A17" s="2"/>
    </row>
    <row r="18" spans="1:1">
      <c r="A18" s="304" t="s">
        <v>10</v>
      </c>
    </row>
    <row r="19" spans="1:1">
      <c r="A19" s="3" t="s">
        <v>11</v>
      </c>
    </row>
    <row r="20" spans="1:1">
      <c r="A20" s="2"/>
    </row>
    <row r="21" spans="1:1">
      <c r="A21" s="304" t="s">
        <v>12</v>
      </c>
    </row>
    <row r="22" spans="1:1">
      <c r="A22" s="3" t="s">
        <v>13</v>
      </c>
    </row>
    <row r="23" spans="1:1">
      <c r="A23" s="3"/>
    </row>
    <row r="24" spans="1:1">
      <c r="A24" s="304" t="s">
        <v>14</v>
      </c>
    </row>
    <row r="25" spans="1:1">
      <c r="A25" s="3" t="s">
        <v>15</v>
      </c>
    </row>
    <row r="26" spans="1:1">
      <c r="A26" s="3"/>
    </row>
    <row r="27" spans="1:1">
      <c r="A27" s="304" t="s">
        <v>16</v>
      </c>
    </row>
    <row r="28" spans="1:1" ht="28.8">
      <c r="A28" s="3" t="s">
        <v>17</v>
      </c>
    </row>
    <row r="29" spans="1:1">
      <c r="A29" s="2"/>
    </row>
    <row r="30" spans="1:1">
      <c r="A30" s="304" t="s">
        <v>18</v>
      </c>
    </row>
    <row r="31" spans="1:1">
      <c r="A31" s="1570" t="s">
        <v>19</v>
      </c>
    </row>
    <row r="32" spans="1:1" hidden="1">
      <c r="A32" s="303" t="s">
        <v>20</v>
      </c>
    </row>
    <row r="33" spans="1:26" ht="28.8" hidden="1">
      <c r="A33" s="303" t="s">
        <v>21</v>
      </c>
    </row>
    <row r="34" spans="1:26" ht="28.8" hidden="1">
      <c r="A34" s="303" t="s">
        <v>22</v>
      </c>
    </row>
    <row r="35" spans="1:26" ht="43.2">
      <c r="A35" s="2" t="s">
        <v>23</v>
      </c>
    </row>
    <row r="36" spans="1:26" ht="33.75" customHeight="1">
      <c r="A36" s="2" t="s">
        <v>24</v>
      </c>
    </row>
    <row r="37" spans="1:26" ht="28.8">
      <c r="A37" s="2" t="s">
        <v>25</v>
      </c>
      <c r="S37" s="5"/>
      <c r="T37" s="5"/>
      <c r="U37" s="5"/>
      <c r="V37" s="5"/>
      <c r="W37" s="5"/>
      <c r="X37" s="5"/>
      <c r="Y37" s="5"/>
      <c r="Z37" s="5"/>
    </row>
    <row r="38" spans="1:26">
      <c r="A38" t="s">
        <v>26</v>
      </c>
      <c r="S38" s="5"/>
      <c r="T38" s="5"/>
      <c r="U38" s="5"/>
      <c r="V38" s="5"/>
      <c r="W38" s="5"/>
      <c r="X38" s="5"/>
      <c r="Y38" s="5"/>
      <c r="Z38" s="5"/>
    </row>
    <row r="39" spans="1:26">
      <c r="A39" s="1" t="s">
        <v>27</v>
      </c>
      <c r="S39" s="5"/>
      <c r="T39" s="5"/>
      <c r="U39" s="5"/>
      <c r="V39" s="5"/>
      <c r="W39" s="5"/>
      <c r="X39" s="5"/>
      <c r="Y39" s="5"/>
      <c r="Z39" s="5"/>
    </row>
    <row r="40" spans="1:26">
      <c r="A40" s="1" t="s">
        <v>28</v>
      </c>
      <c r="S40" s="5"/>
      <c r="T40" s="5"/>
      <c r="U40" s="5"/>
      <c r="V40" s="5"/>
      <c r="W40" s="5"/>
      <c r="X40" s="5"/>
      <c r="Y40" s="5"/>
      <c r="Z40" s="5"/>
    </row>
    <row r="41" spans="1:26">
      <c r="A41" s="1" t="s">
        <v>29</v>
      </c>
      <c r="S41" s="5"/>
      <c r="T41" s="5"/>
      <c r="U41" s="5"/>
      <c r="V41" s="5"/>
      <c r="W41" s="5"/>
      <c r="X41" s="5"/>
      <c r="Y41" s="5"/>
      <c r="Z41" s="5"/>
    </row>
    <row r="42" spans="1:26">
      <c r="A42" s="1" t="s">
        <v>30</v>
      </c>
      <c r="S42" s="5"/>
      <c r="T42" s="5"/>
      <c r="U42" s="5"/>
      <c r="V42" s="5"/>
      <c r="W42" s="5"/>
      <c r="X42" s="5"/>
      <c r="Y42" s="5"/>
      <c r="Z42" s="5"/>
    </row>
    <row r="43" spans="1:26">
      <c r="A43" s="1" t="s">
        <v>31</v>
      </c>
      <c r="S43" s="5"/>
      <c r="T43" s="5"/>
      <c r="U43" s="5"/>
      <c r="V43" s="5"/>
      <c r="W43" s="5"/>
      <c r="X43" s="5"/>
      <c r="Y43" s="5"/>
      <c r="Z43" s="5"/>
    </row>
    <row r="44" spans="1:26">
      <c r="A44" s="1" t="s">
        <v>32</v>
      </c>
      <c r="S44" s="5"/>
      <c r="T44" s="5"/>
      <c r="U44" s="5"/>
      <c r="V44" s="5"/>
      <c r="W44" s="5"/>
      <c r="X44" s="5"/>
      <c r="Y44" s="5"/>
      <c r="Z44" s="5"/>
    </row>
    <row r="45" spans="1:26">
      <c r="A45" s="1"/>
      <c r="S45" s="5"/>
      <c r="T45" s="5"/>
      <c r="U45" s="5"/>
      <c r="V45" s="5"/>
      <c r="W45" s="5"/>
      <c r="X45" s="5"/>
      <c r="Y45" s="5"/>
      <c r="Z45" s="5"/>
    </row>
    <row r="46" spans="1:26">
      <c r="A46" s="304" t="s">
        <v>33</v>
      </c>
      <c r="S46" s="5"/>
      <c r="T46" s="5"/>
      <c r="U46" s="5"/>
      <c r="V46" s="5"/>
      <c r="W46" s="5"/>
      <c r="X46" s="5"/>
      <c r="Y46" s="5"/>
      <c r="Z46" s="5"/>
    </row>
    <row r="47" spans="1:26">
      <c r="A47" s="3" t="s">
        <v>34</v>
      </c>
      <c r="S47" s="5"/>
      <c r="T47" s="5"/>
      <c r="U47" s="5"/>
      <c r="V47" s="5"/>
      <c r="W47" s="5"/>
      <c r="X47" s="5"/>
      <c r="Y47" s="5"/>
      <c r="Z47" s="5"/>
    </row>
    <row r="48" spans="1:26">
      <c r="S48" s="5"/>
      <c r="T48" s="5"/>
      <c r="U48" s="5"/>
      <c r="V48" s="5"/>
      <c r="W48" s="5"/>
      <c r="X48" s="5"/>
      <c r="Y48" s="5"/>
      <c r="Z48" s="5"/>
    </row>
    <row r="49" spans="1:26">
      <c r="A49" s="304" t="s">
        <v>35</v>
      </c>
      <c r="S49" s="5"/>
      <c r="T49" s="5"/>
      <c r="U49" s="5"/>
      <c r="V49" s="5"/>
      <c r="W49" s="5"/>
      <c r="X49" s="5"/>
      <c r="Y49" s="5"/>
      <c r="Z49" s="5"/>
    </row>
    <row r="50" spans="1:26" ht="43.2">
      <c r="A50" s="3" t="s">
        <v>36</v>
      </c>
      <c r="S50" s="5"/>
      <c r="T50" s="5"/>
      <c r="U50" s="5"/>
      <c r="V50" s="5"/>
      <c r="W50" s="5"/>
      <c r="X50" s="5"/>
      <c r="Y50" s="5"/>
      <c r="Z50" s="5"/>
    </row>
    <row r="51" spans="1:26">
      <c r="A51" s="1570" t="s">
        <v>37</v>
      </c>
      <c r="S51" s="5"/>
      <c r="T51" s="5"/>
      <c r="U51" s="5"/>
      <c r="V51" s="5"/>
      <c r="W51" s="5"/>
      <c r="X51" s="5"/>
      <c r="Y51" s="5"/>
      <c r="Z51" s="5"/>
    </row>
    <row r="52" spans="1:26" hidden="1">
      <c r="A52" s="239" t="s">
        <v>38</v>
      </c>
      <c r="S52" s="5"/>
      <c r="T52" s="5"/>
      <c r="U52" s="5"/>
      <c r="V52" s="5"/>
      <c r="W52" s="5"/>
      <c r="X52" s="5"/>
      <c r="Y52" s="5"/>
      <c r="Z52" s="5"/>
    </row>
    <row r="53" spans="1:26" hidden="1">
      <c r="A53" s="239" t="s">
        <v>39</v>
      </c>
      <c r="S53" s="5"/>
      <c r="T53" s="5"/>
      <c r="U53" s="5"/>
      <c r="V53" s="5"/>
      <c r="W53" s="5"/>
      <c r="X53" s="5"/>
      <c r="Y53" s="5"/>
      <c r="Z53" s="5"/>
    </row>
    <row r="54" spans="1:26" hidden="1">
      <c r="A54" s="239" t="s">
        <v>40</v>
      </c>
      <c r="S54" s="5"/>
      <c r="T54" s="5"/>
      <c r="U54" s="5"/>
      <c r="V54" s="5"/>
      <c r="W54" s="5"/>
      <c r="X54" s="5"/>
      <c r="Y54" s="5"/>
      <c r="Z54" s="5"/>
    </row>
    <row r="55" spans="1:26" ht="28.8" hidden="1">
      <c r="A55" s="303" t="s">
        <v>41</v>
      </c>
      <c r="S55" s="5"/>
      <c r="T55" s="5"/>
      <c r="U55" s="5"/>
      <c r="V55" s="5"/>
      <c r="W55" s="5"/>
      <c r="X55" s="5"/>
      <c r="Y55" s="5"/>
      <c r="Z55" s="5"/>
    </row>
    <row r="56" spans="1:26" hidden="1">
      <c r="A56" s="239" t="s">
        <v>42</v>
      </c>
      <c r="S56" s="5"/>
      <c r="T56" s="5"/>
      <c r="U56" s="5"/>
      <c r="V56" s="5"/>
      <c r="W56" s="5"/>
      <c r="X56" s="5"/>
      <c r="Y56" s="5"/>
      <c r="Z56" s="5"/>
    </row>
    <row r="57" spans="1:26" hidden="1">
      <c r="A57" s="239" t="s">
        <v>43</v>
      </c>
      <c r="S57" s="5"/>
      <c r="T57" s="5"/>
      <c r="U57" s="5"/>
      <c r="V57" s="5"/>
      <c r="W57" s="5"/>
      <c r="X57" s="5"/>
      <c r="Y57" s="5"/>
      <c r="Z57" s="5"/>
    </row>
    <row r="58" spans="1:26" hidden="1">
      <c r="A58" s="239" t="s">
        <v>44</v>
      </c>
      <c r="S58" s="5"/>
      <c r="T58" s="5"/>
      <c r="U58" s="5"/>
      <c r="V58" s="5"/>
      <c r="W58" s="5"/>
      <c r="X58" s="5"/>
      <c r="Y58" s="5"/>
      <c r="Z58" s="5"/>
    </row>
    <row r="59" spans="1:26" ht="28.8" hidden="1">
      <c r="A59" s="303" t="s">
        <v>45</v>
      </c>
      <c r="S59" s="5"/>
      <c r="T59" s="5"/>
      <c r="U59" s="5"/>
      <c r="V59" s="5"/>
      <c r="W59" s="5"/>
      <c r="X59" s="5"/>
      <c r="Y59" s="5"/>
      <c r="Z59" s="5"/>
    </row>
    <row r="60" spans="1:26" ht="47.25" hidden="1" customHeight="1">
      <c r="A60" s="303" t="s">
        <v>46</v>
      </c>
      <c r="S60" s="5"/>
      <c r="T60" s="5"/>
      <c r="U60" s="5"/>
      <c r="V60" s="5"/>
      <c r="W60" s="5"/>
      <c r="X60" s="5"/>
      <c r="Y60" s="5"/>
      <c r="Z60" s="5"/>
    </row>
    <row r="61" spans="1:26" ht="15" hidden="1" customHeight="1">
      <c r="A61" s="303" t="s">
        <v>47</v>
      </c>
      <c r="S61" s="5"/>
      <c r="T61" s="5"/>
      <c r="U61" s="5"/>
      <c r="V61" s="5"/>
      <c r="W61" s="5"/>
      <c r="X61" s="5"/>
      <c r="Y61" s="5"/>
      <c r="Z61" s="5"/>
    </row>
    <row r="62" spans="1:26" ht="29.25" hidden="1" customHeight="1">
      <c r="A62" s="303" t="s">
        <v>48</v>
      </c>
      <c r="S62" s="5"/>
      <c r="T62" s="5"/>
      <c r="U62" s="5"/>
      <c r="V62" s="5"/>
      <c r="W62" s="5"/>
      <c r="X62" s="5"/>
      <c r="Y62" s="5"/>
      <c r="Z62" s="5"/>
    </row>
    <row r="63" spans="1:26">
      <c r="S63" s="5"/>
      <c r="T63" s="5"/>
      <c r="U63" s="5"/>
      <c r="V63" s="5"/>
      <c r="W63" s="5"/>
      <c r="X63" s="5"/>
      <c r="Y63" s="5"/>
      <c r="Z63" s="5"/>
    </row>
    <row r="64" spans="1:26">
      <c r="A64" s="304" t="s">
        <v>49</v>
      </c>
      <c r="S64" s="5"/>
      <c r="T64" s="5"/>
      <c r="U64" s="5"/>
      <c r="V64" s="5"/>
      <c r="W64" s="5"/>
      <c r="X64" s="5"/>
      <c r="Y64" s="5"/>
      <c r="Z64" s="5"/>
    </row>
    <row r="65" spans="1:26">
      <c r="A65" s="3" t="s">
        <v>50</v>
      </c>
      <c r="S65" s="5"/>
      <c r="T65" s="5"/>
      <c r="U65" s="5"/>
      <c r="V65" s="5"/>
      <c r="W65" s="5"/>
      <c r="X65" s="5"/>
      <c r="Y65" s="5"/>
      <c r="Z65" s="5"/>
    </row>
    <row r="66" spans="1:26">
      <c r="S66" s="5"/>
      <c r="T66" s="5"/>
      <c r="U66" s="5"/>
      <c r="V66" s="5"/>
      <c r="W66" s="5"/>
      <c r="X66" s="5"/>
      <c r="Y66" s="5"/>
      <c r="Z66" s="5"/>
    </row>
    <row r="67" spans="1:26">
      <c r="A67" s="304" t="s">
        <v>51</v>
      </c>
      <c r="S67" s="5"/>
      <c r="T67" s="5"/>
      <c r="U67" s="5"/>
      <c r="V67" s="5"/>
      <c r="W67" s="5"/>
      <c r="X67" s="5"/>
      <c r="Y67" s="5"/>
      <c r="Z67" s="5"/>
    </row>
    <row r="68" spans="1:26">
      <c r="A68" s="3" t="s">
        <v>52</v>
      </c>
      <c r="S68" s="5"/>
      <c r="T68" s="5"/>
      <c r="U68" s="5"/>
      <c r="V68" s="5"/>
      <c r="W68" s="5"/>
      <c r="X68" s="5"/>
      <c r="Y68" s="5"/>
      <c r="Z68" s="5"/>
    </row>
    <row r="69" spans="1:26">
      <c r="A69" s="3" t="s">
        <v>53</v>
      </c>
      <c r="S69" s="5"/>
      <c r="T69" s="5"/>
      <c r="U69" s="5"/>
      <c r="V69" s="5"/>
      <c r="W69" s="5"/>
      <c r="X69" s="5"/>
      <c r="Y69" s="5"/>
      <c r="Z69" s="5"/>
    </row>
    <row r="70" spans="1:26" ht="30.75" hidden="1" customHeight="1">
      <c r="A70" s="2" t="s">
        <v>54</v>
      </c>
      <c r="S70" s="5"/>
      <c r="T70" s="5"/>
      <c r="U70" s="5"/>
      <c r="V70" s="5"/>
      <c r="W70" s="5"/>
      <c r="X70" s="5"/>
      <c r="Y70" s="5"/>
      <c r="Z70" s="5"/>
    </row>
    <row r="71" spans="1:26" ht="28.8" hidden="1">
      <c r="A71" s="2" t="s">
        <v>55</v>
      </c>
      <c r="S71" s="5"/>
      <c r="T71" s="5"/>
      <c r="U71" s="5"/>
      <c r="V71" s="5"/>
      <c r="W71" s="5"/>
      <c r="X71" s="5"/>
      <c r="Y71" s="5"/>
      <c r="Z71" s="5"/>
    </row>
    <row r="72" spans="1:26">
      <c r="A72" s="2" t="s">
        <v>56</v>
      </c>
      <c r="S72" s="5"/>
      <c r="T72" s="5"/>
      <c r="U72" s="5"/>
      <c r="V72" s="5"/>
      <c r="W72" s="5"/>
      <c r="X72" s="5"/>
      <c r="Y72" s="5"/>
      <c r="Z72" s="5"/>
    </row>
    <row r="73" spans="1:26">
      <c r="S73" s="5"/>
      <c r="T73" s="5"/>
      <c r="U73" s="5"/>
      <c r="V73" s="5"/>
      <c r="W73" s="5"/>
      <c r="X73" s="5"/>
      <c r="Y73" s="5"/>
      <c r="Z73" s="5"/>
    </row>
    <row r="74" spans="1:26">
      <c r="A74" s="304" t="s">
        <v>57</v>
      </c>
      <c r="S74" s="5"/>
      <c r="T74" s="5"/>
      <c r="U74" s="5"/>
      <c r="V74" s="5"/>
      <c r="W74" s="5"/>
      <c r="X74" s="5"/>
      <c r="Y74" s="5"/>
      <c r="Z74" s="5"/>
    </row>
    <row r="75" spans="1:26">
      <c r="A75" s="3" t="s">
        <v>58</v>
      </c>
      <c r="S75" s="5"/>
      <c r="T75" s="5"/>
      <c r="U75" s="5"/>
      <c r="V75" s="5"/>
      <c r="W75" s="5"/>
      <c r="X75" s="5"/>
      <c r="Y75" s="5"/>
      <c r="Z75" s="5"/>
    </row>
    <row r="76" spans="1:26">
      <c r="A76" s="2"/>
      <c r="S76" s="5"/>
      <c r="T76" s="5"/>
      <c r="U76" s="5"/>
      <c r="V76" s="5"/>
      <c r="W76" s="5"/>
      <c r="X76" s="5"/>
      <c r="Y76" s="5"/>
      <c r="Z76" s="5"/>
    </row>
    <row r="77" spans="1:26">
      <c r="A77" s="304" t="s">
        <v>59</v>
      </c>
      <c r="S77" s="5"/>
      <c r="T77" s="5"/>
      <c r="U77" s="5"/>
      <c r="V77" s="5"/>
      <c r="W77" s="5"/>
      <c r="X77" s="5"/>
      <c r="Y77" s="5"/>
      <c r="Z77" s="5"/>
    </row>
    <row r="78" spans="1:26">
      <c r="A78" s="3" t="s">
        <v>60</v>
      </c>
      <c r="S78" s="5"/>
      <c r="T78" s="5"/>
      <c r="U78" s="5"/>
      <c r="V78" s="5"/>
      <c r="W78" s="5"/>
      <c r="X78" s="5"/>
      <c r="Y78" s="5"/>
      <c r="Z78" s="5"/>
    </row>
    <row r="79" spans="1:26">
      <c r="A79" s="3"/>
    </row>
    <row r="80" spans="1:26">
      <c r="A80" s="304" t="s">
        <v>61</v>
      </c>
    </row>
    <row r="81" spans="1:1">
      <c r="A81" s="3" t="s">
        <v>62</v>
      </c>
    </row>
    <row r="82" spans="1:1">
      <c r="A82" s="3" t="s">
        <v>63</v>
      </c>
    </row>
    <row r="83" spans="1:1">
      <c r="A83" s="3"/>
    </row>
    <row r="84" spans="1:1">
      <c r="A84" s="304" t="s">
        <v>64</v>
      </c>
    </row>
    <row r="85" spans="1:1">
      <c r="A85" s="3" t="s">
        <v>65</v>
      </c>
    </row>
    <row r="86" spans="1:1">
      <c r="A86" s="3"/>
    </row>
    <row r="87" spans="1:1">
      <c r="A87" s="1571" t="s">
        <v>66</v>
      </c>
    </row>
    <row r="88" spans="1:1">
      <c r="A88" s="3" t="s">
        <v>67</v>
      </c>
    </row>
    <row r="90" spans="1:1">
      <c r="A90" s="1571" t="s">
        <v>68</v>
      </c>
    </row>
    <row r="91" spans="1:1">
      <c r="A91" s="3" t="s">
        <v>67</v>
      </c>
    </row>
    <row r="92" spans="1:1">
      <c r="A92" s="3"/>
    </row>
    <row r="93" spans="1:1">
      <c r="A93" s="1571" t="s">
        <v>69</v>
      </c>
    </row>
    <row r="94" spans="1:1">
      <c r="A94" s="3" t="s">
        <v>70</v>
      </c>
    </row>
    <row r="95" spans="1:1">
      <c r="A95" s="3" t="s">
        <v>71</v>
      </c>
    </row>
    <row r="97" spans="1:1">
      <c r="A97" s="1571" t="s">
        <v>72</v>
      </c>
    </row>
    <row r="98" spans="1:1">
      <c r="A98" s="3" t="s">
        <v>73</v>
      </c>
    </row>
    <row r="99" spans="1:1" ht="28.8">
      <c r="A99" s="3" t="s">
        <v>74</v>
      </c>
    </row>
    <row r="100" spans="1:1">
      <c r="A100" s="3"/>
    </row>
    <row r="101" spans="1:1">
      <c r="A101" s="1571" t="s">
        <v>75</v>
      </c>
    </row>
    <row r="102" spans="1:1">
      <c r="A102" s="3" t="s">
        <v>67</v>
      </c>
    </row>
    <row r="103" spans="1:1">
      <c r="A103" s="3"/>
    </row>
    <row r="104" spans="1:1">
      <c r="A104" s="676"/>
    </row>
    <row r="105" spans="1:1">
      <c r="A105" s="405" t="s">
        <v>76</v>
      </c>
    </row>
    <row r="106" spans="1:1">
      <c r="A106" s="1572" t="s">
        <v>77</v>
      </c>
    </row>
    <row r="107" spans="1:1">
      <c r="A107" s="1572" t="s">
        <v>78</v>
      </c>
    </row>
  </sheetData>
  <sheetProtection algorithmName="SHA-512" hashValue="LPRqc904aLa+C8O+Z5lzfVaE4jSyMK8ouF6sIQQnXTaxfLJ1NeJSPFxXeIR2r2P799+ZEAaEBqL5utzDSRFeYA==" saltValue="lmOoZWFYKFHBy64V6m/eHQ==" spinCount="100000" sheet="1" objects="1" scenarios="1"/>
  <hyperlinks>
    <hyperlink ref="A6" location="HypLink1" display="HypLink1"/>
  </hyperlinks>
  <pageMargins left="0.35" right="0.25" top="0.32" bottom="0.5" header="0.32" footer="0.3"/>
  <pageSetup orientation="portrait" r:id="rId1"/>
  <headerFooter>
    <oddFooter>&amp;L&amp;7&amp;D  at &amp;T Mike 702.854.0691&amp;C&amp;7Page &amp;P of &amp;N&amp;R&amp;7&amp;F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A1:G27"/>
  <sheetViews>
    <sheetView workbookViewId="0">
      <selection activeCell="E32" sqref="E32"/>
    </sheetView>
  </sheetViews>
  <sheetFormatPr defaultRowHeight="15.6"/>
  <cols>
    <col min="1" max="1" width="1.21875" style="119" customWidth="1"/>
    <col min="2" max="2" width="3.21875" customWidth="1"/>
    <col min="3" max="3" width="19" customWidth="1"/>
    <col min="4" max="4" width="21.5546875" customWidth="1"/>
    <col min="5" max="5" width="25.44140625" customWidth="1"/>
    <col min="6" max="6" width="23.21875" customWidth="1"/>
    <col min="7" max="7" width="14.5546875" customWidth="1"/>
  </cols>
  <sheetData>
    <row r="1" spans="1:7">
      <c r="A1" s="21" t="s">
        <v>79</v>
      </c>
      <c r="B1" s="21"/>
      <c r="C1" s="21"/>
      <c r="D1" s="21"/>
      <c r="F1" s="407" t="s">
        <v>3</v>
      </c>
    </row>
    <row r="2" spans="1:7">
      <c r="A2" s="1653" t="str">
        <f>SchoolName</f>
        <v>The Delta Academy</v>
      </c>
      <c r="B2" s="121"/>
      <c r="C2" s="121"/>
      <c r="D2" s="121"/>
    </row>
    <row r="3" spans="1:7" ht="14.4">
      <c r="A3" s="19" t="s">
        <v>80</v>
      </c>
    </row>
    <row r="4" spans="1:7" ht="14.4">
      <c r="A4" s="20" t="s">
        <v>81</v>
      </c>
    </row>
    <row r="5" spans="1:7" ht="14.4">
      <c r="A5" s="120" t="str">
        <f ca="1">CELL("filename")</f>
        <v>C:\Users\kyle.konold\Downloads\[FY25 Budget - Delta Academy_Final.xlsx]Form 1 Cover</v>
      </c>
    </row>
    <row r="8" spans="1:7">
      <c r="C8" s="1650" t="s">
        <v>82</v>
      </c>
      <c r="D8" s="1650"/>
      <c r="E8" s="1650"/>
      <c r="F8" s="63"/>
      <c r="G8" s="63"/>
    </row>
    <row r="9" spans="1:7" ht="34.799999999999997">
      <c r="B9" s="481">
        <f>ROW()</f>
        <v>9</v>
      </c>
      <c r="C9" s="1768" t="s">
        <v>1469</v>
      </c>
      <c r="D9" s="1768"/>
      <c r="E9" s="1768"/>
      <c r="F9" s="1768"/>
      <c r="G9" s="1768"/>
    </row>
    <row r="10" spans="1:7">
      <c r="B10" s="481">
        <f>ROW()</f>
        <v>10</v>
      </c>
    </row>
    <row r="11" spans="1:7">
      <c r="B11" s="481">
        <f>ROW()</f>
        <v>11</v>
      </c>
      <c r="C11" s="1648" t="s">
        <v>83</v>
      </c>
      <c r="E11" s="300">
        <v>2025</v>
      </c>
      <c r="F11" s="961" t="str">
        <f>"Fiscal Year beginning July 1, 20"&amp;RIGHT(E11,2)</f>
        <v>Fiscal Year beginning July 1, 2025</v>
      </c>
    </row>
    <row r="12" spans="1:7">
      <c r="B12" s="481">
        <f>ROW()</f>
        <v>12</v>
      </c>
      <c r="C12" s="1648" t="s">
        <v>84</v>
      </c>
      <c r="E12" s="180">
        <f>+E11+1</f>
        <v>2026</v>
      </c>
      <c r="F12" s="961" t="str">
        <f>"aka Fiscal Year Ending (FYE) Jun 30, 20"&amp;RIGHT(E12,2)</f>
        <v>aka Fiscal Year Ending (FYE) Jun 30, 2026</v>
      </c>
    </row>
    <row r="13" spans="1:7">
      <c r="B13" s="481">
        <f>ROW()</f>
        <v>13</v>
      </c>
    </row>
    <row r="14" spans="1:7" hidden="1">
      <c r="B14" s="481">
        <f>ROW()</f>
        <v>14</v>
      </c>
      <c r="C14" s="1650" t="s">
        <v>85</v>
      </c>
      <c r="D14" s="1650"/>
      <c r="E14" s="57" t="s">
        <v>86</v>
      </c>
      <c r="F14" s="1770" t="s">
        <v>87</v>
      </c>
      <c r="G14" s="1770"/>
    </row>
    <row r="15" spans="1:7" hidden="1">
      <c r="B15" s="481">
        <f>ROW()</f>
        <v>15</v>
      </c>
      <c r="C15" s="1771" t="s">
        <v>88</v>
      </c>
      <c r="D15" s="1771"/>
      <c r="E15" s="301"/>
      <c r="F15" s="1772"/>
      <c r="G15" s="1772"/>
    </row>
    <row r="16" spans="1:7" hidden="1">
      <c r="B16" s="481">
        <f>ROW()</f>
        <v>16</v>
      </c>
      <c r="C16" s="1773"/>
      <c r="D16" s="1773"/>
      <c r="E16" s="301"/>
      <c r="F16" s="1774"/>
      <c r="G16" s="1774"/>
    </row>
    <row r="17" spans="2:7" ht="30.75" hidden="1" customHeight="1">
      <c r="B17" s="481">
        <f>ROW()</f>
        <v>17</v>
      </c>
      <c r="C17" s="1769" t="s">
        <v>89</v>
      </c>
      <c r="D17" s="1769"/>
      <c r="E17" s="1769"/>
      <c r="F17" s="1769"/>
      <c r="G17" s="1769"/>
    </row>
    <row r="18" spans="2:7" ht="18" hidden="1" customHeight="1">
      <c r="B18" s="481">
        <f>ROW()</f>
        <v>18</v>
      </c>
      <c r="C18" s="1775" t="s">
        <v>88</v>
      </c>
      <c r="D18" s="1775"/>
      <c r="E18" s="1775"/>
      <c r="F18" s="1775"/>
      <c r="G18" s="1775"/>
    </row>
    <row r="19" spans="2:7" ht="18" hidden="1" customHeight="1">
      <c r="B19" s="481">
        <f>ROW()</f>
        <v>19</v>
      </c>
      <c r="C19" s="1767" t="s">
        <v>90</v>
      </c>
      <c r="D19" s="1767"/>
      <c r="E19" s="1767"/>
      <c r="F19" s="1767"/>
      <c r="G19" s="1767"/>
    </row>
    <row r="20" spans="2:7" hidden="1">
      <c r="B20" s="481">
        <f>ROW()</f>
        <v>20</v>
      </c>
      <c r="C20" s="80" t="s">
        <v>91</v>
      </c>
    </row>
    <row r="21" spans="2:7" hidden="1">
      <c r="B21" s="481">
        <f>ROW()</f>
        <v>21</v>
      </c>
      <c r="C21" s="80"/>
    </row>
    <row r="22" spans="2:7" hidden="1">
      <c r="B22" s="481">
        <f>ROW()</f>
        <v>22</v>
      </c>
      <c r="C22" s="31" t="s">
        <v>92</v>
      </c>
    </row>
    <row r="23" spans="2:7" hidden="1">
      <c r="B23" s="481">
        <f>ROW()</f>
        <v>23</v>
      </c>
      <c r="C23" s="253"/>
      <c r="D23" s="97" t="s">
        <v>93</v>
      </c>
    </row>
    <row r="24" spans="2:7" hidden="1">
      <c r="B24" s="481">
        <f>ROW()</f>
        <v>24</v>
      </c>
      <c r="C24" s="42"/>
      <c r="D24" s="80" t="s">
        <v>94</v>
      </c>
    </row>
    <row r="25" spans="2:7" hidden="1">
      <c r="B25" s="481">
        <f>ROW()</f>
        <v>25</v>
      </c>
      <c r="C25" s="253"/>
      <c r="D25" s="33" t="s">
        <v>95</v>
      </c>
    </row>
    <row r="26" spans="2:7" hidden="1">
      <c r="B26" s="481">
        <f>ROW()</f>
        <v>26</v>
      </c>
      <c r="C26" s="42"/>
    </row>
    <row r="27" spans="2:7" hidden="1">
      <c r="B27" s="481">
        <f>ROW()</f>
        <v>27</v>
      </c>
      <c r="C27" s="253"/>
      <c r="D27" s="33" t="s">
        <v>96</v>
      </c>
    </row>
  </sheetData>
  <sheetProtection algorithmName="SHA-512" hashValue="IVv98LqZHKghUM4uqIscIixGicHoSmi2COnklFSfT9kB9H6kTK3xruKGueEMsAdvlCkG1ufDKO9pWV6RUcdTmA==" saltValue="0QaansQDeo/mJq/Cv822Hw==" spinCount="100000" sheet="1" objects="1" scenarios="1"/>
  <mergeCells count="9">
    <mergeCell ref="C19:G19"/>
    <mergeCell ref="C9:G9"/>
    <mergeCell ref="C17:G17"/>
    <mergeCell ref="F14:G14"/>
    <mergeCell ref="C15:D15"/>
    <mergeCell ref="F15:G15"/>
    <mergeCell ref="C16:D16"/>
    <mergeCell ref="F16:G16"/>
    <mergeCell ref="C18:G18"/>
  </mergeCells>
  <conditionalFormatting sqref="C11:C12">
    <cfRule type="cellIs" dxfId="80" priority="1" stopIfTrue="1" operator="equal">
      <formula>0</formula>
    </cfRule>
  </conditionalFormatting>
  <conditionalFormatting sqref="D23">
    <cfRule type="cellIs" dxfId="79" priority="9" stopIfTrue="1" operator="equal">
      <formula>0</formula>
    </cfRule>
  </conditionalFormatting>
  <conditionalFormatting sqref="F1">
    <cfRule type="expression" dxfId="78" priority="3" stopIfTrue="1">
      <formula>MOD(ROW(),2)=0</formula>
    </cfRule>
  </conditionalFormatting>
  <hyperlinks>
    <hyperlink ref="F1" location="HypLink1" display="HypLink1"/>
  </hyperlinks>
  <printOptions horizontalCentered="1"/>
  <pageMargins left="0.25" right="0.25" top="0.5" bottom="0.45"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59999389629810485"/>
  </sheetPr>
  <dimension ref="A1:S37"/>
  <sheetViews>
    <sheetView topLeftCell="A8" workbookViewId="0">
      <selection activeCell="C10" sqref="C10:C23"/>
    </sheetView>
  </sheetViews>
  <sheetFormatPr defaultRowHeight="15.6"/>
  <cols>
    <col min="1" max="1" width="6.21875" style="119" customWidth="1"/>
    <col min="2" max="2" width="31.77734375" style="119" customWidth="1"/>
    <col min="3" max="4" width="11.21875" style="119" bestFit="1" customWidth="1"/>
    <col min="10" max="10" width="14.77734375" customWidth="1"/>
    <col min="11" max="11" width="2.21875" customWidth="1"/>
    <col min="12" max="12" width="4.77734375" customWidth="1"/>
    <col min="13" max="13" width="47.77734375" style="1366" customWidth="1"/>
  </cols>
  <sheetData>
    <row r="1" spans="1:19">
      <c r="A1" s="21" t="s">
        <v>97</v>
      </c>
      <c r="B1" s="21"/>
      <c r="C1" s="21"/>
      <c r="D1" s="21"/>
      <c r="E1" s="21"/>
      <c r="F1" s="21"/>
    </row>
    <row r="2" spans="1:19">
      <c r="A2" s="1653" t="str">
        <f>SchoolName</f>
        <v>The Delta Academy</v>
      </c>
      <c r="B2" s="1653"/>
      <c r="C2" s="1653"/>
      <c r="D2" s="1653"/>
      <c r="E2" s="121"/>
      <c r="F2" s="121"/>
    </row>
    <row r="3" spans="1:19" ht="14.4">
      <c r="A3" s="375" t="s">
        <v>2</v>
      </c>
      <c r="B3" s="375"/>
      <c r="C3" s="375"/>
      <c r="D3" s="375"/>
    </row>
    <row r="4" spans="1:19" ht="14.4">
      <c r="A4" s="376" t="str">
        <f ca="1">CELL("filename")</f>
        <v>C:\Users\kyle.konold\Downloads\[FY25 Budget - Delta Academy_Final.xlsx]Form 1 Cover</v>
      </c>
      <c r="B4" s="376"/>
      <c r="C4" s="376"/>
      <c r="D4" s="376"/>
    </row>
    <row r="5" spans="1:19">
      <c r="A5" s="1313" t="s">
        <v>98</v>
      </c>
    </row>
    <row r="6" spans="1:19">
      <c r="C6" s="1359" t="s">
        <v>99</v>
      </c>
      <c r="D6" s="1359" t="s">
        <v>99</v>
      </c>
      <c r="E6" s="33"/>
      <c r="F6" s="33"/>
    </row>
    <row r="7" spans="1:19">
      <c r="B7" s="403"/>
      <c r="C7" s="1360" t="s">
        <v>100</v>
      </c>
      <c r="D7" s="1360" t="s">
        <v>101</v>
      </c>
      <c r="E7" s="690" t="s">
        <v>102</v>
      </c>
      <c r="F7" s="63"/>
      <c r="G7" s="404"/>
      <c r="H7" s="404"/>
      <c r="I7" s="404"/>
      <c r="J7" s="404"/>
      <c r="M7" s="1365" t="s">
        <v>103</v>
      </c>
    </row>
    <row r="8" spans="1:19" ht="18.600000000000001" customHeight="1">
      <c r="B8" s="1313" t="s">
        <v>104</v>
      </c>
      <c r="C8" s="1356" t="s">
        <v>105</v>
      </c>
      <c r="F8" s="401"/>
      <c r="G8" s="401"/>
      <c r="H8" s="401"/>
      <c r="I8" s="402"/>
      <c r="J8" s="402"/>
      <c r="M8" s="689"/>
      <c r="S8" s="453"/>
    </row>
    <row r="9" spans="1:19" ht="18.600000000000001" customHeight="1">
      <c r="A9" s="1352">
        <f>ROW()</f>
        <v>9</v>
      </c>
      <c r="B9" s="1539" t="s">
        <v>106</v>
      </c>
      <c r="C9" s="1615" t="s">
        <v>1659</v>
      </c>
      <c r="D9" s="1264"/>
      <c r="E9" s="1355" t="s">
        <v>107</v>
      </c>
      <c r="F9" s="1353"/>
      <c r="G9" s="1353"/>
      <c r="H9" s="1353"/>
      <c r="I9" s="1354"/>
      <c r="J9" s="1354"/>
      <c r="M9" s="689"/>
      <c r="S9" s="453"/>
    </row>
    <row r="10" spans="1:19" ht="18.600000000000001" customHeight="1">
      <c r="A10" s="1352">
        <f>ROW()</f>
        <v>10</v>
      </c>
      <c r="B10" s="1540" t="s">
        <v>108</v>
      </c>
      <c r="C10" s="1615" t="s">
        <v>1659</v>
      </c>
      <c r="D10" s="1264"/>
      <c r="E10" s="1616"/>
      <c r="F10" s="72"/>
      <c r="G10" s="72"/>
      <c r="H10" s="72"/>
      <c r="I10" s="374"/>
      <c r="J10" s="374"/>
      <c r="M10" s="689" t="s">
        <v>109</v>
      </c>
      <c r="S10" s="453"/>
    </row>
    <row r="11" spans="1:19" ht="18.600000000000001" customHeight="1">
      <c r="A11" s="1352">
        <f>ROW()</f>
        <v>11</v>
      </c>
      <c r="B11" s="1540" t="s">
        <v>110</v>
      </c>
      <c r="C11" s="1615" t="s">
        <v>1659</v>
      </c>
      <c r="D11" s="1264"/>
      <c r="E11" s="1617"/>
      <c r="G11" s="72"/>
      <c r="H11" s="72"/>
      <c r="I11" s="374"/>
      <c r="J11" s="374"/>
      <c r="M11" s="689"/>
      <c r="S11" s="453"/>
    </row>
    <row r="12" spans="1:19" ht="18.600000000000001" customHeight="1">
      <c r="A12" s="1352">
        <f>ROW()</f>
        <v>12</v>
      </c>
      <c r="B12" s="1540" t="s">
        <v>111</v>
      </c>
      <c r="C12" s="1615" t="s">
        <v>1659</v>
      </c>
      <c r="D12" s="1264"/>
      <c r="E12" s="1616" t="s">
        <v>112</v>
      </c>
      <c r="F12" s="72"/>
      <c r="G12" s="72"/>
      <c r="H12" s="72"/>
      <c r="I12" s="374"/>
      <c r="J12" s="374"/>
      <c r="M12" s="689"/>
      <c r="S12" s="453"/>
    </row>
    <row r="13" spans="1:19" ht="18.600000000000001" customHeight="1">
      <c r="A13" s="1352">
        <f>ROW()</f>
        <v>13</v>
      </c>
      <c r="B13" s="1540" t="s">
        <v>113</v>
      </c>
      <c r="C13" s="1615" t="s">
        <v>1659</v>
      </c>
      <c r="D13" s="1264"/>
      <c r="E13" s="1617"/>
      <c r="F13" s="72"/>
      <c r="G13" s="72"/>
      <c r="H13" s="72"/>
      <c r="I13" s="374"/>
      <c r="J13" s="374"/>
      <c r="M13" s="689"/>
      <c r="S13" s="453"/>
    </row>
    <row r="14" spans="1:19" ht="18.600000000000001" customHeight="1">
      <c r="A14" s="1352">
        <f>ROW()</f>
        <v>14</v>
      </c>
      <c r="B14" s="1540" t="s">
        <v>114</v>
      </c>
      <c r="C14" s="1615" t="s">
        <v>1659</v>
      </c>
      <c r="D14" s="1264"/>
      <c r="E14" s="1616" t="s">
        <v>115</v>
      </c>
      <c r="F14" s="72"/>
      <c r="G14" s="72"/>
      <c r="H14" s="72"/>
      <c r="I14" s="374"/>
      <c r="J14" s="374"/>
      <c r="M14" s="689"/>
      <c r="S14" s="453"/>
    </row>
    <row r="15" spans="1:19" ht="18.600000000000001" customHeight="1">
      <c r="A15" s="1352">
        <f>ROW()</f>
        <v>15</v>
      </c>
      <c r="B15" s="1540" t="s">
        <v>116</v>
      </c>
      <c r="C15" s="1615" t="s">
        <v>1659</v>
      </c>
      <c r="D15" s="1264"/>
      <c r="E15" s="1616" t="s">
        <v>117</v>
      </c>
      <c r="F15" s="72"/>
      <c r="G15" s="72"/>
      <c r="H15" s="72"/>
      <c r="I15" s="374"/>
      <c r="J15" s="374"/>
      <c r="M15" s="689"/>
      <c r="S15" s="453"/>
    </row>
    <row r="16" spans="1:19" ht="18.600000000000001" customHeight="1">
      <c r="A16" s="1352">
        <f>ROW()</f>
        <v>16</v>
      </c>
      <c r="B16" s="1540" t="s">
        <v>118</v>
      </c>
      <c r="C16" s="1615" t="s">
        <v>1659</v>
      </c>
      <c r="D16" s="1264"/>
      <c r="E16" s="1616" t="s">
        <v>119</v>
      </c>
      <c r="F16" s="72"/>
      <c r="G16" s="72"/>
      <c r="H16" s="72"/>
      <c r="I16" s="374"/>
      <c r="J16" s="374"/>
      <c r="M16" s="689"/>
      <c r="S16" s="453"/>
    </row>
    <row r="17" spans="1:19" ht="18.600000000000001" customHeight="1">
      <c r="A17" s="1352">
        <f>ROW()</f>
        <v>17</v>
      </c>
      <c r="B17" s="1540" t="s">
        <v>120</v>
      </c>
      <c r="C17" s="1615" t="s">
        <v>1659</v>
      </c>
      <c r="D17" s="1264"/>
      <c r="E17" s="1616" t="s">
        <v>121</v>
      </c>
      <c r="M17" s="689"/>
      <c r="S17" s="453"/>
    </row>
    <row r="18" spans="1:19" ht="21.75" customHeight="1">
      <c r="A18" s="1352">
        <f>ROW()</f>
        <v>18</v>
      </c>
      <c r="B18" s="1540" t="s">
        <v>122</v>
      </c>
      <c r="C18" s="1615" t="s">
        <v>1659</v>
      </c>
      <c r="D18" s="1264"/>
      <c r="E18" s="1616" t="s">
        <v>123</v>
      </c>
      <c r="F18" s="72"/>
      <c r="G18" s="72"/>
      <c r="H18" s="72"/>
      <c r="I18" s="374"/>
      <c r="J18" s="374"/>
      <c r="M18" s="689"/>
      <c r="S18" s="453"/>
    </row>
    <row r="19" spans="1:19" ht="18.600000000000001" customHeight="1">
      <c r="A19" s="1352">
        <f>ROW()</f>
        <v>19</v>
      </c>
      <c r="B19" s="1540" t="s">
        <v>124</v>
      </c>
      <c r="C19" s="1615" t="s">
        <v>1659</v>
      </c>
      <c r="D19" s="1264"/>
      <c r="E19" s="1616" t="s">
        <v>125</v>
      </c>
      <c r="F19" s="72"/>
      <c r="G19" s="72"/>
      <c r="H19" s="72"/>
      <c r="I19" s="374"/>
      <c r="J19" s="374"/>
      <c r="M19" s="689"/>
      <c r="S19" s="453"/>
    </row>
    <row r="20" spans="1:19" ht="33.6" customHeight="1">
      <c r="A20" s="1352">
        <f>ROW()</f>
        <v>20</v>
      </c>
      <c r="B20" s="1541" t="s">
        <v>126</v>
      </c>
      <c r="C20" s="1615" t="s">
        <v>1659</v>
      </c>
      <c r="D20" s="1264"/>
      <c r="E20" s="1616" t="s">
        <v>127</v>
      </c>
      <c r="F20" s="72"/>
      <c r="G20" s="72"/>
      <c r="H20" s="72"/>
      <c r="I20" s="374"/>
      <c r="J20" s="374"/>
      <c r="M20" s="689"/>
      <c r="S20" s="453"/>
    </row>
    <row r="21" spans="1:19">
      <c r="A21" s="1352">
        <f>ROW()</f>
        <v>21</v>
      </c>
      <c r="B21" s="1540" t="s">
        <v>128</v>
      </c>
      <c r="C21" s="1615" t="s">
        <v>1659</v>
      </c>
      <c r="D21" s="1264"/>
      <c r="E21" s="373" t="s">
        <v>129</v>
      </c>
      <c r="M21" s="689"/>
      <c r="S21" s="453"/>
    </row>
    <row r="22" spans="1:19" ht="18.600000000000001" customHeight="1">
      <c r="A22" s="1352">
        <f>ROW()</f>
        <v>22</v>
      </c>
      <c r="B22" s="1540" t="s">
        <v>130</v>
      </c>
      <c r="C22" s="1615" t="s">
        <v>1659</v>
      </c>
      <c r="D22" s="1264"/>
      <c r="E22" s="373" t="s">
        <v>131</v>
      </c>
      <c r="F22" s="72"/>
      <c r="G22" s="72"/>
      <c r="H22" s="72"/>
      <c r="I22" s="374"/>
      <c r="J22" s="374"/>
      <c r="M22" s="689"/>
      <c r="S22" s="453"/>
    </row>
    <row r="23" spans="1:19" ht="32.25" customHeight="1">
      <c r="A23" s="1352">
        <f>ROW()</f>
        <v>23</v>
      </c>
      <c r="B23" s="1540" t="s">
        <v>132</v>
      </c>
      <c r="C23" s="1615" t="s">
        <v>1659</v>
      </c>
      <c r="D23" s="1264"/>
      <c r="E23" s="1776" t="s">
        <v>133</v>
      </c>
      <c r="F23" s="1777"/>
      <c r="G23" s="1777"/>
      <c r="H23" s="1777"/>
      <c r="I23" s="1777"/>
      <c r="J23" s="1777"/>
      <c r="M23" s="689"/>
      <c r="S23" s="453"/>
    </row>
    <row r="24" spans="1:19" ht="18.600000000000001" customHeight="1">
      <c r="A24" s="1352">
        <f>ROW()</f>
        <v>24</v>
      </c>
      <c r="B24" s="1540" t="s">
        <v>134</v>
      </c>
      <c r="C24" s="1263" t="s">
        <v>135</v>
      </c>
      <c r="D24" s="1263" t="s">
        <v>135</v>
      </c>
      <c r="E24" s="373" t="s">
        <v>136</v>
      </c>
      <c r="F24" s="72"/>
      <c r="G24" s="72"/>
      <c r="H24" s="72"/>
      <c r="I24" s="374"/>
      <c r="J24" s="374"/>
      <c r="M24" s="689"/>
      <c r="S24" s="453"/>
    </row>
    <row r="25" spans="1:19" ht="18.600000000000001" customHeight="1">
      <c r="A25" s="1352">
        <f>ROW()</f>
        <v>25</v>
      </c>
      <c r="B25" s="1540" t="s">
        <v>137</v>
      </c>
      <c r="C25" s="1263" t="s">
        <v>135</v>
      </c>
      <c r="D25" s="1263" t="s">
        <v>135</v>
      </c>
      <c r="E25" s="373" t="s">
        <v>138</v>
      </c>
      <c r="F25" s="72"/>
      <c r="G25" s="72"/>
      <c r="H25" s="72"/>
      <c r="I25" s="374"/>
      <c r="J25" s="374"/>
      <c r="M25" s="689"/>
      <c r="S25" s="453"/>
    </row>
    <row r="26" spans="1:19" ht="18.600000000000001" customHeight="1">
      <c r="A26" s="1352">
        <f>ROW()</f>
        <v>26</v>
      </c>
      <c r="B26" s="1540" t="s">
        <v>139</v>
      </c>
      <c r="C26" s="1263" t="s">
        <v>135</v>
      </c>
      <c r="D26" s="1263" t="s">
        <v>135</v>
      </c>
      <c r="E26" s="371" t="s">
        <v>140</v>
      </c>
      <c r="F26" s="33"/>
      <c r="G26" s="33"/>
      <c r="H26" s="33"/>
      <c r="M26" s="689"/>
      <c r="S26" s="453"/>
    </row>
    <row r="27" spans="1:19" ht="18.600000000000001" customHeight="1">
      <c r="A27" s="1352">
        <f>ROW()</f>
        <v>27</v>
      </c>
      <c r="B27" s="1542" t="s">
        <v>66</v>
      </c>
      <c r="C27" s="1263" t="s">
        <v>135</v>
      </c>
      <c r="D27" s="1263" t="s">
        <v>135</v>
      </c>
      <c r="E27" s="371" t="s">
        <v>141</v>
      </c>
      <c r="F27" s="33"/>
      <c r="G27" s="33"/>
      <c r="H27" s="33"/>
      <c r="M27" s="689"/>
      <c r="S27" s="453"/>
    </row>
    <row r="28" spans="1:19" ht="18.600000000000001" customHeight="1">
      <c r="A28" s="1352">
        <f>ROW()</f>
        <v>28</v>
      </c>
      <c r="B28" s="1584" t="s">
        <v>142</v>
      </c>
      <c r="C28" s="1264"/>
      <c r="D28" s="1264"/>
      <c r="E28" s="371" t="s">
        <v>143</v>
      </c>
      <c r="S28" s="453"/>
    </row>
    <row r="29" spans="1:19" ht="18.600000000000001" customHeight="1">
      <c r="A29" s="1352">
        <f>ROW()</f>
        <v>29</v>
      </c>
      <c r="S29" s="453"/>
    </row>
    <row r="30" spans="1:19" ht="18.600000000000001" hidden="1" customHeight="1">
      <c r="A30" s="1352">
        <f>ROW()</f>
        <v>30</v>
      </c>
      <c r="B30" s="31" t="s">
        <v>92</v>
      </c>
      <c r="C30"/>
      <c r="D30"/>
      <c r="S30" s="453"/>
    </row>
    <row r="31" spans="1:19" hidden="1">
      <c r="A31" s="1352">
        <f>ROW()</f>
        <v>31</v>
      </c>
      <c r="B31" s="253"/>
      <c r="C31" s="97" t="s">
        <v>144</v>
      </c>
      <c r="D31"/>
      <c r="S31" s="453"/>
    </row>
    <row r="32" spans="1:19" hidden="1">
      <c r="A32" s="1352">
        <f>ROW()</f>
        <v>32</v>
      </c>
      <c r="B32" s="42"/>
      <c r="C32" s="80" t="s">
        <v>145</v>
      </c>
      <c r="D32"/>
      <c r="S32" s="453"/>
    </row>
    <row r="33" spans="1:19" hidden="1">
      <c r="A33" s="1352">
        <f>ROW()</f>
        <v>33</v>
      </c>
      <c r="B33" s="253"/>
      <c r="C33" s="33" t="s">
        <v>95</v>
      </c>
      <c r="D33"/>
      <c r="S33" s="453"/>
    </row>
    <row r="34" spans="1:19" hidden="1">
      <c r="A34" s="1352">
        <f>ROW()</f>
        <v>34</v>
      </c>
      <c r="B34" s="42"/>
      <c r="C34"/>
      <c r="D34"/>
      <c r="S34" s="453"/>
    </row>
    <row r="35" spans="1:19" hidden="1">
      <c r="A35" s="1352">
        <f>ROW()</f>
        <v>35</v>
      </c>
      <c r="B35" s="253"/>
      <c r="C35" s="33" t="s">
        <v>96</v>
      </c>
      <c r="D35"/>
    </row>
    <row r="36" spans="1:19" hidden="1"/>
    <row r="37" spans="1:19" hidden="1">
      <c r="B37" s="1290"/>
    </row>
  </sheetData>
  <sheetProtection algorithmName="SHA-512" hashValue="9WTdZc+EvlHUn9tcpz9C4BkXO9qD8vVNgw8wABe78YNp85nOkGn8irYqVyMP4rz6SDcCwnLd2ytmObdNHrHnUw==" saltValue="2xAaMhVIQJKayHnSQlV1FA==" spinCount="100000" sheet="1" objects="1" scenarios="1"/>
  <mergeCells count="1">
    <mergeCell ref="E23:J23"/>
  </mergeCells>
  <conditionalFormatting sqref="C31">
    <cfRule type="cellIs" dxfId="77" priority="1" stopIfTrue="1" operator="equal">
      <formula>0</formula>
    </cfRule>
  </conditionalFormatting>
  <conditionalFormatting sqref="C24:D27">
    <cfRule type="cellIs" dxfId="76" priority="2" stopIfTrue="1" operator="equal">
      <formula>0</formula>
    </cfRule>
  </conditionalFormatting>
  <hyperlinks>
    <hyperlink ref="B9" location="HypLink2" display="HypLink2"/>
    <hyperlink ref="B10" location="HypLink3" display="HypLink3"/>
    <hyperlink ref="B11" location="HypLink4" display="HypLink4"/>
    <hyperlink ref="B12" location="HypLink5" display="HypLink5"/>
    <hyperlink ref="B13" location="HypLink6" display="HypLink6"/>
    <hyperlink ref="B14" location="HypLink7" display="HypLink7"/>
    <hyperlink ref="B15" location="HypLink8" display="HypLink8"/>
    <hyperlink ref="B16" location="HypLink10" display="HypLink10"/>
    <hyperlink ref="B17" location="HypLink11" display="HypLink11"/>
    <hyperlink ref="B18" location="HypLink12" display="HypLink12"/>
    <hyperlink ref="B19" location="HypLink13" display="HypLink13"/>
    <hyperlink ref="B20" location="HypLink14" display="HypLink14"/>
    <hyperlink ref="B21" location="HypLink15" display="HypLink15"/>
    <hyperlink ref="B22" location="HypLink16" display="HypLink16"/>
    <hyperlink ref="B23" location="HypLink17" display="HypLink17"/>
    <hyperlink ref="B24" location="HypLink18" display="HypLink18"/>
    <hyperlink ref="B25" location="HypLink19" display="HypLink19"/>
    <hyperlink ref="B26" location="HypLink25" display="HypLink25"/>
    <hyperlink ref="B27" location="HypLink26" display="HypLink26"/>
  </hyperlinks>
  <pageMargins left="0.25" right="0.25" top="0.5" bottom="0.44999999999999996" header="0.25" footer="0.25"/>
  <pageSetup scale="98" orientation="landscape" r:id="rId1"/>
  <headerFooter>
    <oddHeader xml:space="preserve">&amp;L &amp;C &amp;R </oddHeader>
    <oddFooter>&amp;L&amp;7&amp;D  at &amp;T Mike 702.486.8879&amp;C&amp;7&amp;F  &amp;A&amp;R&amp;7Page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00FF"/>
  </sheetPr>
  <dimension ref="A1:T206"/>
  <sheetViews>
    <sheetView tabSelected="1" zoomScale="110" zoomScaleNormal="110" workbookViewId="0">
      <selection activeCell="G86" sqref="G86"/>
    </sheetView>
  </sheetViews>
  <sheetFormatPr defaultColWidth="7.77734375" defaultRowHeight="13.8" outlineLevelRow="1" outlineLevelCol="1"/>
  <cols>
    <col min="1" max="1" width="4.77734375" style="33" customWidth="1"/>
    <col min="2" max="2" width="32.77734375" style="33" customWidth="1"/>
    <col min="3" max="3" width="16.77734375" style="33" bestFit="1" customWidth="1"/>
    <col min="4" max="4" width="14.5546875" style="33" bestFit="1" customWidth="1"/>
    <col min="5" max="5" width="10.5546875" style="33" bestFit="1" customWidth="1"/>
    <col min="6" max="6" width="13.77734375" style="33" customWidth="1"/>
    <col min="7" max="8" width="13.44140625" style="33" bestFit="1" customWidth="1"/>
    <col min="9" max="12" width="14.5546875" style="33" bestFit="1" customWidth="1"/>
    <col min="13" max="13" width="2.5546875" style="33" customWidth="1"/>
    <col min="14" max="14" width="5.44140625" style="33" hidden="1" customWidth="1" outlineLevel="1"/>
    <col min="15" max="15" width="55.5546875" style="307" hidden="1" customWidth="1" outlineLevel="1"/>
    <col min="16" max="16" width="4.44140625" style="33" customWidth="1" collapsed="1"/>
    <col min="17" max="17" width="55.5546875" style="307" customWidth="1" outlineLevel="1"/>
    <col min="18" max="18" width="9.21875" style="33" customWidth="1"/>
    <col min="19" max="19" width="10.5546875" style="33" bestFit="1" customWidth="1"/>
    <col min="20" max="20" width="11.77734375" style="33" bestFit="1" customWidth="1"/>
    <col min="21" max="16384" width="7.77734375" style="33"/>
  </cols>
  <sheetData>
    <row r="1" spans="1:19" ht="17.399999999999999">
      <c r="A1" s="1308" t="s">
        <v>111</v>
      </c>
      <c r="B1" s="439"/>
      <c r="C1" s="409"/>
      <c r="D1" s="409"/>
      <c r="E1" s="407" t="s">
        <v>3</v>
      </c>
      <c r="K1" s="36"/>
      <c r="L1" s="407"/>
      <c r="P1" s="33" t="s">
        <v>146</v>
      </c>
      <c r="S1" s="90"/>
    </row>
    <row r="2" spans="1:19" ht="15.6">
      <c r="A2" s="114" t="str">
        <f>SchoolName</f>
        <v>The Delta Academy</v>
      </c>
      <c r="B2" s="38"/>
      <c r="C2" s="31"/>
      <c r="D2" s="31"/>
      <c r="G2" s="31"/>
      <c r="P2" s="33" t="s">
        <v>146</v>
      </c>
    </row>
    <row r="3" spans="1:19">
      <c r="A3" s="39" t="s">
        <v>2</v>
      </c>
      <c r="P3" s="33" t="s">
        <v>146</v>
      </c>
    </row>
    <row r="4" spans="1:19">
      <c r="A4" s="30" t="str">
        <f ca="1">CELL("filename")</f>
        <v>C:\Users\kyle.konold\Downloads\[FY25 Budget - Delta Academy_Final.xlsx]Form 1 Cover</v>
      </c>
      <c r="P4" s="33" t="s">
        <v>146</v>
      </c>
    </row>
    <row r="5" spans="1:19" ht="10.199999999999999" customHeight="1">
      <c r="P5" s="33" t="s">
        <v>146</v>
      </c>
    </row>
    <row r="6" spans="1:19">
      <c r="B6" s="31"/>
      <c r="C6" s="32"/>
      <c r="D6" s="32"/>
      <c r="E6" s="32"/>
      <c r="F6" s="860">
        <f>' Enrol &amp; Rev'!F9</f>
        <v>0</v>
      </c>
      <c r="G6" s="718">
        <f>' Enrol &amp; Rev'!G9</f>
        <v>1</v>
      </c>
      <c r="H6" s="718">
        <f>' Enrol &amp; Rev'!H9</f>
        <v>2</v>
      </c>
      <c r="I6" s="718">
        <f>' Enrol &amp; Rev'!I9</f>
        <v>3</v>
      </c>
      <c r="J6" s="718">
        <f>' Enrol &amp; Rev'!J9</f>
        <v>4</v>
      </c>
      <c r="K6" s="718">
        <f>' Enrol &amp; Rev'!K9</f>
        <v>5</v>
      </c>
      <c r="L6" s="1188">
        <f>' Enrol &amp; Rev'!L9</f>
        <v>6</v>
      </c>
      <c r="P6" s="33" t="s">
        <v>146</v>
      </c>
    </row>
    <row r="7" spans="1:19">
      <c r="B7" s="31"/>
      <c r="C7" s="32" t="s">
        <v>147</v>
      </c>
      <c r="D7" s="32"/>
      <c r="E7" s="32"/>
      <c r="F7" s="862">
        <f>' Enrol &amp; Rev'!F10</f>
        <v>2024</v>
      </c>
      <c r="G7" s="1614">
        <f>' Enrol &amp; Rev'!G10</f>
        <v>2025</v>
      </c>
      <c r="H7" s="720">
        <f>' Enrol &amp; Rev'!H10</f>
        <v>2026</v>
      </c>
      <c r="I7" s="720">
        <f>' Enrol &amp; Rev'!I10</f>
        <v>2027</v>
      </c>
      <c r="J7" s="720">
        <f>' Enrol &amp; Rev'!J10</f>
        <v>2028</v>
      </c>
      <c r="K7" s="720">
        <f>' Enrol &amp; Rev'!K10</f>
        <v>2029</v>
      </c>
      <c r="L7" s="721">
        <f>' Enrol &amp; Rev'!L10</f>
        <v>2030</v>
      </c>
      <c r="P7" s="33" t="s">
        <v>146</v>
      </c>
      <c r="Q7" s="1408"/>
    </row>
    <row r="8" spans="1:19">
      <c r="B8" s="1650" t="s">
        <v>148</v>
      </c>
      <c r="C8" s="57"/>
      <c r="D8" s="57"/>
      <c r="E8" s="57"/>
      <c r="F8" s="723">
        <f>' Enrol &amp; Rev'!F11</f>
        <v>2025</v>
      </c>
      <c r="G8" s="723">
        <f>' Enrol &amp; Rev'!G11</f>
        <v>2026</v>
      </c>
      <c r="H8" s="723">
        <f>' Enrol &amp; Rev'!H11</f>
        <v>2027</v>
      </c>
      <c r="I8" s="723">
        <f>' Enrol &amp; Rev'!I11</f>
        <v>2028</v>
      </c>
      <c r="J8" s="723">
        <f>' Enrol &amp; Rev'!J11</f>
        <v>2029</v>
      </c>
      <c r="K8" s="723">
        <f>' Enrol &amp; Rev'!K11</f>
        <v>2030</v>
      </c>
      <c r="L8" s="724">
        <f>' Enrol &amp; Rev'!L11</f>
        <v>2031</v>
      </c>
      <c r="O8" s="1365" t="s">
        <v>103</v>
      </c>
      <c r="P8" s="33" t="s">
        <v>146</v>
      </c>
      <c r="Q8" s="1582" t="s">
        <v>149</v>
      </c>
    </row>
    <row r="9" spans="1:19">
      <c r="A9" s="346">
        <f>ROW()</f>
        <v>9</v>
      </c>
      <c r="B9" s="410" t="s">
        <v>150</v>
      </c>
      <c r="C9" s="711">
        <f>MAX(F9:L9)</f>
        <v>2130.2752620215715</v>
      </c>
      <c r="D9" s="659"/>
      <c r="E9" s="32"/>
      <c r="F9" s="138">
        <f>+Statistics!F20</f>
        <v>0</v>
      </c>
      <c r="G9" s="138">
        <f>+Statistics!G20</f>
        <v>1595</v>
      </c>
      <c r="H9" s="138">
        <f>+Statistics!H20</f>
        <v>1688</v>
      </c>
      <c r="I9" s="138">
        <f>+Statistics!I20</f>
        <v>1788.6201881600005</v>
      </c>
      <c r="J9" s="138">
        <f>+Statistics!J20</f>
        <v>1895.9373994496007</v>
      </c>
      <c r="K9" s="138">
        <f>+Statistics!K20</f>
        <v>2009.6936434165768</v>
      </c>
      <c r="L9" s="138">
        <f>+Statistics!L20</f>
        <v>2130.2752620215715</v>
      </c>
      <c r="M9" s="32"/>
      <c r="O9" s="462"/>
      <c r="P9" s="33" t="s">
        <v>146</v>
      </c>
      <c r="Q9" s="462"/>
    </row>
    <row r="10" spans="1:19">
      <c r="A10" s="346">
        <f>ROW()</f>
        <v>10</v>
      </c>
      <c r="B10" s="411" t="s">
        <v>151</v>
      </c>
      <c r="C10" s="711">
        <f>MAX(F10:L10)</f>
        <v>53</v>
      </c>
      <c r="D10" s="659"/>
      <c r="E10" s="32"/>
      <c r="F10" s="629">
        <f>+Statistics!F21</f>
        <v>0</v>
      </c>
      <c r="G10" s="629">
        <f>+Statistics!G21</f>
        <v>46</v>
      </c>
      <c r="H10" s="629">
        <f>+Statistics!H21</f>
        <v>47</v>
      </c>
      <c r="I10" s="629">
        <f>+Statistics!I21</f>
        <v>47</v>
      </c>
      <c r="J10" s="629">
        <f>+Statistics!J21</f>
        <v>51</v>
      </c>
      <c r="K10" s="629">
        <f>+Statistics!K21</f>
        <v>51</v>
      </c>
      <c r="L10" s="629">
        <f>+Statistics!L21</f>
        <v>53</v>
      </c>
      <c r="M10" s="32"/>
      <c r="O10" s="343"/>
      <c r="P10" s="33" t="s">
        <v>146</v>
      </c>
      <c r="Q10" s="343"/>
    </row>
    <row r="11" spans="1:19">
      <c r="A11" s="346">
        <f>ROW()</f>
        <v>11</v>
      </c>
      <c r="B11" s="411" t="s">
        <v>152</v>
      </c>
      <c r="C11" s="711"/>
      <c r="D11" s="659"/>
      <c r="E11" s="32"/>
      <c r="F11" s="138">
        <f>+Facilities!F11</f>
        <v>41294</v>
      </c>
      <c r="G11" s="138">
        <f>+Facilities!G11</f>
        <v>41294</v>
      </c>
      <c r="H11" s="138">
        <f>+Facilities!H11</f>
        <v>41294</v>
      </c>
      <c r="I11" s="138">
        <f>+Facilities!I11</f>
        <v>41294</v>
      </c>
      <c r="J11" s="138">
        <f>+Facilities!J11</f>
        <v>41294</v>
      </c>
      <c r="K11" s="138">
        <f>+Facilities!K11</f>
        <v>41294</v>
      </c>
      <c r="L11" s="138">
        <f>+Facilities!L11</f>
        <v>41294</v>
      </c>
      <c r="M11" s="32"/>
      <c r="O11" s="913" t="s">
        <v>153</v>
      </c>
      <c r="Q11" s="913"/>
    </row>
    <row r="12" spans="1:19">
      <c r="A12" s="346">
        <f>ROW()</f>
        <v>12</v>
      </c>
      <c r="B12" s="411" t="s">
        <v>154</v>
      </c>
      <c r="C12" s="711"/>
      <c r="D12" s="659"/>
      <c r="E12" s="32"/>
      <c r="F12" s="138">
        <f>IFERROR(F11/F9,0)</f>
        <v>0</v>
      </c>
      <c r="G12" s="1565">
        <f t="shared" ref="G12" si="0">IFERROR(G11/G9,0)</f>
        <v>25.889655172413793</v>
      </c>
      <c r="H12" s="1565">
        <f t="shared" ref="H12" si="1">IFERROR(H11/H9,0)</f>
        <v>24.463270142180093</v>
      </c>
      <c r="I12" s="1565">
        <f t="shared" ref="I12" si="2">IFERROR(I11/I9,0)</f>
        <v>23.087070286554351</v>
      </c>
      <c r="J12" s="1565">
        <f t="shared" ref="J12" si="3">IFERROR(J11/J9,0)</f>
        <v>21.780254987315423</v>
      </c>
      <c r="K12" s="1565">
        <f t="shared" ref="K12" si="4">IFERROR(K11/K9,0)</f>
        <v>20.547410365391908</v>
      </c>
      <c r="L12" s="1565">
        <f t="shared" ref="L12" si="5">IFERROR(L11/L9,0)</f>
        <v>19.38434940131312</v>
      </c>
      <c r="M12" s="32"/>
      <c r="O12" s="343"/>
      <c r="P12" s="33" t="s">
        <v>146</v>
      </c>
      <c r="Q12" s="343"/>
    </row>
    <row r="13" spans="1:19">
      <c r="A13" s="346">
        <f>ROW()</f>
        <v>13</v>
      </c>
      <c r="B13" s="411"/>
      <c r="C13" s="711"/>
      <c r="D13" s="659"/>
      <c r="E13" s="32"/>
      <c r="F13" s="138"/>
      <c r="G13" s="138"/>
      <c r="H13" s="138"/>
      <c r="I13" s="138"/>
      <c r="J13" s="138"/>
      <c r="K13" s="138"/>
      <c r="L13" s="138"/>
      <c r="M13" s="32"/>
      <c r="O13" s="343"/>
      <c r="Q13" s="343"/>
    </row>
    <row r="14" spans="1:19" ht="17.399999999999999">
      <c r="A14" s="346">
        <f>ROW()</f>
        <v>14</v>
      </c>
      <c r="B14" s="946" t="s">
        <v>155</v>
      </c>
      <c r="C14" s="947" t="s">
        <v>156</v>
      </c>
      <c r="D14" s="947" t="s">
        <v>157</v>
      </c>
      <c r="E14" s="948" t="s">
        <v>158</v>
      </c>
      <c r="F14" s="949">
        <f t="shared" ref="F14:L14" si="6">+F6</f>
        <v>0</v>
      </c>
      <c r="G14" s="949">
        <f t="shared" si="6"/>
        <v>1</v>
      </c>
      <c r="H14" s="949">
        <f t="shared" si="6"/>
        <v>2</v>
      </c>
      <c r="I14" s="949">
        <f t="shared" si="6"/>
        <v>3</v>
      </c>
      <c r="J14" s="949">
        <f t="shared" si="6"/>
        <v>4</v>
      </c>
      <c r="K14" s="949">
        <f t="shared" si="6"/>
        <v>5</v>
      </c>
      <c r="L14" s="949">
        <f t="shared" si="6"/>
        <v>6</v>
      </c>
      <c r="M14" s="99"/>
      <c r="O14" s="343"/>
      <c r="P14" s="33" t="s">
        <v>146</v>
      </c>
      <c r="Q14" s="343"/>
    </row>
    <row r="15" spans="1:19">
      <c r="A15" s="346">
        <f>ROW()</f>
        <v>15</v>
      </c>
      <c r="B15" s="33" t="s">
        <v>159</v>
      </c>
      <c r="C15" s="247">
        <f t="shared" ref="C15:C34" si="7">SUM(F15:L15)</f>
        <v>107268738.71714175</v>
      </c>
      <c r="D15" s="247">
        <f t="shared" ref="D15:D34" si="8">AVERAGE(G15:L15)</f>
        <v>17878123.119523626</v>
      </c>
      <c r="E15" s="413">
        <f t="shared" ref="E15:E35" si="9">IFERROR(+D15/$D$35,0)</f>
        <v>0.94665797525229978</v>
      </c>
      <c r="F15" s="575">
        <f>+' Enrol &amp; Rev'!F119-' Enrol &amp; Rev'!G116</f>
        <v>0</v>
      </c>
      <c r="G15" s="575">
        <f>+' Enrol &amp; Rev'!G119-' Enrol &amp; Rev'!G116</f>
        <v>15288147.720000001</v>
      </c>
      <c r="H15" s="575">
        <f>+' Enrol &amp; Rev'!H119-' Enrol &amp; Rev'!H116</f>
        <v>16322316.06800412</v>
      </c>
      <c r="I15" s="575">
        <f>+' Enrol &amp; Rev'!I119-' Enrol &amp; Rev'!I116</f>
        <v>17294920.035244074</v>
      </c>
      <c r="J15" s="575">
        <f>+' Enrol &amp; Rev'!J119-' Enrol &amp; Rev'!J116</f>
        <v>18332502.479549423</v>
      </c>
      <c r="K15" s="575">
        <f>+' Enrol &amp; Rev'!K119-' Enrol &amp; Rev'!K116</f>
        <v>19432452.628322393</v>
      </c>
      <c r="L15" s="575">
        <f>+' Enrol &amp; Rev'!L119-' Enrol &amp; Rev'!L116</f>
        <v>20598399.786021736</v>
      </c>
      <c r="M15" s="412"/>
      <c r="O15" s="343"/>
      <c r="P15" s="33" t="s">
        <v>146</v>
      </c>
      <c r="Q15" s="343" t="s">
        <v>1608</v>
      </c>
    </row>
    <row r="16" spans="1:19">
      <c r="A16" s="346">
        <f>ROW()</f>
        <v>16</v>
      </c>
      <c r="B16" s="33" t="s">
        <v>160</v>
      </c>
      <c r="C16" s="54">
        <f t="shared" si="7"/>
        <v>-1307078.1800693939</v>
      </c>
      <c r="D16" s="54">
        <f t="shared" si="8"/>
        <v>-217846.363344899</v>
      </c>
      <c r="E16" s="994">
        <f t="shared" si="9"/>
        <v>-1.1535103313778607E-2</v>
      </c>
      <c r="F16" s="100">
        <f>+' Enrol &amp; Rev'!F120</f>
        <v>0</v>
      </c>
      <c r="G16" s="100">
        <f>+' Enrol &amp; Rev'!G120</f>
        <v>-187691.625</v>
      </c>
      <c r="H16" s="100">
        <f>+' Enrol &amp; Rev'!H120</f>
        <v>-198635.40000000002</v>
      </c>
      <c r="I16" s="100">
        <f>+' Enrol &amp; Rev'!I120</f>
        <v>-210475.88064172806</v>
      </c>
      <c r="J16" s="100">
        <f>+' Enrol &amp; Rev'!J120</f>
        <v>-223104.43348023176</v>
      </c>
      <c r="K16" s="100">
        <f>+' Enrol &amp; Rev'!K120</f>
        <v>-236490.69948904571</v>
      </c>
      <c r="L16" s="100">
        <f>+' Enrol &amp; Rev'!L120</f>
        <v>-250680.14145838842</v>
      </c>
      <c r="M16" s="54"/>
      <c r="O16" s="343"/>
      <c r="P16" s="33" t="s">
        <v>146</v>
      </c>
      <c r="Q16" s="343" t="s">
        <v>1609</v>
      </c>
    </row>
    <row r="17" spans="1:17">
      <c r="A17" s="346">
        <f>ROW()</f>
        <v>17</v>
      </c>
      <c r="B17" s="33" t="s">
        <v>161</v>
      </c>
      <c r="C17" s="54">
        <f t="shared" si="7"/>
        <v>0</v>
      </c>
      <c r="D17" s="54">
        <f t="shared" si="8"/>
        <v>0</v>
      </c>
      <c r="E17" s="413">
        <f t="shared" si="9"/>
        <v>0</v>
      </c>
      <c r="F17" s="100">
        <f>' Enrol &amp; Rev'!F125</f>
        <v>0</v>
      </c>
      <c r="G17" s="100">
        <f>' Enrol &amp; Rev'!G125</f>
        <v>0</v>
      </c>
      <c r="H17" s="100">
        <f>' Enrol &amp; Rev'!H125</f>
        <v>0</v>
      </c>
      <c r="I17" s="100">
        <f>' Enrol &amp; Rev'!I125</f>
        <v>0</v>
      </c>
      <c r="J17" s="100">
        <f>' Enrol &amp; Rev'!J125</f>
        <v>0</v>
      </c>
      <c r="K17" s="100">
        <f>' Enrol &amp; Rev'!K125</f>
        <v>0</v>
      </c>
      <c r="L17" s="100">
        <f>' Enrol &amp; Rev'!L125</f>
        <v>0</v>
      </c>
      <c r="M17" s="54"/>
      <c r="O17" s="343"/>
      <c r="P17" s="33" t="s">
        <v>146</v>
      </c>
      <c r="Q17" s="343"/>
    </row>
    <row r="18" spans="1:17">
      <c r="A18" s="346">
        <f>ROW()</f>
        <v>18</v>
      </c>
      <c r="B18" s="33" t="s">
        <v>162</v>
      </c>
      <c r="C18" s="54">
        <f t="shared" si="7"/>
        <v>38876.342725667128</v>
      </c>
      <c r="D18" s="54">
        <f t="shared" si="8"/>
        <v>6479.3904542778546</v>
      </c>
      <c r="E18" s="413">
        <f t="shared" si="9"/>
        <v>3.4308784022286064E-4</v>
      </c>
      <c r="F18" s="100">
        <f>' Enrol &amp; Rev'!F126+' Enrol &amp; Rev'!F127</f>
        <v>0</v>
      </c>
      <c r="G18" s="100">
        <f>' Enrol &amp; Rev'!G126+' Enrol &amp; Rev'!G127</f>
        <v>5582.5</v>
      </c>
      <c r="H18" s="100">
        <f>' Enrol &amp; Rev'!H126+' Enrol &amp; Rev'!H127</f>
        <v>5908</v>
      </c>
      <c r="I18" s="100">
        <f>' Enrol &amp; Rev'!I126+' Enrol &amp; Rev'!I127</f>
        <v>6260.1706585600014</v>
      </c>
      <c r="J18" s="100">
        <f>' Enrol &amp; Rev'!J126+' Enrol &amp; Rev'!J127</f>
        <v>6635.7808980736027</v>
      </c>
      <c r="K18" s="100">
        <f>' Enrol &amp; Rev'!K126+' Enrol &amp; Rev'!K127</f>
        <v>7033.9277519580191</v>
      </c>
      <c r="L18" s="100">
        <f>' Enrol &amp; Rev'!L126+' Enrol &amp; Rev'!L127</f>
        <v>7455.9634170754998</v>
      </c>
      <c r="M18" s="54"/>
      <c r="O18" s="343"/>
      <c r="P18" s="33" t="s">
        <v>146</v>
      </c>
      <c r="Q18" s="343"/>
    </row>
    <row r="19" spans="1:17">
      <c r="A19" s="346">
        <f>ROW()</f>
        <v>19</v>
      </c>
      <c r="B19" s="33" t="s">
        <v>163</v>
      </c>
      <c r="C19" s="54">
        <f t="shared" si="7"/>
        <v>0</v>
      </c>
      <c r="D19" s="54">
        <f t="shared" si="8"/>
        <v>0</v>
      </c>
      <c r="E19" s="413">
        <f t="shared" si="9"/>
        <v>0</v>
      </c>
      <c r="F19" s="100">
        <f>' Enrol &amp; Rev'!F128</f>
        <v>0</v>
      </c>
      <c r="G19" s="100">
        <f>' Enrol &amp; Rev'!G128</f>
        <v>0</v>
      </c>
      <c r="H19" s="100">
        <f>' Enrol &amp; Rev'!H128</f>
        <v>0</v>
      </c>
      <c r="I19" s="100">
        <f>' Enrol &amp; Rev'!I128</f>
        <v>0</v>
      </c>
      <c r="J19" s="100">
        <f>' Enrol &amp; Rev'!J128</f>
        <v>0</v>
      </c>
      <c r="K19" s="100">
        <f>' Enrol &amp; Rev'!K128</f>
        <v>0</v>
      </c>
      <c r="L19" s="100">
        <f>' Enrol &amp; Rev'!L128</f>
        <v>0</v>
      </c>
      <c r="M19" s="54"/>
      <c r="O19" s="343"/>
      <c r="P19" s="33" t="s">
        <v>146</v>
      </c>
      <c r="Q19" s="343"/>
    </row>
    <row r="20" spans="1:17">
      <c r="A20" s="346">
        <f>ROW()</f>
        <v>20</v>
      </c>
      <c r="B20" s="33" t="s">
        <v>164</v>
      </c>
      <c r="C20" s="54">
        <f t="shared" si="7"/>
        <v>0</v>
      </c>
      <c r="D20" s="54">
        <f t="shared" si="8"/>
        <v>0</v>
      </c>
      <c r="E20" s="413">
        <f t="shared" si="9"/>
        <v>0</v>
      </c>
      <c r="F20" s="100">
        <f>' Enrol &amp; Rev'!F129</f>
        <v>0</v>
      </c>
      <c r="G20" s="100">
        <f>' Enrol &amp; Rev'!G129</f>
        <v>0</v>
      </c>
      <c r="H20" s="100">
        <f>' Enrol &amp; Rev'!H129</f>
        <v>0</v>
      </c>
      <c r="I20" s="100">
        <f>' Enrol &amp; Rev'!I129</f>
        <v>0</v>
      </c>
      <c r="J20" s="100">
        <f>' Enrol &amp; Rev'!J129</f>
        <v>0</v>
      </c>
      <c r="K20" s="100">
        <f>' Enrol &amp; Rev'!K129</f>
        <v>0</v>
      </c>
      <c r="L20" s="100">
        <f>' Enrol &amp; Rev'!L129</f>
        <v>0</v>
      </c>
      <c r="M20" s="54"/>
      <c r="O20" s="343"/>
      <c r="P20" s="33" t="s">
        <v>146</v>
      </c>
      <c r="Q20" s="343"/>
    </row>
    <row r="21" spans="1:17">
      <c r="A21" s="346">
        <f>ROW()</f>
        <v>21</v>
      </c>
      <c r="B21" s="33" t="s">
        <v>165</v>
      </c>
      <c r="C21" s="54">
        <f t="shared" si="7"/>
        <v>0</v>
      </c>
      <c r="D21" s="54">
        <f t="shared" si="8"/>
        <v>0</v>
      </c>
      <c r="E21" s="413">
        <f t="shared" si="9"/>
        <v>0</v>
      </c>
      <c r="F21" s="100">
        <f>' Enrol &amp; Rev'!F130</f>
        <v>0</v>
      </c>
      <c r="G21" s="100">
        <f>' Enrol &amp; Rev'!G130</f>
        <v>0</v>
      </c>
      <c r="H21" s="100">
        <f>' Enrol &amp; Rev'!H130</f>
        <v>0</v>
      </c>
      <c r="I21" s="100">
        <f>' Enrol &amp; Rev'!I130</f>
        <v>0</v>
      </c>
      <c r="J21" s="100">
        <f>' Enrol &amp; Rev'!J130</f>
        <v>0</v>
      </c>
      <c r="K21" s="100">
        <f>' Enrol &amp; Rev'!K130</f>
        <v>0</v>
      </c>
      <c r="L21" s="100">
        <f>' Enrol &amp; Rev'!L130</f>
        <v>0</v>
      </c>
      <c r="M21" s="54"/>
      <c r="O21" s="343"/>
      <c r="P21" s="33" t="s">
        <v>146</v>
      </c>
      <c r="Q21" s="343"/>
    </row>
    <row r="22" spans="1:17">
      <c r="A22" s="346">
        <f>ROW()</f>
        <v>22</v>
      </c>
      <c r="B22" s="33" t="s">
        <v>166</v>
      </c>
      <c r="C22" s="54">
        <f t="shared" si="7"/>
        <v>0</v>
      </c>
      <c r="D22" s="54">
        <f t="shared" si="8"/>
        <v>0</v>
      </c>
      <c r="E22" s="413">
        <f t="shared" si="9"/>
        <v>0</v>
      </c>
      <c r="F22" s="100">
        <f>' Enrol &amp; Rev'!F131</f>
        <v>0</v>
      </c>
      <c r="G22" s="100">
        <f>' Enrol &amp; Rev'!G131</f>
        <v>0</v>
      </c>
      <c r="H22" s="100">
        <f>' Enrol &amp; Rev'!H131</f>
        <v>0</v>
      </c>
      <c r="I22" s="100">
        <f>' Enrol &amp; Rev'!I131</f>
        <v>0</v>
      </c>
      <c r="J22" s="100">
        <f>' Enrol &amp; Rev'!J131</f>
        <v>0</v>
      </c>
      <c r="K22" s="100">
        <f>' Enrol &amp; Rev'!K131</f>
        <v>0</v>
      </c>
      <c r="L22" s="100">
        <f>' Enrol &amp; Rev'!L131</f>
        <v>0</v>
      </c>
      <c r="M22" s="54"/>
      <c r="O22" s="343"/>
      <c r="P22" s="33" t="s">
        <v>146</v>
      </c>
      <c r="Q22" s="343"/>
    </row>
    <row r="23" spans="1:17">
      <c r="A23" s="346">
        <f>ROW()</f>
        <v>23</v>
      </c>
      <c r="B23" s="33" t="s">
        <v>167</v>
      </c>
      <c r="C23" s="54">
        <f t="shared" si="7"/>
        <v>1227937.0538064288</v>
      </c>
      <c r="D23" s="54">
        <f t="shared" si="8"/>
        <v>204656.17563440479</v>
      </c>
      <c r="E23" s="413">
        <f t="shared" si="9"/>
        <v>1.0836674496182069E-2</v>
      </c>
      <c r="F23" s="100">
        <f>' Enrol &amp; Rev'!F132</f>
        <v>0</v>
      </c>
      <c r="G23" s="100">
        <f>' Enrol &amp; Rev'!G132</f>
        <v>176327.25</v>
      </c>
      <c r="H23" s="100">
        <f>' Enrol &amp; Rev'!H132</f>
        <v>186608.4</v>
      </c>
      <c r="I23" s="100">
        <f>' Enrol &amp; Rev'!I132</f>
        <v>197731.96180108807</v>
      </c>
      <c r="J23" s="100">
        <f>' Enrol &amp; Rev'!J132</f>
        <v>209595.87950915334</v>
      </c>
      <c r="K23" s="100">
        <f>' Enrol &amp; Rev'!K132</f>
        <v>222171.63227970258</v>
      </c>
      <c r="L23" s="100">
        <f>' Enrol &amp; Rev'!L132</f>
        <v>235501.93021648473</v>
      </c>
      <c r="M23" s="54"/>
      <c r="O23" s="343"/>
      <c r="P23" s="33" t="s">
        <v>146</v>
      </c>
      <c r="Q23" s="343"/>
    </row>
    <row r="24" spans="1:17">
      <c r="A24" s="346">
        <f>ROW()</f>
        <v>24</v>
      </c>
      <c r="B24" s="33" t="s">
        <v>168</v>
      </c>
      <c r="C24" s="54">
        <f t="shared" si="7"/>
        <v>3796928.4081625221</v>
      </c>
      <c r="D24" s="54">
        <f t="shared" si="8"/>
        <v>632821.40136042039</v>
      </c>
      <c r="E24" s="413">
        <f t="shared" si="9"/>
        <v>3.3508295166284827E-2</v>
      </c>
      <c r="F24" s="100">
        <f>' Enrol &amp; Rev'!F116</f>
        <v>0</v>
      </c>
      <c r="G24" s="100">
        <f>' Enrol &amp; Rev'!G116</f>
        <v>0</v>
      </c>
      <c r="H24" s="100">
        <f>' Enrol &amp; Rev'!H116</f>
        <v>674605.25</v>
      </c>
      <c r="I24" s="100">
        <f>' Enrol &amp; Rev'!I116</f>
        <v>713939.6</v>
      </c>
      <c r="J24" s="100">
        <f>' Enrol &amp; Rev'!J116</f>
        <v>756496.90858227224</v>
      </c>
      <c r="K24" s="100">
        <f>' Enrol &amp; Rev'!K116</f>
        <v>801886.72309720854</v>
      </c>
      <c r="L24" s="100">
        <f>' Enrol &amp; Rev'!L116</f>
        <v>849999.92648304126</v>
      </c>
      <c r="M24" s="54"/>
      <c r="O24" s="343"/>
      <c r="P24" s="33" t="s">
        <v>146</v>
      </c>
      <c r="Q24" s="343"/>
    </row>
    <row r="25" spans="1:17">
      <c r="A25" s="346">
        <f>ROW()</f>
        <v>25</v>
      </c>
      <c r="B25" s="33" t="s">
        <v>169</v>
      </c>
      <c r="C25" s="54">
        <f t="shared" si="7"/>
        <v>0</v>
      </c>
      <c r="D25" s="54">
        <f t="shared" si="8"/>
        <v>0</v>
      </c>
      <c r="E25" s="413">
        <f t="shared" si="9"/>
        <v>0</v>
      </c>
      <c r="F25" s="100">
        <f>' Enrol &amp; Rev'!F133</f>
        <v>0</v>
      </c>
      <c r="G25" s="100">
        <f>' Enrol &amp; Rev'!G133</f>
        <v>0</v>
      </c>
      <c r="H25" s="100">
        <f>' Enrol &amp; Rev'!H133</f>
        <v>0</v>
      </c>
      <c r="I25" s="100">
        <f>' Enrol &amp; Rev'!I133</f>
        <v>0</v>
      </c>
      <c r="J25" s="100">
        <f>' Enrol &amp; Rev'!J133</f>
        <v>0</v>
      </c>
      <c r="K25" s="100">
        <f>' Enrol &amp; Rev'!K133</f>
        <v>0</v>
      </c>
      <c r="L25" s="100">
        <f>' Enrol &amp; Rev'!L133</f>
        <v>0</v>
      </c>
      <c r="M25" s="54"/>
      <c r="O25" s="343" t="s">
        <v>170</v>
      </c>
      <c r="P25" s="33" t="s">
        <v>146</v>
      </c>
      <c r="Q25" s="343"/>
    </row>
    <row r="26" spans="1:17">
      <c r="A26" s="346">
        <f>ROW()</f>
        <v>26</v>
      </c>
      <c r="B26" s="33" t="str">
        <f>+' Enrol &amp; Rev'!B134</f>
        <v>Charter School Program (CSP) Grant (w/letter)</v>
      </c>
      <c r="C26" s="54">
        <f t="shared" si="7"/>
        <v>0</v>
      </c>
      <c r="D26" s="54">
        <f t="shared" si="8"/>
        <v>0</v>
      </c>
      <c r="E26" s="413">
        <f t="shared" si="9"/>
        <v>0</v>
      </c>
      <c r="F26" s="100">
        <f>' Enrol &amp; Rev'!F134</f>
        <v>0</v>
      </c>
      <c r="G26" s="100">
        <f>' Enrol &amp; Rev'!G134</f>
        <v>0</v>
      </c>
      <c r="H26" s="100">
        <f>' Enrol &amp; Rev'!H134</f>
        <v>0</v>
      </c>
      <c r="I26" s="100">
        <f>' Enrol &amp; Rev'!I134</f>
        <v>0</v>
      </c>
      <c r="J26" s="100">
        <f>' Enrol &amp; Rev'!J134</f>
        <v>0</v>
      </c>
      <c r="K26" s="100">
        <f>' Enrol &amp; Rev'!K134</f>
        <v>0</v>
      </c>
      <c r="L26" s="100">
        <f>' Enrol &amp; Rev'!L134</f>
        <v>0</v>
      </c>
      <c r="M26" s="54"/>
      <c r="O26" s="343" t="s">
        <v>170</v>
      </c>
      <c r="Q26" s="343"/>
    </row>
    <row r="27" spans="1:17">
      <c r="A27" s="346">
        <f>ROW()</f>
        <v>27</v>
      </c>
      <c r="B27" s="33" t="s">
        <v>171</v>
      </c>
      <c r="C27" s="54">
        <f t="shared" si="7"/>
        <v>0</v>
      </c>
      <c r="D27" s="54">
        <f t="shared" si="8"/>
        <v>0</v>
      </c>
      <c r="E27" s="413">
        <f t="shared" si="9"/>
        <v>0</v>
      </c>
      <c r="F27" s="100">
        <f>' Enrol &amp; Rev'!F135</f>
        <v>0</v>
      </c>
      <c r="G27" s="100">
        <f>' Enrol &amp; Rev'!G135</f>
        <v>0</v>
      </c>
      <c r="H27" s="100">
        <f>' Enrol &amp; Rev'!H135</f>
        <v>0</v>
      </c>
      <c r="I27" s="100">
        <f>' Enrol &amp; Rev'!I135</f>
        <v>0</v>
      </c>
      <c r="J27" s="100">
        <f>' Enrol &amp; Rev'!J135</f>
        <v>0</v>
      </c>
      <c r="K27" s="100">
        <f>' Enrol &amp; Rev'!K135</f>
        <v>0</v>
      </c>
      <c r="L27" s="100">
        <f>' Enrol &amp; Rev'!L135</f>
        <v>0</v>
      </c>
      <c r="M27" s="54"/>
      <c r="O27" s="343" t="s">
        <v>170</v>
      </c>
      <c r="P27" s="33" t="s">
        <v>146</v>
      </c>
      <c r="Q27" s="343"/>
    </row>
    <row r="28" spans="1:17">
      <c r="A28" s="346">
        <f>ROW()</f>
        <v>28</v>
      </c>
      <c r="B28" s="33" t="s">
        <v>172</v>
      </c>
      <c r="C28" s="54">
        <f t="shared" si="7"/>
        <v>2017685.9344426962</v>
      </c>
      <c r="D28" s="54">
        <f t="shared" si="8"/>
        <v>336280.98907378269</v>
      </c>
      <c r="E28" s="413">
        <f t="shared" si="9"/>
        <v>1.7806291975066696E-2</v>
      </c>
      <c r="F28" s="100">
        <f>' Enrol &amp; Rev'!F137</f>
        <v>0</v>
      </c>
      <c r="G28" s="100">
        <f>' Enrol &amp; Rev'!G137</f>
        <v>278880</v>
      </c>
      <c r="H28" s="100">
        <f>' Enrol &amp; Rev'!H137</f>
        <v>299712</v>
      </c>
      <c r="I28" s="100">
        <f>' Enrol &amp; Rev'!I137</f>
        <v>322250.92214784009</v>
      </c>
      <c r="J28" s="100">
        <f>' Enrol &amp; Rev'!J137</f>
        <v>346289.97747671057</v>
      </c>
      <c r="K28" s="100">
        <f>' Enrol &amp; Rev'!K137</f>
        <v>371771.37612531323</v>
      </c>
      <c r="L28" s="100">
        <f>' Enrol &amp; Rev'!L137</f>
        <v>398781.65869283199</v>
      </c>
      <c r="M28" s="54"/>
      <c r="O28" s="343"/>
      <c r="P28" s="33" t="s">
        <v>146</v>
      </c>
      <c r="Q28" s="343"/>
    </row>
    <row r="29" spans="1:17">
      <c r="A29" s="346">
        <f>ROW()</f>
        <v>29</v>
      </c>
      <c r="B29" s="33" t="s">
        <v>173</v>
      </c>
      <c r="C29" s="54">
        <f t="shared" si="7"/>
        <v>0</v>
      </c>
      <c r="D29" s="54">
        <f t="shared" si="8"/>
        <v>0</v>
      </c>
      <c r="E29" s="413">
        <f t="shared" si="9"/>
        <v>0</v>
      </c>
      <c r="F29" s="100">
        <f>' Enrol &amp; Rev'!F138</f>
        <v>0</v>
      </c>
      <c r="G29" s="100">
        <f>' Enrol &amp; Rev'!G138</f>
        <v>0</v>
      </c>
      <c r="H29" s="100">
        <f>' Enrol &amp; Rev'!H138</f>
        <v>0</v>
      </c>
      <c r="I29" s="100">
        <f>' Enrol &amp; Rev'!I138</f>
        <v>0</v>
      </c>
      <c r="J29" s="100">
        <f>' Enrol &amp; Rev'!J138</f>
        <v>0</v>
      </c>
      <c r="K29" s="100">
        <f>' Enrol &amp; Rev'!K138</f>
        <v>0</v>
      </c>
      <c r="L29" s="100">
        <f>' Enrol &amp; Rev'!L138</f>
        <v>0</v>
      </c>
      <c r="M29" s="54"/>
      <c r="O29" s="343"/>
      <c r="P29" s="33" t="s">
        <v>146</v>
      </c>
      <c r="Q29" s="343"/>
    </row>
    <row r="30" spans="1:17">
      <c r="A30" s="346">
        <f>ROW()</f>
        <v>30</v>
      </c>
      <c r="B30" s="33" t="s">
        <v>174</v>
      </c>
      <c r="C30" s="54">
        <f t="shared" si="7"/>
        <v>0</v>
      </c>
      <c r="D30" s="54">
        <f t="shared" si="8"/>
        <v>0</v>
      </c>
      <c r="E30" s="413">
        <f t="shared" si="9"/>
        <v>0</v>
      </c>
      <c r="F30" s="100">
        <f>' Enrol &amp; Rev'!F139</f>
        <v>0</v>
      </c>
      <c r="G30" s="100">
        <f>' Enrol &amp; Rev'!G139</f>
        <v>0</v>
      </c>
      <c r="H30" s="100">
        <f>' Enrol &amp; Rev'!H139</f>
        <v>0</v>
      </c>
      <c r="I30" s="100">
        <f>' Enrol &amp; Rev'!I139</f>
        <v>0</v>
      </c>
      <c r="J30" s="100">
        <f>' Enrol &amp; Rev'!J139</f>
        <v>0</v>
      </c>
      <c r="K30" s="100">
        <f>' Enrol &amp; Rev'!K139</f>
        <v>0</v>
      </c>
      <c r="L30" s="100">
        <f>' Enrol &amp; Rev'!L139</f>
        <v>0</v>
      </c>
      <c r="M30" s="54"/>
      <c r="O30" s="343"/>
      <c r="Q30" s="343"/>
    </row>
    <row r="31" spans="1:17">
      <c r="A31" s="346">
        <f>ROW()</f>
        <v>31</v>
      </c>
      <c r="B31" s="33" t="s">
        <v>175</v>
      </c>
      <c r="C31" s="54">
        <f t="shared" si="7"/>
        <v>0</v>
      </c>
      <c r="D31" s="54">
        <f t="shared" si="8"/>
        <v>0</v>
      </c>
      <c r="E31" s="413">
        <f t="shared" si="9"/>
        <v>0</v>
      </c>
      <c r="F31" s="100">
        <f>' Enrol &amp; Rev'!F140</f>
        <v>0</v>
      </c>
      <c r="G31" s="100">
        <f>' Enrol &amp; Rev'!G140</f>
        <v>0</v>
      </c>
      <c r="H31" s="100">
        <f>' Enrol &amp; Rev'!H140</f>
        <v>0</v>
      </c>
      <c r="I31" s="100">
        <f>' Enrol &amp; Rev'!I140</f>
        <v>0</v>
      </c>
      <c r="J31" s="100">
        <f>' Enrol &amp; Rev'!J140</f>
        <v>0</v>
      </c>
      <c r="K31" s="100">
        <f>' Enrol &amp; Rev'!K140</f>
        <v>0</v>
      </c>
      <c r="L31" s="100">
        <f>' Enrol &amp; Rev'!L140</f>
        <v>0</v>
      </c>
      <c r="M31" s="54"/>
      <c r="O31" s="343"/>
      <c r="P31" s="33" t="s">
        <v>146</v>
      </c>
      <c r="Q31" s="343"/>
    </row>
    <row r="32" spans="1:17">
      <c r="A32" s="346">
        <f>ROW()</f>
        <v>32</v>
      </c>
      <c r="B32" s="33" t="s">
        <v>176</v>
      </c>
      <c r="C32" s="54">
        <f>SUM(F32:L32)</f>
        <v>0</v>
      </c>
      <c r="D32" s="54">
        <f t="shared" si="8"/>
        <v>0</v>
      </c>
      <c r="E32" s="413">
        <f t="shared" si="9"/>
        <v>0</v>
      </c>
      <c r="F32" s="100">
        <f>' Enrol &amp; Rev'!F136</f>
        <v>0</v>
      </c>
      <c r="G32" s="100">
        <f>' Enrol &amp; Rev'!G136</f>
        <v>0</v>
      </c>
      <c r="H32" s="100">
        <f>' Enrol &amp; Rev'!H136</f>
        <v>0</v>
      </c>
      <c r="I32" s="100">
        <f>' Enrol &amp; Rev'!I136</f>
        <v>0</v>
      </c>
      <c r="J32" s="100">
        <f>' Enrol &amp; Rev'!J136</f>
        <v>0</v>
      </c>
      <c r="K32" s="100">
        <f>' Enrol &amp; Rev'!K136</f>
        <v>0</v>
      </c>
      <c r="L32" s="100">
        <f>' Enrol &amp; Rev'!L136</f>
        <v>0</v>
      </c>
      <c r="M32" s="54"/>
      <c r="O32" s="343"/>
      <c r="P32" s="33" t="s">
        <v>146</v>
      </c>
      <c r="Q32" s="343"/>
    </row>
    <row r="33" spans="1:17">
      <c r="A33" s="346">
        <f>ROW()</f>
        <v>33</v>
      </c>
      <c r="B33" s="33" t="s">
        <v>177</v>
      </c>
      <c r="C33" s="54">
        <f t="shared" si="7"/>
        <v>270000</v>
      </c>
      <c r="D33" s="54">
        <f t="shared" si="8"/>
        <v>45000</v>
      </c>
      <c r="E33" s="413">
        <f t="shared" si="9"/>
        <v>2.3827785837224162E-3</v>
      </c>
      <c r="F33" s="100">
        <f>' Enrol &amp; Rev'!F141</f>
        <v>0</v>
      </c>
      <c r="G33" s="100">
        <f>' Enrol &amp; Rev'!G141</f>
        <v>45000</v>
      </c>
      <c r="H33" s="100">
        <f>' Enrol &amp; Rev'!H141</f>
        <v>45000</v>
      </c>
      <c r="I33" s="100">
        <f>' Enrol &amp; Rev'!I141</f>
        <v>45000</v>
      </c>
      <c r="J33" s="100">
        <f>' Enrol &amp; Rev'!J141</f>
        <v>45000</v>
      </c>
      <c r="K33" s="100">
        <f>' Enrol &amp; Rev'!K141</f>
        <v>45000</v>
      </c>
      <c r="L33" s="100">
        <f>' Enrol &amp; Rev'!L141</f>
        <v>45000</v>
      </c>
      <c r="M33" s="54"/>
      <c r="O33" s="343" t="s">
        <v>178</v>
      </c>
      <c r="P33" s="33" t="s">
        <v>146</v>
      </c>
      <c r="Q33" s="343"/>
    </row>
    <row r="34" spans="1:17">
      <c r="A34" s="346">
        <f>ROW()</f>
        <v>34</v>
      </c>
      <c r="B34" s="33" t="s">
        <v>179</v>
      </c>
      <c r="C34" s="54">
        <f t="shared" si="7"/>
        <v>0</v>
      </c>
      <c r="D34" s="54">
        <f t="shared" si="8"/>
        <v>0</v>
      </c>
      <c r="E34" s="413">
        <f t="shared" si="9"/>
        <v>0</v>
      </c>
      <c r="F34" s="1274">
        <f>' Enrol &amp; Rev'!F142</f>
        <v>0</v>
      </c>
      <c r="G34" s="1274">
        <f>' Enrol &amp; Rev'!G142</f>
        <v>0</v>
      </c>
      <c r="H34" s="1274">
        <f>' Enrol &amp; Rev'!H142</f>
        <v>0</v>
      </c>
      <c r="I34" s="1274">
        <f>' Enrol &amp; Rev'!I142</f>
        <v>0</v>
      </c>
      <c r="J34" s="1274">
        <f>' Enrol &amp; Rev'!J142</f>
        <v>0</v>
      </c>
      <c r="K34" s="1274">
        <f>' Enrol &amp; Rev'!K142</f>
        <v>0</v>
      </c>
      <c r="L34" s="1274">
        <f>' Enrol &amp; Rev'!L142</f>
        <v>0</v>
      </c>
      <c r="M34" s="54"/>
      <c r="O34" s="343" t="s">
        <v>178</v>
      </c>
      <c r="Q34" s="343"/>
    </row>
    <row r="35" spans="1:17">
      <c r="A35" s="346">
        <f>ROW()</f>
        <v>35</v>
      </c>
      <c r="B35" s="844" t="s">
        <v>180</v>
      </c>
      <c r="C35" s="703">
        <f>SUM(C15:C34)</f>
        <v>113313088.27620967</v>
      </c>
      <c r="D35" s="703">
        <f>AVERAGE(G35:L35)</f>
        <v>18885514.712701611</v>
      </c>
      <c r="E35" s="677">
        <f t="shared" si="9"/>
        <v>1</v>
      </c>
      <c r="F35" s="1189">
        <f t="shared" ref="F35:L35" si="10">SUM(F15:F34)</f>
        <v>0</v>
      </c>
      <c r="G35" s="1189">
        <f>SUM(G15:G34)</f>
        <v>15606245.845000001</v>
      </c>
      <c r="H35" s="1189">
        <f t="shared" si="10"/>
        <v>17335514.31800412</v>
      </c>
      <c r="I35" s="1189">
        <f t="shared" si="10"/>
        <v>18369626.809209835</v>
      </c>
      <c r="J35" s="1189">
        <f t="shared" si="10"/>
        <v>19473416.592535403</v>
      </c>
      <c r="K35" s="1189">
        <f t="shared" si="10"/>
        <v>20643825.588087529</v>
      </c>
      <c r="L35" s="1189">
        <f t="shared" si="10"/>
        <v>21884459.123372782</v>
      </c>
      <c r="M35" s="1190"/>
      <c r="O35" s="343"/>
      <c r="P35" s="33" t="s">
        <v>146</v>
      </c>
      <c r="Q35" s="343"/>
    </row>
    <row r="36" spans="1:17" outlineLevel="1">
      <c r="A36" s="346">
        <f>ROW()</f>
        <v>36</v>
      </c>
      <c r="B36" s="80" t="s">
        <v>181</v>
      </c>
      <c r="F36" s="55">
        <f>' Enrol &amp; Rev'!F145</f>
        <v>0</v>
      </c>
      <c r="G36" s="55">
        <f>' Enrol &amp; Rev'!G145</f>
        <v>15606245.845000001</v>
      </c>
      <c r="H36" s="55">
        <f>' Enrol &amp; Rev'!H145</f>
        <v>17335514.31800412</v>
      </c>
      <c r="I36" s="55">
        <f>' Enrol &amp; Rev'!I145</f>
        <v>18369626.809209835</v>
      </c>
      <c r="J36" s="55">
        <f>' Enrol &amp; Rev'!J145</f>
        <v>19473416.592535403</v>
      </c>
      <c r="K36" s="55">
        <f>' Enrol &amp; Rev'!K145</f>
        <v>20643825.588087529</v>
      </c>
      <c r="L36" s="55">
        <f>' Enrol &amp; Rev'!L145</f>
        <v>21884459.123372782</v>
      </c>
      <c r="M36" s="58"/>
      <c r="O36" s="343"/>
      <c r="P36" s="33" t="s">
        <v>146</v>
      </c>
      <c r="Q36" s="343"/>
    </row>
    <row r="37" spans="1:17" outlineLevel="1">
      <c r="A37" s="346">
        <f>ROW()</f>
        <v>37</v>
      </c>
      <c r="B37" s="80" t="s">
        <v>182</v>
      </c>
      <c r="C37" s="58"/>
      <c r="D37" s="58"/>
      <c r="E37" s="58"/>
      <c r="F37" s="130">
        <f>+F35-F36</f>
        <v>0</v>
      </c>
      <c r="G37" s="130">
        <f t="shared" ref="G37:L37" si="11">+G35-G36</f>
        <v>0</v>
      </c>
      <c r="H37" s="130">
        <f t="shared" si="11"/>
        <v>0</v>
      </c>
      <c r="I37" s="130">
        <f t="shared" si="11"/>
        <v>0</v>
      </c>
      <c r="J37" s="130">
        <f t="shared" si="11"/>
        <v>0</v>
      </c>
      <c r="K37" s="130">
        <f t="shared" si="11"/>
        <v>0</v>
      </c>
      <c r="L37" s="130">
        <f t="shared" si="11"/>
        <v>0</v>
      </c>
      <c r="M37" s="58"/>
      <c r="O37" s="343"/>
      <c r="Q37" s="343"/>
    </row>
    <row r="38" spans="1:17">
      <c r="A38" s="346">
        <f>ROW()</f>
        <v>38</v>
      </c>
      <c r="B38" s="80" t="s">
        <v>183</v>
      </c>
      <c r="C38" s="58"/>
      <c r="D38" s="58"/>
      <c r="E38" s="58"/>
      <c r="F38" s="508"/>
      <c r="G38" s="134">
        <f t="shared" ref="G38:L38" si="12">+G35/G9</f>
        <v>9784.4801536050163</v>
      </c>
      <c r="H38" s="134">
        <f t="shared" si="12"/>
        <v>10269.854453793911</v>
      </c>
      <c r="I38" s="134">
        <f t="shared" si="12"/>
        <v>10270.278134402108</v>
      </c>
      <c r="J38" s="134">
        <f t="shared" si="12"/>
        <v>10271.128465627939</v>
      </c>
      <c r="K38" s="134">
        <f t="shared" si="12"/>
        <v>10272.125632537714</v>
      </c>
      <c r="L38" s="134">
        <f t="shared" si="12"/>
        <v>10273.066356037503</v>
      </c>
      <c r="M38" s="58"/>
      <c r="O38" s="343"/>
      <c r="Q38" s="343"/>
    </row>
    <row r="39" spans="1:17" hidden="1" outlineLevel="1">
      <c r="A39" s="346">
        <f>ROW()</f>
        <v>39</v>
      </c>
      <c r="B39" s="80" t="s">
        <v>184</v>
      </c>
      <c r="C39" s="1367"/>
      <c r="D39" s="1367"/>
      <c r="E39" s="1368"/>
      <c r="F39" s="593"/>
      <c r="G39" s="593">
        <f>+' Enrol &amp; Rev'!G146</f>
        <v>9784.4801536050163</v>
      </c>
      <c r="H39" s="593">
        <f>+' Enrol &amp; Rev'!H146</f>
        <v>10269.854453793911</v>
      </c>
      <c r="I39" s="593">
        <f>+' Enrol &amp; Rev'!I146</f>
        <v>10270.278134402108</v>
      </c>
      <c r="J39" s="593">
        <f>+' Enrol &amp; Rev'!J146</f>
        <v>10271.128465627939</v>
      </c>
      <c r="K39" s="593">
        <f>+' Enrol &amp; Rev'!K146</f>
        <v>10272.125632537714</v>
      </c>
      <c r="L39" s="593">
        <f>+' Enrol &amp; Rev'!L146</f>
        <v>10273.066356037503</v>
      </c>
      <c r="M39" s="58"/>
      <c r="O39" s="343"/>
      <c r="Q39" s="343"/>
    </row>
    <row r="40" spans="1:17" hidden="1" outlineLevel="1">
      <c r="A40" s="346">
        <f>ROW()</f>
        <v>40</v>
      </c>
      <c r="B40" s="80" t="s">
        <v>185</v>
      </c>
      <c r="C40" s="58"/>
      <c r="D40" s="58"/>
      <c r="E40" s="58"/>
      <c r="F40" s="508"/>
      <c r="G40" s="134">
        <f t="shared" ref="G40:L40" si="13">+G39-G38</f>
        <v>0</v>
      </c>
      <c r="H40" s="134">
        <f t="shared" si="13"/>
        <v>0</v>
      </c>
      <c r="I40" s="134">
        <f t="shared" si="13"/>
        <v>0</v>
      </c>
      <c r="J40" s="134">
        <f t="shared" si="13"/>
        <v>0</v>
      </c>
      <c r="K40" s="134">
        <f t="shared" si="13"/>
        <v>0</v>
      </c>
      <c r="L40" s="134">
        <f t="shared" si="13"/>
        <v>0</v>
      </c>
      <c r="M40" s="58"/>
      <c r="O40" s="343"/>
      <c r="Q40" s="343"/>
    </row>
    <row r="41" spans="1:17" outlineLevel="1">
      <c r="A41" s="346">
        <f>ROW()</f>
        <v>41</v>
      </c>
      <c r="B41" s="80" t="s">
        <v>186</v>
      </c>
      <c r="C41" s="1585">
        <f>SUM(C17:C23)/C35</f>
        <v>1.1179762336404931E-2</v>
      </c>
      <c r="D41" s="1585">
        <f t="shared" ref="D41:L41" si="14">SUM(D17:D23)/D35</f>
        <v>1.1179762336404931E-2</v>
      </c>
      <c r="E41" s="1585">
        <f t="shared" si="14"/>
        <v>1.1179762336404929E-2</v>
      </c>
      <c r="F41" s="1585" t="e">
        <f t="shared" si="14"/>
        <v>#DIV/0!</v>
      </c>
      <c r="G41" s="1585">
        <f t="shared" si="14"/>
        <v>1.1656214557089081E-2</v>
      </c>
      <c r="H41" s="1585">
        <f t="shared" si="14"/>
        <v>1.1105318046437105E-2</v>
      </c>
      <c r="I41" s="1585">
        <f t="shared" si="14"/>
        <v>1.1104859917860397E-2</v>
      </c>
      <c r="J41" s="1585">
        <f t="shared" si="14"/>
        <v>1.110394056326579E-2</v>
      </c>
      <c r="K41" s="1585">
        <f t="shared" si="14"/>
        <v>1.110286264789619E-2</v>
      </c>
      <c r="L41" s="1585">
        <f t="shared" si="14"/>
        <v>1.1101845938430308E-2</v>
      </c>
      <c r="M41" s="58"/>
      <c r="O41" s="343"/>
      <c r="Q41" s="343"/>
    </row>
    <row r="42" spans="1:17">
      <c r="A42" s="346">
        <f>ROW()</f>
        <v>42</v>
      </c>
      <c r="B42" s="58"/>
      <c r="C42" s="58"/>
      <c r="D42" s="58"/>
      <c r="E42" s="58"/>
      <c r="F42" s="508"/>
      <c r="G42" s="134"/>
      <c r="H42" s="134"/>
      <c r="I42" s="134"/>
      <c r="J42" s="134"/>
      <c r="K42" s="134"/>
      <c r="L42" s="134"/>
      <c r="M42" s="58"/>
      <c r="O42" s="343"/>
      <c r="Q42" s="343"/>
    </row>
    <row r="43" spans="1:17" ht="17.399999999999999">
      <c r="A43" s="346">
        <f>ROW()</f>
        <v>43</v>
      </c>
      <c r="B43" s="942" t="s">
        <v>187</v>
      </c>
      <c r="C43" s="943" t="s">
        <v>156</v>
      </c>
      <c r="D43" s="943" t="s">
        <v>157</v>
      </c>
      <c r="E43" s="944" t="s">
        <v>158</v>
      </c>
      <c r="F43" s="945">
        <f t="shared" ref="F43:L43" si="15">F6</f>
        <v>0</v>
      </c>
      <c r="G43" s="945">
        <f t="shared" si="15"/>
        <v>1</v>
      </c>
      <c r="H43" s="945">
        <f t="shared" si="15"/>
        <v>2</v>
      </c>
      <c r="I43" s="945">
        <f t="shared" si="15"/>
        <v>3</v>
      </c>
      <c r="J43" s="945">
        <f t="shared" si="15"/>
        <v>4</v>
      </c>
      <c r="K43" s="945">
        <f t="shared" si="15"/>
        <v>5</v>
      </c>
      <c r="L43" s="945">
        <f t="shared" si="15"/>
        <v>6</v>
      </c>
      <c r="M43" s="58"/>
      <c r="O43" s="343"/>
      <c r="P43" s="33" t="s">
        <v>146</v>
      </c>
      <c r="Q43" s="343"/>
    </row>
    <row r="44" spans="1:17">
      <c r="A44" s="346">
        <f>ROW()</f>
        <v>44</v>
      </c>
      <c r="B44" s="33" t="s">
        <v>188</v>
      </c>
      <c r="C44" s="247">
        <f t="shared" ref="C44:C51" si="16">SUM(F44:L44)</f>
        <v>51154881.553164676</v>
      </c>
      <c r="D44" s="247">
        <f t="shared" ref="D44:D51" si="17">AVERAGE(G44:L44)</f>
        <v>8525813.592194112</v>
      </c>
      <c r="E44" s="413">
        <f t="shared" ref="E44:E52" si="18">IFERROR(+D44/$D$35,0)</f>
        <v>0.45144724525088026</v>
      </c>
      <c r="F44" s="575">
        <f>+Staff!G461</f>
        <v>0</v>
      </c>
      <c r="G44" s="575">
        <f>+Staff!H461</f>
        <v>7710594.4629328558</v>
      </c>
      <c r="H44" s="575">
        <f>+Staff!I461</f>
        <v>8017467.3105970509</v>
      </c>
      <c r="I44" s="575">
        <f>+Staff!J461</f>
        <v>8326545.4407981113</v>
      </c>
      <c r="J44" s="575">
        <f>+Staff!K461</f>
        <v>8687635.3565685581</v>
      </c>
      <c r="K44" s="575">
        <f>+Staff!L461</f>
        <v>9022236.0731210615</v>
      </c>
      <c r="L44" s="575">
        <f>+Staff!M461</f>
        <v>9390402.9091470391</v>
      </c>
      <c r="M44" s="59"/>
      <c r="O44" s="343"/>
      <c r="P44" s="33" t="s">
        <v>146</v>
      </c>
      <c r="Q44" s="343"/>
    </row>
    <row r="45" spans="1:17">
      <c r="A45" s="346">
        <f>ROW()</f>
        <v>45</v>
      </c>
      <c r="B45" s="33" t="s">
        <v>122</v>
      </c>
      <c r="C45" s="54">
        <f t="shared" si="16"/>
        <v>8418981.8998299316</v>
      </c>
      <c r="D45" s="54">
        <f t="shared" si="17"/>
        <v>1300401.1499716553</v>
      </c>
      <c r="E45" s="413">
        <f t="shared" si="18"/>
        <v>6.8857066897788047E-2</v>
      </c>
      <c r="F45" s="100">
        <f>Facilities!F76</f>
        <v>616575</v>
      </c>
      <c r="G45" s="100">
        <f>Facilities!G76</f>
        <v>1237373.2320000001</v>
      </c>
      <c r="H45" s="100">
        <f>Facilities!H76</f>
        <v>1261766.0896127999</v>
      </c>
      <c r="I45" s="100">
        <f>Facilities!I76</f>
        <v>1286760.0280487731</v>
      </c>
      <c r="J45" s="100">
        <f>Facilities!J76</f>
        <v>1312371.7204016002</v>
      </c>
      <c r="K45" s="100">
        <f>Facilities!K76</f>
        <v>1338618.3258207305</v>
      </c>
      <c r="L45" s="100">
        <f>Facilities!L76</f>
        <v>1365517.5039460282</v>
      </c>
      <c r="M45" s="59"/>
      <c r="O45" s="343"/>
      <c r="P45" s="33" t="s">
        <v>146</v>
      </c>
      <c r="Q45" s="343"/>
    </row>
    <row r="46" spans="1:17">
      <c r="A46" s="346">
        <f>ROW()</f>
        <v>46</v>
      </c>
      <c r="B46" s="33" t="s">
        <v>189</v>
      </c>
      <c r="C46" s="54">
        <f t="shared" si="16"/>
        <v>49058630.460473381</v>
      </c>
      <c r="D46" s="54">
        <f t="shared" si="17"/>
        <v>8176438.4100788971</v>
      </c>
      <c r="E46" s="413">
        <f t="shared" si="18"/>
        <v>0.43294760743691912</v>
      </c>
      <c r="F46" s="100">
        <f>+'Gen Optg'!F199</f>
        <v>0</v>
      </c>
      <c r="G46" s="100">
        <f>+'Gen Optg'!G199</f>
        <v>7019373.1394213699</v>
      </c>
      <c r="H46" s="100">
        <f>+'Gen Optg'!H199</f>
        <v>7483649.8404728128</v>
      </c>
      <c r="I46" s="100">
        <f>+'Gen Optg'!I199</f>
        <v>7904974.8157994384</v>
      </c>
      <c r="J46" s="100">
        <f>+'Gen Optg'!J199</f>
        <v>8393185.4837793801</v>
      </c>
      <c r="K46" s="100">
        <f>+'Gen Optg'!K199</f>
        <v>8866799.6951712426</v>
      </c>
      <c r="L46" s="100">
        <f>+'Gen Optg'!L199</f>
        <v>9390647.4858291373</v>
      </c>
      <c r="M46" s="59"/>
      <c r="O46" s="343"/>
      <c r="P46" s="33" t="s">
        <v>146</v>
      </c>
      <c r="Q46" s="343"/>
    </row>
    <row r="47" spans="1:17">
      <c r="A47" s="346">
        <f>ROW()</f>
        <v>47</v>
      </c>
      <c r="B47" s="33" t="s">
        <v>190</v>
      </c>
      <c r="C47" s="54">
        <f t="shared" si="16"/>
        <v>0</v>
      </c>
      <c r="D47" s="54">
        <f t="shared" si="17"/>
        <v>0</v>
      </c>
      <c r="E47" s="413">
        <f t="shared" si="18"/>
        <v>0</v>
      </c>
      <c r="F47" s="100">
        <f>'EMO-CMO-BOSP'!E39</f>
        <v>0</v>
      </c>
      <c r="G47" s="100">
        <f>'EMO-CMO-BOSP'!F39</f>
        <v>0</v>
      </c>
      <c r="H47" s="100">
        <f>'EMO-CMO-BOSP'!G39</f>
        <v>0</v>
      </c>
      <c r="I47" s="100">
        <f>'EMO-CMO-BOSP'!H39</f>
        <v>0</v>
      </c>
      <c r="J47" s="100">
        <f>'EMO-CMO-BOSP'!I39</f>
        <v>0</v>
      </c>
      <c r="K47" s="100">
        <f>'EMO-CMO-BOSP'!J39</f>
        <v>0</v>
      </c>
      <c r="L47" s="100">
        <f>'EMO-CMO-BOSP'!K39</f>
        <v>0</v>
      </c>
      <c r="M47" s="54"/>
      <c r="O47" s="343"/>
      <c r="P47" s="33" t="s">
        <v>146</v>
      </c>
      <c r="Q47" s="343"/>
    </row>
    <row r="48" spans="1:17">
      <c r="A48" s="346">
        <f>ROW()</f>
        <v>48</v>
      </c>
      <c r="B48" s="33" t="s">
        <v>130</v>
      </c>
      <c r="C48" s="54">
        <f t="shared" si="16"/>
        <v>544303.92000000004</v>
      </c>
      <c r="D48" s="54">
        <f t="shared" si="17"/>
        <v>90717.32</v>
      </c>
      <c r="E48" s="413">
        <f t="shared" si="18"/>
        <v>4.8035397170820724E-3</v>
      </c>
      <c r="F48" s="100">
        <f>Marketing!H44</f>
        <v>0</v>
      </c>
      <c r="G48" s="100">
        <f>Marketing!I44</f>
        <v>90717.32</v>
      </c>
      <c r="H48" s="100">
        <f>Marketing!J44</f>
        <v>90717.32</v>
      </c>
      <c r="I48" s="100">
        <f>Marketing!K44</f>
        <v>90717.32</v>
      </c>
      <c r="J48" s="100">
        <f>Marketing!L44</f>
        <v>90717.32</v>
      </c>
      <c r="K48" s="100">
        <f>Marketing!M44</f>
        <v>90717.32</v>
      </c>
      <c r="L48" s="100">
        <f>Marketing!N44</f>
        <v>90717.32</v>
      </c>
      <c r="M48" s="54"/>
      <c r="O48" s="343"/>
      <c r="P48" s="33" t="s">
        <v>146</v>
      </c>
      <c r="Q48" s="343"/>
    </row>
    <row r="49" spans="1:20">
      <c r="A49" s="346">
        <f>ROW()</f>
        <v>49</v>
      </c>
      <c r="B49" s="33" t="s">
        <v>191</v>
      </c>
      <c r="C49" s="54">
        <f t="shared" si="16"/>
        <v>6157711.8119202498</v>
      </c>
      <c r="D49" s="54">
        <f t="shared" si="17"/>
        <v>1026285.3019867083</v>
      </c>
      <c r="E49" s="413">
        <f t="shared" si="18"/>
        <v>5.4342458630289359E-2</v>
      </c>
      <c r="F49" s="100">
        <f>'FFE&amp;T'!F43</f>
        <v>0</v>
      </c>
      <c r="G49" s="100">
        <f>'FFE&amp;T'!G43</f>
        <v>948297.92890000006</v>
      </c>
      <c r="H49" s="100">
        <f>'FFE&amp;T'!H43</f>
        <v>972590.65899700008</v>
      </c>
      <c r="I49" s="100">
        <f>'FFE&amp;T'!I43</f>
        <v>999796.05546468985</v>
      </c>
      <c r="J49" s="100">
        <f>'FFE&amp;T'!J43</f>
        <v>1046139.4319510041</v>
      </c>
      <c r="K49" s="100">
        <f>'FFE&amp;T'!K43</f>
        <v>1075614.7794212499</v>
      </c>
      <c r="L49" s="100">
        <f>'FFE&amp;T'!L43</f>
        <v>1115272.9571863061</v>
      </c>
      <c r="M49" s="54"/>
      <c r="O49" s="343"/>
      <c r="P49" s="33" t="s">
        <v>146</v>
      </c>
      <c r="Q49" s="343"/>
    </row>
    <row r="50" spans="1:20">
      <c r="A50" s="346">
        <f>ROW()</f>
        <v>50</v>
      </c>
      <c r="B50" s="33" t="s">
        <v>174</v>
      </c>
      <c r="C50" s="54">
        <f t="shared" si="16"/>
        <v>0</v>
      </c>
      <c r="D50" s="54">
        <f t="shared" si="17"/>
        <v>0</v>
      </c>
      <c r="E50" s="413">
        <f t="shared" si="18"/>
        <v>0</v>
      </c>
      <c r="F50" s="100">
        <f>+'Gen Optg'!F180</f>
        <v>0</v>
      </c>
      <c r="G50" s="100">
        <f>+'Gen Optg'!G180</f>
        <v>0</v>
      </c>
      <c r="H50" s="100">
        <f>+'Gen Optg'!H180</f>
        <v>0</v>
      </c>
      <c r="I50" s="100">
        <f>+'Gen Optg'!I180</f>
        <v>0</v>
      </c>
      <c r="J50" s="100">
        <f>+'Gen Optg'!J180</f>
        <v>0</v>
      </c>
      <c r="K50" s="100">
        <f>+'Gen Optg'!K180</f>
        <v>0</v>
      </c>
      <c r="L50" s="100">
        <f>+'Gen Optg'!L180</f>
        <v>0</v>
      </c>
      <c r="M50" s="54"/>
      <c r="O50" s="343"/>
      <c r="P50" s="33" t="s">
        <v>146</v>
      </c>
      <c r="Q50" s="343"/>
    </row>
    <row r="51" spans="1:20">
      <c r="A51" s="346">
        <f>ROW()</f>
        <v>51</v>
      </c>
      <c r="B51" s="33" t="s">
        <v>128</v>
      </c>
      <c r="C51" s="54">
        <f t="shared" si="16"/>
        <v>842064.43437876715</v>
      </c>
      <c r="D51" s="54">
        <f t="shared" si="17"/>
        <v>140344.07239646118</v>
      </c>
      <c r="E51" s="413">
        <f t="shared" si="18"/>
        <v>7.4313077790816896E-3</v>
      </c>
      <c r="F51" s="100">
        <f>Ins!F51</f>
        <v>0</v>
      </c>
      <c r="G51" s="100">
        <f>Ins!G51</f>
        <v>100413.258</v>
      </c>
      <c r="H51" s="100">
        <f>Ins!H51</f>
        <v>113768.22131400002</v>
      </c>
      <c r="I51" s="100">
        <f>Ins!I51</f>
        <v>128899.39474876202</v>
      </c>
      <c r="J51" s="100">
        <f>Ins!J51</f>
        <v>146043.01425034736</v>
      </c>
      <c r="K51" s="100">
        <f>Ins!K51</f>
        <v>165466.73514564359</v>
      </c>
      <c r="L51" s="100">
        <f>Ins!L51</f>
        <v>187473.81092001419</v>
      </c>
      <c r="M51" s="54"/>
      <c r="O51" s="343"/>
      <c r="P51" s="33" t="s">
        <v>146</v>
      </c>
      <c r="Q51" s="343"/>
    </row>
    <row r="52" spans="1:20">
      <c r="A52" s="346">
        <f>ROW()</f>
        <v>52</v>
      </c>
      <c r="B52" s="844" t="s">
        <v>192</v>
      </c>
      <c r="C52" s="703">
        <f>SUM(C44:C51)</f>
        <v>116176574.07976702</v>
      </c>
      <c r="D52" s="703">
        <f>AVERAGE(G52:L52)</f>
        <v>19259999.846627835</v>
      </c>
      <c r="E52" s="677">
        <f t="shared" si="18"/>
        <v>1.0198292257120407</v>
      </c>
      <c r="F52" s="1189">
        <f t="shared" ref="F52:L52" si="19">SUM(F44:F51)</f>
        <v>616575</v>
      </c>
      <c r="G52" s="1189">
        <f t="shared" si="19"/>
        <v>17106769.341254227</v>
      </c>
      <c r="H52" s="1189">
        <f t="shared" si="19"/>
        <v>17939959.440993667</v>
      </c>
      <c r="I52" s="1189">
        <f t="shared" si="19"/>
        <v>18737693.054859772</v>
      </c>
      <c r="J52" s="1189">
        <f t="shared" si="19"/>
        <v>19676092.326950889</v>
      </c>
      <c r="K52" s="1189">
        <f t="shared" si="19"/>
        <v>20559452.928679932</v>
      </c>
      <c r="L52" s="1189">
        <f t="shared" si="19"/>
        <v>21540031.987028528</v>
      </c>
      <c r="M52" s="54"/>
      <c r="O52" s="343"/>
      <c r="P52" s="33" t="s">
        <v>146</v>
      </c>
      <c r="Q52" s="343"/>
    </row>
    <row r="53" spans="1:20">
      <c r="A53" s="346">
        <f>ROW()</f>
        <v>53</v>
      </c>
      <c r="B53" s="80" t="s">
        <v>193</v>
      </c>
      <c r="C53" s="415"/>
      <c r="D53" s="415"/>
      <c r="E53" s="414"/>
      <c r="F53" s="593">
        <f t="shared" ref="F53:L53" si="20">IFERROR(F52/F9,0)</f>
        <v>0</v>
      </c>
      <c r="G53" s="593">
        <f t="shared" si="20"/>
        <v>10725.247235896068</v>
      </c>
      <c r="H53" s="593">
        <f t="shared" si="20"/>
        <v>10627.938057460702</v>
      </c>
      <c r="I53" s="593">
        <f t="shared" si="20"/>
        <v>10476.06036144304</v>
      </c>
      <c r="J53" s="593">
        <f t="shared" si="20"/>
        <v>10378.028479560006</v>
      </c>
      <c r="K53" s="593">
        <f t="shared" si="20"/>
        <v>10230.142786204899</v>
      </c>
      <c r="L53" s="593">
        <f t="shared" si="20"/>
        <v>10111.384369448877</v>
      </c>
      <c r="M53" s="54"/>
      <c r="O53" s="343"/>
      <c r="P53" s="33" t="s">
        <v>146</v>
      </c>
      <c r="Q53" s="343"/>
    </row>
    <row r="54" spans="1:20" ht="14.4" thickBot="1">
      <c r="A54" s="346">
        <f>ROW()</f>
        <v>54</v>
      </c>
      <c r="B54" s="31"/>
      <c r="C54" s="415"/>
      <c r="D54" s="415"/>
      <c r="E54" s="414"/>
      <c r="F54" s="630"/>
      <c r="G54" s="630"/>
      <c r="H54" s="630"/>
      <c r="I54" s="630"/>
      <c r="J54" s="630"/>
      <c r="K54" s="630"/>
      <c r="L54" s="630"/>
      <c r="M54" s="54"/>
      <c r="O54" s="343"/>
      <c r="Q54" s="343"/>
    </row>
    <row r="55" spans="1:20" ht="14.4" thickBot="1">
      <c r="A55" s="346">
        <f>ROW()</f>
        <v>55</v>
      </c>
      <c r="B55" s="1252" t="s">
        <v>194</v>
      </c>
      <c r="C55" s="1253">
        <f>C35-C52</f>
        <v>-2863485.8035573512</v>
      </c>
      <c r="D55" s="1253">
        <f>AVERAGE(G55:L55)</f>
        <v>-374485.13392622425</v>
      </c>
      <c r="E55" s="1254">
        <f>IFERROR(+D55/$D$35,0)</f>
        <v>-1.9829225712040623E-2</v>
      </c>
      <c r="F55" s="1255">
        <f t="shared" ref="F55:L55" si="21">F35-F52</f>
        <v>-616575</v>
      </c>
      <c r="G55" s="1255">
        <f t="shared" si="21"/>
        <v>-1500523.4962542262</v>
      </c>
      <c r="H55" s="1255">
        <f t="shared" si="21"/>
        <v>-604445.12298954651</v>
      </c>
      <c r="I55" s="1255">
        <f t="shared" si="21"/>
        <v>-368066.24564993754</v>
      </c>
      <c r="J55" s="1255">
        <f t="shared" si="21"/>
        <v>-202675.73441548645</v>
      </c>
      <c r="K55" s="1255">
        <f t="shared" si="21"/>
        <v>84372.659407597035</v>
      </c>
      <c r="L55" s="1255">
        <f t="shared" si="21"/>
        <v>344427.13634425402</v>
      </c>
      <c r="M55" s="54"/>
      <c r="N55" s="821"/>
      <c r="O55" s="343" t="s">
        <v>195</v>
      </c>
      <c r="P55" s="60" t="s">
        <v>146</v>
      </c>
      <c r="Q55" s="343"/>
      <c r="R55" s="60"/>
      <c r="T55" s="61"/>
    </row>
    <row r="56" spans="1:20" ht="15" thickBot="1">
      <c r="A56" s="346">
        <f>ROW()</f>
        <v>56</v>
      </c>
      <c r="B56" s="183" t="s">
        <v>196</v>
      </c>
      <c r="C56" s="418"/>
      <c r="D56" s="418"/>
      <c r="E56" s="418"/>
      <c r="F56" s="631"/>
      <c r="G56" s="134">
        <f>IFERROR(G55/Statistics!G20,0)</f>
        <v>-940.76708229105088</v>
      </c>
      <c r="H56" s="134">
        <f>IFERROR(H55/Statistics!H20,0)</f>
        <v>-358.08360366679295</v>
      </c>
      <c r="I56" s="134">
        <f>IFERROR(I55/Statistics!I20,0)</f>
        <v>-205.78222704093301</v>
      </c>
      <c r="J56" s="134">
        <f>IFERROR(J55/Statistics!J20,0)</f>
        <v>-106.90001393206556</v>
      </c>
      <c r="K56" s="134">
        <f>IFERROR(K55/Statistics!K20,0)</f>
        <v>41.982846332816884</v>
      </c>
      <c r="L56" s="134">
        <f>IFERROR(L55/Statistics!L20,0)</f>
        <v>161.68198658862627</v>
      </c>
      <c r="M56" s="54"/>
      <c r="O56" s="343"/>
      <c r="P56" s="33" t="s">
        <v>146</v>
      </c>
      <c r="Q56" s="343"/>
    </row>
    <row r="57" spans="1:20" ht="15" thickBot="1">
      <c r="A57" s="346">
        <f>ROW()</f>
        <v>57</v>
      </c>
      <c r="B57" s="420" t="s">
        <v>197</v>
      </c>
      <c r="C57" s="421"/>
      <c r="D57" s="421"/>
      <c r="E57" s="417"/>
      <c r="F57" s="632">
        <f t="shared" ref="F57:L57" si="22">+F55+E57</f>
        <v>-616575</v>
      </c>
      <c r="G57" s="632">
        <f t="shared" si="22"/>
        <v>-2117098.4962542262</v>
      </c>
      <c r="H57" s="632">
        <f t="shared" si="22"/>
        <v>-2721543.6192437727</v>
      </c>
      <c r="I57" s="632">
        <f t="shared" si="22"/>
        <v>-3089609.8648937102</v>
      </c>
      <c r="J57" s="632">
        <f t="shared" si="22"/>
        <v>-3292285.5993091967</v>
      </c>
      <c r="K57" s="632">
        <f t="shared" si="22"/>
        <v>-3207912.9399015997</v>
      </c>
      <c r="L57" s="632">
        <f t="shared" si="22"/>
        <v>-2863485.8035573456</v>
      </c>
      <c r="M57" s="419"/>
      <c r="O57" s="307" t="s">
        <v>198</v>
      </c>
      <c r="P57" s="33" t="s">
        <v>146</v>
      </c>
      <c r="Q57" s="1378"/>
      <c r="S57" s="55"/>
    </row>
    <row r="58" spans="1:20" ht="14.4">
      <c r="A58" s="346">
        <f>ROW()</f>
        <v>58</v>
      </c>
      <c r="B58" s="1286" t="s">
        <v>199</v>
      </c>
      <c r="C58" s="107">
        <f>SUM(F58:L58)</f>
        <v>0</v>
      </c>
      <c r="D58" s="34"/>
      <c r="E58" s="674"/>
      <c r="F58" s="675">
        <v>0</v>
      </c>
      <c r="G58" s="675"/>
      <c r="H58" s="675">
        <v>0</v>
      </c>
      <c r="I58" s="675">
        <v>0</v>
      </c>
      <c r="J58" s="675">
        <v>0</v>
      </c>
      <c r="K58" s="675">
        <v>0</v>
      </c>
      <c r="L58" s="675">
        <v>0</v>
      </c>
      <c r="M58" s="419"/>
      <c r="O58" s="343"/>
      <c r="Q58" s="343"/>
      <c r="S58" s="55"/>
    </row>
    <row r="59" spans="1:20" ht="14.4">
      <c r="A59" s="346">
        <f>ROW()</f>
        <v>59</v>
      </c>
      <c r="B59" s="1286"/>
      <c r="C59" s="107"/>
      <c r="D59" s="34"/>
      <c r="E59" s="674"/>
      <c r="F59" s="674"/>
      <c r="G59" s="674"/>
      <c r="H59" s="674"/>
      <c r="I59" s="674"/>
      <c r="J59" s="674"/>
      <c r="K59" s="674"/>
      <c r="L59" s="674"/>
      <c r="M59" s="419"/>
      <c r="O59" s="343"/>
      <c r="Q59" s="343"/>
      <c r="S59" s="55"/>
    </row>
    <row r="60" spans="1:20" ht="14.4">
      <c r="A60" s="346">
        <f>ROW()</f>
        <v>60</v>
      </c>
      <c r="B60" s="1286" t="s">
        <v>200</v>
      </c>
      <c r="C60" s="107"/>
      <c r="D60" s="34"/>
      <c r="E60" s="674"/>
      <c r="F60" s="1298"/>
      <c r="G60" s="1298"/>
      <c r="H60" s="1298"/>
      <c r="I60" s="1298"/>
      <c r="J60" s="1298"/>
      <c r="K60" s="1298"/>
      <c r="L60" s="1298"/>
      <c r="M60" s="419"/>
      <c r="O60" s="343"/>
      <c r="Q60" s="343"/>
      <c r="S60" s="55"/>
    </row>
    <row r="61" spans="1:20" ht="14.4">
      <c r="A61" s="346">
        <f>ROW()</f>
        <v>61</v>
      </c>
      <c r="B61" s="1286" t="s">
        <v>201</v>
      </c>
      <c r="C61" s="107"/>
      <c r="D61" s="34"/>
      <c r="E61" s="674"/>
      <c r="F61" s="1299"/>
      <c r="G61" s="1299"/>
      <c r="H61" s="1299"/>
      <c r="I61" s="1299"/>
      <c r="J61" s="1299"/>
      <c r="K61" s="1299"/>
      <c r="L61" s="1299"/>
      <c r="M61" s="419"/>
      <c r="O61" s="343"/>
      <c r="Q61" s="343"/>
      <c r="S61" s="55"/>
    </row>
    <row r="62" spans="1:20" ht="14.4">
      <c r="A62" s="346">
        <f>ROW()</f>
        <v>62</v>
      </c>
      <c r="B62" s="1286" t="s">
        <v>202</v>
      </c>
      <c r="C62" s="107"/>
      <c r="D62" s="34"/>
      <c r="E62" s="674"/>
      <c r="F62" s="1299"/>
      <c r="G62" s="1299"/>
      <c r="H62" s="1299"/>
      <c r="I62" s="1299"/>
      <c r="J62" s="1299"/>
      <c r="K62" s="1299"/>
      <c r="L62" s="1299"/>
      <c r="M62" s="419"/>
      <c r="O62" s="343"/>
      <c r="Q62" s="343"/>
      <c r="S62" s="55"/>
    </row>
    <row r="63" spans="1:20" ht="14.4" hidden="1" outlineLevel="1">
      <c r="A63" s="346">
        <f>ROW()</f>
        <v>63</v>
      </c>
      <c r="B63" s="1287" t="s">
        <v>203</v>
      </c>
      <c r="C63" s="1288"/>
      <c r="D63" s="1289"/>
      <c r="E63" s="674"/>
      <c r="F63" s="1301">
        <v>0</v>
      </c>
      <c r="G63" s="1300">
        <f>+F71</f>
        <v>616575</v>
      </c>
      <c r="H63" s="1300">
        <f>+G71</f>
        <v>2154092.9962542262</v>
      </c>
      <c r="I63" s="1300">
        <f t="shared" ref="I63:L63" si="23">+H71</f>
        <v>2887783.6990190265</v>
      </c>
      <c r="J63" s="1300">
        <f t="shared" si="23"/>
        <v>3429116.9666101057</v>
      </c>
      <c r="K63" s="1300">
        <f t="shared" si="23"/>
        <v>3837539.7190221986</v>
      </c>
      <c r="L63" s="1300">
        <f t="shared" si="23"/>
        <v>3983419.4427559334</v>
      </c>
      <c r="M63" s="419"/>
      <c r="O63" s="343"/>
      <c r="Q63" s="343"/>
      <c r="S63" s="55"/>
    </row>
    <row r="64" spans="1:20" ht="14.4" hidden="1" outlineLevel="1">
      <c r="A64" s="346">
        <f>ROW()</f>
        <v>64</v>
      </c>
      <c r="B64" s="1287" t="s">
        <v>204</v>
      </c>
      <c r="C64" s="1288"/>
      <c r="D64" s="1289"/>
      <c r="E64" s="674"/>
      <c r="F64" s="1299">
        <f t="shared" ref="F64:L64" si="24">IF(F55&lt;0,-F55,0)</f>
        <v>616575</v>
      </c>
      <c r="G64" s="1299">
        <f t="shared" si="24"/>
        <v>1500523.4962542262</v>
      </c>
      <c r="H64" s="1299">
        <f t="shared" si="24"/>
        <v>604445.12298954651</v>
      </c>
      <c r="I64" s="1299">
        <f t="shared" si="24"/>
        <v>368066.24564993754</v>
      </c>
      <c r="J64" s="1299">
        <f t="shared" si="24"/>
        <v>202675.73441548645</v>
      </c>
      <c r="K64" s="1299">
        <f t="shared" si="24"/>
        <v>0</v>
      </c>
      <c r="L64" s="1299">
        <f t="shared" si="24"/>
        <v>0</v>
      </c>
      <c r="M64" s="419"/>
      <c r="O64" s="343"/>
      <c r="Q64" s="343"/>
      <c r="S64" s="55"/>
    </row>
    <row r="65" spans="1:19" ht="14.4" hidden="1" outlineLevel="1">
      <c r="A65" s="346">
        <f>ROW()</f>
        <v>65</v>
      </c>
      <c r="B65" s="1287" t="s">
        <v>205</v>
      </c>
      <c r="C65" s="1288"/>
      <c r="D65" s="1311">
        <v>0.06</v>
      </c>
      <c r="E65" s="674"/>
      <c r="F65" s="1299"/>
      <c r="G65" s="1299">
        <f>G63*$D$65</f>
        <v>36994.5</v>
      </c>
      <c r="H65" s="1299">
        <f t="shared" ref="H65:L65" si="25">H63*$D$65</f>
        <v>129245.57977525357</v>
      </c>
      <c r="I65" s="1299">
        <f t="shared" si="25"/>
        <v>173267.02194114157</v>
      </c>
      <c r="J65" s="1299">
        <f t="shared" si="25"/>
        <v>205747.01799660633</v>
      </c>
      <c r="K65" s="1299">
        <f t="shared" si="25"/>
        <v>230252.3831413319</v>
      </c>
      <c r="L65" s="1299">
        <f t="shared" si="25"/>
        <v>239005.16656535599</v>
      </c>
      <c r="M65" s="419"/>
      <c r="O65" s="343"/>
      <c r="Q65" s="343"/>
      <c r="S65" s="55"/>
    </row>
    <row r="66" spans="1:19" ht="14.4" hidden="1" outlineLevel="1">
      <c r="A66" s="346">
        <f>ROW()</f>
        <v>66</v>
      </c>
      <c r="B66" s="1287"/>
      <c r="C66" s="1288"/>
      <c r="D66" s="1288"/>
      <c r="E66" s="674"/>
      <c r="F66" s="1300">
        <f>SUM(F63:F65)</f>
        <v>616575</v>
      </c>
      <c r="G66" s="1300">
        <f>SUM(G63:G65)</f>
        <v>2154092.9962542262</v>
      </c>
      <c r="H66" s="1300">
        <f t="shared" ref="H66:L66" si="26">SUM(H63:H65)</f>
        <v>2887783.6990190265</v>
      </c>
      <c r="I66" s="1300">
        <f t="shared" si="26"/>
        <v>3429116.9666101057</v>
      </c>
      <c r="J66" s="1300">
        <f t="shared" si="26"/>
        <v>3837539.7190221986</v>
      </c>
      <c r="K66" s="1300">
        <f t="shared" si="26"/>
        <v>4067792.1021635304</v>
      </c>
      <c r="L66" s="1300">
        <f t="shared" si="26"/>
        <v>4222424.6093212897</v>
      </c>
      <c r="M66" s="419"/>
      <c r="O66" s="343"/>
      <c r="Q66" s="343"/>
      <c r="S66" s="55"/>
    </row>
    <row r="67" spans="1:19" ht="14.4" hidden="1" outlineLevel="1">
      <c r="A67" s="346">
        <f>ROW()</f>
        <v>67</v>
      </c>
      <c r="B67" s="1323" t="s">
        <v>206</v>
      </c>
      <c r="C67" s="1324"/>
      <c r="D67" s="1324"/>
      <c r="E67" s="674"/>
      <c r="F67" s="1299"/>
      <c r="G67" s="1299"/>
      <c r="H67" s="1299"/>
      <c r="I67" s="1299"/>
      <c r="J67" s="1299"/>
      <c r="K67" s="1299"/>
      <c r="L67" s="1299"/>
      <c r="M67" s="419"/>
      <c r="O67" s="343"/>
      <c r="Q67" s="343"/>
      <c r="S67" s="55"/>
    </row>
    <row r="68" spans="1:19" ht="14.4" hidden="1" outlineLevel="1">
      <c r="A68" s="346">
        <f>ROW()</f>
        <v>68</v>
      </c>
      <c r="B68" s="1287" t="s">
        <v>207</v>
      </c>
      <c r="C68" s="1288"/>
      <c r="D68" s="1289"/>
      <c r="E68" s="674"/>
      <c r="F68" s="1299">
        <f t="shared" ref="F68:L68" si="27">IF(F55&gt;0,F55,F55+F63+F64+F65)</f>
        <v>0</v>
      </c>
      <c r="G68" s="1299">
        <f t="shared" si="27"/>
        <v>653569.5</v>
      </c>
      <c r="H68" s="1299">
        <f t="shared" si="27"/>
        <v>2283338.57602948</v>
      </c>
      <c r="I68" s="1299">
        <f t="shared" si="27"/>
        <v>3061050.7209601682</v>
      </c>
      <c r="J68" s="1299">
        <f t="shared" si="27"/>
        <v>3634863.9846067121</v>
      </c>
      <c r="K68" s="1299">
        <f t="shared" si="27"/>
        <v>84372.659407597035</v>
      </c>
      <c r="L68" s="1299">
        <f t="shared" si="27"/>
        <v>344427.13634425402</v>
      </c>
      <c r="M68" s="419"/>
      <c r="O68" s="343"/>
      <c r="Q68" s="343"/>
      <c r="S68" s="55"/>
    </row>
    <row r="69" spans="1:19" ht="14.4" hidden="1" outlineLevel="1">
      <c r="A69" s="346">
        <f>ROW()</f>
        <v>69</v>
      </c>
      <c r="B69" s="1287" t="s">
        <v>208</v>
      </c>
      <c r="C69" s="1288"/>
      <c r="D69" s="1289"/>
      <c r="E69" s="674"/>
      <c r="F69" s="1299">
        <f>+E69+F68</f>
        <v>0</v>
      </c>
      <c r="G69" s="1299">
        <f>+F69+G68</f>
        <v>653569.5</v>
      </c>
      <c r="H69" s="1299">
        <f>+G69+H68</f>
        <v>2936908.07602948</v>
      </c>
      <c r="I69" s="1299">
        <f t="shared" ref="I69:L69" si="28">+H69+I68</f>
        <v>5997958.7969896477</v>
      </c>
      <c r="J69" s="1299">
        <f t="shared" si="28"/>
        <v>9632822.7815963589</v>
      </c>
      <c r="K69" s="1299">
        <f t="shared" si="28"/>
        <v>9717195.4410039559</v>
      </c>
      <c r="L69" s="1299">
        <f t="shared" si="28"/>
        <v>10061622.57734821</v>
      </c>
      <c r="M69" s="419"/>
      <c r="O69" s="343"/>
      <c r="Q69" s="343"/>
      <c r="S69" s="55"/>
    </row>
    <row r="70" spans="1:19" ht="14.4" hidden="1" outlineLevel="1">
      <c r="A70" s="346">
        <f>ROW()</f>
        <v>70</v>
      </c>
      <c r="B70" s="1287" t="s">
        <v>209</v>
      </c>
      <c r="C70" s="1288"/>
      <c r="D70" s="1289"/>
      <c r="E70" s="674"/>
      <c r="F70" s="1312">
        <f t="shared" ref="F70:L70" si="29">IF(F55&gt;0,MIN(F68,F55,(F63+F65+F64)),0)</f>
        <v>0</v>
      </c>
      <c r="G70" s="1312">
        <f t="shared" si="29"/>
        <v>0</v>
      </c>
      <c r="H70" s="1312">
        <f t="shared" si="29"/>
        <v>0</v>
      </c>
      <c r="I70" s="1312">
        <f t="shared" si="29"/>
        <v>0</v>
      </c>
      <c r="J70" s="1312">
        <f t="shared" si="29"/>
        <v>0</v>
      </c>
      <c r="K70" s="1312">
        <f t="shared" si="29"/>
        <v>84372.659407597035</v>
      </c>
      <c r="L70" s="1312">
        <f t="shared" si="29"/>
        <v>344427.13634425402</v>
      </c>
      <c r="M70" s="419"/>
      <c r="O70" s="343"/>
      <c r="Q70" s="343"/>
      <c r="S70" s="55"/>
    </row>
    <row r="71" spans="1:19" ht="14.4" hidden="1" outlineLevel="1">
      <c r="A71" s="346">
        <f>ROW()</f>
        <v>71</v>
      </c>
      <c r="B71" s="1287" t="s">
        <v>210</v>
      </c>
      <c r="C71" s="1288"/>
      <c r="D71" s="1289"/>
      <c r="E71" s="674"/>
      <c r="F71" s="1300">
        <f t="shared" ref="F71:L71" si="30">F63+F64+F65-F70</f>
        <v>616575</v>
      </c>
      <c r="G71" s="1300">
        <f t="shared" si="30"/>
        <v>2154092.9962542262</v>
      </c>
      <c r="H71" s="1300">
        <f t="shared" si="30"/>
        <v>2887783.6990190265</v>
      </c>
      <c r="I71" s="1300">
        <f t="shared" si="30"/>
        <v>3429116.9666101057</v>
      </c>
      <c r="J71" s="1300">
        <f t="shared" si="30"/>
        <v>3837539.7190221986</v>
      </c>
      <c r="K71" s="1300">
        <f t="shared" si="30"/>
        <v>3983419.4427559334</v>
      </c>
      <c r="L71" s="1300">
        <f t="shared" si="30"/>
        <v>3877997.4729770357</v>
      </c>
      <c r="M71" s="419"/>
      <c r="O71" s="343"/>
      <c r="Q71" s="343"/>
      <c r="S71" s="55"/>
    </row>
    <row r="72" spans="1:19" ht="14.4" hidden="1" outlineLevel="1">
      <c r="A72" s="346">
        <f>ROW()</f>
        <v>72</v>
      </c>
      <c r="B72" s="1287"/>
      <c r="C72" s="1288"/>
      <c r="D72" s="1289"/>
      <c r="E72" s="674"/>
      <c r="F72" s="1299"/>
      <c r="G72" s="1299"/>
      <c r="H72" s="1299"/>
      <c r="I72" s="1299"/>
      <c r="J72" s="1299"/>
      <c r="K72" s="1299"/>
      <c r="L72" s="1299"/>
      <c r="M72" s="419"/>
      <c r="O72" s="343"/>
      <c r="Q72" s="343"/>
      <c r="S72" s="55"/>
    </row>
    <row r="73" spans="1:19" ht="14.4" hidden="1" outlineLevel="1">
      <c r="A73" s="346">
        <f>ROW()</f>
        <v>73</v>
      </c>
      <c r="B73" s="1287" t="s">
        <v>211</v>
      </c>
      <c r="C73" s="1288"/>
      <c r="D73" s="1289"/>
      <c r="E73" s="674"/>
      <c r="F73" s="1299">
        <f t="shared" ref="F73:L73" si="31">IF(F55&gt;0,F55-F70,0)</f>
        <v>0</v>
      </c>
      <c r="G73" s="1299">
        <f t="shared" si="31"/>
        <v>0</v>
      </c>
      <c r="H73" s="1299">
        <f t="shared" si="31"/>
        <v>0</v>
      </c>
      <c r="I73" s="1299">
        <f t="shared" si="31"/>
        <v>0</v>
      </c>
      <c r="J73" s="1299">
        <f t="shared" si="31"/>
        <v>0</v>
      </c>
      <c r="K73" s="1299">
        <f t="shared" si="31"/>
        <v>0</v>
      </c>
      <c r="L73" s="1299">
        <f t="shared" si="31"/>
        <v>0</v>
      </c>
      <c r="M73" s="419"/>
      <c r="O73" s="343"/>
      <c r="Q73" s="343"/>
      <c r="S73" s="55"/>
    </row>
    <row r="74" spans="1:19" ht="14.4" hidden="1" outlineLevel="1">
      <c r="A74" s="346">
        <f>ROW()</f>
        <v>74</v>
      </c>
      <c r="B74" s="1287" t="s">
        <v>212</v>
      </c>
      <c r="C74" s="1288"/>
      <c r="D74" s="1289"/>
      <c r="E74" s="674"/>
      <c r="F74" s="1299">
        <f t="shared" ref="F74:H74" si="32">+F73+E74</f>
        <v>0</v>
      </c>
      <c r="G74" s="1299">
        <f t="shared" si="32"/>
        <v>0</v>
      </c>
      <c r="H74" s="1299">
        <f t="shared" si="32"/>
        <v>0</v>
      </c>
      <c r="I74" s="1299">
        <f>+I73+H74</f>
        <v>0</v>
      </c>
      <c r="J74" s="1299">
        <f t="shared" ref="J74:L74" si="33">+J73+I74</f>
        <v>0</v>
      </c>
      <c r="K74" s="1299">
        <f t="shared" si="33"/>
        <v>0</v>
      </c>
      <c r="L74" s="1299">
        <f t="shared" si="33"/>
        <v>0</v>
      </c>
      <c r="M74" s="419"/>
      <c r="O74" s="343"/>
      <c r="Q74" s="343"/>
      <c r="S74" s="55"/>
    </row>
    <row r="75" spans="1:19" ht="14.4" collapsed="1">
      <c r="A75" s="346">
        <f>ROW()</f>
        <v>75</v>
      </c>
      <c r="B75" s="674"/>
      <c r="C75" s="674"/>
      <c r="D75" s="674"/>
      <c r="E75" s="674"/>
      <c r="F75" s="107"/>
      <c r="G75" s="107"/>
      <c r="H75" s="107"/>
      <c r="I75" s="107"/>
      <c r="J75" s="107"/>
      <c r="K75" s="107"/>
      <c r="L75" s="107"/>
      <c r="M75" s="419"/>
      <c r="O75" s="343"/>
      <c r="Q75" s="343"/>
      <c r="S75" s="55"/>
    </row>
    <row r="76" spans="1:19" ht="14.4">
      <c r="A76" s="346">
        <f>ROW()</f>
        <v>76</v>
      </c>
      <c r="B76" s="1361" t="s">
        <v>213</v>
      </c>
      <c r="C76" s="1362"/>
      <c r="D76" s="1363"/>
      <c r="E76" s="1364"/>
      <c r="F76" s="675">
        <v>0</v>
      </c>
      <c r="G76" s="675">
        <v>0</v>
      </c>
      <c r="H76" s="675">
        <v>0</v>
      </c>
      <c r="I76" s="675">
        <v>0</v>
      </c>
      <c r="J76" s="675">
        <v>0</v>
      </c>
      <c r="K76" s="675">
        <v>0</v>
      </c>
      <c r="L76" s="675">
        <v>0</v>
      </c>
      <c r="M76" s="419"/>
      <c r="O76" s="343"/>
      <c r="Q76" s="343"/>
      <c r="S76" s="55"/>
    </row>
    <row r="77" spans="1:19" ht="14.4">
      <c r="A77" s="346">
        <f>ROW()</f>
        <v>77</v>
      </c>
      <c r="B77" s="1361" t="s">
        <v>214</v>
      </c>
      <c r="C77" s="1362"/>
      <c r="D77" s="1363"/>
      <c r="E77" s="1364"/>
      <c r="F77" s="282">
        <v>0</v>
      </c>
      <c r="G77" s="282">
        <v>0</v>
      </c>
      <c r="H77" s="282">
        <v>0</v>
      </c>
      <c r="I77" s="282">
        <v>0</v>
      </c>
      <c r="J77" s="282">
        <v>0</v>
      </c>
      <c r="K77" s="282">
        <v>0</v>
      </c>
      <c r="L77" s="282">
        <v>0</v>
      </c>
      <c r="M77" s="419"/>
      <c r="O77" s="343"/>
      <c r="Q77" s="343"/>
      <c r="S77" s="55"/>
    </row>
    <row r="78" spans="1:19" ht="15" thickBot="1">
      <c r="A78" s="346">
        <f>ROW()</f>
        <v>78</v>
      </c>
      <c r="B78" s="684" t="s">
        <v>215</v>
      </c>
      <c r="C78" s="685"/>
      <c r="D78" s="685"/>
      <c r="E78" s="686"/>
      <c r="F78" s="808">
        <f t="shared" ref="F78:L78" si="34">SUM(F76:F77)</f>
        <v>0</v>
      </c>
      <c r="G78" s="808">
        <f t="shared" si="34"/>
        <v>0</v>
      </c>
      <c r="H78" s="808">
        <f t="shared" si="34"/>
        <v>0</v>
      </c>
      <c r="I78" s="808">
        <f t="shared" si="34"/>
        <v>0</v>
      </c>
      <c r="J78" s="808">
        <f t="shared" si="34"/>
        <v>0</v>
      </c>
      <c r="K78" s="808">
        <f t="shared" si="34"/>
        <v>0</v>
      </c>
      <c r="L78" s="808">
        <f t="shared" si="34"/>
        <v>0</v>
      </c>
      <c r="M78" s="419"/>
      <c r="O78" s="343"/>
      <c r="Q78" s="343"/>
      <c r="S78" s="55"/>
    </row>
    <row r="79" spans="1:19" ht="15" thickBot="1">
      <c r="A79" s="346">
        <f>ROW()</f>
        <v>79</v>
      </c>
      <c r="B79" s="420" t="s">
        <v>216</v>
      </c>
      <c r="C79" s="421"/>
      <c r="D79" s="421"/>
      <c r="E79" s="417"/>
      <c r="F79" s="632">
        <f t="shared" ref="F79:L79" si="35">+F55-F58-F78</f>
        <v>-616575</v>
      </c>
      <c r="G79" s="632">
        <f t="shared" si="35"/>
        <v>-1500523.4962542262</v>
      </c>
      <c r="H79" s="632">
        <f t="shared" si="35"/>
        <v>-604445.12298954651</v>
      </c>
      <c r="I79" s="632">
        <f t="shared" si="35"/>
        <v>-368066.24564993754</v>
      </c>
      <c r="J79" s="632">
        <f t="shared" si="35"/>
        <v>-202675.73441548645</v>
      </c>
      <c r="K79" s="632">
        <f t="shared" si="35"/>
        <v>84372.659407597035</v>
      </c>
      <c r="L79" s="632">
        <f t="shared" si="35"/>
        <v>344427.13634425402</v>
      </c>
      <c r="M79" s="419"/>
      <c r="O79" s="343"/>
      <c r="Q79" s="343"/>
      <c r="S79" s="55"/>
    </row>
    <row r="80" spans="1:19" ht="14.4">
      <c r="A80" s="346">
        <f>ROW()</f>
        <v>80</v>
      </c>
      <c r="B80" s="183"/>
      <c r="C80" s="418"/>
      <c r="D80" s="418"/>
      <c r="E80" s="418"/>
      <c r="F80" s="633"/>
      <c r="G80" s="633"/>
      <c r="H80" s="633"/>
      <c r="I80" s="633"/>
      <c r="J80" s="633"/>
      <c r="K80" s="633"/>
      <c r="L80" s="633"/>
      <c r="M80" s="419"/>
      <c r="O80" s="343"/>
      <c r="P80" s="33" t="s">
        <v>146</v>
      </c>
      <c r="Q80" s="343"/>
    </row>
    <row r="81" spans="1:19" ht="14.4">
      <c r="A81" s="346">
        <f>ROW()</f>
        <v>81</v>
      </c>
      <c r="B81" s="183" t="s">
        <v>217</v>
      </c>
      <c r="C81" s="418"/>
      <c r="D81" s="418"/>
      <c r="E81" s="418"/>
      <c r="F81" s="631">
        <f t="shared" ref="F81:L81" si="36">+F55-(SUM(F33:F34))-F28</f>
        <v>-616575</v>
      </c>
      <c r="G81" s="631">
        <f t="shared" si="36"/>
        <v>-1824403.4962542262</v>
      </c>
      <c r="H81" s="631">
        <f t="shared" si="36"/>
        <v>-949157.12298954651</v>
      </c>
      <c r="I81" s="631">
        <f t="shared" si="36"/>
        <v>-735317.16779777757</v>
      </c>
      <c r="J81" s="631">
        <f t="shared" si="36"/>
        <v>-593965.71189219703</v>
      </c>
      <c r="K81" s="631">
        <f t="shared" si="36"/>
        <v>-332398.71671771619</v>
      </c>
      <c r="L81" s="631">
        <f t="shared" si="36"/>
        <v>-99354.522348577972</v>
      </c>
      <c r="M81" s="419"/>
      <c r="O81" s="343"/>
      <c r="P81" s="33" t="s">
        <v>146</v>
      </c>
      <c r="Q81" s="343"/>
    </row>
    <row r="82" spans="1:19" ht="14.4">
      <c r="A82" s="346">
        <f>ROW()</f>
        <v>82</v>
      </c>
      <c r="B82" s="183" t="s">
        <v>218</v>
      </c>
      <c r="C82" s="418"/>
      <c r="D82" s="418"/>
      <c r="E82" s="418"/>
      <c r="F82" s="633"/>
      <c r="G82" s="631">
        <f t="shared" ref="G82:L82" si="37">+G81+F82</f>
        <v>-1824403.4962542262</v>
      </c>
      <c r="H82" s="631">
        <f t="shared" si="37"/>
        <v>-2773560.6192437727</v>
      </c>
      <c r="I82" s="631">
        <f t="shared" si="37"/>
        <v>-3508877.7870415505</v>
      </c>
      <c r="J82" s="631">
        <f t="shared" si="37"/>
        <v>-4102843.4989337474</v>
      </c>
      <c r="K82" s="631">
        <f t="shared" si="37"/>
        <v>-4435242.2156514637</v>
      </c>
      <c r="L82" s="631">
        <f t="shared" si="37"/>
        <v>-4534596.7380000418</v>
      </c>
      <c r="M82" s="419"/>
      <c r="O82" s="343"/>
      <c r="P82" s="33" t="s">
        <v>146</v>
      </c>
      <c r="Q82" s="343"/>
    </row>
    <row r="83" spans="1:19" ht="14.4">
      <c r="A83" s="346">
        <f>ROW()</f>
        <v>83</v>
      </c>
      <c r="B83" s="183"/>
      <c r="C83" s="418"/>
      <c r="D83" s="418"/>
      <c r="E83" s="418"/>
      <c r="F83" s="633"/>
      <c r="G83" s="633"/>
      <c r="H83" s="633"/>
      <c r="I83" s="633"/>
      <c r="J83" s="633"/>
      <c r="K83" s="633"/>
      <c r="L83" s="633"/>
      <c r="M83" s="419"/>
      <c r="O83" s="343"/>
      <c r="P83" s="33" t="s">
        <v>146</v>
      </c>
      <c r="Q83" s="343"/>
    </row>
    <row r="84" spans="1:19" ht="14.4">
      <c r="A84" s="346">
        <f>ROW()</f>
        <v>84</v>
      </c>
      <c r="B84" s="1567" t="s">
        <v>219</v>
      </c>
      <c r="M84" s="419"/>
      <c r="O84" s="343"/>
      <c r="P84" s="33" t="s">
        <v>146</v>
      </c>
      <c r="Q84" s="343"/>
    </row>
    <row r="85" spans="1:19">
      <c r="A85" s="346">
        <f>ROW()</f>
        <v>85</v>
      </c>
      <c r="B85" s="31" t="s">
        <v>220</v>
      </c>
      <c r="M85" s="422"/>
      <c r="O85" s="343"/>
      <c r="P85" s="33" t="s">
        <v>146</v>
      </c>
      <c r="Q85" s="343"/>
    </row>
    <row r="86" spans="1:19">
      <c r="A86" s="346">
        <f>ROW()</f>
        <v>86</v>
      </c>
      <c r="B86" s="97" t="s">
        <v>221</v>
      </c>
      <c r="F86" s="1613"/>
      <c r="G86" s="1613">
        <f>F86+G57</f>
        <v>-2117098.4962542262</v>
      </c>
      <c r="H86" s="1613"/>
      <c r="I86" s="1613"/>
      <c r="J86" s="1613"/>
      <c r="K86" s="1613"/>
      <c r="L86" s="1613"/>
      <c r="M86" s="423"/>
      <c r="O86" s="343"/>
      <c r="P86" s="33" t="s">
        <v>146</v>
      </c>
      <c r="Q86" s="343"/>
    </row>
    <row r="87" spans="1:19">
      <c r="A87" s="346">
        <f>ROW()</f>
        <v>87</v>
      </c>
      <c r="B87" s="97" t="s">
        <v>222</v>
      </c>
      <c r="F87" s="1530"/>
      <c r="G87" s="1530">
        <f t="shared" ref="G87" si="38">239736.32+2390872.67</f>
        <v>2630608.9899999998</v>
      </c>
      <c r="H87" s="1530"/>
      <c r="I87" s="1530"/>
      <c r="J87" s="1530"/>
      <c r="K87" s="1530"/>
      <c r="L87" s="1530"/>
      <c r="M87" s="423"/>
      <c r="O87" s="343"/>
      <c r="Q87" s="343"/>
    </row>
    <row r="88" spans="1:19">
      <c r="A88" s="346">
        <f>ROW()</f>
        <v>88</v>
      </c>
      <c r="B88" s="97" t="s">
        <v>223</v>
      </c>
      <c r="F88" s="55">
        <f t="shared" ref="F88:L88" si="39">+F58</f>
        <v>0</v>
      </c>
      <c r="G88" s="55">
        <f t="shared" si="39"/>
        <v>0</v>
      </c>
      <c r="H88" s="55">
        <f t="shared" si="39"/>
        <v>0</v>
      </c>
      <c r="I88" s="55">
        <f t="shared" si="39"/>
        <v>0</v>
      </c>
      <c r="J88" s="55">
        <f t="shared" si="39"/>
        <v>0</v>
      </c>
      <c r="K88" s="55">
        <f t="shared" si="39"/>
        <v>0</v>
      </c>
      <c r="L88" s="55">
        <f t="shared" si="39"/>
        <v>0</v>
      </c>
      <c r="M88" s="425"/>
      <c r="O88" s="343"/>
      <c r="P88" s="33" t="s">
        <v>146</v>
      </c>
      <c r="Q88" s="343"/>
      <c r="S88" s="347"/>
    </row>
    <row r="89" spans="1:19">
      <c r="A89" s="346">
        <f>ROW()</f>
        <v>89</v>
      </c>
      <c r="B89" s="97" t="s">
        <v>224</v>
      </c>
      <c r="F89" s="1530"/>
      <c r="G89" s="1530">
        <v>629562.4</v>
      </c>
      <c r="H89" s="1530">
        <v>0</v>
      </c>
      <c r="I89" s="1530"/>
      <c r="J89" s="1530"/>
      <c r="K89" s="1530"/>
      <c r="L89" s="1530"/>
      <c r="M89" s="425"/>
      <c r="O89" s="343"/>
      <c r="P89" s="33" t="s">
        <v>146</v>
      </c>
      <c r="Q89" s="343" t="s">
        <v>1634</v>
      </c>
    </row>
    <row r="90" spans="1:19">
      <c r="A90" s="346">
        <f>ROW()</f>
        <v>90</v>
      </c>
      <c r="B90" s="97" t="s">
        <v>225</v>
      </c>
      <c r="F90" s="1530"/>
      <c r="G90" s="1530">
        <f t="shared" ref="G90" si="40">3006537.7+1216471.23</f>
        <v>4223008.93</v>
      </c>
      <c r="H90" s="1530"/>
      <c r="I90" s="1530"/>
      <c r="J90" s="1530"/>
      <c r="K90" s="1530"/>
      <c r="L90" s="1530"/>
      <c r="O90" s="343"/>
      <c r="P90" s="33" t="s">
        <v>146</v>
      </c>
      <c r="Q90" s="343"/>
    </row>
    <row r="91" spans="1:19">
      <c r="A91" s="346">
        <f>ROW()</f>
        <v>91</v>
      </c>
      <c r="B91" s="94" t="s">
        <v>226</v>
      </c>
      <c r="F91" s="1624">
        <f>SUM(F86:F90)</f>
        <v>0</v>
      </c>
      <c r="G91" s="1624">
        <f t="shared" ref="G91:L91" si="41">SUM(G86:G90)</f>
        <v>5366081.8237457732</v>
      </c>
      <c r="H91" s="1624">
        <f t="shared" si="41"/>
        <v>0</v>
      </c>
      <c r="I91" s="1624">
        <f t="shared" si="41"/>
        <v>0</v>
      </c>
      <c r="J91" s="1624">
        <f t="shared" si="41"/>
        <v>0</v>
      </c>
      <c r="K91" s="1624">
        <f t="shared" si="41"/>
        <v>0</v>
      </c>
      <c r="L91" s="1624">
        <f t="shared" si="41"/>
        <v>0</v>
      </c>
      <c r="O91" s="343"/>
      <c r="P91" s="33" t="s">
        <v>146</v>
      </c>
      <c r="Q91" s="343"/>
    </row>
    <row r="92" spans="1:19">
      <c r="A92" s="346">
        <f>ROW()</f>
        <v>92</v>
      </c>
      <c r="O92" s="343"/>
      <c r="P92" s="33" t="s">
        <v>146</v>
      </c>
      <c r="Q92" s="343"/>
    </row>
    <row r="93" spans="1:19">
      <c r="A93" s="346">
        <f>ROW()</f>
        <v>93</v>
      </c>
      <c r="B93" s="31" t="s">
        <v>227</v>
      </c>
      <c r="O93" s="343"/>
      <c r="P93" s="33" t="s">
        <v>146</v>
      </c>
      <c r="Q93" s="343"/>
    </row>
    <row r="94" spans="1:19">
      <c r="A94" s="346">
        <f>ROW()</f>
        <v>94</v>
      </c>
      <c r="B94" s="33" t="s">
        <v>228</v>
      </c>
      <c r="F94" s="1613"/>
      <c r="G94" s="1613">
        <v>639810.41</v>
      </c>
      <c r="H94" s="1613"/>
      <c r="I94" s="1613"/>
      <c r="J94" s="1613"/>
      <c r="K94" s="1613"/>
      <c r="L94" s="1613"/>
      <c r="O94" s="343"/>
      <c r="P94" s="33" t="s">
        <v>146</v>
      </c>
      <c r="Q94" s="343"/>
    </row>
    <row r="95" spans="1:19">
      <c r="A95" s="346">
        <f>ROW()</f>
        <v>95</v>
      </c>
      <c r="B95" s="33" t="s">
        <v>1465</v>
      </c>
      <c r="F95" s="503" t="s">
        <v>229</v>
      </c>
      <c r="G95" s="503" t="s">
        <v>229</v>
      </c>
      <c r="H95" s="503" t="s">
        <v>229</v>
      </c>
      <c r="I95" s="503" t="s">
        <v>229</v>
      </c>
      <c r="J95" s="503" t="s">
        <v>229</v>
      </c>
      <c r="K95" s="503" t="s">
        <v>229</v>
      </c>
      <c r="L95" s="503" t="s">
        <v>229</v>
      </c>
      <c r="O95" s="343"/>
      <c r="P95" s="33" t="s">
        <v>146</v>
      </c>
      <c r="Q95" s="343"/>
    </row>
    <row r="96" spans="1:19">
      <c r="A96" s="346">
        <f>ROW()</f>
        <v>96</v>
      </c>
      <c r="B96" s="33" t="s">
        <v>230</v>
      </c>
      <c r="F96" s="1530"/>
      <c r="G96" s="1530">
        <v>4852038.26</v>
      </c>
      <c r="H96" s="1530"/>
      <c r="I96" s="1530"/>
      <c r="J96" s="1530"/>
      <c r="K96" s="1530"/>
      <c r="L96" s="1530"/>
      <c r="O96" s="343"/>
      <c r="P96" s="33" t="s">
        <v>146</v>
      </c>
      <c r="Q96" s="343"/>
    </row>
    <row r="97" spans="1:17">
      <c r="A97" s="346">
        <f>ROW()</f>
        <v>97</v>
      </c>
      <c r="B97" s="31" t="s">
        <v>231</v>
      </c>
      <c r="F97" s="359">
        <f>SUM(F96,F94)</f>
        <v>0</v>
      </c>
      <c r="G97" s="359">
        <f t="shared" ref="G97:L97" si="42">SUM(G96,G94)</f>
        <v>5491848.6699999999</v>
      </c>
      <c r="H97" s="359">
        <f t="shared" si="42"/>
        <v>0</v>
      </c>
      <c r="I97" s="359">
        <f t="shared" si="42"/>
        <v>0</v>
      </c>
      <c r="J97" s="359">
        <f t="shared" si="42"/>
        <v>0</v>
      </c>
      <c r="K97" s="359">
        <f t="shared" si="42"/>
        <v>0</v>
      </c>
      <c r="L97" s="359">
        <f t="shared" si="42"/>
        <v>0</v>
      </c>
      <c r="O97" s="343"/>
      <c r="P97" s="33" t="s">
        <v>146</v>
      </c>
      <c r="Q97" s="343"/>
    </row>
    <row r="98" spans="1:17">
      <c r="A98" s="346">
        <f>ROW()</f>
        <v>98</v>
      </c>
      <c r="B98" s="31"/>
      <c r="O98" s="343"/>
      <c r="Q98" s="343"/>
    </row>
    <row r="99" spans="1:17">
      <c r="A99" s="346">
        <f>ROW()</f>
        <v>99</v>
      </c>
      <c r="B99" s="31" t="s">
        <v>232</v>
      </c>
      <c r="F99" s="1530">
        <f>+F91-F97</f>
        <v>0</v>
      </c>
      <c r="G99" s="1530">
        <f t="shared" ref="G99:L99" si="43">+G91-G97</f>
        <v>-125766.84625422675</v>
      </c>
      <c r="H99" s="1530">
        <f t="shared" si="43"/>
        <v>0</v>
      </c>
      <c r="I99" s="1530">
        <f t="shared" si="43"/>
        <v>0</v>
      </c>
      <c r="J99" s="1530">
        <f t="shared" si="43"/>
        <v>0</v>
      </c>
      <c r="K99" s="1530">
        <f t="shared" si="43"/>
        <v>0</v>
      </c>
      <c r="L99" s="1530">
        <f t="shared" si="43"/>
        <v>0</v>
      </c>
      <c r="O99" s="343"/>
      <c r="P99" s="33" t="s">
        <v>146</v>
      </c>
      <c r="Q99" s="343"/>
    </row>
    <row r="100" spans="1:17">
      <c r="A100" s="346">
        <f>ROW()</f>
        <v>100</v>
      </c>
      <c r="B100" s="31" t="s">
        <v>233</v>
      </c>
      <c r="F100" s="651">
        <f>+F99+F97</f>
        <v>0</v>
      </c>
      <c r="G100" s="651">
        <f t="shared" ref="G100:L100" si="44">+G99+G97</f>
        <v>5366081.8237457732</v>
      </c>
      <c r="H100" s="651">
        <f t="shared" si="44"/>
        <v>0</v>
      </c>
      <c r="I100" s="651">
        <f t="shared" si="44"/>
        <v>0</v>
      </c>
      <c r="J100" s="651">
        <f t="shared" si="44"/>
        <v>0</v>
      </c>
      <c r="K100" s="651">
        <f t="shared" si="44"/>
        <v>0</v>
      </c>
      <c r="L100" s="651">
        <f t="shared" si="44"/>
        <v>0</v>
      </c>
      <c r="O100" s="343"/>
      <c r="Q100" s="343"/>
    </row>
    <row r="101" spans="1:17">
      <c r="A101" s="346">
        <f>ROW()</f>
        <v>101</v>
      </c>
      <c r="B101" s="33" t="s">
        <v>234</v>
      </c>
      <c r="F101" s="55">
        <f>+F91-F100</f>
        <v>0</v>
      </c>
      <c r="G101" s="55">
        <f t="shared" ref="G101:L101" si="45">+G91-G100</f>
        <v>0</v>
      </c>
      <c r="H101" s="55">
        <f t="shared" si="45"/>
        <v>0</v>
      </c>
      <c r="I101" s="55">
        <f t="shared" si="45"/>
        <v>0</v>
      </c>
      <c r="J101" s="55">
        <f t="shared" si="45"/>
        <v>0</v>
      </c>
      <c r="K101" s="55">
        <f t="shared" si="45"/>
        <v>0</v>
      </c>
      <c r="L101" s="55">
        <f t="shared" si="45"/>
        <v>0</v>
      </c>
      <c r="O101" s="343"/>
      <c r="P101" s="33" t="s">
        <v>146</v>
      </c>
      <c r="Q101" s="343"/>
    </row>
    <row r="102" spans="1:17">
      <c r="A102" s="346">
        <f>ROW()</f>
        <v>102</v>
      </c>
      <c r="O102" s="343"/>
      <c r="P102" s="33" t="s">
        <v>146</v>
      </c>
      <c r="Q102" s="343"/>
    </row>
    <row r="103" spans="1:17">
      <c r="A103" s="346">
        <f>ROW()</f>
        <v>103</v>
      </c>
      <c r="B103" s="31" t="s">
        <v>235</v>
      </c>
      <c r="C103" s="31"/>
      <c r="D103" s="31"/>
      <c r="E103" s="31"/>
      <c r="F103" s="1635" cm="1">
        <f t="array" ref="F103">IFERROR(SUM(F86:F87/F94),0)</f>
        <v>0</v>
      </c>
      <c r="G103" s="1635" cm="1">
        <f t="array" ref="G103">IFERROR(SUM(G86:G87/G94),0)</f>
        <v>0.80259790356611038</v>
      </c>
      <c r="H103" s="1635" cm="1">
        <f t="array" ref="H103">IFERROR(SUM(H86:H87/H94),0)</f>
        <v>0</v>
      </c>
      <c r="I103" s="1635" cm="1">
        <f t="array" ref="I103">IFERROR(SUM(I86:I87/I94),0)</f>
        <v>0</v>
      </c>
      <c r="J103" s="1635" cm="1">
        <f t="array" ref="J103">IFERROR(SUM(J86:J87/J94),0)</f>
        <v>0</v>
      </c>
      <c r="K103" s="1635" cm="1">
        <f t="array" ref="K103">IFERROR(SUM(K86:K87/K94),0)</f>
        <v>0</v>
      </c>
      <c r="L103" s="1635" cm="1">
        <f t="array" ref="L103">IFERROR(SUM(L86:L87/L94),0)</f>
        <v>0</v>
      </c>
      <c r="O103" s="343"/>
      <c r="P103" s="33" t="s">
        <v>146</v>
      </c>
      <c r="Q103" s="343"/>
    </row>
    <row r="104" spans="1:17">
      <c r="A104" s="346">
        <f>ROW()</f>
        <v>104</v>
      </c>
      <c r="B104" s="31" t="s">
        <v>236</v>
      </c>
      <c r="C104" s="31"/>
      <c r="D104" s="31"/>
      <c r="E104" s="31"/>
      <c r="F104" s="1635" t="e">
        <f>F96/F91</f>
        <v>#DIV/0!</v>
      </c>
      <c r="G104" s="1635">
        <f t="shared" ref="G104:L104" si="46">G96/G91</f>
        <v>0.90420504557514425</v>
      </c>
      <c r="H104" s="1635" t="e">
        <f t="shared" si="46"/>
        <v>#DIV/0!</v>
      </c>
      <c r="I104" s="1635" t="e">
        <f t="shared" si="46"/>
        <v>#DIV/0!</v>
      </c>
      <c r="J104" s="1635" t="e">
        <f t="shared" si="46"/>
        <v>#DIV/0!</v>
      </c>
      <c r="K104" s="1635" t="e">
        <f t="shared" si="46"/>
        <v>#DIV/0!</v>
      </c>
      <c r="L104" s="1635" t="e">
        <f t="shared" si="46"/>
        <v>#DIV/0!</v>
      </c>
      <c r="O104" s="343"/>
      <c r="P104" s="33" t="s">
        <v>146</v>
      </c>
      <c r="Q104" s="343"/>
    </row>
    <row r="105" spans="1:17">
      <c r="A105" s="346">
        <f>ROW()</f>
        <v>105</v>
      </c>
      <c r="O105" s="343"/>
      <c r="P105" s="33" t="s">
        <v>146</v>
      </c>
      <c r="Q105" s="343"/>
    </row>
    <row r="106" spans="1:17">
      <c r="A106" s="346">
        <f>ROW()</f>
        <v>106</v>
      </c>
      <c r="O106" s="343"/>
      <c r="P106" s="33" t="s">
        <v>146</v>
      </c>
      <c r="Q106" s="343"/>
    </row>
    <row r="107" spans="1:17">
      <c r="O107" s="343"/>
      <c r="P107" s="33" t="s">
        <v>146</v>
      </c>
      <c r="Q107" s="343"/>
    </row>
    <row r="108" spans="1:17">
      <c r="O108" s="343"/>
      <c r="P108" s="33" t="s">
        <v>146</v>
      </c>
      <c r="Q108" s="343"/>
    </row>
    <row r="109" spans="1:17">
      <c r="O109" s="343"/>
      <c r="P109" s="33" t="s">
        <v>146</v>
      </c>
      <c r="Q109" s="343"/>
    </row>
    <row r="110" spans="1:17">
      <c r="O110" s="343"/>
      <c r="P110" s="33" t="s">
        <v>146</v>
      </c>
      <c r="Q110" s="343"/>
    </row>
    <row r="111" spans="1:17">
      <c r="O111" s="343"/>
      <c r="P111" s="33" t="s">
        <v>146</v>
      </c>
      <c r="Q111" s="343"/>
    </row>
    <row r="112" spans="1:17">
      <c r="O112" s="343"/>
      <c r="P112" s="33" t="s">
        <v>146</v>
      </c>
      <c r="Q112" s="343"/>
    </row>
    <row r="113" spans="13:17">
      <c r="O113" s="343"/>
      <c r="P113" s="33" t="s">
        <v>146</v>
      </c>
      <c r="Q113" s="343"/>
    </row>
    <row r="114" spans="13:17">
      <c r="O114" s="343"/>
      <c r="P114" s="33" t="s">
        <v>146</v>
      </c>
      <c r="Q114" s="343"/>
    </row>
    <row r="115" spans="13:17">
      <c r="O115" s="343"/>
      <c r="P115" s="33" t="s">
        <v>146</v>
      </c>
      <c r="Q115" s="343"/>
    </row>
    <row r="116" spans="13:17">
      <c r="O116" s="343"/>
      <c r="P116" s="33" t="s">
        <v>146</v>
      </c>
      <c r="Q116" s="343"/>
    </row>
    <row r="117" spans="13:17">
      <c r="O117" s="343"/>
      <c r="P117" s="33" t="s">
        <v>146</v>
      </c>
      <c r="Q117" s="343"/>
    </row>
    <row r="118" spans="13:17">
      <c r="O118" s="343"/>
      <c r="P118" s="33" t="s">
        <v>146</v>
      </c>
      <c r="Q118" s="343"/>
    </row>
    <row r="119" spans="13:17">
      <c r="O119" s="343"/>
      <c r="P119" s="33" t="s">
        <v>146</v>
      </c>
      <c r="Q119" s="343"/>
    </row>
    <row r="120" spans="13:17">
      <c r="O120" s="343"/>
      <c r="P120" s="33" t="s">
        <v>146</v>
      </c>
      <c r="Q120" s="343"/>
    </row>
    <row r="121" spans="13:17">
      <c r="O121" s="343"/>
      <c r="Q121" s="343"/>
    </row>
    <row r="122" spans="13:17">
      <c r="O122" s="343"/>
      <c r="P122" s="33" t="s">
        <v>146</v>
      </c>
      <c r="Q122" s="343"/>
    </row>
    <row r="123" spans="13:17">
      <c r="O123" s="343"/>
      <c r="P123" s="33" t="s">
        <v>146</v>
      </c>
      <c r="Q123" s="343"/>
    </row>
    <row r="124" spans="13:17">
      <c r="O124" s="343"/>
      <c r="P124" s="33" t="s">
        <v>146</v>
      </c>
      <c r="Q124" s="343"/>
    </row>
    <row r="125" spans="13:17">
      <c r="O125" s="343"/>
      <c r="P125" s="33" t="s">
        <v>146</v>
      </c>
      <c r="Q125" s="343"/>
    </row>
    <row r="126" spans="13:17">
      <c r="O126" s="343"/>
      <c r="P126" s="33" t="s">
        <v>146</v>
      </c>
      <c r="Q126" s="343"/>
    </row>
    <row r="127" spans="13:17">
      <c r="M127" s="413"/>
      <c r="O127" s="343"/>
      <c r="P127" s="33" t="s">
        <v>146</v>
      </c>
      <c r="Q127" s="343"/>
    </row>
    <row r="128" spans="13:17">
      <c r="M128" s="413"/>
      <c r="O128" s="343"/>
      <c r="P128" s="33" t="s">
        <v>146</v>
      </c>
      <c r="Q128" s="343"/>
    </row>
    <row r="129" spans="13:17">
      <c r="M129" s="413"/>
      <c r="O129" s="343"/>
      <c r="P129" s="33" t="s">
        <v>146</v>
      </c>
      <c r="Q129" s="343"/>
    </row>
    <row r="130" spans="13:17">
      <c r="M130" s="413"/>
      <c r="O130" s="343"/>
      <c r="P130" s="33" t="s">
        <v>146</v>
      </c>
      <c r="Q130" s="343"/>
    </row>
    <row r="131" spans="13:17">
      <c r="M131" s="413"/>
      <c r="O131" s="343"/>
      <c r="P131" s="33" t="s">
        <v>146</v>
      </c>
      <c r="Q131" s="343"/>
    </row>
    <row r="132" spans="13:17">
      <c r="M132" s="413"/>
      <c r="O132" s="343"/>
      <c r="P132" s="33" t="s">
        <v>146</v>
      </c>
      <c r="Q132" s="343"/>
    </row>
    <row r="133" spans="13:17">
      <c r="M133" s="413"/>
      <c r="O133" s="343"/>
      <c r="P133" s="33" t="s">
        <v>146</v>
      </c>
      <c r="Q133" s="343"/>
    </row>
    <row r="134" spans="13:17">
      <c r="M134" s="413"/>
      <c r="O134" s="343"/>
      <c r="P134" s="33" t="s">
        <v>146</v>
      </c>
      <c r="Q134" s="343"/>
    </row>
    <row r="135" spans="13:17">
      <c r="M135" s="413"/>
      <c r="O135" s="343"/>
      <c r="P135" s="33" t="s">
        <v>146</v>
      </c>
      <c r="Q135" s="343"/>
    </row>
    <row r="136" spans="13:17">
      <c r="M136" s="413"/>
      <c r="O136" s="343"/>
      <c r="P136" s="33" t="s">
        <v>146</v>
      </c>
      <c r="Q136" s="343"/>
    </row>
    <row r="137" spans="13:17">
      <c r="M137" s="413"/>
      <c r="O137" s="343"/>
      <c r="P137" s="33" t="s">
        <v>146</v>
      </c>
      <c r="Q137" s="343"/>
    </row>
    <row r="138" spans="13:17">
      <c r="M138" s="413"/>
      <c r="O138" s="343"/>
      <c r="P138" s="33" t="s">
        <v>146</v>
      </c>
      <c r="Q138" s="343"/>
    </row>
    <row r="139" spans="13:17">
      <c r="M139" s="413"/>
      <c r="O139" s="343"/>
      <c r="P139" s="33" t="s">
        <v>146</v>
      </c>
      <c r="Q139" s="343"/>
    </row>
    <row r="140" spans="13:17">
      <c r="M140" s="413"/>
      <c r="O140" s="343"/>
      <c r="P140" s="33" t="s">
        <v>146</v>
      </c>
      <c r="Q140" s="343"/>
    </row>
    <row r="141" spans="13:17">
      <c r="M141" s="413"/>
      <c r="O141" s="343"/>
      <c r="P141" s="33" t="s">
        <v>146</v>
      </c>
      <c r="Q141" s="343"/>
    </row>
    <row r="142" spans="13:17">
      <c r="M142" s="413"/>
      <c r="O142" s="343"/>
      <c r="P142" s="33" t="s">
        <v>146</v>
      </c>
      <c r="Q142" s="343"/>
    </row>
    <row r="143" spans="13:17">
      <c r="M143" s="413"/>
      <c r="O143" s="343"/>
      <c r="P143" s="33" t="s">
        <v>146</v>
      </c>
      <c r="Q143" s="343"/>
    </row>
    <row r="144" spans="13:17">
      <c r="M144" s="413"/>
      <c r="O144" s="343"/>
      <c r="P144" s="33" t="s">
        <v>146</v>
      </c>
      <c r="Q144" s="343"/>
    </row>
    <row r="145" spans="13:17">
      <c r="M145" s="413"/>
      <c r="O145" s="343"/>
      <c r="P145" s="33" t="s">
        <v>146</v>
      </c>
      <c r="Q145" s="343"/>
    </row>
    <row r="146" spans="13:17">
      <c r="M146" s="413"/>
      <c r="O146" s="343"/>
      <c r="P146" s="33" t="s">
        <v>146</v>
      </c>
      <c r="Q146" s="343"/>
    </row>
    <row r="147" spans="13:17">
      <c r="M147" s="413"/>
      <c r="O147" s="343"/>
      <c r="P147" s="33" t="s">
        <v>146</v>
      </c>
      <c r="Q147" s="343"/>
    </row>
    <row r="148" spans="13:17">
      <c r="M148" s="413"/>
      <c r="O148" s="343"/>
      <c r="P148" s="33" t="s">
        <v>146</v>
      </c>
      <c r="Q148" s="343"/>
    </row>
    <row r="149" spans="13:17">
      <c r="M149" s="413"/>
      <c r="O149" s="343"/>
      <c r="P149" s="33" t="s">
        <v>146</v>
      </c>
      <c r="Q149" s="343"/>
    </row>
    <row r="150" spans="13:17">
      <c r="M150" s="413"/>
      <c r="O150" s="343"/>
      <c r="P150" s="33" t="s">
        <v>146</v>
      </c>
      <c r="Q150" s="343"/>
    </row>
    <row r="151" spans="13:17">
      <c r="M151" s="413"/>
      <c r="O151" s="343"/>
      <c r="P151" s="33" t="s">
        <v>146</v>
      </c>
      <c r="Q151" s="343"/>
    </row>
    <row r="152" spans="13:17">
      <c r="M152" s="413"/>
      <c r="O152" s="343"/>
      <c r="P152" s="33" t="s">
        <v>146</v>
      </c>
      <c r="Q152" s="343"/>
    </row>
    <row r="153" spans="13:17">
      <c r="M153" s="413"/>
      <c r="O153" s="343"/>
      <c r="P153" s="33" t="s">
        <v>146</v>
      </c>
      <c r="Q153" s="343"/>
    </row>
    <row r="154" spans="13:17">
      <c r="M154" s="413"/>
      <c r="O154" s="343"/>
      <c r="P154" s="33" t="s">
        <v>146</v>
      </c>
      <c r="Q154" s="343"/>
    </row>
    <row r="155" spans="13:17">
      <c r="M155" s="413"/>
      <c r="O155" s="343"/>
      <c r="P155" s="33" t="s">
        <v>146</v>
      </c>
      <c r="Q155" s="343"/>
    </row>
    <row r="156" spans="13:17">
      <c r="M156" s="413"/>
      <c r="O156" s="343"/>
      <c r="P156" s="33" t="s">
        <v>146</v>
      </c>
      <c r="Q156" s="343"/>
    </row>
    <row r="157" spans="13:17">
      <c r="M157" s="413"/>
      <c r="O157" s="343"/>
      <c r="P157" s="33" t="s">
        <v>146</v>
      </c>
      <c r="Q157" s="343"/>
    </row>
    <row r="158" spans="13:17">
      <c r="M158" s="413"/>
      <c r="O158" s="343"/>
      <c r="P158" s="33" t="s">
        <v>146</v>
      </c>
      <c r="Q158" s="343"/>
    </row>
    <row r="159" spans="13:17">
      <c r="M159" s="413"/>
      <c r="O159" s="343"/>
      <c r="P159" s="33" t="s">
        <v>146</v>
      </c>
      <c r="Q159" s="343"/>
    </row>
    <row r="160" spans="13:17">
      <c r="M160" s="413"/>
      <c r="O160" s="343"/>
      <c r="P160" s="33" t="s">
        <v>146</v>
      </c>
      <c r="Q160" s="343"/>
    </row>
    <row r="161" spans="13:19">
      <c r="M161" s="413"/>
      <c r="O161" s="343"/>
      <c r="P161" s="33" t="s">
        <v>146</v>
      </c>
      <c r="Q161" s="343"/>
    </row>
    <row r="162" spans="13:19">
      <c r="M162" s="413"/>
      <c r="O162" s="343"/>
      <c r="P162" s="33" t="s">
        <v>146</v>
      </c>
      <c r="Q162" s="343"/>
      <c r="S162" s="90"/>
    </row>
    <row r="163" spans="13:19">
      <c r="M163" s="413"/>
      <c r="O163" s="343"/>
      <c r="P163" s="33" t="s">
        <v>146</v>
      </c>
      <c r="Q163" s="343"/>
    </row>
    <row r="164" spans="13:19">
      <c r="M164" s="413"/>
      <c r="O164" s="343"/>
      <c r="P164" s="33" t="s">
        <v>146</v>
      </c>
      <c r="Q164" s="343"/>
    </row>
    <row r="165" spans="13:19">
      <c r="M165" s="54"/>
      <c r="O165" s="343"/>
      <c r="P165" s="33" t="s">
        <v>146</v>
      </c>
      <c r="Q165" s="343"/>
    </row>
    <row r="166" spans="13:19">
      <c r="M166" s="54"/>
      <c r="O166" s="343"/>
      <c r="P166" s="33" t="s">
        <v>146</v>
      </c>
      <c r="Q166" s="343"/>
    </row>
    <row r="167" spans="13:19">
      <c r="M167" s="54"/>
      <c r="O167" s="343"/>
      <c r="P167" s="33" t="s">
        <v>146</v>
      </c>
      <c r="Q167" s="343"/>
    </row>
    <row r="168" spans="13:19">
      <c r="M168" s="54"/>
      <c r="O168" s="343"/>
      <c r="P168" s="33" t="s">
        <v>146</v>
      </c>
      <c r="Q168" s="343"/>
    </row>
    <row r="169" spans="13:19">
      <c r="M169" s="54"/>
      <c r="O169" s="343"/>
      <c r="P169" s="33" t="s">
        <v>146</v>
      </c>
      <c r="Q169" s="343"/>
    </row>
    <row r="170" spans="13:19">
      <c r="M170" s="54"/>
      <c r="O170" s="343"/>
      <c r="P170" s="33" t="s">
        <v>146</v>
      </c>
      <c r="Q170" s="343"/>
    </row>
    <row r="171" spans="13:19">
      <c r="M171" s="54"/>
      <c r="O171" s="343"/>
      <c r="P171" s="33" t="s">
        <v>146</v>
      </c>
      <c r="Q171" s="343"/>
    </row>
    <row r="172" spans="13:19">
      <c r="M172" s="54"/>
      <c r="O172" s="343"/>
      <c r="P172" s="33" t="s">
        <v>146</v>
      </c>
      <c r="Q172" s="343"/>
    </row>
    <row r="173" spans="13:19">
      <c r="M173" s="54"/>
      <c r="O173" s="343"/>
      <c r="P173" s="33" t="s">
        <v>146</v>
      </c>
      <c r="Q173" s="343"/>
    </row>
    <row r="174" spans="13:19">
      <c r="M174" s="54"/>
      <c r="O174" s="343"/>
      <c r="P174" s="33" t="s">
        <v>146</v>
      </c>
      <c r="Q174" s="343"/>
    </row>
    <row r="175" spans="13:19">
      <c r="M175" s="54"/>
      <c r="O175" s="343"/>
      <c r="P175" s="33" t="s">
        <v>146</v>
      </c>
      <c r="Q175" s="343"/>
    </row>
    <row r="176" spans="13:19">
      <c r="M176" s="54"/>
      <c r="O176" s="343"/>
      <c r="P176" s="33" t="s">
        <v>146</v>
      </c>
      <c r="Q176" s="343"/>
    </row>
    <row r="177" spans="13:17">
      <c r="M177" s="54"/>
      <c r="O177" s="343"/>
      <c r="P177" s="33" t="s">
        <v>146</v>
      </c>
      <c r="Q177" s="343"/>
    </row>
    <row r="178" spans="13:17">
      <c r="M178" s="54"/>
      <c r="O178" s="343"/>
      <c r="P178" s="33" t="s">
        <v>146</v>
      </c>
      <c r="Q178" s="343"/>
    </row>
    <row r="179" spans="13:17">
      <c r="M179" s="54"/>
      <c r="O179" s="343"/>
      <c r="P179" s="33" t="s">
        <v>146</v>
      </c>
      <c r="Q179" s="343"/>
    </row>
    <row r="180" spans="13:17">
      <c r="M180" s="54"/>
      <c r="O180" s="343"/>
      <c r="P180" s="33" t="s">
        <v>146</v>
      </c>
      <c r="Q180" s="343"/>
    </row>
    <row r="181" spans="13:17">
      <c r="M181" s="54"/>
      <c r="O181" s="343"/>
      <c r="P181" s="33" t="s">
        <v>146</v>
      </c>
      <c r="Q181" s="343"/>
    </row>
    <row r="182" spans="13:17">
      <c r="M182" s="54"/>
      <c r="O182" s="343"/>
      <c r="P182" s="33" t="s">
        <v>146</v>
      </c>
      <c r="Q182" s="343"/>
    </row>
    <row r="183" spans="13:17">
      <c r="M183" s="54"/>
      <c r="O183" s="343"/>
      <c r="P183" s="33" t="s">
        <v>146</v>
      </c>
      <c r="Q183" s="343"/>
    </row>
    <row r="184" spans="13:17">
      <c r="M184" s="54"/>
      <c r="O184" s="343"/>
      <c r="P184" s="33" t="s">
        <v>146</v>
      </c>
      <c r="Q184" s="343"/>
    </row>
    <row r="185" spans="13:17">
      <c r="M185" s="54"/>
      <c r="O185" s="343"/>
      <c r="P185" s="33" t="s">
        <v>146</v>
      </c>
      <c r="Q185" s="343"/>
    </row>
    <row r="186" spans="13:17">
      <c r="M186" s="54"/>
      <c r="O186" s="343"/>
      <c r="P186" s="33" t="s">
        <v>146</v>
      </c>
      <c r="Q186" s="343"/>
    </row>
    <row r="187" spans="13:17">
      <c r="M187" s="54"/>
      <c r="O187" s="343"/>
      <c r="P187" s="33" t="s">
        <v>146</v>
      </c>
      <c r="Q187" s="343"/>
    </row>
    <row r="188" spans="13:17">
      <c r="M188" s="54"/>
      <c r="O188" s="343"/>
      <c r="P188" s="33" t="s">
        <v>146</v>
      </c>
      <c r="Q188" s="343"/>
    </row>
    <row r="189" spans="13:17">
      <c r="M189" s="54"/>
      <c r="O189" s="343"/>
      <c r="P189" s="33" t="s">
        <v>146</v>
      </c>
      <c r="Q189" s="343"/>
    </row>
    <row r="190" spans="13:17">
      <c r="P190" s="33" t="s">
        <v>146</v>
      </c>
    </row>
    <row r="191" spans="13:17">
      <c r="M191" s="54"/>
      <c r="O191" s="343"/>
      <c r="P191" s="33" t="s">
        <v>146</v>
      </c>
      <c r="Q191" s="343"/>
    </row>
    <row r="192" spans="13:17">
      <c r="M192" s="54"/>
      <c r="O192" s="343"/>
      <c r="P192" s="33" t="s">
        <v>146</v>
      </c>
      <c r="Q192" s="343"/>
    </row>
    <row r="193" spans="1:17">
      <c r="M193" s="54"/>
      <c r="O193" s="343"/>
      <c r="P193" s="33" t="s">
        <v>146</v>
      </c>
      <c r="Q193" s="343"/>
    </row>
    <row r="194" spans="1:17" hidden="1">
      <c r="M194" s="54"/>
      <c r="O194" s="343"/>
      <c r="P194" s="33" t="s">
        <v>146</v>
      </c>
      <c r="Q194" s="343"/>
    </row>
    <row r="195" spans="1:17" hidden="1">
      <c r="M195" s="54"/>
      <c r="O195" s="343"/>
      <c r="P195" s="33" t="s">
        <v>146</v>
      </c>
      <c r="Q195" s="343"/>
    </row>
    <row r="196" spans="1:17" hidden="1">
      <c r="M196" s="54"/>
      <c r="O196" s="343"/>
      <c r="P196" s="33" t="s">
        <v>146</v>
      </c>
      <c r="Q196" s="343"/>
    </row>
    <row r="197" spans="1:17" hidden="1">
      <c r="M197" s="54"/>
      <c r="O197" s="343"/>
      <c r="P197" s="33" t="s">
        <v>146</v>
      </c>
      <c r="Q197" s="343"/>
    </row>
    <row r="198" spans="1:17">
      <c r="M198" s="54"/>
      <c r="O198" s="343"/>
      <c r="P198" s="33" t="s">
        <v>146</v>
      </c>
      <c r="Q198" s="343"/>
    </row>
    <row r="199" spans="1:17" ht="14.4">
      <c r="B199" s="361"/>
      <c r="C199" s="433"/>
      <c r="D199" s="433"/>
      <c r="E199" s="433"/>
      <c r="F199" s="508"/>
      <c r="G199" s="644"/>
      <c r="H199" s="644"/>
      <c r="I199" s="644"/>
      <c r="J199" s="644"/>
      <c r="K199" s="644"/>
      <c r="L199" s="644"/>
      <c r="M199" s="54"/>
      <c r="O199" s="343"/>
      <c r="P199" s="33" t="s">
        <v>146</v>
      </c>
      <c r="Q199" s="343"/>
    </row>
    <row r="200" spans="1:17">
      <c r="F200" s="508"/>
      <c r="G200" s="503"/>
      <c r="H200" s="503"/>
      <c r="I200" s="503"/>
      <c r="J200" s="503"/>
      <c r="K200" s="503"/>
      <c r="L200" s="503"/>
      <c r="M200" s="54"/>
      <c r="P200" s="33" t="s">
        <v>146</v>
      </c>
    </row>
    <row r="201" spans="1:17">
      <c r="A201" s="33" t="s">
        <v>146</v>
      </c>
      <c r="B201" s="33" t="s">
        <v>146</v>
      </c>
      <c r="C201" s="33" t="s">
        <v>146</v>
      </c>
      <c r="E201" s="33" t="s">
        <v>146</v>
      </c>
      <c r="F201" s="58" t="s">
        <v>146</v>
      </c>
      <c r="G201" s="33" t="s">
        <v>146</v>
      </c>
      <c r="H201" s="33" t="s">
        <v>146</v>
      </c>
      <c r="I201" s="33" t="s">
        <v>146</v>
      </c>
      <c r="J201" s="33" t="s">
        <v>146</v>
      </c>
      <c r="K201" s="33" t="s">
        <v>146</v>
      </c>
      <c r="L201" s="33" t="s">
        <v>146</v>
      </c>
      <c r="M201" s="54" t="s">
        <v>146</v>
      </c>
      <c r="N201" s="33" t="s">
        <v>146</v>
      </c>
      <c r="O201" s="307" t="s">
        <v>146</v>
      </c>
      <c r="P201" s="33" t="s">
        <v>146</v>
      </c>
      <c r="Q201" s="307" t="s">
        <v>146</v>
      </c>
    </row>
    <row r="202" spans="1:17">
      <c r="A202" s="33" t="s">
        <v>146</v>
      </c>
      <c r="B202" s="33" t="s">
        <v>146</v>
      </c>
      <c r="C202" s="33" t="s">
        <v>146</v>
      </c>
      <c r="E202" s="33" t="s">
        <v>146</v>
      </c>
      <c r="F202" s="58" t="s">
        <v>146</v>
      </c>
      <c r="G202" s="33" t="s">
        <v>146</v>
      </c>
      <c r="H202" s="33" t="s">
        <v>146</v>
      </c>
      <c r="I202" s="33" t="s">
        <v>146</v>
      </c>
      <c r="J202" s="33" t="s">
        <v>146</v>
      </c>
      <c r="K202" s="33" t="s">
        <v>146</v>
      </c>
      <c r="L202" s="33" t="s">
        <v>146</v>
      </c>
      <c r="M202" s="54" t="s">
        <v>146</v>
      </c>
      <c r="N202" s="33" t="s">
        <v>146</v>
      </c>
      <c r="O202" s="307" t="s">
        <v>146</v>
      </c>
      <c r="P202" s="33" t="s">
        <v>146</v>
      </c>
      <c r="Q202" s="307" t="s">
        <v>146</v>
      </c>
    </row>
    <row r="203" spans="1:17">
      <c r="F203" s="58"/>
    </row>
    <row r="204" spans="1:17">
      <c r="F204" s="58"/>
    </row>
    <row r="205" spans="1:17">
      <c r="F205" s="58"/>
    </row>
    <row r="206" spans="1:17">
      <c r="F206" s="58"/>
    </row>
  </sheetData>
  <sheetProtection algorithmName="SHA-512" hashValue="lphUH84G0D8RkQXAyja1KRgbiFDaiVHYkFWH7oyHkqVyoDdhhAZTb0wKlpRk3J9lvyvmWWtkFzD9uBnfA/5Gkw==" saltValue="h6VGF3W781H26zlb8gn1fA==" spinCount="100000" sheet="1" objects="1" scenarios="1"/>
  <phoneticPr fontId="7" type="noConversion"/>
  <conditionalFormatting sqref="E1">
    <cfRule type="expression" dxfId="75" priority="2" stopIfTrue="1">
      <formula>MOD(ROW(),2)=0</formula>
    </cfRule>
  </conditionalFormatting>
  <conditionalFormatting sqref="L1">
    <cfRule type="expression" dxfId="74" priority="3" stopIfTrue="1">
      <formula>MOD(ROW(),2)=0</formula>
    </cfRule>
  </conditionalFormatting>
  <conditionalFormatting sqref="N55">
    <cfRule type="cellIs" dxfId="73" priority="13" stopIfTrue="1" operator="equal">
      <formula>0</formula>
    </cfRule>
  </conditionalFormatting>
  <hyperlinks>
    <hyperlink ref="E1" location="HypLink1" display="HypLink1"/>
  </hyperlinks>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8" max="1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70C0"/>
  </sheetPr>
  <dimension ref="A1:P126"/>
  <sheetViews>
    <sheetView topLeftCell="A22" zoomScale="93" zoomScaleNormal="93" workbookViewId="0">
      <selection activeCell="G44" sqref="G44"/>
    </sheetView>
  </sheetViews>
  <sheetFormatPr defaultColWidth="8.77734375" defaultRowHeight="13.2"/>
  <cols>
    <col min="1" max="1" width="5" style="6" customWidth="1"/>
    <col min="2" max="2" width="32.5546875" style="6" customWidth="1"/>
    <col min="3" max="3" width="16.77734375" style="6" customWidth="1"/>
    <col min="4" max="4" width="3.21875" style="6" hidden="1" customWidth="1"/>
    <col min="5" max="5" width="8.77734375" style="6" hidden="1" customWidth="1"/>
    <col min="6" max="6" width="12.44140625" style="6" customWidth="1"/>
    <col min="7" max="7" width="12" style="6" customWidth="1"/>
    <col min="8" max="8" width="12.5546875" style="6" customWidth="1"/>
    <col min="9" max="9" width="12.21875" style="6" customWidth="1"/>
    <col min="10" max="10" width="13.77734375" style="6" customWidth="1"/>
    <col min="11" max="12" width="14.21875" style="6" customWidth="1"/>
    <col min="13" max="16384" width="8.77734375" style="6"/>
  </cols>
  <sheetData>
    <row r="1" spans="1:16" ht="17.399999999999999">
      <c r="A1" s="112" t="s">
        <v>113</v>
      </c>
      <c r="B1" s="439"/>
      <c r="C1" s="407" t="s">
        <v>3</v>
      </c>
      <c r="D1" s="409"/>
      <c r="F1" s="33"/>
      <c r="G1" s="33"/>
      <c r="H1" s="33"/>
      <c r="I1" s="33"/>
      <c r="J1" s="33"/>
      <c r="K1" s="36"/>
      <c r="L1" s="407"/>
    </row>
    <row r="2" spans="1:16" ht="15.6">
      <c r="A2" s="114" t="s">
        <v>237</v>
      </c>
      <c r="B2" s="38"/>
      <c r="C2" s="31"/>
      <c r="D2" s="31"/>
      <c r="E2" s="33"/>
      <c r="F2" s="33"/>
      <c r="G2" s="31"/>
      <c r="H2" s="33"/>
      <c r="I2" s="33"/>
      <c r="J2" s="33"/>
      <c r="K2" s="33"/>
      <c r="L2" s="33"/>
    </row>
    <row r="3" spans="1:16" ht="13.8">
      <c r="A3" s="39" t="s">
        <v>2</v>
      </c>
      <c r="B3" s="33"/>
      <c r="C3" s="33"/>
      <c r="D3" s="33"/>
      <c r="E3" s="33"/>
      <c r="F3" s="33"/>
      <c r="G3" s="33"/>
      <c r="H3" s="33"/>
      <c r="I3" s="33"/>
      <c r="J3" s="33"/>
      <c r="K3" s="33"/>
      <c r="L3" s="33"/>
    </row>
    <row r="4" spans="1:16" ht="13.8">
      <c r="A4" s="30" t="s">
        <v>238</v>
      </c>
      <c r="B4" s="33"/>
      <c r="C4" s="33"/>
      <c r="D4" s="33"/>
      <c r="E4" s="33"/>
      <c r="F4" s="33"/>
      <c r="G4" s="33"/>
      <c r="H4" s="33"/>
      <c r="I4" s="33"/>
      <c r="J4" s="33"/>
      <c r="K4" s="33"/>
      <c r="L4" s="33"/>
    </row>
    <row r="5" spans="1:16" ht="13.8">
      <c r="A5" s="33"/>
      <c r="B5" s="33"/>
      <c r="C5" s="33"/>
      <c r="D5" s="33"/>
      <c r="E5" s="33"/>
      <c r="F5" s="33"/>
      <c r="G5" s="33"/>
      <c r="H5" s="33"/>
      <c r="I5" s="33"/>
      <c r="J5" s="33"/>
      <c r="K5" s="33"/>
      <c r="L5" s="33"/>
    </row>
    <row r="6" spans="1:16" ht="13.8">
      <c r="A6" s="33"/>
      <c r="B6" s="31"/>
      <c r="C6" s="32"/>
      <c r="D6" s="32"/>
      <c r="E6" s="32"/>
      <c r="F6" s="717" t="s">
        <v>239</v>
      </c>
      <c r="G6" s="718">
        <v>1</v>
      </c>
      <c r="H6" s="718">
        <v>2</v>
      </c>
      <c r="I6" s="718">
        <v>3</v>
      </c>
      <c r="J6" s="718">
        <v>4</v>
      </c>
      <c r="K6" s="718">
        <v>5</v>
      </c>
      <c r="L6" s="1188">
        <v>6</v>
      </c>
      <c r="M6" s="7"/>
      <c r="N6" s="7"/>
      <c r="O6" s="7"/>
      <c r="P6" s="7"/>
    </row>
    <row r="7" spans="1:16" ht="13.8">
      <c r="A7" s="33"/>
      <c r="B7" s="31"/>
      <c r="C7" s="32" t="s">
        <v>147</v>
      </c>
      <c r="D7" s="32"/>
      <c r="E7" s="32"/>
      <c r="F7" s="719">
        <f>+Summary!F7</f>
        <v>2024</v>
      </c>
      <c r="G7" s="720">
        <f>+Summary!G7</f>
        <v>2025</v>
      </c>
      <c r="H7" s="720">
        <f>+Summary!H7</f>
        <v>2026</v>
      </c>
      <c r="I7" s="720">
        <f>+Summary!I7</f>
        <v>2027</v>
      </c>
      <c r="J7" s="720">
        <f>+Summary!J7</f>
        <v>2028</v>
      </c>
      <c r="K7" s="720">
        <f>+Summary!K7</f>
        <v>2029</v>
      </c>
      <c r="L7" s="721">
        <f>+Summary!L7</f>
        <v>2030</v>
      </c>
      <c r="M7" s="7"/>
      <c r="N7" s="7"/>
      <c r="O7" s="7"/>
      <c r="P7" s="7"/>
    </row>
    <row r="8" spans="1:16" ht="13.8">
      <c r="A8" s="33"/>
      <c r="B8" s="1650"/>
      <c r="C8" s="57"/>
      <c r="D8" s="57"/>
      <c r="E8" s="628"/>
      <c r="F8" s="722">
        <f>+Summary!F8</f>
        <v>2025</v>
      </c>
      <c r="G8" s="723">
        <f>+Summary!G8</f>
        <v>2026</v>
      </c>
      <c r="H8" s="723">
        <f>+Summary!H8</f>
        <v>2027</v>
      </c>
      <c r="I8" s="723">
        <f>+Summary!I8</f>
        <v>2028</v>
      </c>
      <c r="J8" s="723">
        <f>+Summary!J8</f>
        <v>2029</v>
      </c>
      <c r="K8" s="723">
        <f>+Summary!K8</f>
        <v>2030</v>
      </c>
      <c r="L8" s="724">
        <f>+Summary!L8</f>
        <v>2031</v>
      </c>
      <c r="M8" s="7"/>
      <c r="N8" s="7"/>
      <c r="O8" s="7"/>
      <c r="P8" s="7"/>
    </row>
    <row r="9" spans="1:16" ht="13.8">
      <c r="A9" s="346">
        <f>ROW()</f>
        <v>9</v>
      </c>
      <c r="B9" s="410" t="s">
        <v>240</v>
      </c>
      <c r="C9" s="711">
        <v>400</v>
      </c>
      <c r="D9" s="659"/>
      <c r="E9" s="32"/>
      <c r="F9" s="138">
        <v>0</v>
      </c>
      <c r="G9" s="138">
        <f>+G20</f>
        <v>1595</v>
      </c>
      <c r="H9" s="138">
        <f t="shared" ref="H9:L9" si="0">+H20</f>
        <v>1688</v>
      </c>
      <c r="I9" s="138">
        <f t="shared" si="0"/>
        <v>1788.6201881600005</v>
      </c>
      <c r="J9" s="138">
        <f t="shared" si="0"/>
        <v>1895.9373994496007</v>
      </c>
      <c r="K9" s="138">
        <f t="shared" si="0"/>
        <v>2009.6936434165768</v>
      </c>
      <c r="L9" s="138">
        <f t="shared" si="0"/>
        <v>2130.2752620215715</v>
      </c>
      <c r="M9" s="7"/>
      <c r="N9" s="7"/>
      <c r="O9" s="7"/>
      <c r="P9" s="7"/>
    </row>
    <row r="10" spans="1:16" ht="13.8">
      <c r="A10" s="346">
        <f>ROW()</f>
        <v>10</v>
      </c>
      <c r="B10" s="411" t="s">
        <v>151</v>
      </c>
      <c r="C10" s="711">
        <v>6</v>
      </c>
      <c r="D10" s="659"/>
      <c r="E10" s="32"/>
      <c r="F10" s="629">
        <f t="shared" ref="F10" si="1">+F21</f>
        <v>0</v>
      </c>
      <c r="G10" s="629">
        <f>+G21</f>
        <v>46</v>
      </c>
      <c r="H10" s="629">
        <f t="shared" ref="H10:L10" si="2">+H21</f>
        <v>47</v>
      </c>
      <c r="I10" s="629">
        <f t="shared" si="2"/>
        <v>47</v>
      </c>
      <c r="J10" s="629">
        <f t="shared" si="2"/>
        <v>51</v>
      </c>
      <c r="K10" s="629">
        <f t="shared" si="2"/>
        <v>51</v>
      </c>
      <c r="L10" s="629">
        <f t="shared" si="2"/>
        <v>53</v>
      </c>
      <c r="M10" s="7"/>
      <c r="N10" s="7"/>
      <c r="O10" s="7"/>
      <c r="P10" s="7"/>
    </row>
    <row r="11" spans="1:16" ht="13.8">
      <c r="A11" s="346">
        <f>ROW()</f>
        <v>11</v>
      </c>
      <c r="B11" s="411" t="s">
        <v>152</v>
      </c>
      <c r="C11" s="711"/>
      <c r="D11" s="659"/>
      <c r="E11" s="32"/>
      <c r="F11" s="680">
        <f>Facilities!F93</f>
        <v>0</v>
      </c>
      <c r="G11" s="1580">
        <f>Facilities!G93</f>
        <v>41294</v>
      </c>
      <c r="H11" s="1580">
        <f>Facilities!H93</f>
        <v>41294</v>
      </c>
      <c r="I11" s="1580">
        <f>Facilities!I93</f>
        <v>41294</v>
      </c>
      <c r="J11" s="1580">
        <f>Facilities!J93</f>
        <v>41294</v>
      </c>
      <c r="K11" s="1580">
        <f>Facilities!K93</f>
        <v>41294</v>
      </c>
      <c r="L11" s="1580">
        <f>Facilities!L93</f>
        <v>41294</v>
      </c>
      <c r="M11" s="7"/>
      <c r="N11" s="7"/>
      <c r="O11" s="7"/>
      <c r="P11" s="7"/>
    </row>
    <row r="12" spans="1:16" ht="13.8">
      <c r="A12" s="346">
        <f>ROW()</f>
        <v>12</v>
      </c>
      <c r="B12" s="411" t="s">
        <v>241</v>
      </c>
      <c r="C12" s="711"/>
      <c r="D12" s="659"/>
      <c r="E12" s="32"/>
      <c r="F12" s="1580">
        <f t="shared" ref="F12:L12" si="3">IFERROR(F11/F9,0)</f>
        <v>0</v>
      </c>
      <c r="G12" s="1581">
        <f t="shared" si="3"/>
        <v>25.889655172413793</v>
      </c>
      <c r="H12" s="1581">
        <f t="shared" si="3"/>
        <v>24.463270142180093</v>
      </c>
      <c r="I12" s="1581">
        <f t="shared" si="3"/>
        <v>23.087070286554351</v>
      </c>
      <c r="J12" s="1581">
        <f t="shared" si="3"/>
        <v>21.780254987315423</v>
      </c>
      <c r="K12" s="1581">
        <f t="shared" si="3"/>
        <v>20.547410365391908</v>
      </c>
      <c r="L12" s="1581">
        <f t="shared" si="3"/>
        <v>19.38434940131312</v>
      </c>
      <c r="M12" s="7"/>
      <c r="N12" s="7"/>
      <c r="O12" s="7"/>
      <c r="P12" s="7"/>
    </row>
    <row r="13" spans="1:16" ht="14.4">
      <c r="A13" s="346">
        <f>ROW()</f>
        <v>13</v>
      </c>
      <c r="B13" s="183"/>
      <c r="C13" s="418"/>
      <c r="D13" s="418"/>
      <c r="E13" s="418"/>
      <c r="F13" s="633"/>
      <c r="G13" s="633"/>
      <c r="H13" s="633"/>
      <c r="I13" s="633"/>
      <c r="J13" s="633"/>
      <c r="K13" s="633"/>
      <c r="L13" s="633"/>
      <c r="M13" s="7"/>
      <c r="N13" s="7"/>
      <c r="O13" s="7"/>
      <c r="P13" s="7"/>
    </row>
    <row r="14" spans="1:16" ht="17.399999999999999">
      <c r="A14" s="346">
        <f>ROW()</f>
        <v>14</v>
      </c>
      <c r="B14" s="939" t="s">
        <v>242</v>
      </c>
      <c r="C14" s="940"/>
      <c r="D14" s="940"/>
      <c r="E14" s="940"/>
      <c r="F14" s="941">
        <f>Summary!F6</f>
        <v>0</v>
      </c>
      <c r="G14" s="941">
        <f>Summary!G6</f>
        <v>1</v>
      </c>
      <c r="H14" s="941">
        <f>Summary!H6</f>
        <v>2</v>
      </c>
      <c r="I14" s="941">
        <f>Summary!I6</f>
        <v>3</v>
      </c>
      <c r="J14" s="941">
        <f>Summary!J6</f>
        <v>4</v>
      </c>
      <c r="K14" s="941">
        <f>Summary!K6</f>
        <v>5</v>
      </c>
      <c r="L14" s="941">
        <f>Summary!L6</f>
        <v>6</v>
      </c>
    </row>
    <row r="15" spans="1:16" ht="13.8">
      <c r="A15" s="346">
        <f>ROW()</f>
        <v>15</v>
      </c>
      <c r="B15" s="125" t="s">
        <v>243</v>
      </c>
      <c r="C15" s="125"/>
      <c r="D15" s="125"/>
      <c r="E15" s="125"/>
      <c r="F15" s="634"/>
      <c r="G15" s="635">
        <f>IFERROR(+Summary!G55/G43,0)</f>
        <v>-153.35750828840608</v>
      </c>
      <c r="H15" s="635">
        <f>IFERROR(+Summary!H55/H43,0)</f>
        <v>-58.856250174631363</v>
      </c>
      <c r="I15" s="635">
        <f>IFERROR(+Summary!I55/I43,0)</f>
        <v>-35.838001739897848</v>
      </c>
      <c r="J15" s="635">
        <f>IFERROR(+Summary!J55/J43,0)</f>
        <v>-19.732567370151727</v>
      </c>
      <c r="K15" s="635">
        <f>IFERROR(+Summary!K55/K43,0)</f>
        <v>8.2137487824662525</v>
      </c>
      <c r="L15" s="635">
        <f>IFERROR(+Summary!L55/L43,0)</f>
        <v>33.527198638392271</v>
      </c>
    </row>
    <row r="16" spans="1:16" ht="13.8">
      <c r="A16" s="346">
        <f>ROW()</f>
        <v>16</v>
      </c>
      <c r="B16" s="33" t="s">
        <v>244</v>
      </c>
      <c r="C16" s="33"/>
      <c r="D16" s="33"/>
      <c r="E16" s="33"/>
      <c r="F16" s="636"/>
      <c r="G16" s="776">
        <f t="shared" ref="G16:L16" si="4">IFERROR(+G15/G20,0)</f>
        <v>-9.6148908017809454E-2</v>
      </c>
      <c r="H16" s="776">
        <f t="shared" si="4"/>
        <v>-3.4867446785919055E-2</v>
      </c>
      <c r="I16" s="776">
        <f t="shared" si="4"/>
        <v>-2.0036675185224943E-2</v>
      </c>
      <c r="J16" s="776">
        <f t="shared" si="4"/>
        <v>-1.0407815878245866E-2</v>
      </c>
      <c r="K16" s="776">
        <f t="shared" si="4"/>
        <v>4.0870651153090583E-3</v>
      </c>
      <c r="L16" s="776">
        <f t="shared" si="4"/>
        <v>1.5738434950690786E-2</v>
      </c>
    </row>
    <row r="17" spans="1:12" ht="13.8">
      <c r="A17" s="346">
        <f>ROW()</f>
        <v>17</v>
      </c>
      <c r="B17" s="125" t="s">
        <v>245</v>
      </c>
      <c r="C17" s="424"/>
      <c r="D17" s="424"/>
      <c r="E17" s="424"/>
      <c r="F17" s="350">
        <f>Summary!F55+E17</f>
        <v>-616575</v>
      </c>
      <c r="G17" s="350">
        <f>Summary!G55+F17</f>
        <v>-2117098.4962542262</v>
      </c>
      <c r="H17" s="350">
        <f>+G17+Summary!H55</f>
        <v>-2721543.6192437727</v>
      </c>
      <c r="I17" s="350">
        <f>H17+Summary!I55</f>
        <v>-3089609.8648937102</v>
      </c>
      <c r="J17" s="350">
        <f>I17+Summary!J55</f>
        <v>-3292285.5993091967</v>
      </c>
      <c r="K17" s="350">
        <f>J17+Summary!K55</f>
        <v>-3207912.9399015997</v>
      </c>
      <c r="L17" s="350">
        <f>K17+Summary!L55</f>
        <v>-2863485.8035573456</v>
      </c>
    </row>
    <row r="18" spans="1:12" ht="13.8">
      <c r="A18" s="346">
        <f>ROW()</f>
        <v>18</v>
      </c>
      <c r="B18" s="33" t="s">
        <v>246</v>
      </c>
      <c r="C18" s="425"/>
      <c r="D18" s="425"/>
      <c r="E18" s="425"/>
      <c r="F18" s="637"/>
      <c r="G18" s="638">
        <f>IFERROR(+G17/Summary!G52,0)</f>
        <v>-0.12375793780937282</v>
      </c>
      <c r="H18" s="638">
        <f>IFERROR(+H17/Summary!H52,0)</f>
        <v>-0.15170288585072914</v>
      </c>
      <c r="I18" s="638">
        <f>IFERROR(+I17/Summary!I52,0)</f>
        <v>-0.16488742001739617</v>
      </c>
      <c r="J18" s="638">
        <f>IFERROR(+J17/Summary!J52,0)</f>
        <v>-0.16732415891338656</v>
      </c>
      <c r="K18" s="638">
        <f>IFERROR(+K17/Summary!K52,0)</f>
        <v>-0.15603104572041604</v>
      </c>
      <c r="L18" s="638">
        <f>IFERROR(+L17/Summary!L52,0)</f>
        <v>-0.13293786217595896</v>
      </c>
    </row>
    <row r="19" spans="1:12" ht="13.8">
      <c r="A19" s="346">
        <f>ROW()</f>
        <v>19</v>
      </c>
      <c r="B19" s="33"/>
      <c r="C19" s="33"/>
      <c r="D19" s="33"/>
      <c r="E19" s="33"/>
      <c r="F19" s="503"/>
      <c r="G19" s="503"/>
      <c r="H19" s="503"/>
      <c r="I19" s="503"/>
      <c r="J19" s="503"/>
      <c r="K19" s="503"/>
      <c r="L19" s="503"/>
    </row>
    <row r="20" spans="1:12" ht="13.8">
      <c r="A20" s="346">
        <f>ROW()</f>
        <v>20</v>
      </c>
      <c r="B20" s="426" t="s">
        <v>240</v>
      </c>
      <c r="C20" s="708">
        <f>MAX(F20:L20)</f>
        <v>2130.2752620215715</v>
      </c>
      <c r="D20" s="475"/>
      <c r="E20" s="309"/>
      <c r="F20" s="351">
        <f>' Enrol &amp; Rev'!F36</f>
        <v>0</v>
      </c>
      <c r="G20" s="351">
        <f>' Enrol &amp; Rev'!G36</f>
        <v>1595</v>
      </c>
      <c r="H20" s="351">
        <f>' Enrol &amp; Rev'!H36</f>
        <v>1688</v>
      </c>
      <c r="I20" s="351">
        <f>' Enrol &amp; Rev'!I36</f>
        <v>1788.6201881600005</v>
      </c>
      <c r="J20" s="351">
        <f>' Enrol &amp; Rev'!J36</f>
        <v>1895.9373994496007</v>
      </c>
      <c r="K20" s="351">
        <f>' Enrol &amp; Rev'!K36</f>
        <v>2009.6936434165768</v>
      </c>
      <c r="L20" s="351">
        <f>' Enrol &amp; Rev'!L36</f>
        <v>2130.2752620215715</v>
      </c>
    </row>
    <row r="21" spans="1:12" ht="13.8">
      <c r="A21" s="346">
        <f>ROW()</f>
        <v>21</v>
      </c>
      <c r="B21" s="106" t="s">
        <v>151</v>
      </c>
      <c r="C21" s="709">
        <f>MAX(F21:L21)</f>
        <v>53</v>
      </c>
      <c r="D21" s="476"/>
      <c r="E21" s="51"/>
      <c r="F21" s="1579">
        <f>Staff!G27</f>
        <v>0</v>
      </c>
      <c r="G21" s="1579">
        <f>Staff!H27</f>
        <v>46</v>
      </c>
      <c r="H21" s="1579">
        <f>Staff!I27</f>
        <v>47</v>
      </c>
      <c r="I21" s="1579">
        <f>Staff!J27</f>
        <v>47</v>
      </c>
      <c r="J21" s="1579">
        <f>Staff!K27</f>
        <v>51</v>
      </c>
      <c r="K21" s="1579">
        <f>Staff!L27</f>
        <v>51</v>
      </c>
      <c r="L21" s="1579">
        <f>Staff!M27</f>
        <v>53</v>
      </c>
    </row>
    <row r="22" spans="1:12" ht="13.8">
      <c r="A22" s="346">
        <f>ROW()</f>
        <v>22</v>
      </c>
      <c r="B22" s="410" t="s">
        <v>247</v>
      </c>
      <c r="C22" s="707">
        <f>MAX(F22:L22)</f>
        <v>2183.2752620215715</v>
      </c>
      <c r="D22" s="475"/>
      <c r="E22" s="309"/>
      <c r="F22" s="351">
        <f t="shared" ref="F22:L22" si="5">SUM(F20:F21)</f>
        <v>0</v>
      </c>
      <c r="G22" s="351">
        <f t="shared" si="5"/>
        <v>1641</v>
      </c>
      <c r="H22" s="351">
        <f t="shared" si="5"/>
        <v>1735</v>
      </c>
      <c r="I22" s="351">
        <f t="shared" si="5"/>
        <v>1835.6201881600005</v>
      </c>
      <c r="J22" s="351">
        <f t="shared" si="5"/>
        <v>1946.9373994496007</v>
      </c>
      <c r="K22" s="351">
        <f t="shared" si="5"/>
        <v>2060.6936434165768</v>
      </c>
      <c r="L22" s="351">
        <f t="shared" si="5"/>
        <v>2183.2752620215715</v>
      </c>
    </row>
    <row r="23" spans="1:12" ht="13.8">
      <c r="A23" s="346">
        <f>ROW()</f>
        <v>23</v>
      </c>
      <c r="B23" s="427" t="s">
        <v>248</v>
      </c>
      <c r="C23" s="707"/>
      <c r="D23" s="54"/>
      <c r="E23" s="51"/>
      <c r="F23" s="138"/>
      <c r="G23" s="138"/>
      <c r="H23" s="638">
        <f>IFERROR(+H20/G20-1,0)</f>
        <v>5.8307210031347978E-2</v>
      </c>
      <c r="I23" s="638">
        <f>IFERROR(+I20/H20-1,0)</f>
        <v>5.9609116208531043E-2</v>
      </c>
      <c r="J23" s="638">
        <f>IFERROR(+J20/I20-1,0)</f>
        <v>6.0000000000000053E-2</v>
      </c>
      <c r="K23" s="638">
        <f>IFERROR(+K20/J20-1,0)</f>
        <v>6.0000000000000053E-2</v>
      </c>
      <c r="L23" s="638">
        <f>IFERROR(+L20/K20-1,0)</f>
        <v>6.0000000000000053E-2</v>
      </c>
    </row>
    <row r="24" spans="1:12" ht="13.8">
      <c r="A24" s="346">
        <f>ROW()</f>
        <v>24</v>
      </c>
      <c r="B24" s="411" t="s">
        <v>249</v>
      </c>
      <c r="C24" s="707">
        <f>MAX(F24:L24)</f>
        <v>12</v>
      </c>
      <c r="D24" s="476"/>
      <c r="E24" s="51"/>
      <c r="F24" s="138">
        <f>+Staff!G106</f>
        <v>0</v>
      </c>
      <c r="G24" s="138">
        <f>+Staff!H106</f>
        <v>10</v>
      </c>
      <c r="H24" s="138">
        <f>+Staff!I106</f>
        <v>10</v>
      </c>
      <c r="I24" s="138">
        <f>+Staff!J106</f>
        <v>10</v>
      </c>
      <c r="J24" s="138">
        <f>+Staff!K106</f>
        <v>11</v>
      </c>
      <c r="K24" s="138">
        <f>+Staff!L106</f>
        <v>11</v>
      </c>
      <c r="L24" s="138">
        <f>+Staff!M106</f>
        <v>12</v>
      </c>
    </row>
    <row r="25" spans="1:12" ht="13.8">
      <c r="A25" s="346">
        <f>ROW()</f>
        <v>25</v>
      </c>
      <c r="B25" s="411" t="s">
        <v>250</v>
      </c>
      <c r="C25" s="707">
        <f>MAX(F25:L25)</f>
        <v>0</v>
      </c>
      <c r="D25" s="476"/>
      <c r="E25" s="51"/>
      <c r="F25" s="138">
        <f>+Staff!G120</f>
        <v>0</v>
      </c>
      <c r="G25" s="138">
        <f>+Staff!H120</f>
        <v>0</v>
      </c>
      <c r="H25" s="138">
        <f>+Staff!I120</f>
        <v>0</v>
      </c>
      <c r="I25" s="138">
        <f>+Staff!J120</f>
        <v>0</v>
      </c>
      <c r="J25" s="138">
        <f>+Staff!K120</f>
        <v>0</v>
      </c>
      <c r="K25" s="138">
        <f>+Staff!L120</f>
        <v>0</v>
      </c>
      <c r="L25" s="138">
        <f>+Staff!M120</f>
        <v>0</v>
      </c>
    </row>
    <row r="26" spans="1:12" ht="13.8">
      <c r="A26" s="346">
        <f>ROW()</f>
        <v>26</v>
      </c>
      <c r="B26" s="411" t="s">
        <v>251</v>
      </c>
      <c r="C26" s="707">
        <f>MAX(F26:L26)</f>
        <v>32</v>
      </c>
      <c r="D26" s="476"/>
      <c r="E26" s="51"/>
      <c r="F26" s="138">
        <f>+Staff!G238</f>
        <v>0</v>
      </c>
      <c r="G26" s="138">
        <f>+Staff!H238</f>
        <v>29</v>
      </c>
      <c r="H26" s="138">
        <f>+Staff!I238</f>
        <v>29</v>
      </c>
      <c r="I26" s="138">
        <f>+Staff!J238</f>
        <v>29</v>
      </c>
      <c r="J26" s="138">
        <f>+Staff!K238</f>
        <v>32</v>
      </c>
      <c r="K26" s="138">
        <f>+Staff!L238</f>
        <v>32</v>
      </c>
      <c r="L26" s="138">
        <f>+Staff!M238</f>
        <v>32</v>
      </c>
    </row>
    <row r="27" spans="1:12" ht="13.8">
      <c r="A27" s="346">
        <f>ROW()</f>
        <v>27</v>
      </c>
      <c r="B27" s="1191" t="s">
        <v>252</v>
      </c>
      <c r="C27" s="710">
        <f>MAX(G27:L27)</f>
        <v>44</v>
      </c>
      <c r="D27" s="475"/>
      <c r="E27" s="1192"/>
      <c r="F27" s="351">
        <f t="shared" ref="F27:L27" si="6">SUM(F24:F26)</f>
        <v>0</v>
      </c>
      <c r="G27" s="351">
        <f t="shared" si="6"/>
        <v>39</v>
      </c>
      <c r="H27" s="351">
        <f t="shared" si="6"/>
        <v>39</v>
      </c>
      <c r="I27" s="351">
        <f t="shared" si="6"/>
        <v>39</v>
      </c>
      <c r="J27" s="351">
        <f t="shared" si="6"/>
        <v>43</v>
      </c>
      <c r="K27" s="351">
        <f t="shared" si="6"/>
        <v>43</v>
      </c>
      <c r="L27" s="351">
        <f t="shared" si="6"/>
        <v>44</v>
      </c>
    </row>
    <row r="28" spans="1:12" ht="13.8">
      <c r="A28" s="346">
        <f>ROW()</f>
        <v>28</v>
      </c>
      <c r="B28" s="426" t="s">
        <v>253</v>
      </c>
      <c r="C28" s="707">
        <f>MAX(G28:L28)</f>
        <v>48.415346864126626</v>
      </c>
      <c r="D28" s="475"/>
      <c r="E28" s="309"/>
      <c r="F28" s="634"/>
      <c r="G28" s="634">
        <f t="shared" ref="G28:L28" si="7">IFERROR(+G20/G27,0)</f>
        <v>40.897435897435898</v>
      </c>
      <c r="H28" s="634">
        <f t="shared" si="7"/>
        <v>43.282051282051285</v>
      </c>
      <c r="I28" s="634">
        <f t="shared" si="7"/>
        <v>45.862056106666678</v>
      </c>
      <c r="J28" s="634">
        <f t="shared" si="7"/>
        <v>44.091567429060483</v>
      </c>
      <c r="K28" s="634">
        <f t="shared" si="7"/>
        <v>46.737061474804115</v>
      </c>
      <c r="L28" s="634">
        <f t="shared" si="7"/>
        <v>48.415346864126626</v>
      </c>
    </row>
    <row r="29" spans="1:12" ht="13.8">
      <c r="A29" s="346">
        <f>ROW()</f>
        <v>29</v>
      </c>
      <c r="B29" s="106" t="s">
        <v>254</v>
      </c>
      <c r="C29" s="707"/>
      <c r="D29" s="54"/>
      <c r="E29" s="51"/>
      <c r="F29" s="507"/>
      <c r="G29" s="507">
        <f>' Enrol &amp; Rev'!G21</f>
        <v>0</v>
      </c>
      <c r="H29" s="507">
        <f>' Enrol &amp; Rev'!H21</f>
        <v>0</v>
      </c>
      <c r="I29" s="507">
        <f>' Enrol &amp; Rev'!I21</f>
        <v>0</v>
      </c>
      <c r="J29" s="507">
        <f>' Enrol &amp; Rev'!J21</f>
        <v>0</v>
      </c>
      <c r="K29" s="507">
        <f>' Enrol &amp; Rev'!K21</f>
        <v>0</v>
      </c>
      <c r="L29" s="507">
        <f>' Enrol &amp; Rev'!L21</f>
        <v>0</v>
      </c>
    </row>
    <row r="30" spans="1:12" ht="13.8">
      <c r="A30" s="346">
        <f>ROW()</f>
        <v>30</v>
      </c>
      <c r="B30" s="411" t="s">
        <v>255</v>
      </c>
      <c r="C30" s="707">
        <f t="shared" ref="C30:C35" si="8">MAX(G30:L30)</f>
        <v>4</v>
      </c>
      <c r="D30" s="476"/>
      <c r="E30" s="51"/>
      <c r="F30" s="138">
        <f>+Staff!G86</f>
        <v>0</v>
      </c>
      <c r="G30" s="138">
        <f>+Staff!H86</f>
        <v>4</v>
      </c>
      <c r="H30" s="138">
        <f>+Staff!I86</f>
        <v>4</v>
      </c>
      <c r="I30" s="138">
        <f>+Staff!J86</f>
        <v>4</v>
      </c>
      <c r="J30" s="138">
        <f>+Staff!K86</f>
        <v>4</v>
      </c>
      <c r="K30" s="138">
        <f>+Staff!L86</f>
        <v>4</v>
      </c>
      <c r="L30" s="138">
        <f>+Staff!M86</f>
        <v>4</v>
      </c>
    </row>
    <row r="31" spans="1:12" ht="13.8">
      <c r="A31" s="346">
        <f>ROW()</f>
        <v>31</v>
      </c>
      <c r="B31" s="410" t="s">
        <v>256</v>
      </c>
      <c r="C31" s="708">
        <f t="shared" si="8"/>
        <v>532.56881550539288</v>
      </c>
      <c r="D31" s="475"/>
      <c r="E31" s="309"/>
      <c r="F31" s="351">
        <f>IFERROR(F20/F30,0)</f>
        <v>0</v>
      </c>
      <c r="G31" s="351">
        <f t="shared" ref="G31:L31" si="9">IFERROR(+G20/G30,0)</f>
        <v>398.75</v>
      </c>
      <c r="H31" s="351">
        <f t="shared" si="9"/>
        <v>422</v>
      </c>
      <c r="I31" s="351">
        <f t="shared" si="9"/>
        <v>447.15504704000011</v>
      </c>
      <c r="J31" s="351">
        <f t="shared" si="9"/>
        <v>473.98434986240017</v>
      </c>
      <c r="K31" s="351">
        <f t="shared" si="9"/>
        <v>502.42341085414421</v>
      </c>
      <c r="L31" s="351">
        <f t="shared" si="9"/>
        <v>532.56881550539288</v>
      </c>
    </row>
    <row r="32" spans="1:12" ht="13.8">
      <c r="A32" s="346">
        <f>ROW()</f>
        <v>32</v>
      </c>
      <c r="B32" s="411" t="s">
        <v>257</v>
      </c>
      <c r="C32" s="707">
        <f t="shared" si="8"/>
        <v>11</v>
      </c>
      <c r="D32" s="476"/>
      <c r="E32" s="51"/>
      <c r="F32" s="138">
        <f>IFERROR(F27/F30,0)</f>
        <v>0</v>
      </c>
      <c r="G32" s="138">
        <f t="shared" ref="G32:L32" si="10">IFERROR(+G27/G30,0)</f>
        <v>9.75</v>
      </c>
      <c r="H32" s="138">
        <f t="shared" si="10"/>
        <v>9.75</v>
      </c>
      <c r="I32" s="138">
        <f t="shared" si="10"/>
        <v>9.75</v>
      </c>
      <c r="J32" s="138">
        <f t="shared" si="10"/>
        <v>10.75</v>
      </c>
      <c r="K32" s="138">
        <f t="shared" si="10"/>
        <v>10.75</v>
      </c>
      <c r="L32" s="138">
        <f t="shared" si="10"/>
        <v>11</v>
      </c>
    </row>
    <row r="33" spans="1:12" ht="13.8">
      <c r="A33" s="346">
        <f>ROW()</f>
        <v>33</v>
      </c>
      <c r="B33" s="411" t="s">
        <v>258</v>
      </c>
      <c r="C33" s="709">
        <f t="shared" si="8"/>
        <v>4</v>
      </c>
      <c r="D33" s="476"/>
      <c r="E33" s="51"/>
      <c r="F33" s="138">
        <f>+Staff!G94</f>
        <v>0</v>
      </c>
      <c r="G33" s="138">
        <f>+Staff!H94</f>
        <v>4</v>
      </c>
      <c r="H33" s="138">
        <f>+Staff!I94</f>
        <v>4</v>
      </c>
      <c r="I33" s="138">
        <f>+Staff!J94</f>
        <v>4</v>
      </c>
      <c r="J33" s="138">
        <f>+Staff!K94</f>
        <v>4</v>
      </c>
      <c r="K33" s="138">
        <f>+Staff!L94</f>
        <v>4</v>
      </c>
      <c r="L33" s="138">
        <f>+Staff!M94</f>
        <v>4</v>
      </c>
    </row>
    <row r="34" spans="1:12" ht="13.8">
      <c r="A34" s="346">
        <f>ROW()</f>
        <v>34</v>
      </c>
      <c r="B34" s="410" t="s">
        <v>259</v>
      </c>
      <c r="C34" s="707">
        <f t="shared" si="8"/>
        <v>532.56881550539288</v>
      </c>
      <c r="D34" s="475"/>
      <c r="E34" s="309"/>
      <c r="F34" s="351"/>
      <c r="G34" s="351">
        <f t="shared" ref="G34:L34" si="11">IFERROR(+G20/G33,0)</f>
        <v>398.75</v>
      </c>
      <c r="H34" s="351">
        <f t="shared" si="11"/>
        <v>422</v>
      </c>
      <c r="I34" s="351">
        <f t="shared" si="11"/>
        <v>447.15504704000011</v>
      </c>
      <c r="J34" s="351">
        <f t="shared" si="11"/>
        <v>473.98434986240017</v>
      </c>
      <c r="K34" s="351">
        <f t="shared" si="11"/>
        <v>502.42341085414421</v>
      </c>
      <c r="L34" s="351">
        <f t="shared" si="11"/>
        <v>532.56881550539288</v>
      </c>
    </row>
    <row r="35" spans="1:12" ht="13.8">
      <c r="A35" s="346">
        <f>ROW()</f>
        <v>35</v>
      </c>
      <c r="B35" s="411" t="s">
        <v>260</v>
      </c>
      <c r="C35" s="707">
        <f t="shared" si="8"/>
        <v>11</v>
      </c>
      <c r="D35" s="476"/>
      <c r="E35" s="51"/>
      <c r="F35" s="507"/>
      <c r="G35" s="138">
        <f t="shared" ref="G35:L35" si="12">IFERROR(+G27/G33,0)</f>
        <v>9.75</v>
      </c>
      <c r="H35" s="138">
        <f t="shared" si="12"/>
        <v>9.75</v>
      </c>
      <c r="I35" s="138">
        <f t="shared" si="12"/>
        <v>9.75</v>
      </c>
      <c r="J35" s="138">
        <f t="shared" si="12"/>
        <v>10.75</v>
      </c>
      <c r="K35" s="138">
        <f t="shared" si="12"/>
        <v>10.75</v>
      </c>
      <c r="L35" s="138">
        <f t="shared" si="12"/>
        <v>11</v>
      </c>
    </row>
    <row r="36" spans="1:12" ht="13.8">
      <c r="A36" s="346">
        <f>ROW()</f>
        <v>36</v>
      </c>
      <c r="B36" s="411" t="s">
        <v>261</v>
      </c>
      <c r="C36" s="477">
        <f t="shared" ref="C36:C41" si="13">AVERAGE(G36:L36)</f>
        <v>192849.66485993293</v>
      </c>
      <c r="D36" s="477"/>
      <c r="E36" s="107"/>
      <c r="F36" s="130"/>
      <c r="G36" s="130">
        <f>IFERROR(+Staff!H249/G30,0)</f>
        <v>178884.45690000002</v>
      </c>
      <c r="H36" s="130">
        <f>IFERROR(+Staff!I249/H30,0)</f>
        <v>184250.99060700004</v>
      </c>
      <c r="I36" s="130">
        <f>IFERROR(+Staff!J249/I30,0)</f>
        <v>189778.52032521003</v>
      </c>
      <c r="J36" s="130">
        <f>IFERROR(+Staff!K249/J30,0)</f>
        <v>195471.87593496632</v>
      </c>
      <c r="K36" s="130">
        <f>IFERROR(+Staff!L249/K30,0)</f>
        <v>201336.03221301534</v>
      </c>
      <c r="L36" s="130">
        <f>IFERROR(+Staff!M249/L30,0)</f>
        <v>207376.1131794058</v>
      </c>
    </row>
    <row r="37" spans="1:12" ht="13.8">
      <c r="A37" s="346">
        <f>ROW()</f>
        <v>37</v>
      </c>
      <c r="B37" s="411" t="s">
        <v>262</v>
      </c>
      <c r="C37" s="477">
        <f t="shared" si="13"/>
        <v>0</v>
      </c>
      <c r="D37" s="477"/>
      <c r="E37" s="51"/>
      <c r="F37" s="138"/>
      <c r="G37" s="138">
        <f>IFERROR(+Staff!H256/G33,0)</f>
        <v>0</v>
      </c>
      <c r="H37" s="138">
        <f>IFERROR(+Staff!I256/H33,0)</f>
        <v>0</v>
      </c>
      <c r="I37" s="138">
        <f>IFERROR(+Staff!J256/I33,0)</f>
        <v>0</v>
      </c>
      <c r="J37" s="138">
        <f>IFERROR(+Staff!K256/J33,0)</f>
        <v>0</v>
      </c>
      <c r="K37" s="138">
        <f>IFERROR(+Staff!L256/K33,0)</f>
        <v>0</v>
      </c>
      <c r="L37" s="138">
        <f>IFERROR(+Staff!M256/L33,0)</f>
        <v>0</v>
      </c>
    </row>
    <row r="38" spans="1:12" ht="13.8">
      <c r="A38" s="346">
        <f>ROW()</f>
        <v>38</v>
      </c>
      <c r="B38" s="411" t="s">
        <v>263</v>
      </c>
      <c r="C38" s="477">
        <f t="shared" si="13"/>
        <v>95745.49890655675</v>
      </c>
      <c r="D38" s="477"/>
      <c r="E38" s="51"/>
      <c r="F38" s="138"/>
      <c r="G38" s="138">
        <f>IFERROR(+Staff!H271/G24,0)</f>
        <v>94586.191620000012</v>
      </c>
      <c r="H38" s="138">
        <f>IFERROR(+Staff!I271/H24,0)</f>
        <v>97423.777368600015</v>
      </c>
      <c r="I38" s="138">
        <f>IFERROR(+Staff!J271/I24,0)</f>
        <v>100346.49068965801</v>
      </c>
      <c r="J38" s="138">
        <f>IFERROR(+Staff!K271/J24,0)</f>
        <v>93960.804918497961</v>
      </c>
      <c r="K38" s="138">
        <f>IFERROR(+Staff!L271/K24,0)</f>
        <v>96779.62906605289</v>
      </c>
      <c r="L38" s="138">
        <f>IFERROR(+Staff!M271/L24,0)</f>
        <v>91376.099776531613</v>
      </c>
    </row>
    <row r="39" spans="1:12" ht="13.8">
      <c r="A39" s="346">
        <f>ROW()</f>
        <v>39</v>
      </c>
      <c r="B39" s="411" t="s">
        <v>264</v>
      </c>
      <c r="C39" s="477">
        <f t="shared" si="13"/>
        <v>0</v>
      </c>
      <c r="D39" s="477"/>
      <c r="E39" s="51"/>
      <c r="F39" s="138"/>
      <c r="G39" s="138">
        <f>IFERROR(Staff!H283/G25,0)</f>
        <v>0</v>
      </c>
      <c r="H39" s="138">
        <f>IFERROR(Staff!I283/H25,0)</f>
        <v>0</v>
      </c>
      <c r="I39" s="138">
        <f>IFERROR(Staff!J283/I25,0)</f>
        <v>0</v>
      </c>
      <c r="J39" s="138">
        <f>IFERROR(Staff!K283/J25,0)</f>
        <v>0</v>
      </c>
      <c r="K39" s="138">
        <f>IFERROR(Staff!L283/K25,0)</f>
        <v>0</v>
      </c>
      <c r="L39" s="138">
        <f>IFERROR(Staff!M283/L25,0)</f>
        <v>0</v>
      </c>
    </row>
    <row r="40" spans="1:12" ht="13.8">
      <c r="A40" s="346">
        <f>ROW()</f>
        <v>40</v>
      </c>
      <c r="B40" s="411" t="s">
        <v>265</v>
      </c>
      <c r="C40" s="477">
        <f t="shared" si="13"/>
        <v>105489.84279173407</v>
      </c>
      <c r="D40" s="477"/>
      <c r="E40" s="51"/>
      <c r="F40" s="138"/>
      <c r="G40" s="138">
        <f>IFERROR(Staff!H394/G26,0)</f>
        <v>102887.33621379308</v>
      </c>
      <c r="H40" s="138">
        <f>IFERROR(Staff!I394/H26,0)</f>
        <v>105973.9563002069</v>
      </c>
      <c r="I40" s="138">
        <f>IFERROR(Staff!J394/I26,0)</f>
        <v>109153.17498921309</v>
      </c>
      <c r="J40" s="138">
        <f>IFERROR(Staff!K394/J26,0)</f>
        <v>101887.66677899362</v>
      </c>
      <c r="K40" s="138">
        <f>IFERROR(Staff!L394/K26,0)</f>
        <v>104944.29678236342</v>
      </c>
      <c r="L40" s="138">
        <f>IFERROR(Staff!M394/L26,0)</f>
        <v>108092.62568583433</v>
      </c>
    </row>
    <row r="41" spans="1:12" ht="13.8">
      <c r="A41" s="346">
        <f>ROW()</f>
        <v>41</v>
      </c>
      <c r="B41" s="411" t="s">
        <v>266</v>
      </c>
      <c r="C41" s="477">
        <f t="shared" si="13"/>
        <v>157.08321944825127</v>
      </c>
      <c r="D41" s="477"/>
      <c r="E41" s="51"/>
      <c r="F41" s="138"/>
      <c r="G41" s="138">
        <f>IFERROR(+Summary!G18/G27,0)</f>
        <v>143.14102564102564</v>
      </c>
      <c r="H41" s="138">
        <f>IFERROR(+Summary!H18/H27,0)</f>
        <v>151.48717948717947</v>
      </c>
      <c r="I41" s="138">
        <f>IFERROR(+Summary!I18/I27,0)</f>
        <v>160.51719637333338</v>
      </c>
      <c r="J41" s="138">
        <f>IFERROR(+Summary!J18/J27,0)</f>
        <v>154.32048600171169</v>
      </c>
      <c r="K41" s="138">
        <f>IFERROR(+Summary!K18/K27,0)</f>
        <v>163.57971516181439</v>
      </c>
      <c r="L41" s="138">
        <f>IFERROR(+Summary!L18/L27,0)</f>
        <v>169.45371402444317</v>
      </c>
    </row>
    <row r="42" spans="1:12" ht="13.8">
      <c r="A42" s="346">
        <f>ROW()</f>
        <v>42</v>
      </c>
      <c r="B42" s="411"/>
      <c r="C42" s="428"/>
      <c r="D42" s="428"/>
      <c r="E42" s="51"/>
      <c r="F42" s="138"/>
      <c r="G42" s="138"/>
      <c r="H42" s="138"/>
      <c r="I42" s="138"/>
      <c r="J42" s="138"/>
      <c r="K42" s="138"/>
      <c r="L42" s="138"/>
    </row>
    <row r="43" spans="1:12" ht="13.8">
      <c r="A43" s="346">
        <f>ROW()</f>
        <v>43</v>
      </c>
      <c r="B43" s="411" t="s">
        <v>267</v>
      </c>
      <c r="C43" s="477">
        <f>AVERAGE(G43:L43)</f>
        <v>10190.155532667366</v>
      </c>
      <c r="D43" s="477"/>
      <c r="E43" s="429"/>
      <c r="F43" s="639"/>
      <c r="G43" s="639">
        <f>IFERROR(Summary!G35/G20,0)</f>
        <v>9784.4801536050163</v>
      </c>
      <c r="H43" s="639">
        <f>IFERROR(Summary!H35/H20,0)</f>
        <v>10269.854453793911</v>
      </c>
      <c r="I43" s="639">
        <f>IFERROR(Summary!I35/I20,0)</f>
        <v>10270.278134402108</v>
      </c>
      <c r="J43" s="639">
        <f>IFERROR(Summary!J35/J20,0)</f>
        <v>10271.128465627939</v>
      </c>
      <c r="K43" s="639">
        <f>IFERROR(Summary!K35/K20,0)</f>
        <v>10272.125632537714</v>
      </c>
      <c r="L43" s="639">
        <f>IFERROR(Summary!L35/L20,0)</f>
        <v>10273.066356037503</v>
      </c>
    </row>
    <row r="44" spans="1:12" ht="13.8">
      <c r="A44" s="346">
        <f>ROW()</f>
        <v>44</v>
      </c>
      <c r="B44" s="411" t="s">
        <v>268</v>
      </c>
      <c r="C44" s="477">
        <f>AVERAGE(G44:L44)</f>
        <v>10424.800215002266</v>
      </c>
      <c r="D44" s="477"/>
      <c r="E44" s="429"/>
      <c r="F44" s="100"/>
      <c r="G44" s="100">
        <f>IFERROR(Summary!G52/G20,0)</f>
        <v>10725.247235896068</v>
      </c>
      <c r="H44" s="100">
        <f>IFERROR(Summary!H52/H20,0)</f>
        <v>10627.938057460702</v>
      </c>
      <c r="I44" s="100">
        <f>IFERROR(Summary!I52/I20,0)</f>
        <v>10476.06036144304</v>
      </c>
      <c r="J44" s="100">
        <f>IFERROR(Summary!J52/J20,0)</f>
        <v>10378.028479560006</v>
      </c>
      <c r="K44" s="100">
        <f>IFERROR(Summary!K52/K20,0)</f>
        <v>10230.142786204899</v>
      </c>
      <c r="L44" s="100">
        <f>IFERROR(Summary!L52/L20,0)</f>
        <v>10111.384369448877</v>
      </c>
    </row>
    <row r="45" spans="1:12" ht="13.8">
      <c r="A45" s="346">
        <f>ROW()</f>
        <v>45</v>
      </c>
      <c r="B45" s="1193" t="s">
        <v>269</v>
      </c>
      <c r="C45" s="478">
        <f>AVERAGE(G45:L45)</f>
        <v>-234.64468233490001</v>
      </c>
      <c r="D45" s="478"/>
      <c r="E45" s="430"/>
      <c r="F45" s="1194"/>
      <c r="G45" s="1195">
        <f t="shared" ref="G45:L45" si="14">+G43-G44</f>
        <v>-940.76708229105134</v>
      </c>
      <c r="H45" s="1195">
        <f t="shared" si="14"/>
        <v>-358.08360366679153</v>
      </c>
      <c r="I45" s="1195">
        <f t="shared" si="14"/>
        <v>-205.78222704093241</v>
      </c>
      <c r="J45" s="1195">
        <f t="shared" si="14"/>
        <v>-106.90001393206694</v>
      </c>
      <c r="K45" s="1195">
        <f t="shared" si="14"/>
        <v>41.982846332815825</v>
      </c>
      <c r="L45" s="1194">
        <f t="shared" si="14"/>
        <v>161.68198658862639</v>
      </c>
    </row>
    <row r="46" spans="1:12" ht="13.8">
      <c r="A46" s="346">
        <f>ROW()</f>
        <v>46</v>
      </c>
      <c r="B46" s="411" t="s">
        <v>270</v>
      </c>
      <c r="C46" s="707">
        <f>MAX(G46:L46)</f>
        <v>41294</v>
      </c>
      <c r="D46" s="476"/>
      <c r="E46" s="51"/>
      <c r="F46" s="100"/>
      <c r="G46" s="100">
        <f>Facilities!G93</f>
        <v>41294</v>
      </c>
      <c r="H46" s="100">
        <f>Facilities!H93</f>
        <v>41294</v>
      </c>
      <c r="I46" s="100">
        <f>Facilities!I93</f>
        <v>41294</v>
      </c>
      <c r="J46" s="100">
        <f>Facilities!J93</f>
        <v>41294</v>
      </c>
      <c r="K46" s="100">
        <f>Facilities!K93</f>
        <v>41294</v>
      </c>
      <c r="L46" s="100">
        <f>Facilities!L93</f>
        <v>41294</v>
      </c>
    </row>
    <row r="47" spans="1:12" ht="13.8">
      <c r="A47" s="346">
        <f>ROW()</f>
        <v>47</v>
      </c>
      <c r="B47" s="411" t="s">
        <v>271</v>
      </c>
      <c r="C47" s="479">
        <f>MIN(G47:L47)</f>
        <v>19.38434940131312</v>
      </c>
      <c r="D47" s="479"/>
      <c r="E47" s="51"/>
      <c r="F47" s="100"/>
      <c r="G47" s="100">
        <f t="shared" ref="G47:L47" si="15">IFERROR(G46/G20,0)</f>
        <v>25.889655172413793</v>
      </c>
      <c r="H47" s="100">
        <f t="shared" si="15"/>
        <v>24.463270142180093</v>
      </c>
      <c r="I47" s="100">
        <f t="shared" si="15"/>
        <v>23.087070286554351</v>
      </c>
      <c r="J47" s="100">
        <f t="shared" si="15"/>
        <v>21.780254987315423</v>
      </c>
      <c r="K47" s="100">
        <f t="shared" si="15"/>
        <v>20.547410365391908</v>
      </c>
      <c r="L47" s="100">
        <f t="shared" si="15"/>
        <v>19.38434940131312</v>
      </c>
    </row>
    <row r="48" spans="1:12" ht="13.8">
      <c r="A48" s="346">
        <f>ROW()</f>
        <v>48</v>
      </c>
      <c r="B48" s="411" t="s">
        <v>272</v>
      </c>
      <c r="C48" s="479">
        <f>MIN(G48:L48)</f>
        <v>18.91378550305399</v>
      </c>
      <c r="D48" s="479"/>
      <c r="E48" s="51"/>
      <c r="F48" s="100"/>
      <c r="G48" s="100">
        <f t="shared" ref="G48:L48" si="16">IFERROR(+G46/G22,0)</f>
        <v>25.163924436319316</v>
      </c>
      <c r="H48" s="100">
        <f t="shared" si="16"/>
        <v>23.800576368876079</v>
      </c>
      <c r="I48" s="100">
        <f t="shared" si="16"/>
        <v>22.495939119841843</v>
      </c>
      <c r="J48" s="100">
        <f t="shared" si="16"/>
        <v>21.209721489593768</v>
      </c>
      <c r="K48" s="100">
        <f t="shared" si="16"/>
        <v>20.038883572977696</v>
      </c>
      <c r="L48" s="100">
        <f t="shared" si="16"/>
        <v>18.91378550305399</v>
      </c>
    </row>
    <row r="49" spans="1:12" ht="13.8">
      <c r="A49" s="346">
        <f>ROW()</f>
        <v>49</v>
      </c>
      <c r="B49" s="411" t="s">
        <v>273</v>
      </c>
      <c r="C49" s="477">
        <f>AVERAGE(G49:L49)</f>
        <v>181.23382891846586</v>
      </c>
      <c r="D49" s="479"/>
      <c r="E49" s="51"/>
      <c r="F49" s="100"/>
      <c r="G49" s="100">
        <f>+Summary!G28/Summary!G9</f>
        <v>174.84639498432603</v>
      </c>
      <c r="H49" s="100">
        <f>+Summary!H28/Summary!H9</f>
        <v>177.55450236966826</v>
      </c>
      <c r="I49" s="100">
        <f>+Summary!I28/Summary!I9</f>
        <v>180.16732914065332</v>
      </c>
      <c r="J49" s="100">
        <f>+Summary!J28/Summary!J9</f>
        <v>182.6484237175975</v>
      </c>
      <c r="K49" s="100">
        <f>+Summary!K28/Summary!K9</f>
        <v>184.98907897886556</v>
      </c>
      <c r="L49" s="100">
        <f>+Summary!L28/Summary!L9</f>
        <v>187.19724431968447</v>
      </c>
    </row>
    <row r="50" spans="1:12" ht="13.8">
      <c r="A50" s="346">
        <f>ROW()</f>
        <v>50</v>
      </c>
      <c r="B50" s="33"/>
      <c r="C50" s="33"/>
      <c r="D50" s="33"/>
      <c r="E50" s="33"/>
      <c r="F50" s="503"/>
      <c r="G50" s="503"/>
      <c r="H50" s="503"/>
      <c r="I50" s="503"/>
      <c r="J50" s="503"/>
      <c r="K50" s="503"/>
      <c r="L50" s="503"/>
    </row>
    <row r="51" spans="1:12" ht="17.399999999999999">
      <c r="A51" s="346">
        <f>ROW()</f>
        <v>51</v>
      </c>
      <c r="B51" s="950" t="s">
        <v>274</v>
      </c>
      <c r="C51" s="951"/>
      <c r="D51" s="951"/>
      <c r="E51" s="951"/>
      <c r="F51" s="952">
        <f>Summary!F$6</f>
        <v>0</v>
      </c>
      <c r="G51" s="952">
        <f>Summary!G$6</f>
        <v>1</v>
      </c>
      <c r="H51" s="952">
        <f>Summary!H$6</f>
        <v>2</v>
      </c>
      <c r="I51" s="952">
        <f>Summary!I$6</f>
        <v>3</v>
      </c>
      <c r="J51" s="952">
        <f>Summary!J$6</f>
        <v>4</v>
      </c>
      <c r="K51" s="952">
        <f>Summary!K$6</f>
        <v>5</v>
      </c>
      <c r="L51" s="952">
        <f>Summary!L$6</f>
        <v>6</v>
      </c>
    </row>
    <row r="52" spans="1:12" ht="13.8">
      <c r="A52" s="346">
        <f>ROW()</f>
        <v>52</v>
      </c>
      <c r="B52" s="1196" t="s">
        <v>275</v>
      </c>
      <c r="C52" s="953"/>
      <c r="D52" s="953"/>
      <c r="E52" s="953"/>
      <c r="F52" s="1197"/>
      <c r="G52" s="1197"/>
      <c r="H52" s="1197"/>
      <c r="I52" s="1197"/>
      <c r="J52" s="1197"/>
      <c r="K52" s="1197"/>
      <c r="L52" s="1197"/>
    </row>
    <row r="53" spans="1:12" ht="13.8">
      <c r="A53" s="346">
        <f>ROW()</f>
        <v>53</v>
      </c>
      <c r="B53" s="33" t="str">
        <f>+Summary!B15</f>
        <v>State &amp; Local Revenue w/o St SpEd</v>
      </c>
      <c r="C53" s="413">
        <f>IFERROR(Summary!C15/Summary!C$35,)</f>
        <v>0.94665797525229978</v>
      </c>
      <c r="D53" s="413"/>
      <c r="E53" s="413"/>
      <c r="F53" s="640">
        <f>IF(Summary!F15&gt;0,Summary!F15/Summary!F$35,0)</f>
        <v>0</v>
      </c>
      <c r="G53" s="640">
        <f>IF(Summary!G15&gt;0,Summary!G15/Summary!G$35,0)</f>
        <v>0.97961725528616395</v>
      </c>
      <c r="H53" s="640">
        <f>IF(Summary!H15&gt;0,Summary!H15/Summary!H$35,0)</f>
        <v>0.9415536088855625</v>
      </c>
      <c r="I53" s="640">
        <f>IF(Summary!I15&gt;0,Summary!I15/Summary!I$35,0)</f>
        <v>0.94149544870302193</v>
      </c>
      <c r="J53" s="640">
        <f>IF(Summary!J15&gt;0,Summary!J15/Summary!J$35,0)</f>
        <v>0.94141171337014806</v>
      </c>
      <c r="K53" s="640">
        <f>IF(Summary!K15&gt;0,Summary!K15/Summary!K$35,0)</f>
        <v>0.94132032579929581</v>
      </c>
      <c r="L53" s="640">
        <f>IF(Summary!L15&gt;0,Summary!L15/Summary!L$35,0)</f>
        <v>0.94123412737317669</v>
      </c>
    </row>
    <row r="54" spans="1:12" ht="13.8">
      <c r="A54" s="346">
        <f>ROW()</f>
        <v>54</v>
      </c>
      <c r="B54" s="33" t="str">
        <f>+Summary!B16</f>
        <v>CS Sponsorship Fee (Infl' Adj'd)</v>
      </c>
      <c r="C54" s="994">
        <f>IFERROR(Summary!C16/Summary!C$35,0)</f>
        <v>-1.1535103313778607E-2</v>
      </c>
      <c r="D54" s="413"/>
      <c r="E54" s="413"/>
      <c r="F54" s="640">
        <f>IF(Summary!F16&gt;0,Summary!F16/Summary!F$35,0)</f>
        <v>0</v>
      </c>
      <c r="G54" s="640">
        <f>IF(Summary!G16&gt;0,Summary!G16/Summary!G$35,0)</f>
        <v>0</v>
      </c>
      <c r="H54" s="640">
        <f>IF(Summary!H16&gt;0,Summary!H16/Summary!H$35,0)</f>
        <v>0</v>
      </c>
      <c r="I54" s="640">
        <f>IF(Summary!I16&gt;0,Summary!I16/Summary!I$35,0)</f>
        <v>0</v>
      </c>
      <c r="J54" s="640">
        <f>IF(Summary!J16&gt;0,Summary!J16/Summary!J$35,0)</f>
        <v>0</v>
      </c>
      <c r="K54" s="640">
        <f>IF(Summary!K16&gt;0,Summary!K16/Summary!K$35,0)</f>
        <v>0</v>
      </c>
      <c r="L54" s="640">
        <f>IF(Summary!L16&gt;0,Summary!L16/Summary!L$35,0)</f>
        <v>0</v>
      </c>
    </row>
    <row r="55" spans="1:12" ht="13.8">
      <c r="A55" s="346">
        <f>ROW()</f>
        <v>55</v>
      </c>
      <c r="B55" s="33" t="str">
        <f>+Summary!B17</f>
        <v>Title I</v>
      </c>
      <c r="C55" s="413">
        <f>IFERROR(Summary!C17/Summary!C$35,)</f>
        <v>0</v>
      </c>
      <c r="D55" s="413"/>
      <c r="E55" s="413"/>
      <c r="F55" s="640">
        <f>IF(Summary!F17&gt;0,Summary!F17/Summary!F$35,0)</f>
        <v>0</v>
      </c>
      <c r="G55" s="640">
        <f>IF(Summary!G17&gt;0,Summary!G17/Summary!G$35,0)</f>
        <v>0</v>
      </c>
      <c r="H55" s="640">
        <f>IF(Summary!H17&gt;0,Summary!H17/Summary!H$35,0)</f>
        <v>0</v>
      </c>
      <c r="I55" s="640">
        <f>IF(Summary!I17&gt;0,Summary!I17/Summary!I$35,0)</f>
        <v>0</v>
      </c>
      <c r="J55" s="640">
        <f>IF(Summary!J17&gt;0,Summary!J17/Summary!J$35,0)</f>
        <v>0</v>
      </c>
      <c r="K55" s="640">
        <f>IF(Summary!K17&gt;0,Summary!K17/Summary!K$35,0)</f>
        <v>0</v>
      </c>
      <c r="L55" s="640">
        <f>IF(Summary!L17&gt;0,Summary!L17/Summary!L$35,0)</f>
        <v>0</v>
      </c>
    </row>
    <row r="56" spans="1:12" ht="13.8">
      <c r="A56" s="346">
        <f>ROW()</f>
        <v>56</v>
      </c>
      <c r="B56" s="33" t="str">
        <f>+Summary!B18</f>
        <v>Title IIA</v>
      </c>
      <c r="C56" s="413">
        <f>IFERROR(Summary!C18/Summary!C$35,)</f>
        <v>3.4308784022286064E-4</v>
      </c>
      <c r="D56" s="413"/>
      <c r="E56" s="413"/>
      <c r="F56" s="640">
        <f>IF(Summary!F18&gt;0,Summary!F18/Summary!F$35,0)</f>
        <v>0</v>
      </c>
      <c r="G56" s="640">
        <f>IF(Summary!G18&gt;0,Summary!G18/Summary!G$35,0)</f>
        <v>3.5770934633767458E-4</v>
      </c>
      <c r="H56" s="640">
        <f>IF(Summary!H18&gt;0,Summary!H18/Summary!H$35,0)</f>
        <v>3.4080327192047234E-4</v>
      </c>
      <c r="I56" s="640">
        <f>IF(Summary!I18&gt;0,Summary!I18/Summary!I$35,0)</f>
        <v>3.4078921273574209E-4</v>
      </c>
      <c r="J56" s="640">
        <f>IF(Summary!J18&gt;0,Summary!J18/Summary!J$35,0)</f>
        <v>3.4076099931109401E-4</v>
      </c>
      <c r="K56" s="640">
        <f>IF(Summary!K18&gt;0,Summary!K18/Summary!K$35,0)</f>
        <v>3.4072791992666954E-4</v>
      </c>
      <c r="L56" s="640">
        <f>IF(Summary!L18&gt;0,Summary!L18/Summary!L$35,0)</f>
        <v>3.4069671884705022E-4</v>
      </c>
    </row>
    <row r="57" spans="1:12" ht="13.8">
      <c r="A57" s="346">
        <f>ROW()</f>
        <v>57</v>
      </c>
      <c r="B57" s="33" t="str">
        <f>+Summary!B19</f>
        <v>Title III</v>
      </c>
      <c r="C57" s="413">
        <f>IFERROR(Summary!C19/Summary!C$35,)</f>
        <v>0</v>
      </c>
      <c r="D57" s="413"/>
      <c r="E57" s="413"/>
      <c r="F57" s="640">
        <f>IF(Summary!F19&gt;0,Summary!F19/Summary!F$35,0)</f>
        <v>0</v>
      </c>
      <c r="G57" s="640">
        <f>IF(Summary!G19&gt;0,Summary!G19/Summary!G$35,0)</f>
        <v>0</v>
      </c>
      <c r="H57" s="640">
        <f>IF(Summary!H19&gt;0,Summary!H19/Summary!H$35,0)</f>
        <v>0</v>
      </c>
      <c r="I57" s="640">
        <f>IF(Summary!I19&gt;0,Summary!I19/Summary!I$35,0)</f>
        <v>0</v>
      </c>
      <c r="J57" s="640">
        <f>IF(Summary!J19&gt;0,Summary!J19/Summary!J$35,0)</f>
        <v>0</v>
      </c>
      <c r="K57" s="640">
        <f>IF(Summary!K19&gt;0,Summary!K19/Summary!K$35,0)</f>
        <v>0</v>
      </c>
      <c r="L57" s="640">
        <f>IF(Summary!L19&gt;0,Summary!L19/Summary!L$35,0)</f>
        <v>0</v>
      </c>
    </row>
    <row r="58" spans="1:12" ht="13.8">
      <c r="A58" s="346">
        <f>ROW()</f>
        <v>58</v>
      </c>
      <c r="B58" s="33" t="str">
        <f>+Summary!B20</f>
        <v>Title IV</v>
      </c>
      <c r="C58" s="413">
        <f>IFERROR(Summary!C20/Summary!C$35,)</f>
        <v>0</v>
      </c>
      <c r="D58" s="413"/>
      <c r="E58" s="413"/>
      <c r="F58" s="640">
        <f>IF(Summary!F20&gt;0,Summary!F20/Summary!F$35,0)</f>
        <v>0</v>
      </c>
      <c r="G58" s="640">
        <f>IF(Summary!G20&gt;0,Summary!G20/Summary!G$35,0)</f>
        <v>0</v>
      </c>
      <c r="H58" s="640">
        <f>IF(Summary!H20&gt;0,Summary!H20/Summary!H$35,0)</f>
        <v>0</v>
      </c>
      <c r="I58" s="640">
        <f>IF(Summary!I20&gt;0,Summary!I20/Summary!I$35,0)</f>
        <v>0</v>
      </c>
      <c r="J58" s="640">
        <f>IF(Summary!J20&gt;0,Summary!J20/Summary!J$35,0)</f>
        <v>0</v>
      </c>
      <c r="K58" s="640">
        <f>IF(Summary!K20&gt;0,Summary!K20/Summary!K$35,0)</f>
        <v>0</v>
      </c>
      <c r="L58" s="640">
        <f>IF(Summary!L20&gt;0,Summary!L20/Summary!L$35,0)</f>
        <v>0</v>
      </c>
    </row>
    <row r="59" spans="1:12" ht="13.8">
      <c r="A59" s="346">
        <f>ROW()</f>
        <v>59</v>
      </c>
      <c r="B59" s="33" t="str">
        <f>+Summary!B21</f>
        <v>Federal Breakfast Program</v>
      </c>
      <c r="C59" s="413">
        <f>IFERROR(Summary!C21/Summary!C$35,)</f>
        <v>0</v>
      </c>
      <c r="D59" s="413"/>
      <c r="E59" s="413"/>
      <c r="F59" s="640">
        <f>IF(Summary!F21&gt;0,Summary!F21/Summary!F$35,0)</f>
        <v>0</v>
      </c>
      <c r="G59" s="640">
        <f>IF(Summary!G21&gt;0,Summary!G21/Summary!G$35,0)</f>
        <v>0</v>
      </c>
      <c r="H59" s="640">
        <f>IF(Summary!H21&gt;0,Summary!H21/Summary!H$35,0)</f>
        <v>0</v>
      </c>
      <c r="I59" s="640">
        <f>IF(Summary!I21&gt;0,Summary!I21/Summary!I$35,0)</f>
        <v>0</v>
      </c>
      <c r="J59" s="640">
        <f>IF(Summary!J21&gt;0,Summary!J21/Summary!J$35,0)</f>
        <v>0</v>
      </c>
      <c r="K59" s="640">
        <f>IF(Summary!K21&gt;0,Summary!K21/Summary!K$35,0)</f>
        <v>0</v>
      </c>
      <c r="L59" s="640">
        <f>IF(Summary!L21&gt;0,Summary!L21/Summary!L$35,0)</f>
        <v>0</v>
      </c>
    </row>
    <row r="60" spans="1:12" ht="13.8">
      <c r="A60" s="346">
        <f>ROW()</f>
        <v>60</v>
      </c>
      <c r="B60" s="33" t="str">
        <f>+Summary!B22</f>
        <v>Federal Lunch Program</v>
      </c>
      <c r="C60" s="413">
        <f>IFERROR(Summary!C22/Summary!C$35,)</f>
        <v>0</v>
      </c>
      <c r="D60" s="413"/>
      <c r="E60" s="413"/>
      <c r="F60" s="640">
        <f>IF(Summary!F22&gt;0,Summary!F22/Summary!F$35,0)</f>
        <v>0</v>
      </c>
      <c r="G60" s="640">
        <f>IF(Summary!G22&gt;0,Summary!G22/Summary!G$35,0)</f>
        <v>0</v>
      </c>
      <c r="H60" s="640">
        <f>IF(Summary!H22&gt;0,Summary!H22/Summary!H$35,0)</f>
        <v>0</v>
      </c>
      <c r="I60" s="640">
        <f>IF(Summary!I22&gt;0,Summary!I22/Summary!I$35,0)</f>
        <v>0</v>
      </c>
      <c r="J60" s="640">
        <f>IF(Summary!J22&gt;0,Summary!J22/Summary!J$35,0)</f>
        <v>0</v>
      </c>
      <c r="K60" s="640">
        <f>IF(Summary!K22&gt;0,Summary!K22/Summary!K$35,0)</f>
        <v>0</v>
      </c>
      <c r="L60" s="640">
        <f>IF(Summary!L22&gt;0,Summary!L22/Summary!L$35,0)</f>
        <v>0</v>
      </c>
    </row>
    <row r="61" spans="1:12" ht="13.8">
      <c r="A61" s="346">
        <f>ROW()</f>
        <v>61</v>
      </c>
      <c r="B61" s="33" t="str">
        <f>+Summary!B23</f>
        <v>IDEA</v>
      </c>
      <c r="C61" s="413">
        <f>IFERROR(Summary!C23/Summary!C$35,)</f>
        <v>1.083667449618207E-2</v>
      </c>
      <c r="D61" s="413"/>
      <c r="E61" s="413"/>
      <c r="F61" s="640">
        <f>IF(Summary!F23&gt;0,Summary!F23/Summary!F$35,0)</f>
        <v>0</v>
      </c>
      <c r="G61" s="640">
        <f>IF(Summary!G23&gt;0,Summary!G23/Summary!G$35,0)</f>
        <v>1.1298505210751406E-2</v>
      </c>
      <c r="H61" s="640">
        <f>IF(Summary!H23&gt;0,Summary!H23/Summary!H$35,0)</f>
        <v>1.0764514774516634E-2</v>
      </c>
      <c r="I61" s="640">
        <f>IF(Summary!I23&gt;0,Summary!I23/Summary!I$35,0)</f>
        <v>1.0764070705124655E-2</v>
      </c>
      <c r="J61" s="640">
        <f>IF(Summary!J23&gt;0,Summary!J23/Summary!J$35,0)</f>
        <v>1.0763179563954697E-2</v>
      </c>
      <c r="K61" s="640">
        <f>IF(Summary!K23&gt;0,Summary!K23/Summary!K$35,0)</f>
        <v>1.0762134727969519E-2</v>
      </c>
      <c r="L61" s="640">
        <f>IF(Summary!L23&gt;0,Summary!L23/Summary!L$35,0)</f>
        <v>1.0761149219583259E-2</v>
      </c>
    </row>
    <row r="62" spans="1:12" ht="13.8">
      <c r="A62" s="346">
        <f>ROW()</f>
        <v>62</v>
      </c>
      <c r="B62" s="33" t="str">
        <f>+Summary!B24</f>
        <v>State Special Education Funding</v>
      </c>
      <c r="C62" s="413">
        <f>IFERROR(Summary!C24/Summary!C$35,)</f>
        <v>3.3508295166284827E-2</v>
      </c>
      <c r="D62" s="413"/>
      <c r="E62" s="413"/>
      <c r="F62" s="640">
        <f>IF(Summary!F24&gt;0,Summary!F24/Summary!F$35,0)</f>
        <v>0</v>
      </c>
      <c r="G62" s="640">
        <f>IF(Summary!G24&gt;0,Summary!G24/Summary!G$35,0)</f>
        <v>0</v>
      </c>
      <c r="H62" s="640">
        <f>IF(Summary!H24&gt;0,Summary!H24/Summary!H$35,0)</f>
        <v>3.8914637179202474E-2</v>
      </c>
      <c r="I62" s="640">
        <f>IF(Summary!I24&gt;0,Summary!I24/Summary!I$35,0)</f>
        <v>3.8865220693653814E-2</v>
      </c>
      <c r="J62" s="640">
        <f>IF(Summary!J24&gt;0,Summary!J24/Summary!J$35,0)</f>
        <v>3.884767241472431E-2</v>
      </c>
      <c r="K62" s="640">
        <f>IF(Summary!K24&gt;0,Summary!K24/Summary!K$35,0)</f>
        <v>3.8843901275737155E-2</v>
      </c>
      <c r="L62" s="640">
        <f>IF(Summary!L24&gt;0,Summary!L24/Summary!L$35,0)</f>
        <v>3.8840344268560624E-2</v>
      </c>
    </row>
    <row r="63" spans="1:12" ht="13.8">
      <c r="A63" s="346">
        <f>ROW()</f>
        <v>63</v>
      </c>
      <c r="B63" s="33" t="str">
        <f>+Summary!B25</f>
        <v>"Replication &amp; Expansion" start-up funds</v>
      </c>
      <c r="C63" s="413">
        <f>IFERROR(Summary!C25/Summary!C$35,)</f>
        <v>0</v>
      </c>
      <c r="D63" s="413"/>
      <c r="E63" s="413"/>
      <c r="F63" s="640">
        <f>IF(Summary!F25&gt;0,Summary!F25/Summary!F$35,0)</f>
        <v>0</v>
      </c>
      <c r="G63" s="640">
        <f>IF(Summary!G25&gt;0,Summary!G25/Summary!G$35,0)</f>
        <v>0</v>
      </c>
      <c r="H63" s="640">
        <f>IF(Summary!H25&gt;0,Summary!H25/Summary!H$35,0)</f>
        <v>0</v>
      </c>
      <c r="I63" s="640">
        <f>IF(Summary!I25&gt;0,Summary!I25/Summary!I$35,0)</f>
        <v>0</v>
      </c>
      <c r="J63" s="640">
        <f>IF(Summary!J25&gt;0,Summary!J25/Summary!J$35,0)</f>
        <v>0</v>
      </c>
      <c r="K63" s="640">
        <f>IF(Summary!K25&gt;0,Summary!K25/Summary!K$35,0)</f>
        <v>0</v>
      </c>
      <c r="L63" s="640">
        <f>IF(Summary!L25&gt;0,Summary!L25/Summary!L$35,0)</f>
        <v>0</v>
      </c>
    </row>
    <row r="64" spans="1:12" ht="13.8">
      <c r="A64" s="346">
        <f>ROW()</f>
        <v>64</v>
      </c>
      <c r="B64" s="33" t="str">
        <f>+Summary!B26</f>
        <v>Charter School Program (CSP) Grant (w/letter)</v>
      </c>
      <c r="C64" s="413">
        <f>IFERROR(Summary!C26/Summary!C$35,)</f>
        <v>0</v>
      </c>
      <c r="D64" s="413"/>
      <c r="E64" s="413"/>
      <c r="F64" s="640">
        <f>IF(Summary!F26&gt;0,Summary!F26/Summary!F$35,0)</f>
        <v>0</v>
      </c>
      <c r="G64" s="640">
        <f>IF(Summary!G26&gt;0,Summary!G26/Summary!G$35,0)</f>
        <v>0</v>
      </c>
      <c r="H64" s="640">
        <f>IF(Summary!H26&gt;0,Summary!H26/Summary!H$35,0)</f>
        <v>0</v>
      </c>
      <c r="I64" s="640">
        <f>IF(Summary!I26&gt;0,Summary!I26/Summary!I$35,0)</f>
        <v>0</v>
      </c>
      <c r="J64" s="640">
        <f>IF(Summary!J26&gt;0,Summary!J26/Summary!J$35,0)</f>
        <v>0</v>
      </c>
      <c r="K64" s="640">
        <f>IF(Summary!K26&gt;0,Summary!K26/Summary!K$35,0)</f>
        <v>0</v>
      </c>
      <c r="L64" s="640">
        <f>IF(Summary!L26&gt;0,Summary!L26/Summary!L$35,0)</f>
        <v>0</v>
      </c>
    </row>
    <row r="65" spans="1:12" ht="13.8">
      <c r="A65" s="346">
        <f>ROW()</f>
        <v>65</v>
      </c>
      <c r="B65" s="33" t="str">
        <f>+Summary!B27</f>
        <v>Other start-up funds (incl' SEA grants)</v>
      </c>
      <c r="C65" s="413">
        <f>IFERROR(Summary!C27/Summary!C$35,)</f>
        <v>0</v>
      </c>
      <c r="D65" s="413"/>
      <c r="E65" s="413"/>
      <c r="F65" s="640">
        <f>IF(Summary!F27&gt;0,Summary!F27/Summary!F$35,0)</f>
        <v>0</v>
      </c>
      <c r="G65" s="640">
        <f>IF(Summary!G27&gt;0,Summary!G27/Summary!G$35,0)</f>
        <v>0</v>
      </c>
      <c r="H65" s="640">
        <f>IF(Summary!H27&gt;0,Summary!H27/Summary!H$35,0)</f>
        <v>0</v>
      </c>
      <c r="I65" s="640">
        <f>IF(Summary!I27&gt;0,Summary!I27/Summary!I$35,0)</f>
        <v>0</v>
      </c>
      <c r="J65" s="640">
        <f>IF(Summary!J27&gt;0,Summary!J27/Summary!J$35,0)</f>
        <v>0</v>
      </c>
      <c r="K65" s="640">
        <f>IF(Summary!K27&gt;0,Summary!K27/Summary!K$35,0)</f>
        <v>0</v>
      </c>
      <c r="L65" s="640">
        <f>IF(Summary!L27&gt;0,Summary!L27/Summary!L$35,0)</f>
        <v>0</v>
      </c>
    </row>
    <row r="66" spans="1:12" ht="13.8">
      <c r="A66" s="346">
        <f>ROW()</f>
        <v>66</v>
      </c>
      <c r="B66" s="33" t="str">
        <f>+Summary!B28</f>
        <v>Student fees (Net)</v>
      </c>
      <c r="C66" s="413">
        <f>IFERROR(Summary!C28/Summary!C$35,)</f>
        <v>1.7806291975066696E-2</v>
      </c>
      <c r="D66" s="413"/>
      <c r="E66" s="413"/>
      <c r="F66" s="640">
        <f>IF(Summary!F28&gt;0,Summary!F28/Summary!F$35,0)</f>
        <v>0</v>
      </c>
      <c r="G66" s="640">
        <f>IF(Summary!G28&gt;0,Summary!G28/Summary!G$35,0)</f>
        <v>1.7869768474097748E-2</v>
      </c>
      <c r="H66" s="640">
        <f>IF(Summary!H28&gt;0,Summary!H28/Summary!H$35,0)</f>
        <v>1.7288901529084057E-2</v>
      </c>
      <c r="I66" s="640">
        <f>IF(Summary!I28&gt;0,Summary!I28/Summary!I$35,0)</f>
        <v>1.7542594931012734E-2</v>
      </c>
      <c r="J66" s="640">
        <f>IF(Summary!J28&gt;0,Summary!J28/Summary!J$35,0)</f>
        <v>1.7782702682458469E-2</v>
      </c>
      <c r="K66" s="640">
        <f>IF(Summary!K28&gt;0,Summary!K28/Summary!K$35,0)</f>
        <v>1.8008841168462644E-2</v>
      </c>
      <c r="L66" s="640">
        <f>IF(Summary!L28&gt;0,Summary!L28/Summary!L$35,0)</f>
        <v>1.8222139119121745E-2</v>
      </c>
    </row>
    <row r="67" spans="1:12" ht="13.8">
      <c r="A67" s="346">
        <f>ROW()</f>
        <v>67</v>
      </c>
      <c r="B67" s="33" t="str">
        <f>+Summary!B29</f>
        <v>Food Services</v>
      </c>
      <c r="C67" s="413">
        <f>IFERROR(Summary!C29/Summary!C$35,)</f>
        <v>0</v>
      </c>
      <c r="D67" s="413"/>
      <c r="E67" s="413"/>
      <c r="F67" s="640">
        <f>IF(Summary!F29&gt;0,Summary!F29/Summary!F$35,0)</f>
        <v>0</v>
      </c>
      <c r="G67" s="640">
        <f>IF(Summary!G29&gt;0,Summary!G29/Summary!G$35,0)</f>
        <v>0</v>
      </c>
      <c r="H67" s="640">
        <f>IF(Summary!H29&gt;0,Summary!H29/Summary!H$35,0)</f>
        <v>0</v>
      </c>
      <c r="I67" s="640">
        <f>IF(Summary!I29&gt;0,Summary!I29/Summary!I$35,0)</f>
        <v>0</v>
      </c>
      <c r="J67" s="640">
        <f>IF(Summary!J29&gt;0,Summary!J29/Summary!J$35,0)</f>
        <v>0</v>
      </c>
      <c r="K67" s="640">
        <f>IF(Summary!K29&gt;0,Summary!K29/Summary!K$35,0)</f>
        <v>0</v>
      </c>
      <c r="L67" s="640">
        <f>IF(Summary!L29&gt;0,Summary!L29/Summary!L$35,0)</f>
        <v>0</v>
      </c>
    </row>
    <row r="68" spans="1:12" ht="13.8">
      <c r="A68" s="346">
        <f>ROW()</f>
        <v>68</v>
      </c>
      <c r="B68" s="33" t="str">
        <f>+Summary!B30</f>
        <v>Transportation</v>
      </c>
      <c r="C68" s="413">
        <f>IFERROR(Summary!C30/Summary!C$35,)</f>
        <v>0</v>
      </c>
      <c r="D68" s="413"/>
      <c r="E68" s="413"/>
      <c r="F68" s="640">
        <f>IF(Summary!F30&gt;0,Summary!F30/Summary!F$35,0)</f>
        <v>0</v>
      </c>
      <c r="G68" s="640">
        <f>IF(Summary!G30&gt;0,Summary!G30/Summary!G$35,0)</f>
        <v>0</v>
      </c>
      <c r="H68" s="640">
        <f>IF(Summary!H30&gt;0,Summary!H30/Summary!H$35,0)</f>
        <v>0</v>
      </c>
      <c r="I68" s="640">
        <f>IF(Summary!I30&gt;0,Summary!I30/Summary!I$35,0)</f>
        <v>0</v>
      </c>
      <c r="J68" s="640">
        <f>IF(Summary!J30&gt;0,Summary!J30/Summary!J$35,0)</f>
        <v>0</v>
      </c>
      <c r="K68" s="640">
        <f>IF(Summary!K30&gt;0,Summary!K30/Summary!K$35,0)</f>
        <v>0</v>
      </c>
      <c r="L68" s="640">
        <f>IF(Summary!L30&gt;0,Summary!L30/Summary!L$35,0)</f>
        <v>0</v>
      </c>
    </row>
    <row r="69" spans="1:12" ht="13.8">
      <c r="A69" s="346">
        <f>ROW()</f>
        <v>69</v>
      </c>
      <c r="B69" s="33" t="str">
        <f>+Summary!B31</f>
        <v>Investment Income</v>
      </c>
      <c r="C69" s="413">
        <f>IFERROR(Summary!C31/Summary!C$35,)</f>
        <v>0</v>
      </c>
      <c r="D69" s="413"/>
      <c r="E69" s="413"/>
      <c r="F69" s="640">
        <f>IF(Summary!F31&gt;0,Summary!F31/Summary!F$35,0)</f>
        <v>0</v>
      </c>
      <c r="G69" s="640">
        <f>IF(Summary!G31&gt;0,Summary!G31/Summary!G$35,0)</f>
        <v>0</v>
      </c>
      <c r="H69" s="640">
        <f>IF(Summary!H31&gt;0,Summary!H31/Summary!H$35,0)</f>
        <v>0</v>
      </c>
      <c r="I69" s="640">
        <f>IF(Summary!I31&gt;0,Summary!I31/Summary!I$35,0)</f>
        <v>0</v>
      </c>
      <c r="J69" s="640">
        <f>IF(Summary!J31&gt;0,Summary!J31/Summary!J$35,0)</f>
        <v>0</v>
      </c>
      <c r="K69" s="640">
        <f>IF(Summary!K31&gt;0,Summary!K31/Summary!K$35,0)</f>
        <v>0</v>
      </c>
      <c r="L69" s="640">
        <f>IF(Summary!L31&gt;0,Summary!L31/Summary!L$35,0)</f>
        <v>0</v>
      </c>
    </row>
    <row r="70" spans="1:12" ht="13.8">
      <c r="A70" s="346">
        <f>ROW()</f>
        <v>70</v>
      </c>
      <c r="B70" s="33" t="str">
        <f>+Summary!B32</f>
        <v>School level fundraising</v>
      </c>
      <c r="C70" s="413">
        <f>IFERROR(Summary!C32/Summary!C$35,)</f>
        <v>0</v>
      </c>
      <c r="D70" s="413"/>
      <c r="E70" s="413"/>
      <c r="F70" s="640">
        <f>IF(Summary!F32&gt;0,Summary!F32/Summary!F$35,0)</f>
        <v>0</v>
      </c>
      <c r="G70" s="640">
        <f>IF(Summary!G32&gt;0,Summary!G32/Summary!G$35,0)</f>
        <v>0</v>
      </c>
      <c r="H70" s="640">
        <f>IF(Summary!H32&gt;0,Summary!H32/Summary!H$35,0)</f>
        <v>0</v>
      </c>
      <c r="I70" s="640">
        <f>IF(Summary!I32&gt;0,Summary!I32/Summary!I$35,0)</f>
        <v>0</v>
      </c>
      <c r="J70" s="640">
        <f>IF(Summary!J32&gt;0,Summary!J32/Summary!J$35,0)</f>
        <v>0</v>
      </c>
      <c r="K70" s="640">
        <f>IF(Summary!K32&gt;0,Summary!K32/Summary!K$35,0)</f>
        <v>0</v>
      </c>
      <c r="L70" s="640">
        <f>IF(Summary!L32&gt;0,Summary!L32/Summary!L$35,0)</f>
        <v>0</v>
      </c>
    </row>
    <row r="71" spans="1:12" ht="13.8">
      <c r="A71" s="346">
        <f>ROW()</f>
        <v>71</v>
      </c>
      <c r="B71" s="33" t="str">
        <f>+Summary!B33</f>
        <v>Private fundraising (foundations, corporate)</v>
      </c>
      <c r="C71" s="413">
        <f>IFERROR(Summary!C33/Summary!C$35,)</f>
        <v>2.3827785837224162E-3</v>
      </c>
      <c r="D71" s="413"/>
      <c r="E71" s="413"/>
      <c r="F71" s="640">
        <f>IF(Summary!F33&gt;0,Summary!F33/Summary!F$35,0)</f>
        <v>0</v>
      </c>
      <c r="G71" s="640">
        <f>IF(Summary!G33&gt;0,Summary!G33/Summary!G$35,0)</f>
        <v>2.8834609198737761E-3</v>
      </c>
      <c r="H71" s="640">
        <f>IF(Summary!H33&gt;0,Summary!H33/Summary!H$35,0)</f>
        <v>2.5958272234971659E-3</v>
      </c>
      <c r="I71" s="640">
        <f>IF(Summary!I33&gt;0,Summary!I33/Summary!I$35,0)</f>
        <v>2.4496959283592363E-3</v>
      </c>
      <c r="J71" s="640">
        <f>IF(Summary!J33&gt;0,Summary!J33/Summary!J$35,0)</f>
        <v>2.3108425676698924E-3</v>
      </c>
      <c r="K71" s="640">
        <f>IF(Summary!K33&gt;0,Summary!K33/Summary!K$35,0)</f>
        <v>2.1798285307141493E-3</v>
      </c>
      <c r="L71" s="640">
        <f>IF(Summary!L33&gt;0,Summary!L33/Summary!L$35,0)</f>
        <v>2.0562536979467604E-3</v>
      </c>
    </row>
    <row r="72" spans="1:12" ht="13.8">
      <c r="A72" s="346">
        <f>ROW()</f>
        <v>72</v>
      </c>
      <c r="B72" s="33" t="str">
        <f>+Summary!B34</f>
        <v>Private fundraising (individuals)</v>
      </c>
      <c r="C72" s="413">
        <f>IFERROR(Summary!C34/Summary!C$35,)</f>
        <v>0</v>
      </c>
      <c r="D72" s="413"/>
      <c r="E72" s="413"/>
      <c r="F72" s="640">
        <f>IF(Summary!F34&gt;0,Summary!F34/Summary!F$35,0)</f>
        <v>0</v>
      </c>
      <c r="G72" s="640">
        <f>IF(Summary!G34&gt;0,Summary!G34/Summary!G$35,0)</f>
        <v>0</v>
      </c>
      <c r="H72" s="640">
        <f>IF(Summary!H34&gt;0,Summary!H34/Summary!H$35,0)</f>
        <v>0</v>
      </c>
      <c r="I72" s="640">
        <f>IF(Summary!I34&gt;0,Summary!I34/Summary!I$35,0)</f>
        <v>0</v>
      </c>
      <c r="J72" s="640">
        <f>IF(Summary!J34&gt;0,Summary!J34/Summary!J$35,0)</f>
        <v>0</v>
      </c>
      <c r="K72" s="640">
        <f>IF(Summary!K34&gt;0,Summary!K34/Summary!K$35,0)</f>
        <v>0</v>
      </c>
      <c r="L72" s="640">
        <f>IF(Summary!L34&gt;0,Summary!L34/Summary!L$35,0)</f>
        <v>0</v>
      </c>
    </row>
    <row r="73" spans="1:12" ht="13.8">
      <c r="A73" s="346">
        <f>ROW()</f>
        <v>73</v>
      </c>
      <c r="B73" s="844" t="s">
        <v>180</v>
      </c>
      <c r="C73" s="677">
        <f>IFERROR(Summary!C35/Summary!C$35,0)</f>
        <v>1</v>
      </c>
      <c r="D73" s="677"/>
      <c r="E73" s="677"/>
      <c r="F73" s="1198">
        <f>IF(Summary!F35&gt;0,Summary!F35/Summary!F$35,0)</f>
        <v>0</v>
      </c>
      <c r="G73" s="1198">
        <f>IF(Summary!G35&gt;0,Summary!G35/Summary!G$35,0)</f>
        <v>1</v>
      </c>
      <c r="H73" s="1198">
        <f>IF(Summary!H35&gt;0,Summary!H35/Summary!H$35,0)</f>
        <v>1</v>
      </c>
      <c r="I73" s="1198">
        <f>IF(Summary!I35&gt;0,Summary!I35/Summary!I$35,0)</f>
        <v>1</v>
      </c>
      <c r="J73" s="1198">
        <f>IF(Summary!J35&gt;0,Summary!J35/Summary!J$35,0)</f>
        <v>1</v>
      </c>
      <c r="K73" s="1198">
        <f>IF(Summary!K35&gt;0,Summary!K35/Summary!K$35,0)</f>
        <v>1</v>
      </c>
      <c r="L73" s="1198">
        <f>IF(Summary!L35&gt;0,Summary!L35/Summary!L$35,0)</f>
        <v>1</v>
      </c>
    </row>
    <row r="74" spans="1:12" ht="13.8">
      <c r="A74" s="346">
        <f>ROW()</f>
        <v>74</v>
      </c>
      <c r="B74" s="33"/>
      <c r="C74" s="58"/>
      <c r="D74" s="58"/>
      <c r="E74" s="58"/>
      <c r="F74" s="508"/>
      <c r="G74" s="508"/>
      <c r="H74" s="508"/>
      <c r="I74" s="508"/>
      <c r="J74" s="508"/>
      <c r="K74" s="508"/>
      <c r="L74" s="508"/>
    </row>
    <row r="75" spans="1:12" ht="15.6">
      <c r="A75" s="346">
        <f>ROW()</f>
        <v>75</v>
      </c>
      <c r="B75" s="954" t="s">
        <v>187</v>
      </c>
      <c r="C75" s="955"/>
      <c r="D75" s="955"/>
      <c r="E75" s="955"/>
      <c r="F75" s="1636">
        <f>Summary!F$6</f>
        <v>0</v>
      </c>
      <c r="G75" s="1636">
        <f>Summary!G$6</f>
        <v>1</v>
      </c>
      <c r="H75" s="1636">
        <f>Summary!H$6</f>
        <v>2</v>
      </c>
      <c r="I75" s="1636">
        <f>Summary!I$6</f>
        <v>3</v>
      </c>
      <c r="J75" s="1636">
        <f>Summary!J$6</f>
        <v>4</v>
      </c>
      <c r="K75" s="1636">
        <f>Summary!K$6</f>
        <v>5</v>
      </c>
      <c r="L75" s="1636">
        <f>Summary!L$6</f>
        <v>6</v>
      </c>
    </row>
    <row r="76" spans="1:12" ht="13.8">
      <c r="A76" s="346">
        <f>ROW()</f>
        <v>76</v>
      </c>
      <c r="B76" s="31" t="s">
        <v>188</v>
      </c>
      <c r="C76" s="414">
        <f>IFERROR(Summary!C44/Summary!C$35,0)</f>
        <v>0.45144724525088031</v>
      </c>
      <c r="D76" s="414"/>
      <c r="E76" s="414"/>
      <c r="F76" s="658">
        <f>IFERROR(Summary!F44/Summary!F$35,0)</f>
        <v>0</v>
      </c>
      <c r="G76" s="658">
        <f>IFERROR(Summary!G44/Summary!G$35,0)</f>
        <v>0.49407106228582265</v>
      </c>
      <c r="H76" s="658">
        <f>IFERROR(Summary!H44/Summary!H$35,0)</f>
        <v>0.46248799796325407</v>
      </c>
      <c r="I76" s="658">
        <f>IFERROR(Summary!I44/Summary!I$35,0)</f>
        <v>0.45327787696936211</v>
      </c>
      <c r="J76" s="658">
        <f>IFERROR(Summary!J44/Summary!J$35,0)</f>
        <v>0.44612794654116955</v>
      </c>
      <c r="K76" s="658">
        <f>IFERROR(Summary!K44/Summary!K$35,0)</f>
        <v>0.43704283562283736</v>
      </c>
      <c r="L76" s="658">
        <f>IFERROR(Summary!L44/Summary!L$35,0)</f>
        <v>0.42909001571430255</v>
      </c>
    </row>
    <row r="77" spans="1:12" ht="13.8">
      <c r="A77" s="346">
        <f>ROW()</f>
        <v>77</v>
      </c>
      <c r="B77" s="31" t="s">
        <v>122</v>
      </c>
      <c r="C77" s="414">
        <f>IFERROR(Summary!C45/Summary!C$35,0)</f>
        <v>7.4298406546894152E-2</v>
      </c>
      <c r="D77" s="414"/>
      <c r="E77" s="414"/>
      <c r="F77" s="658">
        <f>IFERROR(Summary!F45/Summary!F$35,0)</f>
        <v>0</v>
      </c>
      <c r="G77" s="658">
        <f>IFERROR(Summary!G45/Summary!G$35,0)</f>
        <v>7.9287052394886842E-2</v>
      </c>
      <c r="H77" s="658">
        <f>IFERROR(Summary!H45/Summary!H$35,0)</f>
        <v>7.2785039224499345E-2</v>
      </c>
      <c r="I77" s="658">
        <f>IFERROR(Summary!I45/Summary!I$35,0)</f>
        <v>7.0048240033033241E-2</v>
      </c>
      <c r="J77" s="658">
        <f>IFERROR(Summary!J45/Summary!J$35,0)</f>
        <v>6.739298746911529E-2</v>
      </c>
      <c r="K77" s="658">
        <f>IFERROR(Summary!K45/Summary!K$35,0)</f>
        <v>6.4843520408018607E-2</v>
      </c>
      <c r="L77" s="658">
        <f>IFERROR(Summary!L45/Summary!L$35,0)</f>
        <v>6.2396675935556672E-2</v>
      </c>
    </row>
    <row r="78" spans="1:12" ht="13.8">
      <c r="A78" s="346">
        <f>ROW()</f>
        <v>78</v>
      </c>
      <c r="B78" s="31" t="s">
        <v>189</v>
      </c>
      <c r="C78" s="414">
        <f>IFERROR(Summary!C46/Summary!C$35,0)</f>
        <v>0.43294760743691907</v>
      </c>
      <c r="D78" s="414"/>
      <c r="E78" s="414"/>
      <c r="F78" s="658">
        <f>IFERROR(Summary!F46/Summary!F$35,0)</f>
        <v>0</v>
      </c>
      <c r="G78" s="658">
        <f>IFERROR(Summary!G46/Summary!G$35,0)</f>
        <v>0.4497797362118493</v>
      </c>
      <c r="H78" s="658">
        <f>IFERROR(Summary!H46/Summary!H$35,0)</f>
        <v>0.43169471082265665</v>
      </c>
      <c r="I78" s="658">
        <f>IFERROR(Summary!I46/Summary!I$35,0)</f>
        <v>0.43032854711213747</v>
      </c>
      <c r="J78" s="658">
        <f>IFERROR(Summary!J46/Summary!J$35,0)</f>
        <v>0.43100733987258694</v>
      </c>
      <c r="K78" s="658">
        <f>IFERROR(Summary!K46/Summary!K$35,0)</f>
        <v>0.42951339892581775</v>
      </c>
      <c r="L78" s="658">
        <f>IFERROR(Summary!L46/Summary!L$35,0)</f>
        <v>0.42910119153001358</v>
      </c>
    </row>
    <row r="79" spans="1:12" ht="13.8">
      <c r="A79" s="346">
        <f>ROW()</f>
        <v>79</v>
      </c>
      <c r="B79" s="31" t="s">
        <v>276</v>
      </c>
      <c r="C79" s="414">
        <f>IFERROR(Summary!C47/Summary!C$35,0)</f>
        <v>0</v>
      </c>
      <c r="D79" s="414"/>
      <c r="E79" s="414"/>
      <c r="F79" s="658">
        <f>IFERROR(Summary!F47/Summary!F$35,0)</f>
        <v>0</v>
      </c>
      <c r="G79" s="658">
        <f>IFERROR(Summary!G47/Summary!G$35,0)</f>
        <v>0</v>
      </c>
      <c r="H79" s="658">
        <f>IFERROR(Summary!H47/Summary!H$35,0)</f>
        <v>0</v>
      </c>
      <c r="I79" s="658">
        <f>IFERROR(Summary!I47/Summary!I$35,0)</f>
        <v>0</v>
      </c>
      <c r="J79" s="658">
        <f>IFERROR(Summary!J47/Summary!J$35,0)</f>
        <v>0</v>
      </c>
      <c r="K79" s="658">
        <f>IFERROR(Summary!K47/Summary!K$35,0)</f>
        <v>0</v>
      </c>
      <c r="L79" s="658">
        <f>IFERROR(Summary!L47/Summary!L$35,0)</f>
        <v>0</v>
      </c>
    </row>
    <row r="80" spans="1:12" ht="13.8">
      <c r="A80" s="346">
        <f>ROW()</f>
        <v>80</v>
      </c>
      <c r="B80" s="33" t="s">
        <v>130</v>
      </c>
      <c r="C80" s="414">
        <f>IFERROR(Summary!C48/Summary!C$35,0)</f>
        <v>4.8035397170820724E-3</v>
      </c>
      <c r="D80" s="413"/>
      <c r="E80" s="413"/>
      <c r="F80" s="640">
        <f>IFERROR(Summary!F48/Summary!F$35,0)</f>
        <v>0</v>
      </c>
      <c r="G80" s="640">
        <f>IFERROR(Summary!G48/Summary!G$35,0)</f>
        <v>5.8128854883485277E-3</v>
      </c>
      <c r="H80" s="640">
        <f>IFERROR(Summary!H48/Summary!H$35,0)</f>
        <v>5.2330330866378651E-3</v>
      </c>
      <c r="I80" s="640">
        <f>IFERROR(Summary!I48/Summary!I$35,0)</f>
        <v>4.9384410985702648E-3</v>
      </c>
      <c r="J80" s="640">
        <f>IFERROR(Summary!J48/Summary!J$35,0)</f>
        <v>4.6585209929095846E-3</v>
      </c>
      <c r="K80" s="640">
        <f>IFERROR(Summary!K48/Summary!K$35,0)</f>
        <v>4.3944044970205629E-3</v>
      </c>
      <c r="L80" s="640">
        <f>IFERROR(Summary!L48/Summary!L$35,0)</f>
        <v>4.1452849937293245E-3</v>
      </c>
    </row>
    <row r="81" spans="1:12" ht="13.8">
      <c r="A81" s="346">
        <f>ROW()</f>
        <v>81</v>
      </c>
      <c r="B81" s="33" t="s">
        <v>191</v>
      </c>
      <c r="C81" s="414">
        <f>IFERROR(Summary!C49/Summary!C$35,0)</f>
        <v>5.4342458630289359E-2</v>
      </c>
      <c r="D81" s="413"/>
      <c r="E81" s="413"/>
      <c r="F81" s="640">
        <f>IFERROR(Summary!F49/Summary!F$35,0)</f>
        <v>0</v>
      </c>
      <c r="G81" s="640">
        <f>IFERROR(Summary!G49/Summary!G$35,0)</f>
        <v>6.0764000408453131E-2</v>
      </c>
      <c r="H81" s="640">
        <f>IFERROR(Summary!H49/Summary!H$35,0)</f>
        <v>5.6103940220965813E-2</v>
      </c>
      <c r="I81" s="640">
        <f>IFERROR(Summary!I49/Summary!I$35,0)</f>
        <v>5.4426585028032798E-2</v>
      </c>
      <c r="J81" s="640">
        <f>IFERROR(Summary!J49/Summary!J$35,0)</f>
        <v>5.3721411801564027E-2</v>
      </c>
      <c r="K81" s="640">
        <f>IFERROR(Summary!K49/Summary!K$35,0)</f>
        <v>5.2103461872005492E-2</v>
      </c>
      <c r="L81" s="640">
        <f>IFERROR(Summary!L49/Summary!L$35,0)</f>
        <v>5.0961869831874687E-2</v>
      </c>
    </row>
    <row r="82" spans="1:12" ht="13.8">
      <c r="A82" s="346">
        <f>ROW()</f>
        <v>82</v>
      </c>
      <c r="B82" s="33" t="s">
        <v>174</v>
      </c>
      <c r="C82" s="414">
        <f>IFERROR(Summary!C50/Summary!C$35,0)</f>
        <v>0</v>
      </c>
      <c r="D82" s="413"/>
      <c r="E82" s="413"/>
      <c r="F82" s="640">
        <f>IFERROR(Summary!F50/Summary!F$35,0)</f>
        <v>0</v>
      </c>
      <c r="G82" s="640">
        <f>IFERROR(Summary!G50/Summary!G$35,0)</f>
        <v>0</v>
      </c>
      <c r="H82" s="640">
        <f>IFERROR(Summary!H50/Summary!H$35,0)</f>
        <v>0</v>
      </c>
      <c r="I82" s="640">
        <f>IFERROR(Summary!I50/Summary!I$35,0)</f>
        <v>0</v>
      </c>
      <c r="J82" s="640">
        <f>IFERROR(Summary!J50/Summary!J$35,0)</f>
        <v>0</v>
      </c>
      <c r="K82" s="640">
        <f>IFERROR(Summary!K50/Summary!K$35,0)</f>
        <v>0</v>
      </c>
      <c r="L82" s="640">
        <f>IFERROR(Summary!L50/Summary!L$35,0)</f>
        <v>0</v>
      </c>
    </row>
    <row r="83" spans="1:12" ht="13.8">
      <c r="A83" s="346">
        <f>ROW()</f>
        <v>83</v>
      </c>
      <c r="B83" s="33" t="s">
        <v>128</v>
      </c>
      <c r="C83" s="414">
        <f>IFERROR(Summary!C51/Summary!C$35,0)</f>
        <v>7.4313077790816896E-3</v>
      </c>
      <c r="D83" s="413"/>
      <c r="E83" s="413"/>
      <c r="F83" s="640">
        <f>IFERROR(Summary!F51/Summary!F$35,0)</f>
        <v>0</v>
      </c>
      <c r="G83" s="640">
        <f>IFERROR(Summary!G51/Summary!G$35,0)</f>
        <v>6.4341712284489514E-3</v>
      </c>
      <c r="H83" s="640">
        <f>IFERROR(Summary!H51/Summary!H$35,0)</f>
        <v>6.5627254679051505E-3</v>
      </c>
      <c r="I83" s="640">
        <f>IFERROR(Summary!I51/Summary!I$35,0)</f>
        <v>7.0169849440891606E-3</v>
      </c>
      <c r="J83" s="640">
        <f>IFERROR(Summary!J51/Summary!J$35,0)</f>
        <v>7.4996092009005201E-3</v>
      </c>
      <c r="K83" s="640">
        <f>IFERROR(Summary!K51/Summary!K$35,0)</f>
        <v>8.0153135589910128E-3</v>
      </c>
      <c r="L83" s="640">
        <f>IFERROR(Summary!L51/Summary!L$35,0)</f>
        <v>8.5665270438322425E-3</v>
      </c>
    </row>
    <row r="84" spans="1:12" ht="13.8">
      <c r="A84" s="346">
        <f>ROW()</f>
        <v>84</v>
      </c>
      <c r="B84" s="33" t="s">
        <v>277</v>
      </c>
      <c r="C84" s="414">
        <f>IFERROR(Summary!#REF!/Summary!C$35,0)</f>
        <v>0</v>
      </c>
      <c r="D84" s="413"/>
      <c r="E84" s="413"/>
      <c r="F84" s="640">
        <f>IFERROR(Summary!#REF!/Summary!F$35,0)</f>
        <v>0</v>
      </c>
      <c r="G84" s="640">
        <f>IFERROR(Summary!#REF!/Summary!G$35,0)</f>
        <v>0</v>
      </c>
      <c r="H84" s="640">
        <f>IFERROR(Summary!#REF!/Summary!H$35,0)</f>
        <v>0</v>
      </c>
      <c r="I84" s="640">
        <f>IFERROR(Summary!#REF!/Summary!I$35,0)</f>
        <v>0</v>
      </c>
      <c r="J84" s="640">
        <f>IFERROR(Summary!#REF!/Summary!J$35,0)</f>
        <v>0</v>
      </c>
      <c r="K84" s="640">
        <f>IFERROR(Summary!#REF!/Summary!K$35,0)</f>
        <v>0</v>
      </c>
      <c r="L84" s="640">
        <f>IFERROR(Summary!#REF!/Summary!L$35,0)</f>
        <v>0</v>
      </c>
    </row>
    <row r="85" spans="1:12" ht="14.4" thickBot="1">
      <c r="A85" s="346">
        <f>ROW()</f>
        <v>85</v>
      </c>
      <c r="B85" s="1369" t="s">
        <v>192</v>
      </c>
      <c r="C85" s="677">
        <f>IFERROR(Summary!C52/Summary!C$35,0)</f>
        <v>1.0252705653611467</v>
      </c>
      <c r="D85" s="677"/>
      <c r="E85" s="677"/>
      <c r="F85" s="1198">
        <f>IFERROR(Summary!F52/Summary!F$35,0)</f>
        <v>0</v>
      </c>
      <c r="G85" s="1198">
        <f>IFERROR(Summary!G52/Summary!G$35,0)</f>
        <v>1.0961489080178095</v>
      </c>
      <c r="H85" s="1198">
        <f>IFERROR(Summary!H52/Summary!H$35,0)</f>
        <v>1.0348674467859191</v>
      </c>
      <c r="I85" s="1198">
        <f>IFERROR(Summary!I52/Summary!I$35,0)</f>
        <v>1.020036675185225</v>
      </c>
      <c r="J85" s="1198">
        <f>IFERROR(Summary!J52/Summary!J$35,0)</f>
        <v>1.0104078158782459</v>
      </c>
      <c r="K85" s="1198">
        <f>IFERROR(Summary!K52/Summary!K$35,0)</f>
        <v>0.9959129348846909</v>
      </c>
      <c r="L85" s="1198">
        <f>IFERROR(Summary!L52/Summary!L$35,0)</f>
        <v>0.98426156504930917</v>
      </c>
    </row>
    <row r="86" spans="1:12" ht="14.4" thickBot="1">
      <c r="A86" s="346">
        <f>ROW()</f>
        <v>86</v>
      </c>
      <c r="B86" s="416" t="s">
        <v>278</v>
      </c>
      <c r="C86" s="417">
        <f>IFERROR(Summary!C55/Summary!C$35,0)</f>
        <v>-2.5270565361146781E-2</v>
      </c>
      <c r="D86" s="417"/>
      <c r="E86" s="417"/>
      <c r="F86" s="641">
        <f>IFERROR(Summary!F55/Summary!F$35,0)</f>
        <v>0</v>
      </c>
      <c r="G86" s="641">
        <f>IFERROR(Summary!G55/Summary!G$35,0)</f>
        <v>-9.6148908017809467E-2</v>
      </c>
      <c r="H86" s="641">
        <f>IFERROR(Summary!H55/Summary!H$35,0)</f>
        <v>-3.4867446785919055E-2</v>
      </c>
      <c r="I86" s="641">
        <f>IFERROR(Summary!I55/Summary!I$35,0)</f>
        <v>-2.0036675185224943E-2</v>
      </c>
      <c r="J86" s="641">
        <f>IFERROR(Summary!J55/Summary!J$35,0)</f>
        <v>-1.0407815878245866E-2</v>
      </c>
      <c r="K86" s="641">
        <f>IFERROR(Summary!K55/Summary!K$35,0)</f>
        <v>4.0870651153090574E-3</v>
      </c>
      <c r="L86" s="641">
        <f>IFERROR(Summary!L55/Summary!L$35,0)</f>
        <v>1.5738434950690786E-2</v>
      </c>
    </row>
    <row r="87" spans="1:12" ht="14.4">
      <c r="A87" s="346">
        <f>ROW()</f>
        <v>87</v>
      </c>
      <c r="B87" s="183" t="s">
        <v>196</v>
      </c>
      <c r="C87" s="704"/>
      <c r="D87" s="704"/>
      <c r="E87" s="704"/>
      <c r="F87" s="134">
        <f>+Summary!F56</f>
        <v>0</v>
      </c>
      <c r="G87" s="134">
        <f>+Summary!G56</f>
        <v>-940.76708229105088</v>
      </c>
      <c r="H87" s="134">
        <f>+Summary!H56</f>
        <v>-358.08360366679295</v>
      </c>
      <c r="I87" s="134">
        <f>+Summary!I56</f>
        <v>-205.78222704093301</v>
      </c>
      <c r="J87" s="134">
        <f>+Summary!J56</f>
        <v>-106.90001393206556</v>
      </c>
      <c r="K87" s="134">
        <f>+Summary!K56</f>
        <v>41.982846332816884</v>
      </c>
      <c r="L87" s="134">
        <f>+Summary!L56</f>
        <v>161.68198658862627</v>
      </c>
    </row>
    <row r="88" spans="1:12" ht="13.8">
      <c r="A88" s="346">
        <f>ROW()</f>
        <v>88</v>
      </c>
      <c r="B88" s="33"/>
      <c r="C88" s="55"/>
      <c r="D88" s="55"/>
      <c r="E88" s="55"/>
      <c r="F88" s="130"/>
      <c r="G88" s="130"/>
      <c r="H88" s="130"/>
      <c r="I88" s="130"/>
      <c r="J88" s="130"/>
      <c r="K88" s="130"/>
      <c r="L88" s="130"/>
    </row>
    <row r="89" spans="1:12" ht="13.8">
      <c r="A89" s="346">
        <f>ROW()</f>
        <v>89</v>
      </c>
      <c r="B89" s="33" t="s">
        <v>279</v>
      </c>
      <c r="C89" s="107">
        <f>+C17</f>
        <v>0</v>
      </c>
      <c r="D89" s="107"/>
      <c r="E89" s="107"/>
      <c r="F89" s="130">
        <f t="shared" ref="F89:L89" si="17">+F17</f>
        <v>-616575</v>
      </c>
      <c r="G89" s="130">
        <f t="shared" si="17"/>
        <v>-2117098.4962542262</v>
      </c>
      <c r="H89" s="130">
        <f t="shared" si="17"/>
        <v>-2721543.6192437727</v>
      </c>
      <c r="I89" s="130">
        <f t="shared" si="17"/>
        <v>-3089609.8648937102</v>
      </c>
      <c r="J89" s="130">
        <f t="shared" si="17"/>
        <v>-3292285.5993091967</v>
      </c>
      <c r="K89" s="130">
        <f t="shared" si="17"/>
        <v>-3207912.9399015997</v>
      </c>
      <c r="L89" s="130">
        <f t="shared" si="17"/>
        <v>-2863485.8035573456</v>
      </c>
    </row>
    <row r="90" spans="1:12" ht="13.8">
      <c r="A90" s="346">
        <f>ROW()</f>
        <v>90</v>
      </c>
      <c r="B90" s="33"/>
      <c r="C90" s="33"/>
      <c r="D90" s="33"/>
      <c r="E90" s="33"/>
      <c r="F90" s="503"/>
      <c r="G90" s="503"/>
      <c r="H90" s="503"/>
      <c r="I90" s="503"/>
      <c r="J90" s="503"/>
      <c r="K90" s="503"/>
      <c r="L90" s="503"/>
    </row>
    <row r="91" spans="1:12" ht="17.399999999999999">
      <c r="A91" s="346">
        <f>ROW()</f>
        <v>91</v>
      </c>
      <c r="B91" s="950" t="s">
        <v>280</v>
      </c>
      <c r="C91" s="951"/>
      <c r="D91" s="951"/>
      <c r="E91" s="951"/>
      <c r="F91" s="952">
        <f>Summary!F6</f>
        <v>0</v>
      </c>
      <c r="G91" s="956">
        <f>Summary!G6</f>
        <v>1</v>
      </c>
      <c r="H91" s="956">
        <f>Summary!H6</f>
        <v>2</v>
      </c>
      <c r="I91" s="956">
        <f>Summary!I6</f>
        <v>3</v>
      </c>
      <c r="J91" s="956">
        <f>Summary!J6</f>
        <v>4</v>
      </c>
      <c r="K91" s="956">
        <f>Summary!K6</f>
        <v>5</v>
      </c>
      <c r="L91" s="956">
        <f>Summary!L6</f>
        <v>6</v>
      </c>
    </row>
    <row r="92" spans="1:12" ht="13.8">
      <c r="A92" s="346">
        <f>ROW()</f>
        <v>92</v>
      </c>
      <c r="B92" s="957" t="s">
        <v>281</v>
      </c>
      <c r="C92" s="958" t="s">
        <v>282</v>
      </c>
      <c r="D92" s="959"/>
      <c r="E92" s="959"/>
      <c r="F92" s="960"/>
      <c r="G92" s="960"/>
      <c r="H92" s="960"/>
      <c r="I92" s="960"/>
      <c r="J92" s="960"/>
      <c r="K92" s="960"/>
      <c r="L92" s="960"/>
    </row>
    <row r="93" spans="1:12" ht="13.8">
      <c r="A93" s="346">
        <f>ROW()</f>
        <v>93</v>
      </c>
      <c r="B93" s="33" t="str">
        <f>+B53</f>
        <v>State &amp; Local Revenue w/o St SpEd</v>
      </c>
      <c r="C93" s="59">
        <f t="shared" ref="C93:C110" si="18">AVERAGE(G93:L93)</f>
        <v>9655.3610296407423</v>
      </c>
      <c r="D93" s="412"/>
      <c r="E93" s="413"/>
      <c r="F93" s="639"/>
      <c r="G93" s="639">
        <f>IFERROR(Summary!G15/G$20,0)</f>
        <v>9585.0455924764901</v>
      </c>
      <c r="H93" s="639">
        <f>IFERROR(Summary!H15/H$20,0)</f>
        <v>9669.6185236991241</v>
      </c>
      <c r="I93" s="639">
        <f>IFERROR(Summary!I15/I$20,0)</f>
        <v>9669.4201204537458</v>
      </c>
      <c r="J93" s="639">
        <f>IFERROR(Summary!J15/J$20,0)</f>
        <v>9669.3606470716986</v>
      </c>
      <c r="K93" s="639">
        <f>IFERROR(Summary!K15/K$20,0)</f>
        <v>9669.3606470716986</v>
      </c>
      <c r="L93" s="639">
        <f>IFERROR(Summary!L15/L$20,0)</f>
        <v>9669.3606470716986</v>
      </c>
    </row>
    <row r="94" spans="1:12" ht="13.8">
      <c r="A94" s="346">
        <f>ROW()</f>
        <v>94</v>
      </c>
      <c r="B94" s="33" t="str">
        <f>+B54</f>
        <v>CS Sponsorship Fee (Infl' Adj'd)</v>
      </c>
      <c r="C94" s="54">
        <f t="shared" si="18"/>
        <v>-117.675</v>
      </c>
      <c r="D94" s="54"/>
      <c r="E94" s="413"/>
      <c r="F94" s="100"/>
      <c r="G94" s="100">
        <f>IFERROR(Summary!G16/G$20,0)</f>
        <v>-117.675</v>
      </c>
      <c r="H94" s="100">
        <f>IFERROR(Summary!H16/H$20,0)</f>
        <v>-117.67500000000001</v>
      </c>
      <c r="I94" s="100">
        <f>IFERROR(Summary!I16/I$20,0)</f>
        <v>-117.675</v>
      </c>
      <c r="J94" s="100">
        <f>IFERROR(Summary!J16/J$20,0)</f>
        <v>-117.675</v>
      </c>
      <c r="K94" s="100">
        <f>IFERROR(Summary!K16/K$20,0)</f>
        <v>-117.67500000000001</v>
      </c>
      <c r="L94" s="100">
        <f>IFERROR(Summary!L16/L$20,0)</f>
        <v>-117.675</v>
      </c>
    </row>
    <row r="95" spans="1:12" ht="13.8">
      <c r="A95" s="346">
        <f>ROW()</f>
        <v>95</v>
      </c>
      <c r="B95" s="33" t="s">
        <v>168</v>
      </c>
      <c r="C95" s="54">
        <f t="shared" si="18"/>
        <v>332.63876468635732</v>
      </c>
      <c r="D95" s="54"/>
      <c r="E95" s="413"/>
      <c r="F95" s="100"/>
      <c r="G95" s="100">
        <f>IFERROR(Summary!G24/G$20,0)</f>
        <v>0</v>
      </c>
      <c r="H95" s="100">
        <f>IFERROR(Summary!H24/H$20,0)</f>
        <v>399.64765995260666</v>
      </c>
      <c r="I95" s="100">
        <f>IFERROR(Summary!I24/I$20,0)</f>
        <v>399.15662627874508</v>
      </c>
      <c r="J95" s="100">
        <f>IFERROR(Summary!J24/J$20,0)</f>
        <v>399.00943396226415</v>
      </c>
      <c r="K95" s="100">
        <f>IFERROR(Summary!K24/K$20,0)</f>
        <v>399.0094339622641</v>
      </c>
      <c r="L95" s="100">
        <f>IFERROR(Summary!L24/L$20,0)</f>
        <v>399.00943396226415</v>
      </c>
    </row>
    <row r="96" spans="1:12" ht="13.8">
      <c r="A96" s="346">
        <f>ROW()</f>
        <v>96</v>
      </c>
      <c r="B96" s="33" t="s">
        <v>161</v>
      </c>
      <c r="C96" s="54">
        <f t="shared" si="18"/>
        <v>0</v>
      </c>
      <c r="D96" s="54"/>
      <c r="E96" s="413"/>
      <c r="F96" s="100"/>
      <c r="G96" s="100">
        <f>IFERROR(Summary!G17/G$20,0)</f>
        <v>0</v>
      </c>
      <c r="H96" s="100">
        <f>IFERROR(Summary!H17/H$20,0)</f>
        <v>0</v>
      </c>
      <c r="I96" s="100">
        <f>IFERROR(Summary!I17/I$20,0)</f>
        <v>0</v>
      </c>
      <c r="J96" s="100">
        <f>IFERROR(Summary!J17/J$20,0)</f>
        <v>0</v>
      </c>
      <c r="K96" s="100">
        <f>IFERROR(Summary!K17/K$20,0)</f>
        <v>0</v>
      </c>
      <c r="L96" s="100">
        <f>IFERROR(Summary!L17/L$20,0)</f>
        <v>0</v>
      </c>
    </row>
    <row r="97" spans="1:12" ht="13.8">
      <c r="A97" s="346">
        <f>ROW()</f>
        <v>97</v>
      </c>
      <c r="B97" s="33" t="s">
        <v>162</v>
      </c>
      <c r="C97" s="54">
        <f t="shared" si="18"/>
        <v>3.5</v>
      </c>
      <c r="D97" s="54"/>
      <c r="E97" s="413"/>
      <c r="F97" s="100"/>
      <c r="G97" s="100">
        <f>IFERROR(Summary!G18/G$20,0)</f>
        <v>3.5</v>
      </c>
      <c r="H97" s="100">
        <f>IFERROR(Summary!H18/H$20,0)</f>
        <v>3.5</v>
      </c>
      <c r="I97" s="100">
        <f>IFERROR(Summary!I18/I$20,0)</f>
        <v>3.5</v>
      </c>
      <c r="J97" s="100">
        <f>IFERROR(Summary!J18/J$20,0)</f>
        <v>3.5</v>
      </c>
      <c r="K97" s="100">
        <f>IFERROR(Summary!K18/K$20,0)</f>
        <v>3.5</v>
      </c>
      <c r="L97" s="100">
        <f>IFERROR(Summary!L18/L$20,0)</f>
        <v>3.5</v>
      </c>
    </row>
    <row r="98" spans="1:12" ht="13.8">
      <c r="A98" s="346">
        <f>ROW()</f>
        <v>98</v>
      </c>
      <c r="B98" s="33" t="s">
        <v>163</v>
      </c>
      <c r="C98" s="54">
        <f t="shared" si="18"/>
        <v>0</v>
      </c>
      <c r="D98" s="54"/>
      <c r="E98" s="413"/>
      <c r="F98" s="100"/>
      <c r="G98" s="100">
        <f>IFERROR(Summary!G19/G$20,0)</f>
        <v>0</v>
      </c>
      <c r="H98" s="100">
        <f>IFERROR(Summary!H19/H$20,0)</f>
        <v>0</v>
      </c>
      <c r="I98" s="100">
        <f>IFERROR(Summary!I19/I$20,0)</f>
        <v>0</v>
      </c>
      <c r="J98" s="100">
        <f>IFERROR(Summary!J19/J$20,0)</f>
        <v>0</v>
      </c>
      <c r="K98" s="100">
        <f>IFERROR(Summary!K19/K$20,0)</f>
        <v>0</v>
      </c>
      <c r="L98" s="100">
        <f>IFERROR(Summary!L19/L$20,0)</f>
        <v>0</v>
      </c>
    </row>
    <row r="99" spans="1:12" ht="13.8">
      <c r="A99" s="346">
        <f>ROW()</f>
        <v>99</v>
      </c>
      <c r="B99" s="33" t="s">
        <v>165</v>
      </c>
      <c r="C99" s="54">
        <f t="shared" si="18"/>
        <v>0</v>
      </c>
      <c r="D99" s="54"/>
      <c r="E99" s="413"/>
      <c r="F99" s="100"/>
      <c r="G99" s="100">
        <f>IFERROR(Summary!G21/G$20,0)</f>
        <v>0</v>
      </c>
      <c r="H99" s="100">
        <f>IFERROR(Summary!H21/H$20,0)</f>
        <v>0</v>
      </c>
      <c r="I99" s="100">
        <f>IFERROR(Summary!I21/I$20,0)</f>
        <v>0</v>
      </c>
      <c r="J99" s="100">
        <f>IFERROR(Summary!J21/J$20,0)</f>
        <v>0</v>
      </c>
      <c r="K99" s="100">
        <f>IFERROR(Summary!K21/K$20,0)</f>
        <v>0</v>
      </c>
      <c r="L99" s="100">
        <f>IFERROR(Summary!L21/L$20,0)</f>
        <v>0</v>
      </c>
    </row>
    <row r="100" spans="1:12" ht="13.8">
      <c r="A100" s="346">
        <f>ROW()</f>
        <v>100</v>
      </c>
      <c r="B100" s="33" t="s">
        <v>166</v>
      </c>
      <c r="C100" s="54">
        <f t="shared" si="18"/>
        <v>0</v>
      </c>
      <c r="D100" s="54"/>
      <c r="E100" s="413"/>
      <c r="F100" s="100"/>
      <c r="G100" s="100">
        <f>IFERROR(Summary!G22/G$20,0)</f>
        <v>0</v>
      </c>
      <c r="H100" s="100">
        <f>IFERROR(Summary!H22/H$20,0)</f>
        <v>0</v>
      </c>
      <c r="I100" s="100">
        <f>IFERROR(Summary!I22/I$20,0)</f>
        <v>0</v>
      </c>
      <c r="J100" s="100">
        <f>IFERROR(Summary!J22/J$20,0)</f>
        <v>0</v>
      </c>
      <c r="K100" s="100">
        <f>IFERROR(Summary!K22/K$20,0)</f>
        <v>0</v>
      </c>
      <c r="L100" s="100">
        <f>IFERROR(Summary!L22/L$20,0)</f>
        <v>0</v>
      </c>
    </row>
    <row r="101" spans="1:12" ht="13.8">
      <c r="A101" s="346">
        <f>ROW()</f>
        <v>101</v>
      </c>
      <c r="B101" s="33" t="s">
        <v>167</v>
      </c>
      <c r="C101" s="54">
        <f t="shared" si="18"/>
        <v>110.55</v>
      </c>
      <c r="D101" s="54"/>
      <c r="E101" s="413"/>
      <c r="F101" s="100"/>
      <c r="G101" s="100">
        <f>IFERROR(Summary!G23/G$20,0)</f>
        <v>110.55</v>
      </c>
      <c r="H101" s="100">
        <f>IFERROR(Summary!H23/H$20,0)</f>
        <v>110.55</v>
      </c>
      <c r="I101" s="100">
        <f>IFERROR(Summary!I23/I$20,0)</f>
        <v>110.55000000000001</v>
      </c>
      <c r="J101" s="100">
        <f>IFERROR(Summary!J23/J$20,0)</f>
        <v>110.55</v>
      </c>
      <c r="K101" s="100">
        <f>IFERROR(Summary!K23/K$20,0)</f>
        <v>110.55000000000001</v>
      </c>
      <c r="L101" s="100">
        <f>IFERROR(Summary!L23/L$20,0)</f>
        <v>110.55</v>
      </c>
    </row>
    <row r="102" spans="1:12" ht="13.8">
      <c r="A102" s="346">
        <f>ROW()</f>
        <v>102</v>
      </c>
      <c r="B102" s="33" t="s">
        <v>174</v>
      </c>
      <c r="C102" s="54">
        <f t="shared" si="18"/>
        <v>0</v>
      </c>
      <c r="D102" s="54"/>
      <c r="E102" s="413"/>
      <c r="F102" s="100"/>
      <c r="G102" s="100">
        <f>IFERROR(Summary!G30/G$20,0)</f>
        <v>0</v>
      </c>
      <c r="H102" s="100">
        <f>IFERROR(Summary!H30/H$20,0)</f>
        <v>0</v>
      </c>
      <c r="I102" s="100">
        <f>IFERROR(Summary!I30/I$20,0)</f>
        <v>0</v>
      </c>
      <c r="J102" s="100">
        <f>IFERROR(Summary!J30/J$20,0)</f>
        <v>0</v>
      </c>
      <c r="K102" s="100">
        <f>IFERROR(Summary!K30/K$20,0)</f>
        <v>0</v>
      </c>
      <c r="L102" s="100">
        <f>IFERROR(Summary!L30/L$20,0)</f>
        <v>0</v>
      </c>
    </row>
    <row r="103" spans="1:12" ht="13.8">
      <c r="A103" s="346">
        <f>ROW()</f>
        <v>103</v>
      </c>
      <c r="B103" s="33" t="s">
        <v>283</v>
      </c>
      <c r="C103" s="54">
        <f t="shared" si="18"/>
        <v>0</v>
      </c>
      <c r="D103" s="54"/>
      <c r="E103" s="413"/>
      <c r="F103" s="100"/>
      <c r="G103" s="100">
        <f>IFERROR(Summary!G25/G$20,0)</f>
        <v>0</v>
      </c>
      <c r="H103" s="100">
        <f>IFERROR(Summary!H25/H$20,0)</f>
        <v>0</v>
      </c>
      <c r="I103" s="100">
        <f>IFERROR(Summary!I25/I$20,0)</f>
        <v>0</v>
      </c>
      <c r="J103" s="100">
        <f>IFERROR(Summary!J25/J$20,0)</f>
        <v>0</v>
      </c>
      <c r="K103" s="100">
        <f>IFERROR(Summary!K25/K$20,0)</f>
        <v>0</v>
      </c>
      <c r="L103" s="100">
        <f>IFERROR(Summary!L25/L$20,0)</f>
        <v>0</v>
      </c>
    </row>
    <row r="104" spans="1:12" ht="13.8">
      <c r="A104" s="346">
        <f>ROW()</f>
        <v>104</v>
      </c>
      <c r="B104" s="33" t="s">
        <v>284</v>
      </c>
      <c r="C104" s="54">
        <f t="shared" si="18"/>
        <v>0</v>
      </c>
      <c r="D104" s="54"/>
      <c r="E104" s="413"/>
      <c r="F104" s="100"/>
      <c r="G104" s="100">
        <f>IFERROR(Summary!G27/G$20,0)</f>
        <v>0</v>
      </c>
      <c r="H104" s="100">
        <f>IFERROR(Summary!H27/H$20,0)</f>
        <v>0</v>
      </c>
      <c r="I104" s="100">
        <f>IFERROR(Summary!I27/I$20,0)</f>
        <v>0</v>
      </c>
      <c r="J104" s="100">
        <f>IFERROR(Summary!J27/J$20,0)</f>
        <v>0</v>
      </c>
      <c r="K104" s="100">
        <f>IFERROR(Summary!K27/K$20,0)</f>
        <v>0</v>
      </c>
      <c r="L104" s="100">
        <f>IFERROR(Summary!L27/L$20,0)</f>
        <v>0</v>
      </c>
    </row>
    <row r="105" spans="1:12" ht="13.8">
      <c r="A105" s="346">
        <f>ROW()</f>
        <v>105</v>
      </c>
      <c r="B105" s="33" t="s">
        <v>285</v>
      </c>
      <c r="C105" s="54">
        <f t="shared" si="18"/>
        <v>181.23382891846586</v>
      </c>
      <c r="D105" s="54"/>
      <c r="E105" s="413"/>
      <c r="F105" s="100"/>
      <c r="G105" s="100">
        <f>IFERROR(Summary!G28/G$20,0)</f>
        <v>174.84639498432603</v>
      </c>
      <c r="H105" s="100">
        <f>IFERROR(Summary!H28/H$20,0)</f>
        <v>177.55450236966826</v>
      </c>
      <c r="I105" s="100">
        <f>IFERROR(Summary!I28/I$20,0)</f>
        <v>180.16732914065332</v>
      </c>
      <c r="J105" s="100">
        <f>IFERROR(Summary!J28/J$20,0)</f>
        <v>182.6484237175975</v>
      </c>
      <c r="K105" s="100">
        <f>IFERROR(Summary!K28/K$20,0)</f>
        <v>184.98907897886556</v>
      </c>
      <c r="L105" s="100">
        <f>IFERROR(Summary!L28/L$20,0)</f>
        <v>187.19724431968447</v>
      </c>
    </row>
    <row r="106" spans="1:12" ht="13.8">
      <c r="A106" s="346">
        <f>ROW()</f>
        <v>106</v>
      </c>
      <c r="B106" s="33" t="s">
        <v>175</v>
      </c>
      <c r="C106" s="54">
        <f t="shared" si="18"/>
        <v>0</v>
      </c>
      <c r="D106" s="54"/>
      <c r="E106" s="413"/>
      <c r="F106" s="100"/>
      <c r="G106" s="100">
        <f>IFERROR(Summary!G31/G$20,0)</f>
        <v>0</v>
      </c>
      <c r="H106" s="100">
        <f>IFERROR(Summary!H31/H$20,0)</f>
        <v>0</v>
      </c>
      <c r="I106" s="100">
        <f>IFERROR(Summary!I31/I$20,0)</f>
        <v>0</v>
      </c>
      <c r="J106" s="100">
        <f>IFERROR(Summary!J31/J$20,0)</f>
        <v>0</v>
      </c>
      <c r="K106" s="100">
        <f>IFERROR(Summary!K31/K$20,0)</f>
        <v>0</v>
      </c>
      <c r="L106" s="100">
        <f>IFERROR(Summary!L31/L$20,0)</f>
        <v>0</v>
      </c>
    </row>
    <row r="107" spans="1:12" ht="13.8">
      <c r="A107" s="346">
        <f>ROW()</f>
        <v>107</v>
      </c>
      <c r="B107" s="33" t="s">
        <v>176</v>
      </c>
      <c r="C107" s="54">
        <f t="shared" si="18"/>
        <v>0</v>
      </c>
      <c r="D107" s="54"/>
      <c r="E107" s="413"/>
      <c r="F107" s="100"/>
      <c r="G107" s="100">
        <f>IFERROR(Summary!G32/G$20,0)</f>
        <v>0</v>
      </c>
      <c r="H107" s="100">
        <f>IFERROR(Summary!H32/H$20,0)</f>
        <v>0</v>
      </c>
      <c r="I107" s="100">
        <f>IFERROR(Summary!I32/I$20,0)</f>
        <v>0</v>
      </c>
      <c r="J107" s="100">
        <f>IFERROR(Summary!J32/J$20,0)</f>
        <v>0</v>
      </c>
      <c r="K107" s="100">
        <f>IFERROR(Summary!K32/K$20,0)</f>
        <v>0</v>
      </c>
      <c r="L107" s="100">
        <f>IFERROR(Summary!L32/L$20,0)</f>
        <v>0</v>
      </c>
    </row>
    <row r="108" spans="1:12" ht="13.8">
      <c r="A108" s="346">
        <f>ROW()</f>
        <v>108</v>
      </c>
      <c r="B108" s="33" t="s">
        <v>177</v>
      </c>
      <c r="C108" s="54">
        <f t="shared" si="18"/>
        <v>24.546909421798933</v>
      </c>
      <c r="D108" s="54"/>
      <c r="E108" s="413"/>
      <c r="F108" s="100"/>
      <c r="G108" s="100">
        <f>IFERROR(Summary!G33/G$20,0)</f>
        <v>28.213166144200628</v>
      </c>
      <c r="H108" s="100">
        <f>IFERROR(Summary!H33/H$20,0)</f>
        <v>26.658767772511847</v>
      </c>
      <c r="I108" s="100">
        <f>IFERROR(Summary!I33/I$20,0)</f>
        <v>25.159058528961733</v>
      </c>
      <c r="J108" s="100">
        <f>IFERROR(Summary!J33/J$20,0)</f>
        <v>23.734960876378992</v>
      </c>
      <c r="K108" s="100">
        <f>IFERROR(Summary!K33/K$20,0)</f>
        <v>22.391472524885838</v>
      </c>
      <c r="L108" s="100">
        <f>IFERROR(Summary!L33/L$20,0)</f>
        <v>21.124030683854564</v>
      </c>
    </row>
    <row r="109" spans="1:12" ht="13.8">
      <c r="A109" s="346">
        <f>ROW()</f>
        <v>109</v>
      </c>
      <c r="B109" s="33" t="s">
        <v>179</v>
      </c>
      <c r="C109" s="54">
        <f t="shared" si="18"/>
        <v>0</v>
      </c>
      <c r="D109" s="54"/>
      <c r="E109" s="413"/>
      <c r="F109" s="100"/>
      <c r="G109" s="100">
        <f>IFERROR(Summary!#REF!/G$20,0)</f>
        <v>0</v>
      </c>
      <c r="H109" s="100">
        <f>IFERROR(Summary!#REF!/H$20,0)</f>
        <v>0</v>
      </c>
      <c r="I109" s="100">
        <f>IFERROR(Summary!#REF!/I$20,0)</f>
        <v>0</v>
      </c>
      <c r="J109" s="100">
        <f>IFERROR(Summary!#REF!/J$20,0)</f>
        <v>0</v>
      </c>
      <c r="K109" s="100">
        <f>IFERROR(Summary!#REF!/K$20,0)</f>
        <v>0</v>
      </c>
      <c r="L109" s="100">
        <f>IFERROR(Summary!#REF!/L$20,0)</f>
        <v>0</v>
      </c>
    </row>
    <row r="110" spans="1:12" ht="13.8">
      <c r="A110" s="346">
        <f>ROW()</f>
        <v>110</v>
      </c>
      <c r="B110" s="31" t="s">
        <v>286</v>
      </c>
      <c r="C110" s="703">
        <f t="shared" si="18"/>
        <v>10190.155532667366</v>
      </c>
      <c r="D110" s="703"/>
      <c r="E110" s="703"/>
      <c r="F110" s="1189"/>
      <c r="G110" s="1189">
        <f t="shared" ref="G110:L110" si="19">SUM(G93:G109)</f>
        <v>9784.4801536050163</v>
      </c>
      <c r="H110" s="1189">
        <f t="shared" si="19"/>
        <v>10269.854453793911</v>
      </c>
      <c r="I110" s="1189">
        <f t="shared" si="19"/>
        <v>10270.278134402106</v>
      </c>
      <c r="J110" s="1189">
        <f t="shared" si="19"/>
        <v>10271.12846562794</v>
      </c>
      <c r="K110" s="1189">
        <f t="shared" si="19"/>
        <v>10272.125632537714</v>
      </c>
      <c r="L110" s="1189">
        <f t="shared" si="19"/>
        <v>10273.066356037503</v>
      </c>
    </row>
    <row r="111" spans="1:12" ht="13.8">
      <c r="A111" s="346">
        <f>ROW()</f>
        <v>111</v>
      </c>
      <c r="B111" s="33"/>
      <c r="C111" s="58"/>
      <c r="D111" s="58"/>
      <c r="E111" s="58"/>
      <c r="F111" s="503"/>
      <c r="G111" s="503"/>
      <c r="H111" s="503"/>
      <c r="I111" s="503"/>
      <c r="J111" s="503"/>
      <c r="K111" s="503"/>
      <c r="L111" s="503"/>
    </row>
    <row r="112" spans="1:12" ht="15.6">
      <c r="A112" s="346">
        <f>ROW()</f>
        <v>112</v>
      </c>
      <c r="B112" s="954" t="s">
        <v>287</v>
      </c>
      <c r="C112" s="955"/>
      <c r="D112" s="955"/>
      <c r="E112" s="955"/>
      <c r="F112" s="1636">
        <f>Summary!F$6</f>
        <v>0</v>
      </c>
      <c r="G112" s="1636">
        <f>Summary!G$6</f>
        <v>1</v>
      </c>
      <c r="H112" s="1636">
        <f>Summary!H$6</f>
        <v>2</v>
      </c>
      <c r="I112" s="1636">
        <f>Summary!I$6</f>
        <v>3</v>
      </c>
      <c r="J112" s="1636">
        <f>Summary!J$6</f>
        <v>4</v>
      </c>
      <c r="K112" s="1636">
        <f>Summary!K$6</f>
        <v>5</v>
      </c>
      <c r="L112" s="1636">
        <f>Summary!L$6</f>
        <v>6</v>
      </c>
    </row>
    <row r="113" spans="1:12" ht="13.8">
      <c r="A113" s="346">
        <f>ROW()</f>
        <v>113</v>
      </c>
      <c r="B113" s="33" t="s">
        <v>188</v>
      </c>
      <c r="C113" s="247">
        <f t="shared" ref="C113:C122" si="20">AVERAGE(G113:L113)</f>
        <v>4619.811561209608</v>
      </c>
      <c r="D113" s="59"/>
      <c r="E113" s="413"/>
      <c r="F113" s="100"/>
      <c r="G113" s="100">
        <f>IFERROR(Summary!G44/G$20,0)</f>
        <v>4834.2285034061788</v>
      </c>
      <c r="H113" s="100">
        <f>IFERROR(Summary!H44/H$20,0)</f>
        <v>4749.6844257091534</v>
      </c>
      <c r="I113" s="100">
        <f>IFERROR(Summary!I44/I$20,0)</f>
        <v>4655.2898686466478</v>
      </c>
      <c r="J113" s="100">
        <f>IFERROR(Summary!J44/J$20,0)</f>
        <v>4582.2374510311465</v>
      </c>
      <c r="K113" s="100">
        <f>IFERROR(Summary!K44/K$20,0)</f>
        <v>4489.3589143183144</v>
      </c>
      <c r="L113" s="100">
        <f>IFERROR(Summary!L44/L$20,0)</f>
        <v>4408.0702041462046</v>
      </c>
    </row>
    <row r="114" spans="1:12" ht="13.8">
      <c r="A114" s="346">
        <f>ROW()</f>
        <v>114</v>
      </c>
      <c r="B114" s="33" t="s">
        <v>122</v>
      </c>
      <c r="C114" s="54">
        <f t="shared" si="20"/>
        <v>706.99621169276361</v>
      </c>
      <c r="D114" s="54"/>
      <c r="E114" s="413"/>
      <c r="F114" s="100"/>
      <c r="G114" s="100">
        <f>IFERROR(Summary!G45/G$20,0)</f>
        <v>775.78259059561128</v>
      </c>
      <c r="H114" s="100">
        <f>IFERROR(Summary!H45/H$20,0)</f>
        <v>747.49175924928909</v>
      </c>
      <c r="I114" s="100">
        <f>IFERROR(Summary!I45/I$20,0)</f>
        <v>719.41490796461164</v>
      </c>
      <c r="J114" s="100">
        <f>IFERROR(Summary!J45/J$20,0)</f>
        <v>692.20203197773708</v>
      </c>
      <c r="K114" s="100">
        <f>IFERROR(Summary!K45/K$20,0)</f>
        <v>666.0807880871904</v>
      </c>
      <c r="L114" s="100">
        <f>IFERROR(Summary!L45/L$20,0)</f>
        <v>641.00519228214216</v>
      </c>
    </row>
    <row r="115" spans="1:12" ht="13.8">
      <c r="A115" s="346">
        <f>ROW()</f>
        <v>115</v>
      </c>
      <c r="B115" s="33" t="s">
        <v>189</v>
      </c>
      <c r="C115" s="54">
        <f t="shared" si="20"/>
        <v>4416.8381642035783</v>
      </c>
      <c r="D115" s="54"/>
      <c r="E115" s="413"/>
      <c r="F115" s="100"/>
      <c r="G115" s="100">
        <f>IFERROR(Summary!G46/G$20,0)</f>
        <v>4400.8609024585394</v>
      </c>
      <c r="H115" s="100">
        <f>IFERROR(Summary!H46/H$20,0)</f>
        <v>4433.4418486213344</v>
      </c>
      <c r="I115" s="100">
        <f>IFERROR(Summary!I46/I$20,0)</f>
        <v>4419.5938680148129</v>
      </c>
      <c r="J115" s="100">
        <f>IFERROR(Summary!J46/J$20,0)</f>
        <v>4426.9317574599036</v>
      </c>
      <c r="K115" s="100">
        <f>IFERROR(Summary!K46/K$20,0)</f>
        <v>4412.0155946242894</v>
      </c>
      <c r="L115" s="100">
        <f>IFERROR(Summary!L46/L$20,0)</f>
        <v>4408.1850140425868</v>
      </c>
    </row>
    <row r="116" spans="1:12" ht="13.8">
      <c r="A116" s="346">
        <f>ROW()</f>
        <v>116</v>
      </c>
      <c r="B116" s="33" t="s">
        <v>276</v>
      </c>
      <c r="C116" s="54">
        <f t="shared" si="20"/>
        <v>0</v>
      </c>
      <c r="D116" s="54"/>
      <c r="E116" s="413"/>
      <c r="F116" s="100"/>
      <c r="G116" s="100">
        <f>IFERROR(Summary!G47/G$20,0)</f>
        <v>0</v>
      </c>
      <c r="H116" s="100">
        <f>IFERROR(Summary!H47/H$20,0)</f>
        <v>0</v>
      </c>
      <c r="I116" s="100">
        <f>IFERROR(Summary!I47/I$20,0)</f>
        <v>0</v>
      </c>
      <c r="J116" s="100">
        <f>IFERROR(Summary!J47/J$20,0)</f>
        <v>0</v>
      </c>
      <c r="K116" s="100">
        <f>IFERROR(Summary!K47/K$20,0)</f>
        <v>0</v>
      </c>
      <c r="L116" s="100">
        <f>IFERROR(Summary!L47/L$20,0)</f>
        <v>0</v>
      </c>
    </row>
    <row r="117" spans="1:12" ht="13.8">
      <c r="A117" s="346">
        <f>ROW()</f>
        <v>117</v>
      </c>
      <c r="B117" s="33" t="s">
        <v>130</v>
      </c>
      <c r="C117" s="54">
        <f t="shared" si="20"/>
        <v>49.485107489518867</v>
      </c>
      <c r="D117" s="54"/>
      <c r="E117" s="413"/>
      <c r="F117" s="100"/>
      <c r="G117" s="100">
        <f>IFERROR(Summary!G48/G$20,0)</f>
        <v>56.876062695924766</v>
      </c>
      <c r="H117" s="100">
        <f>IFERROR(Summary!H48/H$20,0)</f>
        <v>53.742488151658769</v>
      </c>
      <c r="I117" s="100">
        <f>IFERROR(Summary!I48/I$20,0)</f>
        <v>50.719163632678914</v>
      </c>
      <c r="J117" s="100">
        <f>IFERROR(Summary!J48/J$20,0)</f>
        <v>47.848267577998968</v>
      </c>
      <c r="K117" s="100">
        <f>IFERROR(Summary!K48/K$20,0)</f>
        <v>45.13987507358393</v>
      </c>
      <c r="L117" s="100">
        <f>IFERROR(Summary!L48/L$20,0)</f>
        <v>42.584787805267858</v>
      </c>
    </row>
    <row r="118" spans="1:12" ht="13.8">
      <c r="A118" s="346">
        <f>ROW()</f>
        <v>118</v>
      </c>
      <c r="B118" s="33" t="s">
        <v>191</v>
      </c>
      <c r="C118" s="54">
        <f t="shared" si="20"/>
        <v>556.70452019435845</v>
      </c>
      <c r="D118" s="54"/>
      <c r="E118" s="413"/>
      <c r="F118" s="100"/>
      <c r="G118" s="100">
        <f>IFERROR(Summary!G49/G$20,0)</f>
        <v>594.54415605015674</v>
      </c>
      <c r="H118" s="100">
        <f>IFERROR(Summary!H49/H$20,0)</f>
        <v>576.17930035367306</v>
      </c>
      <c r="I118" s="100">
        <f>IFERROR(Summary!I49/I$20,0)</f>
        <v>558.9761661435823</v>
      </c>
      <c r="J118" s="100">
        <f>IFERROR(Summary!J49/J$20,0)</f>
        <v>551.77952196876504</v>
      </c>
      <c r="K118" s="100">
        <f>IFERROR(Summary!K49/K$20,0)</f>
        <v>535.21330623937911</v>
      </c>
      <c r="L118" s="100">
        <f>IFERROR(Summary!L49/L$20,0)</f>
        <v>523.53467041059446</v>
      </c>
    </row>
    <row r="119" spans="1:12" ht="13.8">
      <c r="A119" s="346">
        <f>ROW()</f>
        <v>119</v>
      </c>
      <c r="B119" s="33" t="s">
        <v>174</v>
      </c>
      <c r="C119" s="54">
        <f t="shared" si="20"/>
        <v>0</v>
      </c>
      <c r="D119" s="54"/>
      <c r="E119" s="413"/>
      <c r="F119" s="100"/>
      <c r="G119" s="100">
        <f>IFERROR(Summary!G50/G$20,0)</f>
        <v>0</v>
      </c>
      <c r="H119" s="100">
        <f>IFERROR(Summary!H50/H$20,0)</f>
        <v>0</v>
      </c>
      <c r="I119" s="100">
        <f>IFERROR(Summary!I50/I$20,0)</f>
        <v>0</v>
      </c>
      <c r="J119" s="100">
        <f>IFERROR(Summary!J50/J$20,0)</f>
        <v>0</v>
      </c>
      <c r="K119" s="100">
        <f>IFERROR(Summary!K50/K$20,0)</f>
        <v>0</v>
      </c>
      <c r="L119" s="100">
        <f>IFERROR(Summary!L50/L$20,0)</f>
        <v>0</v>
      </c>
    </row>
    <row r="120" spans="1:12" ht="13.8">
      <c r="A120" s="346">
        <f>ROW()</f>
        <v>120</v>
      </c>
      <c r="B120" s="33" t="s">
        <v>128</v>
      </c>
      <c r="C120" s="54">
        <f t="shared" si="20"/>
        <v>74.964650212437817</v>
      </c>
      <c r="D120" s="54"/>
      <c r="E120" s="413"/>
      <c r="F120" s="100"/>
      <c r="G120" s="100">
        <f>IFERROR(Summary!G51/G$20,0)</f>
        <v>62.955020689655171</v>
      </c>
      <c r="H120" s="100">
        <f>IFERROR(Summary!H51/H$20,0)</f>
        <v>67.398235375592435</v>
      </c>
      <c r="I120" s="100">
        <f>IFERROR(Summary!I51/I$20,0)</f>
        <v>72.066387040707696</v>
      </c>
      <c r="J120" s="100">
        <f>IFERROR(Summary!J51/J$20,0)</f>
        <v>77.029449544454536</v>
      </c>
      <c r="K120" s="100">
        <f>IFERROR(Summary!K51/K$20,0)</f>
        <v>82.334307862138672</v>
      </c>
      <c r="L120" s="100">
        <f>IFERROR(Summary!L51/L$20,0)</f>
        <v>88.004500762078422</v>
      </c>
    </row>
    <row r="121" spans="1:12" ht="13.8">
      <c r="A121" s="346">
        <f>ROW()</f>
        <v>121</v>
      </c>
      <c r="B121" s="33" t="s">
        <v>277</v>
      </c>
      <c r="C121" s="54">
        <f t="shared" si="20"/>
        <v>0</v>
      </c>
      <c r="D121" s="54"/>
      <c r="E121" s="413"/>
      <c r="F121" s="100"/>
      <c r="G121" s="100">
        <f>IFERROR(Summary!#REF!/G$20,0)</f>
        <v>0</v>
      </c>
      <c r="H121" s="100">
        <f>IFERROR(Summary!#REF!/H$20,0)</f>
        <v>0</v>
      </c>
      <c r="I121" s="100">
        <f>IFERROR(Summary!#REF!/I$20,0)</f>
        <v>0</v>
      </c>
      <c r="J121" s="100">
        <f>IFERROR(Summary!#REF!/J$20,0)</f>
        <v>0</v>
      </c>
      <c r="K121" s="100">
        <f>IFERROR(Summary!#REF!/K$20,0)</f>
        <v>0</v>
      </c>
      <c r="L121" s="100">
        <f>IFERROR(Summary!#REF!/L$20,0)</f>
        <v>0</v>
      </c>
    </row>
    <row r="122" spans="1:12" ht="13.8">
      <c r="A122" s="346">
        <f>ROW()</f>
        <v>122</v>
      </c>
      <c r="B122" s="31" t="s">
        <v>288</v>
      </c>
      <c r="C122" s="703">
        <f t="shared" si="20"/>
        <v>10424.800215002264</v>
      </c>
      <c r="D122" s="703"/>
      <c r="E122" s="703"/>
      <c r="F122" s="1189"/>
      <c r="G122" s="1189">
        <f t="shared" ref="G122:L122" si="21">SUM(G113:G121)</f>
        <v>10725.247235896066</v>
      </c>
      <c r="H122" s="1189">
        <f t="shared" si="21"/>
        <v>10627.9380574607</v>
      </c>
      <c r="I122" s="1189">
        <f t="shared" si="21"/>
        <v>10476.060361443042</v>
      </c>
      <c r="J122" s="1189">
        <f t="shared" si="21"/>
        <v>10378.028479560006</v>
      </c>
      <c r="K122" s="1189">
        <f t="shared" si="21"/>
        <v>10230.142786204897</v>
      </c>
      <c r="L122" s="1189">
        <f t="shared" si="21"/>
        <v>10111.384369448875</v>
      </c>
    </row>
    <row r="123" spans="1:12" ht="14.4" thickBot="1">
      <c r="A123" s="346">
        <f>ROW()</f>
        <v>123</v>
      </c>
      <c r="B123" s="31"/>
      <c r="C123" s="415"/>
      <c r="D123" s="415"/>
      <c r="E123" s="414"/>
      <c r="F123" s="630"/>
      <c r="G123" s="630"/>
      <c r="H123" s="630"/>
      <c r="I123" s="630"/>
      <c r="J123" s="630"/>
      <c r="K123" s="630"/>
      <c r="L123" s="630"/>
    </row>
    <row r="124" spans="1:12" ht="14.4" thickBot="1">
      <c r="A124" s="346">
        <f>ROW()</f>
        <v>124</v>
      </c>
      <c r="B124" s="416" t="s">
        <v>289</v>
      </c>
      <c r="C124" s="706">
        <f>C110-C122</f>
        <v>-234.64468233489788</v>
      </c>
      <c r="D124" s="431"/>
      <c r="E124" s="431"/>
      <c r="F124" s="643"/>
      <c r="G124" s="1291">
        <f t="shared" ref="G124:L124" si="22">G110-G122</f>
        <v>-940.76708229104952</v>
      </c>
      <c r="H124" s="1291">
        <f t="shared" si="22"/>
        <v>-358.08360366678971</v>
      </c>
      <c r="I124" s="1291">
        <f t="shared" si="22"/>
        <v>-205.78222704093605</v>
      </c>
      <c r="J124" s="1291">
        <f t="shared" si="22"/>
        <v>-106.90001393206512</v>
      </c>
      <c r="K124" s="1291">
        <f t="shared" si="22"/>
        <v>41.982846332817644</v>
      </c>
      <c r="L124" s="1291">
        <f t="shared" si="22"/>
        <v>161.68198658862821</v>
      </c>
    </row>
    <row r="125" spans="1:12" ht="14.4">
      <c r="A125" s="346">
        <f>ROW()</f>
        <v>125</v>
      </c>
      <c r="B125" s="183" t="s">
        <v>290</v>
      </c>
      <c r="C125" s="418"/>
      <c r="D125" s="418"/>
      <c r="E125" s="418"/>
      <c r="F125" s="642"/>
      <c r="G125" s="134">
        <f t="shared" ref="G125:L125" si="23">G124/G20</f>
        <v>-0.58982262212604986</v>
      </c>
      <c r="H125" s="134">
        <f t="shared" si="23"/>
        <v>-0.21213483629549154</v>
      </c>
      <c r="I125" s="134">
        <f t="shared" si="23"/>
        <v>-0.11505082431873338</v>
      </c>
      <c r="J125" s="134">
        <f t="shared" si="23"/>
        <v>-5.6383725519154104E-2</v>
      </c>
      <c r="K125" s="134">
        <f t="shared" si="23"/>
        <v>2.0890172226173124E-2</v>
      </c>
      <c r="L125" s="134">
        <f t="shared" si="23"/>
        <v>7.58972276827721E-2</v>
      </c>
    </row>
    <row r="126" spans="1:12" ht="14.4">
      <c r="A126" s="346">
        <f>ROW()</f>
        <v>126</v>
      </c>
      <c r="B126" s="432" t="s">
        <v>291</v>
      </c>
      <c r="C126" s="433"/>
      <c r="D126" s="433"/>
      <c r="E126" s="433"/>
      <c r="F126" s="644"/>
      <c r="G126" s="705">
        <f t="shared" ref="G126:L126" si="24">IFERROR(+G124/G110,0)</f>
        <v>-9.6148908017809315E-2</v>
      </c>
      <c r="H126" s="705">
        <f t="shared" si="24"/>
        <v>-3.4867446785918736E-2</v>
      </c>
      <c r="I126" s="705">
        <f t="shared" si="24"/>
        <v>-2.0036675185225242E-2</v>
      </c>
      <c r="J126" s="705">
        <f t="shared" si="24"/>
        <v>-1.0407815878245822E-2</v>
      </c>
      <c r="K126" s="705">
        <f t="shared" si="24"/>
        <v>4.087065115309132E-3</v>
      </c>
      <c r="L126" s="705">
        <f t="shared" si="24"/>
        <v>1.5738434950690973E-2</v>
      </c>
    </row>
  </sheetData>
  <sheetProtection algorithmName="SHA-512" hashValue="v3nT5TtiQiDx+rdqnpVM57Bwe0MUteIyadOVcPIdy9rEoL3raLM+MTNoSUWdRQFSlzRbd1Epv4Rz1jIaz40T7A==" saltValue="EEriv3Q98HefdM56M57yWA==" spinCount="100000" sheet="1" objects="1" scenarios="1"/>
  <conditionalFormatting sqref="C1">
    <cfRule type="expression" dxfId="72" priority="18" stopIfTrue="1">
      <formula>MOD(ROW(),2)=0</formula>
    </cfRule>
  </conditionalFormatting>
  <conditionalFormatting sqref="C53:C72">
    <cfRule type="cellIs" dxfId="71" priority="2" stopIfTrue="1" operator="equal">
      <formula>0</formula>
    </cfRule>
  </conditionalFormatting>
  <conditionalFormatting sqref="C76:C84">
    <cfRule type="cellIs" dxfId="70" priority="12" stopIfTrue="1" operator="equal">
      <formula>0</formula>
    </cfRule>
  </conditionalFormatting>
  <conditionalFormatting sqref="C93:C110">
    <cfRule type="cellIs" dxfId="69" priority="14" stopIfTrue="1" operator="equal">
      <formula>0</formula>
    </cfRule>
  </conditionalFormatting>
  <conditionalFormatting sqref="C113:C121">
    <cfRule type="cellIs" dxfId="68" priority="15" stopIfTrue="1" operator="equal">
      <formula>0</formula>
    </cfRule>
  </conditionalFormatting>
  <conditionalFormatting sqref="F53:L72">
    <cfRule type="cellIs" dxfId="67" priority="1" stopIfTrue="1" operator="equal">
      <formula>0</formula>
    </cfRule>
  </conditionalFormatting>
  <conditionalFormatting sqref="F76:L84">
    <cfRule type="cellIs" dxfId="66" priority="11" stopIfTrue="1" operator="equal">
      <formula>0</formula>
    </cfRule>
  </conditionalFormatting>
  <conditionalFormatting sqref="G93:L109">
    <cfRule type="cellIs" dxfId="65" priority="13" stopIfTrue="1" operator="equal">
      <formula>0</formula>
    </cfRule>
  </conditionalFormatting>
  <conditionalFormatting sqref="G113:L121">
    <cfRule type="cellIs" dxfId="64" priority="16" stopIfTrue="1" operator="equal">
      <formula>0</formula>
    </cfRule>
  </conditionalFormatting>
  <conditionalFormatting sqref="L1">
    <cfRule type="expression" dxfId="63" priority="19" stopIfTrue="1">
      <formula>MOD(ROW(),2)=0</formula>
    </cfRule>
  </conditionalFormatting>
  <hyperlinks>
    <hyperlink ref="C1" location="HypLink1" display="HypLink1"/>
  </hyperlinks>
  <pageMargins left="0.25" right="0.25" top="0.5" bottom="0.44999999999999996" header="0.25" footer="0.25"/>
  <pageSetup scale="75" orientation="landscape" r:id="rId1"/>
  <headerFooter alignWithMargins="0">
    <oddHeader xml:space="preserve">&amp;L &amp;C &amp;R </oddHeader>
    <oddFooter>&amp;L&amp;7&amp;D  at &amp;T Mike 702.486.8879&amp;C&amp;7&amp;F  &amp;A&amp;R&amp;7Page &amp;P of &amp;N</oddFooter>
  </headerFooter>
  <rowBreaks count="2" manualBreakCount="2">
    <brk id="49" max="11" man="1"/>
    <brk id="90" max="1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sheetPr>
  <dimension ref="A1:W101"/>
  <sheetViews>
    <sheetView topLeftCell="A30" workbookViewId="0">
      <selection activeCell="B52" sqref="B52"/>
    </sheetView>
  </sheetViews>
  <sheetFormatPr defaultColWidth="8.77734375" defaultRowHeight="13.8"/>
  <cols>
    <col min="1" max="1" width="6.77734375" style="33" bestFit="1" customWidth="1"/>
    <col min="2" max="2" width="21" style="33" customWidth="1"/>
    <col min="3" max="3" width="17.21875" style="33" customWidth="1"/>
    <col min="4" max="4" width="11.44140625" style="33" customWidth="1"/>
    <col min="5" max="6" width="11" style="33" customWidth="1"/>
    <col min="7" max="7" width="11.5546875" style="33" customWidth="1"/>
    <col min="8" max="8" width="14.77734375" style="33" customWidth="1"/>
    <col min="9" max="10" width="9.77734375" style="33" customWidth="1"/>
    <col min="11" max="11" width="1.77734375" style="33" customWidth="1"/>
    <col min="12" max="12" width="61.21875" style="307" customWidth="1"/>
    <col min="13" max="14" width="4.5546875" style="33" customWidth="1"/>
    <col min="15" max="15" width="7.21875" style="33" customWidth="1"/>
    <col min="16" max="19" width="4.5546875" style="33" customWidth="1"/>
    <col min="20" max="16384" width="8.77734375" style="33"/>
  </cols>
  <sheetData>
    <row r="1" spans="1:23" ht="17.399999999999999">
      <c r="A1" s="123" t="s">
        <v>114</v>
      </c>
      <c r="B1" s="35"/>
      <c r="C1" s="35"/>
      <c r="D1" s="408" t="s">
        <v>3</v>
      </c>
      <c r="E1" s="1650" t="s">
        <v>292</v>
      </c>
      <c r="F1" s="1650"/>
      <c r="G1" s="1650"/>
      <c r="H1" s="63"/>
      <c r="I1" s="63"/>
      <c r="L1" s="1371"/>
      <c r="M1" s="453"/>
      <c r="N1" s="453"/>
      <c r="O1" s="453"/>
      <c r="P1" s="453"/>
      <c r="Q1" s="31"/>
    </row>
    <row r="2" spans="1:23" ht="15.6">
      <c r="A2" s="114" t="str">
        <f>SchoolName</f>
        <v>The Delta Academy</v>
      </c>
      <c r="B2" s="38"/>
      <c r="C2" s="38"/>
      <c r="E2" s="33" t="s">
        <v>293</v>
      </c>
      <c r="F2" s="161" t="str">
        <f>+Facilities!G2</f>
        <v>Test</v>
      </c>
      <c r="G2" s="157"/>
      <c r="H2" s="157"/>
      <c r="I2" s="157"/>
      <c r="J2" s="157"/>
      <c r="K2" s="195"/>
      <c r="L2" s="1365" t="s">
        <v>103</v>
      </c>
      <c r="M2" s="453"/>
      <c r="N2" s="453"/>
      <c r="O2" s="453"/>
      <c r="P2" s="453"/>
      <c r="Q2" s="453"/>
      <c r="R2" s="453"/>
      <c r="S2" s="453"/>
      <c r="T2" s="453"/>
      <c r="U2" s="453"/>
      <c r="V2" s="453"/>
    </row>
    <row r="3" spans="1:23">
      <c r="A3" s="39" t="s">
        <v>80</v>
      </c>
      <c r="E3" s="33" t="s">
        <v>90</v>
      </c>
      <c r="F3" s="162" t="str">
        <f>+Facilities!G3</f>
        <v>Site 2</v>
      </c>
      <c r="G3" s="158"/>
      <c r="H3" s="158"/>
      <c r="I3" s="158"/>
      <c r="J3" s="158"/>
      <c r="K3" s="195"/>
      <c r="L3" s="462"/>
      <c r="M3" s="453"/>
      <c r="N3" s="453"/>
      <c r="O3" s="453"/>
      <c r="P3" s="453"/>
      <c r="Q3" s="453"/>
      <c r="R3" s="453"/>
      <c r="S3" s="453"/>
      <c r="T3" s="453"/>
      <c r="U3" s="453"/>
      <c r="V3" s="453"/>
    </row>
    <row r="4" spans="1:23">
      <c r="A4" s="40" t="s">
        <v>81</v>
      </c>
      <c r="F4" s="80" t="s">
        <v>294</v>
      </c>
      <c r="L4" s="343"/>
      <c r="M4" s="453"/>
      <c r="N4" s="453"/>
      <c r="O4" s="453"/>
      <c r="P4" s="453"/>
      <c r="Q4" s="453"/>
      <c r="R4" s="453"/>
      <c r="S4" s="453"/>
      <c r="T4" s="453"/>
      <c r="U4" s="453"/>
      <c r="V4" s="453"/>
    </row>
    <row r="5" spans="1:23">
      <c r="A5" s="30" t="str">
        <f ca="1">CELL("filename")</f>
        <v>C:\Users\kyle.konold\Downloads\[FY25 Budget - Delta Academy_Final.xlsx]Form 1 Cover</v>
      </c>
      <c r="L5" s="343"/>
      <c r="M5" s="453"/>
      <c r="N5" s="453"/>
      <c r="O5" s="453"/>
      <c r="P5" s="453"/>
      <c r="Q5" s="453"/>
      <c r="R5" s="453"/>
      <c r="S5" s="453"/>
      <c r="T5" s="453"/>
      <c r="U5" s="453"/>
      <c r="V5" s="453"/>
    </row>
    <row r="6" spans="1:23">
      <c r="A6" s="64"/>
      <c r="B6" s="94"/>
      <c r="C6" s="94"/>
      <c r="D6" s="94"/>
      <c r="E6" s="32"/>
      <c r="L6" s="343"/>
      <c r="M6" s="453"/>
      <c r="N6" s="453"/>
      <c r="O6" s="453"/>
      <c r="P6" s="453"/>
      <c r="Q6" s="453"/>
      <c r="R6" s="453"/>
      <c r="S6" s="453"/>
      <c r="T6" s="453"/>
      <c r="U6" s="453"/>
      <c r="V6" s="453"/>
    </row>
    <row r="7" spans="1:23">
      <c r="A7" s="346"/>
      <c r="D7" s="859" t="s">
        <v>239</v>
      </c>
      <c r="E7" s="860">
        <v>1</v>
      </c>
      <c r="F7" s="860">
        <v>2</v>
      </c>
      <c r="G7" s="860">
        <v>3</v>
      </c>
      <c r="H7" s="860">
        <v>4</v>
      </c>
      <c r="I7" s="860">
        <v>5</v>
      </c>
      <c r="J7" s="861">
        <v>6</v>
      </c>
      <c r="K7" s="32"/>
      <c r="L7" s="343" t="s">
        <v>295</v>
      </c>
      <c r="M7" s="453"/>
      <c r="N7" s="453"/>
      <c r="O7" s="453"/>
      <c r="P7" s="453"/>
      <c r="Q7" s="453"/>
      <c r="R7" s="453"/>
      <c r="S7" s="453"/>
      <c r="T7" s="453"/>
      <c r="U7" s="453"/>
      <c r="V7" s="453"/>
    </row>
    <row r="8" spans="1:23" ht="15.6">
      <c r="A8" s="346"/>
      <c r="D8" s="859">
        <f>' Enrol &amp; Rev'!F10</f>
        <v>2024</v>
      </c>
      <c r="E8" s="862">
        <f>' Enrol &amp; Rev'!G10</f>
        <v>2025</v>
      </c>
      <c r="F8" s="862">
        <f>+E9</f>
        <v>2026</v>
      </c>
      <c r="G8" s="862">
        <f>+F9</f>
        <v>2027</v>
      </c>
      <c r="H8" s="862">
        <f>+G9</f>
        <v>2028</v>
      </c>
      <c r="I8" s="862">
        <f>+H9</f>
        <v>2029</v>
      </c>
      <c r="J8" s="863">
        <f>+I9</f>
        <v>2030</v>
      </c>
      <c r="K8" s="292"/>
      <c r="L8" s="343"/>
      <c r="M8" s="453"/>
      <c r="N8" s="453"/>
      <c r="O8" s="453"/>
      <c r="P8" s="453"/>
      <c r="Q8" s="453"/>
      <c r="R8" s="453"/>
      <c r="S8" s="453"/>
      <c r="T8" s="453"/>
      <c r="U8" s="453"/>
      <c r="V8" s="453"/>
    </row>
    <row r="9" spans="1:23" ht="15.6">
      <c r="A9" s="346"/>
      <c r="D9" s="722">
        <f>+D8+1</f>
        <v>2025</v>
      </c>
      <c r="E9" s="723">
        <f t="shared" ref="E9:J9" si="0">+E8+1</f>
        <v>2026</v>
      </c>
      <c r="F9" s="723">
        <f t="shared" si="0"/>
        <v>2027</v>
      </c>
      <c r="G9" s="723">
        <f t="shared" si="0"/>
        <v>2028</v>
      </c>
      <c r="H9" s="723">
        <f t="shared" si="0"/>
        <v>2029</v>
      </c>
      <c r="I9" s="723">
        <f t="shared" si="0"/>
        <v>2030</v>
      </c>
      <c r="J9" s="724">
        <f t="shared" si="0"/>
        <v>2031</v>
      </c>
      <c r="K9" s="293"/>
      <c r="L9" s="343"/>
      <c r="M9" s="453"/>
      <c r="N9" s="453"/>
      <c r="O9" s="453"/>
      <c r="P9" s="453"/>
      <c r="Q9" s="453"/>
      <c r="R9" s="453"/>
      <c r="S9" s="453"/>
      <c r="T9" s="453"/>
      <c r="U9" s="453"/>
      <c r="V9" s="453"/>
    </row>
    <row r="10" spans="1:23" ht="15.6">
      <c r="A10" s="346">
        <f>ROW()</f>
        <v>10</v>
      </c>
      <c r="B10" s="31" t="s">
        <v>296</v>
      </c>
      <c r="C10" s="31"/>
      <c r="D10" s="31"/>
      <c r="E10" s="246"/>
      <c r="F10" s="246"/>
      <c r="G10" s="246"/>
      <c r="H10" s="246"/>
      <c r="I10" s="246"/>
      <c r="J10" s="246"/>
      <c r="K10" s="292"/>
      <c r="L10" s="343"/>
      <c r="M10" s="453"/>
      <c r="N10" s="453"/>
      <c r="O10" s="453"/>
      <c r="P10" s="453"/>
      <c r="Q10" s="453"/>
      <c r="R10" s="453"/>
      <c r="S10" s="453"/>
      <c r="T10" s="453"/>
      <c r="U10" s="453"/>
      <c r="V10" s="453"/>
    </row>
    <row r="11" spans="1:23">
      <c r="A11" s="346">
        <f>ROW()</f>
        <v>11</v>
      </c>
      <c r="B11" s="716" t="s">
        <v>297</v>
      </c>
      <c r="C11" s="716"/>
      <c r="D11" s="290">
        <f t="shared" ref="D11:J11" si="1">COUNTIF(D14:D26,"&gt;0")</f>
        <v>0</v>
      </c>
      <c r="E11" s="290">
        <f t="shared" si="1"/>
        <v>7</v>
      </c>
      <c r="F11" s="284">
        <f t="shared" si="1"/>
        <v>7</v>
      </c>
      <c r="G11" s="284">
        <f t="shared" si="1"/>
        <v>7</v>
      </c>
      <c r="H11" s="284">
        <f t="shared" si="1"/>
        <v>7</v>
      </c>
      <c r="I11" s="284">
        <f t="shared" si="1"/>
        <v>7</v>
      </c>
      <c r="J11" s="285">
        <f t="shared" si="1"/>
        <v>7</v>
      </c>
      <c r="K11" s="294"/>
      <c r="L11" s="343"/>
      <c r="M11" s="453"/>
      <c r="N11" s="453"/>
      <c r="O11" s="453"/>
      <c r="P11" s="453"/>
      <c r="Q11" s="453"/>
      <c r="R11" s="453"/>
      <c r="S11" s="453"/>
      <c r="T11" s="453"/>
      <c r="U11" s="453"/>
      <c r="V11" s="453"/>
    </row>
    <row r="12" spans="1:23">
      <c r="A12" s="346">
        <f>ROW()</f>
        <v>12</v>
      </c>
      <c r="B12" s="62" t="s">
        <v>298</v>
      </c>
      <c r="C12" s="62"/>
      <c r="D12" s="291">
        <f>+' Enrol &amp; Rev'!F19</f>
        <v>0</v>
      </c>
      <c r="E12" s="295">
        <f>+' Enrol &amp; Rev'!G19</f>
        <v>0</v>
      </c>
      <c r="F12" s="296">
        <f>+' Enrol &amp; Rev'!H19</f>
        <v>0</v>
      </c>
      <c r="G12" s="296">
        <f>+' Enrol &amp; Rev'!I19</f>
        <v>0</v>
      </c>
      <c r="H12" s="296">
        <f>+' Enrol &amp; Rev'!J19</f>
        <v>0</v>
      </c>
      <c r="I12" s="296">
        <f>+' Enrol &amp; Rev'!K19</f>
        <v>0</v>
      </c>
      <c r="J12" s="297">
        <f>+' Enrol &amp; Rev'!L19</f>
        <v>0</v>
      </c>
      <c r="K12" s="294"/>
      <c r="L12" s="343"/>
      <c r="M12" s="453"/>
      <c r="N12" s="453"/>
      <c r="O12" s="453"/>
      <c r="P12" s="453"/>
      <c r="Q12" s="453"/>
      <c r="R12" s="453"/>
      <c r="S12" s="453"/>
      <c r="T12" s="453"/>
      <c r="U12" s="453"/>
      <c r="V12" s="453"/>
    </row>
    <row r="13" spans="1:23">
      <c r="A13" s="346">
        <f>ROW()</f>
        <v>13</v>
      </c>
      <c r="B13" s="41"/>
      <c r="C13" s="41"/>
      <c r="D13" s="599"/>
      <c r="E13" s="599"/>
      <c r="F13" s="599"/>
      <c r="G13" s="599"/>
      <c r="H13" s="599"/>
      <c r="I13" s="599"/>
      <c r="J13" s="599"/>
      <c r="K13" s="250"/>
      <c r="L13" s="343"/>
      <c r="M13" s="453"/>
      <c r="N13" s="453"/>
      <c r="O13" s="453"/>
      <c r="P13" s="453"/>
      <c r="Q13" s="453"/>
      <c r="R13" s="453"/>
      <c r="S13" s="453"/>
      <c r="T13" s="453"/>
      <c r="U13" s="453"/>
      <c r="V13" s="453"/>
      <c r="W13" s="453"/>
    </row>
    <row r="14" spans="1:23">
      <c r="A14" s="346">
        <f>ROW()</f>
        <v>14</v>
      </c>
      <c r="B14" s="656" t="s">
        <v>299</v>
      </c>
      <c r="C14" s="845"/>
      <c r="D14" s="601">
        <f>' Enrol &amp; Rev'!F23</f>
        <v>0</v>
      </c>
      <c r="E14" s="601">
        <f>' Enrol &amp; Rev'!G23</f>
        <v>0</v>
      </c>
      <c r="F14" s="601">
        <f>' Enrol &amp; Rev'!H23</f>
        <v>0</v>
      </c>
      <c r="G14" s="601">
        <f>' Enrol &amp; Rev'!I23</f>
        <v>0</v>
      </c>
      <c r="H14" s="601">
        <f>' Enrol &amp; Rev'!J23</f>
        <v>0</v>
      </c>
      <c r="I14" s="601">
        <f>' Enrol &amp; Rev'!K23</f>
        <v>0</v>
      </c>
      <c r="J14" s="601">
        <f>' Enrol &amp; Rev'!L23</f>
        <v>0</v>
      </c>
      <c r="K14" s="54"/>
      <c r="L14" s="343"/>
      <c r="M14" s="453"/>
      <c r="N14" s="453"/>
      <c r="O14" s="453"/>
      <c r="P14" s="453"/>
      <c r="Q14" s="453"/>
      <c r="R14" s="453"/>
      <c r="S14" s="453"/>
      <c r="T14" s="453"/>
      <c r="U14" s="453"/>
      <c r="V14" s="453"/>
      <c r="W14" s="453"/>
    </row>
    <row r="15" spans="1:23">
      <c r="A15" s="346">
        <f>ROW()</f>
        <v>15</v>
      </c>
      <c r="B15" s="70" t="s">
        <v>300</v>
      </c>
      <c r="C15" s="329"/>
      <c r="D15" s="600">
        <f>' Enrol &amp; Rev'!F24</f>
        <v>0</v>
      </c>
      <c r="E15" s="600">
        <f>' Enrol &amp; Rev'!G24</f>
        <v>0</v>
      </c>
      <c r="F15" s="600">
        <f>' Enrol &amp; Rev'!H24</f>
        <v>0</v>
      </c>
      <c r="G15" s="600">
        <f>' Enrol &amp; Rev'!I24</f>
        <v>0</v>
      </c>
      <c r="H15" s="600">
        <f>' Enrol &amp; Rev'!J24</f>
        <v>0</v>
      </c>
      <c r="I15" s="600">
        <f>' Enrol &amp; Rev'!K24</f>
        <v>0</v>
      </c>
      <c r="J15" s="600">
        <f>' Enrol &amp; Rev'!L24</f>
        <v>0</v>
      </c>
      <c r="K15" s="54"/>
      <c r="L15" s="343"/>
      <c r="M15" s="453"/>
      <c r="N15" s="453"/>
      <c r="O15" s="453"/>
      <c r="P15" s="453"/>
      <c r="Q15" s="453"/>
      <c r="R15" s="453"/>
      <c r="S15" s="453"/>
      <c r="T15" s="453"/>
      <c r="U15" s="453"/>
      <c r="V15" s="453"/>
      <c r="W15" s="453"/>
    </row>
    <row r="16" spans="1:23">
      <c r="A16" s="346">
        <f>ROW()</f>
        <v>16</v>
      </c>
      <c r="B16" s="70" t="s">
        <v>301</v>
      </c>
      <c r="C16" s="329"/>
      <c r="D16" s="600">
        <f>' Enrol &amp; Rev'!F25</f>
        <v>0</v>
      </c>
      <c r="E16" s="600">
        <f>' Enrol &amp; Rev'!G25</f>
        <v>0</v>
      </c>
      <c r="F16" s="600">
        <f>' Enrol &amp; Rev'!H25</f>
        <v>0</v>
      </c>
      <c r="G16" s="600">
        <f>' Enrol &amp; Rev'!I25</f>
        <v>0</v>
      </c>
      <c r="H16" s="600">
        <f>' Enrol &amp; Rev'!J25</f>
        <v>0</v>
      </c>
      <c r="I16" s="600">
        <f>' Enrol &amp; Rev'!K25</f>
        <v>0</v>
      </c>
      <c r="J16" s="600">
        <f>' Enrol &amp; Rev'!L25</f>
        <v>0</v>
      </c>
      <c r="K16" s="54"/>
      <c r="L16" s="343"/>
      <c r="M16" s="453"/>
      <c r="N16" s="453"/>
      <c r="O16" s="453"/>
      <c r="P16" s="453"/>
      <c r="Q16" s="453"/>
      <c r="R16" s="453"/>
      <c r="S16" s="453"/>
      <c r="T16" s="453"/>
      <c r="U16" s="453"/>
      <c r="V16" s="453"/>
      <c r="W16" s="453"/>
    </row>
    <row r="17" spans="1:23">
      <c r="A17" s="346">
        <f>ROW()</f>
        <v>17</v>
      </c>
      <c r="B17" s="70" t="s">
        <v>302</v>
      </c>
      <c r="C17" s="329"/>
      <c r="D17" s="600">
        <f>' Enrol &amp; Rev'!F26</f>
        <v>0</v>
      </c>
      <c r="E17" s="600">
        <f>' Enrol &amp; Rev'!G26</f>
        <v>0</v>
      </c>
      <c r="F17" s="600">
        <f>' Enrol &amp; Rev'!H26</f>
        <v>0</v>
      </c>
      <c r="G17" s="600">
        <f>' Enrol &amp; Rev'!I26</f>
        <v>0</v>
      </c>
      <c r="H17" s="600">
        <f>' Enrol &amp; Rev'!J26</f>
        <v>0</v>
      </c>
      <c r="I17" s="600">
        <f>' Enrol &amp; Rev'!K26</f>
        <v>0</v>
      </c>
      <c r="J17" s="600">
        <f>' Enrol &amp; Rev'!L26</f>
        <v>0</v>
      </c>
      <c r="K17" s="54"/>
      <c r="L17" s="343"/>
      <c r="M17" s="453"/>
      <c r="N17" s="453"/>
      <c r="O17" s="453"/>
      <c r="P17" s="453"/>
      <c r="Q17" s="453"/>
      <c r="R17" s="453"/>
      <c r="S17" s="453"/>
      <c r="T17" s="453"/>
      <c r="U17" s="453"/>
      <c r="V17" s="453"/>
      <c r="W17" s="453"/>
    </row>
    <row r="18" spans="1:23">
      <c r="A18" s="346">
        <f>ROW()</f>
        <v>18</v>
      </c>
      <c r="B18" s="70" t="s">
        <v>303</v>
      </c>
      <c r="C18" s="329"/>
      <c r="D18" s="600">
        <f>' Enrol &amp; Rev'!F27</f>
        <v>0</v>
      </c>
      <c r="E18" s="600">
        <f>' Enrol &amp; Rev'!G27</f>
        <v>0</v>
      </c>
      <c r="F18" s="600">
        <f>' Enrol &amp; Rev'!H27</f>
        <v>0</v>
      </c>
      <c r="G18" s="600">
        <f>' Enrol &amp; Rev'!I27</f>
        <v>0</v>
      </c>
      <c r="H18" s="600">
        <f>' Enrol &amp; Rev'!J27</f>
        <v>0</v>
      </c>
      <c r="I18" s="600">
        <f>' Enrol &amp; Rev'!K27</f>
        <v>0</v>
      </c>
      <c r="J18" s="600">
        <f>' Enrol &amp; Rev'!L27</f>
        <v>0</v>
      </c>
      <c r="K18" s="54"/>
      <c r="L18" s="343"/>
      <c r="M18" s="453"/>
      <c r="N18" s="453"/>
      <c r="O18" s="453"/>
      <c r="P18" s="453"/>
      <c r="Q18" s="453"/>
      <c r="R18" s="453"/>
      <c r="S18" s="453"/>
      <c r="T18" s="453"/>
      <c r="U18" s="453"/>
      <c r="V18" s="453"/>
      <c r="W18" s="453"/>
    </row>
    <row r="19" spans="1:23">
      <c r="A19" s="346">
        <f>ROW()</f>
        <v>19</v>
      </c>
      <c r="B19" s="70" t="s">
        <v>304</v>
      </c>
      <c r="C19" s="329"/>
      <c r="D19" s="600">
        <f>' Enrol &amp; Rev'!F28</f>
        <v>0</v>
      </c>
      <c r="E19" s="600">
        <f>' Enrol &amp; Rev'!G28</f>
        <v>0</v>
      </c>
      <c r="F19" s="600">
        <f>' Enrol &amp; Rev'!H28</f>
        <v>0</v>
      </c>
      <c r="G19" s="600">
        <f>' Enrol &amp; Rev'!I28</f>
        <v>0</v>
      </c>
      <c r="H19" s="600">
        <f>' Enrol &amp; Rev'!J28</f>
        <v>0</v>
      </c>
      <c r="I19" s="600">
        <f>' Enrol &amp; Rev'!K28</f>
        <v>0</v>
      </c>
      <c r="J19" s="600">
        <f>' Enrol &amp; Rev'!L28</f>
        <v>0</v>
      </c>
      <c r="K19" s="54"/>
      <c r="L19" s="343"/>
      <c r="M19" s="453"/>
      <c r="N19" s="453"/>
      <c r="O19" s="453"/>
      <c r="P19" s="453"/>
      <c r="Q19" s="453"/>
      <c r="R19" s="453"/>
      <c r="S19" s="453"/>
      <c r="T19" s="453"/>
      <c r="U19" s="453"/>
      <c r="V19" s="453"/>
      <c r="W19" s="453"/>
    </row>
    <row r="20" spans="1:23">
      <c r="A20" s="346">
        <f>ROW()</f>
        <v>20</v>
      </c>
      <c r="B20" s="70" t="s">
        <v>305</v>
      </c>
      <c r="C20" s="329"/>
      <c r="D20" s="600">
        <f>' Enrol &amp; Rev'!F29</f>
        <v>0</v>
      </c>
      <c r="E20" s="600">
        <f>' Enrol &amp; Rev'!G29</f>
        <v>101</v>
      </c>
      <c r="F20" s="600">
        <f>' Enrol &amp; Rev'!H29</f>
        <v>107</v>
      </c>
      <c r="G20" s="600">
        <f>' Enrol &amp; Rev'!I29</f>
        <v>113.95641088000002</v>
      </c>
      <c r="H20" s="600">
        <f>' Enrol &amp; Rev'!J29</f>
        <v>120.79379553280003</v>
      </c>
      <c r="I20" s="600">
        <f>' Enrol &amp; Rev'!K29</f>
        <v>128.04142326476804</v>
      </c>
      <c r="J20" s="600">
        <f>' Enrol &amp; Rev'!L29</f>
        <v>135.72390866065413</v>
      </c>
      <c r="K20" s="54"/>
      <c r="L20" s="343"/>
      <c r="M20" s="453"/>
      <c r="N20" s="453"/>
      <c r="O20" s="453"/>
      <c r="P20" s="453"/>
      <c r="Q20" s="453"/>
      <c r="R20" s="453"/>
      <c r="S20" s="453"/>
      <c r="T20" s="453"/>
      <c r="U20" s="453"/>
      <c r="V20" s="453"/>
      <c r="W20" s="453"/>
    </row>
    <row r="21" spans="1:23">
      <c r="A21" s="346">
        <f>ROW()</f>
        <v>21</v>
      </c>
      <c r="B21" s="70" t="s">
        <v>306</v>
      </c>
      <c r="C21" s="329"/>
      <c r="D21" s="600">
        <f>' Enrol &amp; Rev'!F30</f>
        <v>0</v>
      </c>
      <c r="E21" s="600">
        <f>' Enrol &amp; Rev'!G30</f>
        <v>166</v>
      </c>
      <c r="F21" s="600">
        <f>' Enrol &amp; Rev'!H30</f>
        <v>177</v>
      </c>
      <c r="G21" s="600">
        <f>' Enrol &amp; Rev'!I30</f>
        <v>187.03715264000004</v>
      </c>
      <c r="H21" s="600">
        <f>' Enrol &amp; Rev'!J30</f>
        <v>198.25938179840006</v>
      </c>
      <c r="I21" s="600">
        <f>' Enrol &amp; Rev'!K30</f>
        <v>210.15494470630406</v>
      </c>
      <c r="J21" s="600">
        <f>' Enrol &amp; Rev'!L30</f>
        <v>222.76424138868231</v>
      </c>
      <c r="K21" s="54"/>
      <c r="L21" s="343"/>
      <c r="M21" s="453"/>
      <c r="N21" s="453"/>
      <c r="O21" s="453"/>
      <c r="P21" s="453"/>
      <c r="Q21" s="453"/>
      <c r="R21" s="453"/>
      <c r="S21" s="453"/>
      <c r="T21" s="453"/>
      <c r="U21" s="453"/>
      <c r="V21" s="453"/>
    </row>
    <row r="22" spans="1:23">
      <c r="A22" s="346">
        <f>ROW()</f>
        <v>22</v>
      </c>
      <c r="B22" s="70" t="s">
        <v>307</v>
      </c>
      <c r="C22" s="329"/>
      <c r="D22" s="600">
        <f>' Enrol &amp; Rev'!F31</f>
        <v>0</v>
      </c>
      <c r="E22" s="600">
        <f>' Enrol &amp; Rev'!G31</f>
        <v>264</v>
      </c>
      <c r="F22" s="600">
        <f>' Enrol &amp; Rev'!H31</f>
        <v>280</v>
      </c>
      <c r="G22" s="600">
        <f>' Enrol &amp; Rev'!I31</f>
        <v>296.03893696000006</v>
      </c>
      <c r="H22" s="600">
        <f>' Enrol &amp; Rev'!J31</f>
        <v>313.80127317760008</v>
      </c>
      <c r="I22" s="600">
        <f>' Enrol &amp; Rev'!K31</f>
        <v>332.62934956825609</v>
      </c>
      <c r="J22" s="600">
        <f>' Enrol &amp; Rev'!L31</f>
        <v>352.58711054235147</v>
      </c>
      <c r="K22" s="54"/>
      <c r="L22" s="343"/>
      <c r="M22" s="453"/>
      <c r="N22" s="453"/>
      <c r="O22" s="453"/>
      <c r="P22" s="453"/>
      <c r="Q22" s="453"/>
      <c r="R22" s="453"/>
      <c r="S22" s="453"/>
      <c r="T22" s="453"/>
      <c r="U22" s="453"/>
      <c r="V22" s="453"/>
    </row>
    <row r="23" spans="1:23">
      <c r="A23" s="346">
        <f>ROW()</f>
        <v>23</v>
      </c>
      <c r="B23" s="70" t="s">
        <v>308</v>
      </c>
      <c r="C23" s="329"/>
      <c r="D23" s="600">
        <f>' Enrol &amp; Rev'!F32</f>
        <v>0</v>
      </c>
      <c r="E23" s="600">
        <f>' Enrol &amp; Rev'!G32</f>
        <v>165</v>
      </c>
      <c r="F23" s="600">
        <f>' Enrol &amp; Rev'!H32</f>
        <v>174</v>
      </c>
      <c r="G23" s="600">
        <f>' Enrol &amp; Rev'!I32</f>
        <v>184.55983936000004</v>
      </c>
      <c r="H23" s="600">
        <f>' Enrol &amp; Rev'!J32</f>
        <v>195.63342972160007</v>
      </c>
      <c r="I23" s="600">
        <f>' Enrol &amp; Rev'!K32</f>
        <v>207.37143550489608</v>
      </c>
      <c r="J23" s="600">
        <f>' Enrol &amp; Rev'!L32</f>
        <v>219.81372163518986</v>
      </c>
      <c r="K23" s="54"/>
      <c r="L23" s="343"/>
      <c r="M23" s="453"/>
      <c r="N23" s="453"/>
      <c r="O23" s="453"/>
      <c r="P23" s="453"/>
      <c r="Q23" s="453"/>
      <c r="R23" s="453"/>
      <c r="S23" s="453"/>
      <c r="T23" s="453"/>
      <c r="U23" s="453"/>
      <c r="V23" s="453"/>
    </row>
    <row r="24" spans="1:23">
      <c r="A24" s="346">
        <f>ROW()</f>
        <v>24</v>
      </c>
      <c r="B24" s="70" t="s">
        <v>309</v>
      </c>
      <c r="C24" s="329"/>
      <c r="D24" s="600">
        <f>' Enrol &amp; Rev'!F33</f>
        <v>0</v>
      </c>
      <c r="E24" s="600">
        <f>' Enrol &amp; Rev'!G33</f>
        <v>237</v>
      </c>
      <c r="F24" s="600">
        <f>' Enrol &amp; Rev'!H33</f>
        <v>250</v>
      </c>
      <c r="G24" s="600">
        <f>' Enrol &amp; Rev'!I33</f>
        <v>265.07252096000002</v>
      </c>
      <c r="H24" s="600">
        <f>' Enrol &amp; Rev'!J33</f>
        <v>280.97687221760003</v>
      </c>
      <c r="I24" s="600">
        <f>' Enrol &amp; Rev'!K33</f>
        <v>297.83548455065608</v>
      </c>
      <c r="J24" s="600">
        <f>' Enrol &amp; Rev'!L33</f>
        <v>315.70561362369546</v>
      </c>
      <c r="K24" s="54"/>
      <c r="L24" s="343"/>
      <c r="M24" s="453"/>
      <c r="N24" s="453"/>
      <c r="O24" s="453"/>
      <c r="P24" s="453"/>
      <c r="Q24" s="453"/>
      <c r="R24" s="453"/>
      <c r="S24" s="453"/>
      <c r="T24" s="453"/>
      <c r="U24" s="453"/>
      <c r="V24" s="453"/>
    </row>
    <row r="25" spans="1:23">
      <c r="A25" s="346">
        <f>ROW()</f>
        <v>25</v>
      </c>
      <c r="B25" s="70" t="s">
        <v>310</v>
      </c>
      <c r="C25" s="329"/>
      <c r="D25" s="600">
        <f>' Enrol &amp; Rev'!F34</f>
        <v>0</v>
      </c>
      <c r="E25" s="600">
        <f>' Enrol &amp; Rev'!G34</f>
        <v>293</v>
      </c>
      <c r="F25" s="600">
        <f>' Enrol &amp; Rev'!H34</f>
        <v>310</v>
      </c>
      <c r="G25" s="600">
        <f>' Enrol &amp; Rev'!I34</f>
        <v>328.24400960000008</v>
      </c>
      <c r="H25" s="600">
        <f>' Enrol &amp; Rev'!J34</f>
        <v>347.93865017600012</v>
      </c>
      <c r="I25" s="600">
        <f>' Enrol &amp; Rev'!K34</f>
        <v>368.81496918656018</v>
      </c>
      <c r="J25" s="600">
        <f>' Enrol &amp; Rev'!L34</f>
        <v>390.94386733775383</v>
      </c>
      <c r="K25" s="54"/>
      <c r="L25" s="343"/>
      <c r="M25" s="453"/>
      <c r="N25" s="453"/>
      <c r="O25" s="453"/>
      <c r="P25" s="453"/>
      <c r="Q25" s="453"/>
      <c r="R25" s="453"/>
      <c r="S25" s="453"/>
      <c r="T25" s="453"/>
      <c r="U25" s="453"/>
      <c r="V25" s="453"/>
    </row>
    <row r="26" spans="1:23">
      <c r="A26" s="346">
        <f>ROW()</f>
        <v>26</v>
      </c>
      <c r="B26" s="655" t="s">
        <v>311</v>
      </c>
      <c r="C26" s="846"/>
      <c r="D26" s="602">
        <f>' Enrol &amp; Rev'!F35</f>
        <v>0</v>
      </c>
      <c r="E26" s="602">
        <f>' Enrol &amp; Rev'!G35</f>
        <v>369</v>
      </c>
      <c r="F26" s="602">
        <f>' Enrol &amp; Rev'!H35</f>
        <v>390</v>
      </c>
      <c r="G26" s="602">
        <f>' Enrol &amp; Rev'!I35</f>
        <v>413.7113177600001</v>
      </c>
      <c r="H26" s="602">
        <f>' Enrol &amp; Rev'!J35</f>
        <v>438.53399682560013</v>
      </c>
      <c r="I26" s="602">
        <f>' Enrol &amp; Rev'!K35</f>
        <v>464.84603663513616</v>
      </c>
      <c r="J26" s="602">
        <f>' Enrol &amp; Rev'!L35</f>
        <v>492.73679883324434</v>
      </c>
      <c r="K26" s="54"/>
      <c r="L26" s="343"/>
      <c r="M26" s="453"/>
      <c r="N26" s="453"/>
      <c r="O26" s="453"/>
      <c r="P26" s="453"/>
      <c r="Q26" s="453"/>
      <c r="R26" s="453"/>
      <c r="S26" s="453"/>
      <c r="T26" s="453"/>
      <c r="U26" s="453"/>
      <c r="V26" s="453"/>
    </row>
    <row r="27" spans="1:23">
      <c r="A27" s="346">
        <f>ROW()</f>
        <v>27</v>
      </c>
      <c r="B27" s="170" t="s">
        <v>312</v>
      </c>
      <c r="C27" s="170"/>
      <c r="D27" s="181">
        <f t="shared" ref="D27:J27" si="2">SUM(D14:D26)</f>
        <v>0</v>
      </c>
      <c r="E27" s="181">
        <f t="shared" si="2"/>
        <v>1595</v>
      </c>
      <c r="F27" s="181">
        <f t="shared" si="2"/>
        <v>1688</v>
      </c>
      <c r="G27" s="181">
        <f t="shared" si="2"/>
        <v>1788.6201881600005</v>
      </c>
      <c r="H27" s="181">
        <f t="shared" si="2"/>
        <v>1895.9373994496007</v>
      </c>
      <c r="I27" s="181">
        <f t="shared" si="2"/>
        <v>2009.6936434165768</v>
      </c>
      <c r="J27" s="181">
        <f t="shared" si="2"/>
        <v>2130.2752620215715</v>
      </c>
      <c r="K27" s="181"/>
      <c r="L27" s="343"/>
      <c r="M27" s="453"/>
      <c r="N27" s="453"/>
      <c r="O27" s="453"/>
      <c r="P27" s="453"/>
      <c r="Q27" s="453"/>
      <c r="R27" s="453"/>
      <c r="S27" s="453"/>
      <c r="T27" s="453"/>
      <c r="U27" s="453"/>
      <c r="V27" s="453"/>
    </row>
    <row r="28" spans="1:23">
      <c r="A28" s="346">
        <f>ROW()</f>
        <v>28</v>
      </c>
      <c r="B28" s="41" t="s">
        <v>313</v>
      </c>
      <c r="C28" s="41"/>
      <c r="D28" s="124"/>
      <c r="E28" s="124">
        <f>IFERROR(E27/E12,0)</f>
        <v>0</v>
      </c>
      <c r="F28" s="124">
        <f t="shared" ref="F28:J28" si="3">IFERROR(F27/F12,0)</f>
        <v>0</v>
      </c>
      <c r="G28" s="124">
        <f t="shared" si="3"/>
        <v>0</v>
      </c>
      <c r="H28" s="124">
        <f t="shared" si="3"/>
        <v>0</v>
      </c>
      <c r="I28" s="124">
        <f t="shared" si="3"/>
        <v>0</v>
      </c>
      <c r="J28" s="124">
        <f t="shared" si="3"/>
        <v>0</v>
      </c>
      <c r="K28" s="124"/>
      <c r="L28" s="343"/>
      <c r="M28" s="453"/>
      <c r="N28" s="453"/>
      <c r="O28" s="453"/>
      <c r="P28" s="453"/>
      <c r="Q28" s="453"/>
      <c r="R28" s="453"/>
      <c r="S28" s="453"/>
      <c r="T28" s="453"/>
      <c r="U28" s="453"/>
      <c r="V28" s="453"/>
    </row>
    <row r="29" spans="1:23">
      <c r="A29" s="346">
        <f>ROW()</f>
        <v>29</v>
      </c>
      <c r="B29" s="41" t="s">
        <v>314</v>
      </c>
      <c r="C29" s="41"/>
      <c r="D29" s="124"/>
      <c r="E29" s="369">
        <f>IFERROR(IF(AND(E27,$H$57)&gt;0,E27/$H57,0),0)</f>
        <v>0.10049776321592842</v>
      </c>
      <c r="F29" s="370">
        <f t="shared" ref="F29:J29" si="4">IFERROR(IF(AND(F27,$H$57)&gt;0,F27/$H57,0),0)</f>
        <v>0.10635750740344024</v>
      </c>
      <c r="G29" s="370">
        <f t="shared" si="4"/>
        <v>0.11269738442190161</v>
      </c>
      <c r="H29" s="370">
        <f t="shared" si="4"/>
        <v>0.11945922748721571</v>
      </c>
      <c r="I29" s="370">
        <f t="shared" si="4"/>
        <v>0.12662678113644868</v>
      </c>
      <c r="J29" s="370">
        <f t="shared" si="4"/>
        <v>0.1342243880046356</v>
      </c>
      <c r="K29" s="124"/>
      <c r="L29" s="343"/>
      <c r="M29" s="453"/>
      <c r="N29" s="453"/>
      <c r="O29" s="453"/>
      <c r="P29" s="453"/>
      <c r="Q29" s="453"/>
      <c r="R29" s="453"/>
      <c r="S29" s="453"/>
      <c r="T29" s="453"/>
      <c r="U29" s="453"/>
      <c r="V29" s="453"/>
    </row>
    <row r="30" spans="1:23">
      <c r="A30" s="346">
        <f>ROW()</f>
        <v>30</v>
      </c>
      <c r="B30" s="41" t="s">
        <v>315</v>
      </c>
      <c r="C30" s="41"/>
      <c r="D30" s="124"/>
      <c r="E30" s="369">
        <f t="shared" ref="E30:J30" si="5">IFERROR(IF(AND(E27,$H$87)&gt;0,E27/$H87,0),0)</f>
        <v>15.95</v>
      </c>
      <c r="F30" s="369">
        <f t="shared" si="5"/>
        <v>16.88</v>
      </c>
      <c r="G30" s="369">
        <f t="shared" si="5"/>
        <v>17.886201881600005</v>
      </c>
      <c r="H30" s="369">
        <f t="shared" si="5"/>
        <v>18.959373994496005</v>
      </c>
      <c r="I30" s="369">
        <f t="shared" si="5"/>
        <v>20.096936434165769</v>
      </c>
      <c r="J30" s="369">
        <f t="shared" si="5"/>
        <v>21.302752620215713</v>
      </c>
      <c r="K30" s="124"/>
      <c r="L30" s="343"/>
      <c r="M30" s="453"/>
      <c r="N30" s="453"/>
      <c r="O30" s="453"/>
      <c r="P30" s="453"/>
      <c r="Q30" s="453"/>
      <c r="R30" s="453"/>
      <c r="S30" s="453"/>
      <c r="T30" s="453"/>
      <c r="U30" s="453"/>
      <c r="V30" s="453"/>
    </row>
    <row r="31" spans="1:23">
      <c r="A31" s="346">
        <f>ROW()</f>
        <v>31</v>
      </c>
      <c r="B31" s="160" t="s">
        <v>316</v>
      </c>
      <c r="C31" s="41"/>
      <c r="D31" s="124"/>
      <c r="E31" s="369"/>
      <c r="F31" s="370"/>
      <c r="G31" s="370"/>
      <c r="H31" s="370"/>
      <c r="I31" s="370"/>
      <c r="J31" s="370"/>
      <c r="K31" s="124"/>
      <c r="L31" s="343"/>
      <c r="M31" s="453"/>
      <c r="N31" s="453"/>
      <c r="O31" s="453"/>
      <c r="P31" s="453"/>
      <c r="Q31" s="453"/>
      <c r="R31" s="453"/>
      <c r="S31" s="453"/>
      <c r="T31" s="453"/>
      <c r="U31" s="453"/>
      <c r="V31" s="453"/>
    </row>
    <row r="32" spans="1:23">
      <c r="A32" s="346"/>
      <c r="B32" s="46"/>
      <c r="C32" s="46"/>
      <c r="D32" s="46"/>
      <c r="E32" s="41"/>
      <c r="F32" s="73"/>
      <c r="G32" s="74"/>
      <c r="H32" s="74"/>
      <c r="I32" s="74"/>
      <c r="J32" s="74"/>
      <c r="K32" s="74"/>
      <c r="L32" s="343"/>
      <c r="M32" s="453"/>
      <c r="N32" s="453"/>
      <c r="O32" s="453"/>
      <c r="P32" s="453"/>
      <c r="Q32" s="453"/>
      <c r="R32" s="453"/>
      <c r="S32" s="453"/>
      <c r="T32" s="453"/>
      <c r="U32" s="453"/>
      <c r="V32" s="453"/>
    </row>
    <row r="33" spans="1:22" ht="15.6">
      <c r="A33" s="196" t="s">
        <v>317</v>
      </c>
      <c r="B33" s="46"/>
      <c r="C33" s="46"/>
      <c r="D33" s="46"/>
      <c r="F33" s="73"/>
      <c r="G33" s="74"/>
      <c r="H33" s="74"/>
      <c r="L33" s="343"/>
      <c r="M33" s="453"/>
      <c r="N33" s="453"/>
      <c r="O33" s="453"/>
      <c r="P33" s="453"/>
      <c r="Q33" s="453"/>
      <c r="R33" s="453"/>
      <c r="S33" s="453"/>
      <c r="T33" s="453"/>
      <c r="U33" s="453"/>
      <c r="V33" s="453"/>
    </row>
    <row r="34" spans="1:22" ht="46.5" customHeight="1">
      <c r="A34" s="847"/>
      <c r="B34" s="1781" t="s">
        <v>318</v>
      </c>
      <c r="C34" s="1781"/>
      <c r="D34" s="1654"/>
      <c r="E34" s="849" t="s">
        <v>319</v>
      </c>
      <c r="F34" s="848" t="s">
        <v>320</v>
      </c>
      <c r="G34" s="1586" t="s">
        <v>321</v>
      </c>
      <c r="H34" s="849" t="s">
        <v>322</v>
      </c>
      <c r="I34" s="714" t="s">
        <v>323</v>
      </c>
      <c r="K34" s="48"/>
      <c r="L34" s="922" t="s">
        <v>324</v>
      </c>
      <c r="M34" s="453"/>
      <c r="N34" s="453"/>
      <c r="O34" s="453"/>
      <c r="P34" s="453"/>
      <c r="Q34" s="453"/>
      <c r="R34" s="453"/>
      <c r="S34" s="453"/>
      <c r="T34" s="453"/>
      <c r="U34" s="453"/>
      <c r="V34" s="453"/>
    </row>
    <row r="35" spans="1:22">
      <c r="A35" s="850">
        <f>ROW()</f>
        <v>35</v>
      </c>
      <c r="B35" s="1779" t="s">
        <v>325</v>
      </c>
      <c r="C35" s="1779"/>
      <c r="D35" s="1779"/>
      <c r="E35" s="1593"/>
      <c r="F35" s="1593"/>
      <c r="G35" s="1594"/>
      <c r="H35" s="1595"/>
      <c r="I35" s="1596"/>
      <c r="K35" s="48"/>
      <c r="L35" s="343" t="s">
        <v>326</v>
      </c>
      <c r="M35" s="453"/>
      <c r="N35" s="453"/>
      <c r="O35" s="453"/>
      <c r="P35" s="453"/>
      <c r="Q35" s="453"/>
      <c r="R35" s="453"/>
      <c r="S35" s="453"/>
      <c r="T35" s="453"/>
      <c r="U35" s="453"/>
      <c r="V35" s="453"/>
    </row>
    <row r="36" spans="1:22" ht="14.4">
      <c r="A36" s="603">
        <f>ROW()</f>
        <v>36</v>
      </c>
      <c r="B36" s="1366" t="s">
        <v>1635</v>
      </c>
      <c r="C36" s="1765"/>
      <c r="D36" s="1765"/>
      <c r="E36" s="298">
        <v>89030</v>
      </c>
      <c r="F36" s="298">
        <v>1</v>
      </c>
      <c r="G36" s="299" t="s">
        <v>1643</v>
      </c>
      <c r="H36" s="256">
        <v>1244</v>
      </c>
      <c r="I36" s="851">
        <v>3.3</v>
      </c>
      <c r="K36" s="48"/>
      <c r="L36" s="343"/>
      <c r="M36" s="453"/>
      <c r="N36" s="453"/>
      <c r="O36" s="453"/>
      <c r="P36" s="453"/>
      <c r="Q36" s="453"/>
      <c r="R36" s="453"/>
      <c r="S36" s="453"/>
      <c r="T36" s="453"/>
      <c r="U36" s="453"/>
      <c r="V36" s="453"/>
    </row>
    <row r="37" spans="1:22" ht="14.4">
      <c r="A37" s="603">
        <f>ROW()</f>
        <v>37</v>
      </c>
      <c r="B37" s="1366" t="s">
        <v>1636</v>
      </c>
      <c r="C37" s="1765"/>
      <c r="D37" s="1765"/>
      <c r="E37" s="298">
        <v>89030</v>
      </c>
      <c r="F37" s="298">
        <v>2</v>
      </c>
      <c r="G37" s="299" t="s">
        <v>1643</v>
      </c>
      <c r="H37" s="256">
        <v>1095</v>
      </c>
      <c r="I37" s="851">
        <v>2.6</v>
      </c>
      <c r="K37" s="48"/>
      <c r="L37" s="343"/>
      <c r="M37" s="453"/>
      <c r="N37" s="453"/>
      <c r="O37" s="453"/>
      <c r="P37" s="453"/>
      <c r="Q37" s="453"/>
      <c r="R37" s="453"/>
      <c r="S37" s="453"/>
      <c r="T37" s="453"/>
      <c r="U37" s="453"/>
      <c r="V37" s="453"/>
    </row>
    <row r="38" spans="1:22" ht="14.4">
      <c r="A38" s="603">
        <f>ROW()</f>
        <v>38</v>
      </c>
      <c r="B38" s="1366" t="s">
        <v>1637</v>
      </c>
      <c r="C38" s="1766"/>
      <c r="D38" s="1766"/>
      <c r="E38" s="298">
        <v>89032</v>
      </c>
      <c r="F38" s="298">
        <v>1</v>
      </c>
      <c r="G38" s="299" t="s">
        <v>1643</v>
      </c>
      <c r="H38" s="256">
        <v>1036</v>
      </c>
      <c r="I38" s="851">
        <v>2.1</v>
      </c>
      <c r="K38" s="48"/>
      <c r="L38" s="343"/>
      <c r="M38" s="453"/>
      <c r="N38" s="453"/>
      <c r="O38" s="453"/>
      <c r="P38" s="453"/>
      <c r="Q38" s="453"/>
      <c r="R38" s="453"/>
      <c r="S38" s="453"/>
      <c r="T38" s="453"/>
      <c r="U38" s="453"/>
      <c r="V38" s="453"/>
    </row>
    <row r="39" spans="1:22" ht="14.4">
      <c r="A39" s="603">
        <f>ROW()</f>
        <v>39</v>
      </c>
      <c r="B39" s="1366" t="s">
        <v>1638</v>
      </c>
      <c r="C39" s="1766"/>
      <c r="D39" s="1766"/>
      <c r="E39" s="298">
        <v>89032</v>
      </c>
      <c r="F39" s="298">
        <v>1</v>
      </c>
      <c r="G39" s="299" t="s">
        <v>1643</v>
      </c>
      <c r="H39" s="256">
        <v>1027</v>
      </c>
      <c r="I39" s="851">
        <v>0.6</v>
      </c>
      <c r="K39" s="48"/>
      <c r="L39" s="343"/>
      <c r="M39" s="453"/>
      <c r="N39" s="453"/>
      <c r="O39" s="453"/>
      <c r="P39" s="453"/>
      <c r="Q39" s="453"/>
      <c r="R39" s="453"/>
      <c r="S39" s="453"/>
      <c r="T39" s="453"/>
      <c r="U39" s="453"/>
      <c r="V39" s="453"/>
    </row>
    <row r="40" spans="1:22" ht="14.4">
      <c r="A40" s="603">
        <f>ROW()</f>
        <v>40</v>
      </c>
      <c r="B40" s="1366" t="s">
        <v>1657</v>
      </c>
      <c r="C40" s="1766"/>
      <c r="D40" s="1766"/>
      <c r="E40" s="298">
        <v>89106</v>
      </c>
      <c r="F40" s="298">
        <v>3</v>
      </c>
      <c r="G40" s="299" t="s">
        <v>1643</v>
      </c>
      <c r="H40" s="256">
        <v>361</v>
      </c>
      <c r="I40" s="851">
        <v>1.6</v>
      </c>
      <c r="K40" s="48"/>
      <c r="L40" s="343"/>
      <c r="M40" s="453"/>
      <c r="N40" s="453"/>
      <c r="O40" s="453"/>
      <c r="P40" s="453"/>
      <c r="Q40" s="453"/>
      <c r="R40" s="453"/>
      <c r="S40" s="453"/>
      <c r="T40" s="453"/>
      <c r="U40" s="453"/>
      <c r="V40" s="453"/>
    </row>
    <row r="41" spans="1:22" ht="14.4">
      <c r="A41" s="603">
        <f>ROW()</f>
        <v>41</v>
      </c>
      <c r="B41" s="1366" t="s">
        <v>1641</v>
      </c>
      <c r="C41" s="1766"/>
      <c r="D41" s="1766"/>
      <c r="E41" s="298">
        <v>89030</v>
      </c>
      <c r="F41" s="298">
        <v>2</v>
      </c>
      <c r="G41" s="299" t="s">
        <v>1644</v>
      </c>
      <c r="H41" s="256">
        <v>905</v>
      </c>
      <c r="I41" s="851">
        <v>1.8</v>
      </c>
      <c r="K41" s="48"/>
      <c r="L41" s="343"/>
      <c r="M41" s="453"/>
      <c r="N41" s="453"/>
      <c r="O41" s="453"/>
      <c r="P41" s="453"/>
      <c r="Q41" s="453"/>
      <c r="R41" s="453"/>
      <c r="S41" s="453"/>
      <c r="T41" s="453"/>
      <c r="U41" s="453"/>
      <c r="V41" s="453"/>
    </row>
    <row r="42" spans="1:22" ht="14.4">
      <c r="A42" s="603">
        <f>ROW()</f>
        <v>42</v>
      </c>
      <c r="B42" s="1366" t="s">
        <v>1642</v>
      </c>
      <c r="C42" s="1766"/>
      <c r="D42" s="1766"/>
      <c r="E42" s="298">
        <v>89030</v>
      </c>
      <c r="F42" s="298">
        <v>1</v>
      </c>
      <c r="G42" s="299" t="s">
        <v>1643</v>
      </c>
      <c r="H42" s="256">
        <v>267</v>
      </c>
      <c r="I42" s="851">
        <v>2.6</v>
      </c>
      <c r="K42" s="48"/>
      <c r="L42" s="343"/>
      <c r="M42" s="453"/>
      <c r="N42" s="453"/>
      <c r="O42" s="453"/>
      <c r="P42" s="453"/>
      <c r="Q42" s="453"/>
      <c r="R42" s="453"/>
      <c r="S42" s="453"/>
      <c r="T42" s="453"/>
      <c r="U42" s="453"/>
      <c r="V42" s="453"/>
    </row>
    <row r="43" spans="1:22" ht="14.4">
      <c r="A43" s="603">
        <f>ROW()</f>
        <v>43</v>
      </c>
      <c r="B43" s="1366" t="s">
        <v>1639</v>
      </c>
      <c r="C43" s="1766"/>
      <c r="D43" s="1766"/>
      <c r="E43" s="298">
        <v>89032</v>
      </c>
      <c r="F43" s="298">
        <v>2</v>
      </c>
      <c r="G43" s="299" t="s">
        <v>1645</v>
      </c>
      <c r="H43" s="256">
        <v>2004</v>
      </c>
      <c r="I43" s="851">
        <v>2.1</v>
      </c>
      <c r="K43" s="48"/>
      <c r="L43" s="343"/>
      <c r="M43" s="453"/>
      <c r="N43" s="453"/>
      <c r="O43" s="453"/>
      <c r="P43" s="453"/>
      <c r="Q43" s="453"/>
      <c r="R43" s="453"/>
      <c r="S43" s="453"/>
      <c r="T43" s="453"/>
      <c r="U43" s="453"/>
      <c r="V43" s="453"/>
    </row>
    <row r="44" spans="1:22" ht="14.4">
      <c r="A44" s="603">
        <f>ROW()</f>
        <v>44</v>
      </c>
      <c r="B44" s="1366" t="s">
        <v>1640</v>
      </c>
      <c r="C44" s="1766"/>
      <c r="D44" s="1766"/>
      <c r="E44" s="298">
        <v>89032</v>
      </c>
      <c r="F44" s="298">
        <v>3</v>
      </c>
      <c r="G44" s="299" t="s">
        <v>1645</v>
      </c>
      <c r="H44" s="256">
        <v>2810</v>
      </c>
      <c r="I44" s="851">
        <v>1.6</v>
      </c>
      <c r="K44" s="48"/>
      <c r="L44" s="343"/>
      <c r="M44" s="453"/>
      <c r="N44" s="453"/>
      <c r="O44" s="453"/>
      <c r="P44" s="453"/>
      <c r="Q44" s="453"/>
      <c r="R44" s="453"/>
      <c r="S44" s="453"/>
      <c r="T44" s="453"/>
      <c r="U44" s="453"/>
      <c r="V44" s="453"/>
    </row>
    <row r="45" spans="1:22" ht="14.4">
      <c r="A45" s="603">
        <f>ROW()</f>
        <v>45</v>
      </c>
      <c r="B45" s="1366"/>
      <c r="C45" s="1765"/>
      <c r="D45" s="1765"/>
      <c r="E45" s="298"/>
      <c r="F45" s="298"/>
      <c r="G45" s="299"/>
      <c r="H45" s="256"/>
      <c r="I45" s="851"/>
      <c r="K45" s="48"/>
      <c r="L45" s="343"/>
      <c r="M45" s="453"/>
      <c r="N45" s="453"/>
      <c r="O45" s="453"/>
      <c r="P45" s="453"/>
      <c r="Q45" s="453"/>
      <c r="R45" s="453"/>
      <c r="S45" s="453"/>
      <c r="T45" s="453"/>
      <c r="U45" s="453"/>
      <c r="V45" s="453"/>
    </row>
    <row r="46" spans="1:22">
      <c r="A46" s="603">
        <f>ROW()</f>
        <v>46</v>
      </c>
      <c r="B46" s="1587" t="s">
        <v>330</v>
      </c>
      <c r="C46" s="1588"/>
      <c r="D46" s="1588"/>
      <c r="E46" s="1589"/>
      <c r="F46" s="1589"/>
      <c r="G46" s="1590"/>
      <c r="H46" s="1591"/>
      <c r="I46" s="1592"/>
      <c r="K46" s="48"/>
      <c r="L46" s="343"/>
      <c r="M46" s="453"/>
      <c r="N46" s="453"/>
      <c r="O46" s="453"/>
      <c r="P46" s="453"/>
      <c r="Q46" s="453"/>
      <c r="R46" s="453"/>
      <c r="S46" s="453"/>
      <c r="T46" s="453"/>
      <c r="U46" s="453"/>
      <c r="V46" s="453"/>
    </row>
    <row r="47" spans="1:22" ht="14.4">
      <c r="A47" s="603">
        <f>ROW()</f>
        <v>47</v>
      </c>
      <c r="B47" s="1366" t="s">
        <v>1646</v>
      </c>
      <c r="C47" s="1652"/>
      <c r="D47" s="1652"/>
      <c r="E47" s="298">
        <v>89030</v>
      </c>
      <c r="F47" s="298">
        <v>1</v>
      </c>
      <c r="G47" s="299" t="s">
        <v>1653</v>
      </c>
      <c r="H47" s="256">
        <v>423</v>
      </c>
      <c r="I47" s="851">
        <v>0.5</v>
      </c>
      <c r="K47" s="48"/>
      <c r="L47" s="343"/>
      <c r="M47" s="453"/>
      <c r="N47" s="453"/>
      <c r="O47" s="453"/>
      <c r="P47" s="453"/>
      <c r="Q47" s="453"/>
      <c r="R47" s="453"/>
      <c r="S47" s="453"/>
      <c r="T47" s="453"/>
      <c r="U47" s="453"/>
      <c r="V47" s="453"/>
    </row>
    <row r="48" spans="1:22">
      <c r="A48" s="603">
        <f>ROW()</f>
        <v>48</v>
      </c>
      <c r="B48" s="1780" t="s">
        <v>1649</v>
      </c>
      <c r="C48" s="1780"/>
      <c r="D48" s="1780"/>
      <c r="E48" s="298">
        <v>89106</v>
      </c>
      <c r="F48" s="298">
        <v>1</v>
      </c>
      <c r="G48" s="299" t="s">
        <v>1653</v>
      </c>
      <c r="H48" s="256">
        <v>337</v>
      </c>
      <c r="I48" s="851">
        <v>1.5</v>
      </c>
      <c r="K48" s="48"/>
      <c r="L48" s="343"/>
      <c r="M48" s="453"/>
      <c r="N48" s="453"/>
      <c r="O48" s="453"/>
      <c r="P48" s="453"/>
      <c r="Q48" s="453"/>
      <c r="R48" s="453"/>
      <c r="S48" s="453"/>
      <c r="T48" s="453"/>
      <c r="U48" s="453"/>
      <c r="V48" s="453"/>
    </row>
    <row r="49" spans="1:22" ht="14.4">
      <c r="A49" s="995">
        <f>ROW()</f>
        <v>49</v>
      </c>
      <c r="B49" s="1366" t="s">
        <v>1647</v>
      </c>
      <c r="C49" s="1651"/>
      <c r="D49" s="1651"/>
      <c r="E49" s="916">
        <v>89032</v>
      </c>
      <c r="F49" s="916">
        <v>1</v>
      </c>
      <c r="G49" s="299" t="s">
        <v>1653</v>
      </c>
      <c r="H49" s="258">
        <v>572</v>
      </c>
      <c r="I49" s="918">
        <v>0.9</v>
      </c>
      <c r="K49" s="48"/>
      <c r="L49" s="343"/>
      <c r="M49" s="453"/>
      <c r="N49" s="453"/>
      <c r="O49" s="453"/>
      <c r="P49" s="453"/>
      <c r="Q49" s="453"/>
      <c r="R49" s="453"/>
      <c r="S49" s="453"/>
      <c r="T49" s="453"/>
      <c r="U49" s="453"/>
      <c r="V49" s="453"/>
    </row>
    <row r="50" spans="1:22" ht="14.4">
      <c r="A50" s="995">
        <f>ROW()</f>
        <v>50</v>
      </c>
      <c r="B50" s="1366" t="s">
        <v>1658</v>
      </c>
      <c r="C50" s="1651"/>
      <c r="D50" s="1651"/>
      <c r="E50" s="916">
        <v>89106</v>
      </c>
      <c r="F50" s="916">
        <v>1</v>
      </c>
      <c r="G50" s="917" t="s">
        <v>1654</v>
      </c>
      <c r="H50" s="258">
        <v>533</v>
      </c>
      <c r="I50" s="918">
        <v>1.7</v>
      </c>
      <c r="K50" s="48"/>
      <c r="L50" s="343"/>
      <c r="M50" s="453"/>
      <c r="N50" s="453"/>
      <c r="O50" s="453"/>
      <c r="P50" s="453"/>
      <c r="Q50" s="453"/>
      <c r="R50" s="453"/>
      <c r="S50" s="453"/>
      <c r="T50" s="453"/>
      <c r="U50" s="453"/>
      <c r="V50" s="453"/>
    </row>
    <row r="51" spans="1:22" ht="14.4">
      <c r="A51" s="995">
        <f>ROW()</f>
        <v>51</v>
      </c>
      <c r="B51" s="1366" t="s">
        <v>1648</v>
      </c>
      <c r="C51" s="1651"/>
      <c r="D51" s="1651"/>
      <c r="E51" s="916">
        <v>89032</v>
      </c>
      <c r="F51" s="916">
        <v>2</v>
      </c>
      <c r="G51" s="299" t="s">
        <v>1653</v>
      </c>
      <c r="H51" s="258">
        <v>503</v>
      </c>
      <c r="I51" s="918">
        <v>1.1000000000000001</v>
      </c>
      <c r="K51" s="48"/>
      <c r="L51" s="343"/>
      <c r="M51" s="453"/>
      <c r="N51" s="453"/>
      <c r="O51" s="453"/>
      <c r="P51" s="453"/>
      <c r="Q51" s="453"/>
      <c r="R51" s="453"/>
      <c r="S51" s="453"/>
      <c r="T51" s="453"/>
      <c r="U51" s="453"/>
      <c r="V51" s="453"/>
    </row>
    <row r="52" spans="1:22" ht="14.4">
      <c r="A52" s="995">
        <f>ROW()</f>
        <v>52</v>
      </c>
      <c r="B52" s="1366" t="s">
        <v>1641</v>
      </c>
      <c r="C52" s="1651"/>
      <c r="D52" s="1651"/>
      <c r="E52" s="916">
        <v>89030</v>
      </c>
      <c r="F52" s="916">
        <v>1</v>
      </c>
      <c r="G52" s="917" t="s">
        <v>1655</v>
      </c>
      <c r="H52" s="258">
        <v>905</v>
      </c>
      <c r="I52" s="918">
        <v>1.8</v>
      </c>
      <c r="K52" s="48"/>
      <c r="L52" s="343"/>
      <c r="M52" s="453"/>
      <c r="N52" s="453"/>
      <c r="O52" s="453"/>
      <c r="P52" s="453"/>
      <c r="Q52" s="453"/>
      <c r="R52" s="453"/>
      <c r="S52" s="453"/>
      <c r="T52" s="453"/>
      <c r="U52" s="453"/>
      <c r="V52" s="453"/>
    </row>
    <row r="53" spans="1:22" ht="14.4">
      <c r="A53" s="995">
        <f>ROW()</f>
        <v>53</v>
      </c>
      <c r="B53" s="1366" t="s">
        <v>1642</v>
      </c>
      <c r="C53" s="1651"/>
      <c r="D53" s="1651"/>
      <c r="E53" s="916">
        <v>89030</v>
      </c>
      <c r="F53" s="916">
        <v>1</v>
      </c>
      <c r="G53" s="917" t="s">
        <v>1656</v>
      </c>
      <c r="H53" s="258">
        <v>267</v>
      </c>
      <c r="I53" s="918">
        <v>2.6</v>
      </c>
      <c r="K53" s="48"/>
      <c r="L53" s="343"/>
      <c r="M53" s="453"/>
      <c r="N53" s="453"/>
      <c r="O53" s="453"/>
      <c r="P53" s="453"/>
      <c r="Q53" s="453"/>
      <c r="R53" s="453"/>
      <c r="S53" s="453"/>
      <c r="T53" s="453"/>
      <c r="U53" s="453"/>
      <c r="V53" s="453"/>
    </row>
    <row r="54" spans="1:22" ht="14.4">
      <c r="A54" s="995">
        <f>ROW()</f>
        <v>54</v>
      </c>
      <c r="B54" s="1366" t="s">
        <v>1650</v>
      </c>
      <c r="C54" s="1651"/>
      <c r="D54" s="1651"/>
      <c r="E54" s="916">
        <v>89106</v>
      </c>
      <c r="F54" s="916">
        <v>2</v>
      </c>
      <c r="G54" s="299" t="s">
        <v>1653</v>
      </c>
      <c r="H54" s="258">
        <v>340</v>
      </c>
      <c r="I54" s="918">
        <v>1.1000000000000001</v>
      </c>
      <c r="K54" s="48"/>
      <c r="L54" s="343"/>
      <c r="M54" s="453"/>
      <c r="N54" s="453"/>
      <c r="O54" s="453"/>
      <c r="P54" s="453"/>
      <c r="Q54" s="453"/>
      <c r="R54" s="453"/>
      <c r="S54" s="453"/>
      <c r="T54" s="453"/>
      <c r="U54" s="453"/>
      <c r="V54" s="453"/>
    </row>
    <row r="55" spans="1:22" ht="14.4">
      <c r="A55" s="995">
        <f>ROW()</f>
        <v>55</v>
      </c>
      <c r="B55" s="1366" t="s">
        <v>1651</v>
      </c>
      <c r="C55" s="1651"/>
      <c r="D55" s="1651"/>
      <c r="E55" s="916">
        <v>89106</v>
      </c>
      <c r="F55" s="916">
        <v>1</v>
      </c>
      <c r="G55" s="299" t="s">
        <v>1653</v>
      </c>
      <c r="H55" s="258">
        <v>555</v>
      </c>
      <c r="I55" s="918">
        <v>2.1</v>
      </c>
      <c r="K55" s="48"/>
      <c r="L55" s="343"/>
      <c r="M55" s="453"/>
      <c r="N55" s="453"/>
      <c r="O55" s="453"/>
      <c r="P55" s="453"/>
      <c r="Q55" s="453"/>
      <c r="R55" s="453"/>
      <c r="S55" s="453"/>
      <c r="T55" s="453"/>
      <c r="U55" s="453"/>
      <c r="V55" s="453"/>
    </row>
    <row r="56" spans="1:22" ht="14.4">
      <c r="A56" s="921">
        <f>ROW()</f>
        <v>56</v>
      </c>
      <c r="B56" s="1366" t="s">
        <v>1652</v>
      </c>
      <c r="C56" s="1651"/>
      <c r="D56" s="1651"/>
      <c r="E56" s="916">
        <v>89032</v>
      </c>
      <c r="F56" s="916">
        <v>2</v>
      </c>
      <c r="G56" s="299" t="s">
        <v>1653</v>
      </c>
      <c r="H56" s="258">
        <v>687</v>
      </c>
      <c r="I56" s="1350">
        <v>1.9</v>
      </c>
      <c r="K56" s="48"/>
      <c r="L56" s="343"/>
      <c r="M56" s="453"/>
      <c r="N56" s="453"/>
      <c r="O56" s="453"/>
      <c r="P56" s="453"/>
      <c r="Q56" s="453"/>
      <c r="R56" s="453"/>
      <c r="S56" s="453"/>
      <c r="T56" s="453"/>
      <c r="U56" s="453"/>
      <c r="V56" s="453"/>
    </row>
    <row r="57" spans="1:22">
      <c r="A57" s="603">
        <f>ROW()</f>
        <v>57</v>
      </c>
      <c r="B57" s="1372"/>
      <c r="C57" s="1372"/>
      <c r="D57" s="1372"/>
      <c r="E57" s="1372"/>
      <c r="F57" s="1373"/>
      <c r="G57" s="125"/>
      <c r="H57" s="1373">
        <f>SUM(H35:H56)</f>
        <v>15871</v>
      </c>
      <c r="I57" s="1374">
        <f>IFERROR(SUMPRODUCT(H35:H56,I35:I56)/H57,0)</f>
        <v>1.8403629260916134</v>
      </c>
      <c r="K57" s="317"/>
      <c r="L57" s="343"/>
      <c r="M57" s="453"/>
      <c r="N57" s="453"/>
      <c r="O57" s="453"/>
      <c r="P57" s="453"/>
      <c r="Q57" s="453"/>
      <c r="R57" s="453"/>
      <c r="S57" s="453"/>
      <c r="T57" s="453"/>
      <c r="U57" s="453"/>
      <c r="V57" s="453"/>
    </row>
    <row r="58" spans="1:22">
      <c r="A58" s="603">
        <f>ROW()</f>
        <v>58</v>
      </c>
      <c r="B58" s="1376" t="s">
        <v>331</v>
      </c>
      <c r="C58" s="1377"/>
      <c r="D58" s="1377"/>
      <c r="E58" s="1378"/>
      <c r="F58" s="1379"/>
      <c r="G58" s="1379"/>
      <c r="H58" s="1380"/>
      <c r="I58" s="1375"/>
      <c r="K58" s="317"/>
      <c r="L58" s="343"/>
      <c r="M58" s="453"/>
      <c r="N58" s="453"/>
      <c r="O58" s="453"/>
      <c r="P58" s="453"/>
      <c r="Q58" s="453"/>
      <c r="R58" s="453"/>
      <c r="S58" s="453"/>
      <c r="T58" s="453"/>
      <c r="U58" s="453"/>
      <c r="V58" s="453"/>
    </row>
    <row r="59" spans="1:22">
      <c r="A59" s="603">
        <f>ROW()</f>
        <v>59</v>
      </c>
      <c r="B59" s="160" t="s">
        <v>332</v>
      </c>
      <c r="C59" s="41"/>
      <c r="D59" s="41"/>
      <c r="E59" s="41"/>
      <c r="F59" s="156"/>
      <c r="G59" s="156"/>
      <c r="H59" s="318"/>
      <c r="I59" s="50"/>
      <c r="K59" s="317"/>
      <c r="L59" s="343"/>
      <c r="M59" s="453"/>
      <c r="N59" s="453"/>
      <c r="O59" s="453"/>
      <c r="P59" s="453"/>
      <c r="Q59" s="453"/>
      <c r="R59" s="453"/>
      <c r="S59" s="453"/>
      <c r="T59" s="453"/>
      <c r="U59" s="453"/>
      <c r="V59" s="453"/>
    </row>
    <row r="60" spans="1:22" ht="15">
      <c r="A60" s="603">
        <f>ROW()</f>
        <v>60</v>
      </c>
      <c r="B60" s="1618" t="s">
        <v>333</v>
      </c>
      <c r="C60" s="41"/>
      <c r="D60" s="41"/>
      <c r="E60" s="41"/>
      <c r="F60" s="156"/>
      <c r="G60" s="156"/>
      <c r="H60" s="318"/>
      <c r="I60" s="50"/>
      <c r="K60" s="317"/>
      <c r="L60" s="343"/>
      <c r="M60" s="453"/>
      <c r="N60" s="453"/>
      <c r="O60" s="453"/>
      <c r="P60" s="453"/>
      <c r="Q60" s="453"/>
      <c r="R60" s="453"/>
      <c r="S60" s="453"/>
      <c r="T60" s="453"/>
      <c r="U60" s="453"/>
      <c r="V60" s="453"/>
    </row>
    <row r="61" spans="1:22" ht="15">
      <c r="A61" s="603">
        <f>ROW()</f>
        <v>61</v>
      </c>
      <c r="B61" s="1618" t="s">
        <v>334</v>
      </c>
      <c r="C61" s="41"/>
      <c r="D61" s="41"/>
      <c r="E61" s="41"/>
      <c r="F61" s="156"/>
      <c r="G61" s="156"/>
      <c r="H61" s="318"/>
      <c r="I61" s="50"/>
      <c r="K61" s="317"/>
      <c r="L61" s="343"/>
      <c r="M61" s="453"/>
      <c r="N61" s="453"/>
      <c r="O61" s="453"/>
      <c r="P61" s="453"/>
      <c r="Q61" s="453"/>
      <c r="R61" s="453"/>
      <c r="S61" s="453"/>
      <c r="T61" s="453"/>
      <c r="U61" s="453"/>
      <c r="V61" s="453"/>
    </row>
    <row r="62" spans="1:22">
      <c r="A62" s="603">
        <f>ROW()</f>
        <v>62</v>
      </c>
      <c r="B62" s="41" t="s">
        <v>335</v>
      </c>
      <c r="C62" s="41"/>
      <c r="D62" s="41"/>
      <c r="E62" s="41"/>
      <c r="F62" s="156"/>
      <c r="G62" s="156"/>
      <c r="H62" s="318"/>
      <c r="I62" s="50"/>
      <c r="K62" s="317"/>
      <c r="L62" s="343"/>
      <c r="M62" s="453"/>
      <c r="N62" s="453"/>
      <c r="O62" s="453"/>
      <c r="P62" s="453"/>
      <c r="Q62" s="453"/>
      <c r="R62" s="453"/>
      <c r="S62" s="453"/>
      <c r="T62" s="453"/>
      <c r="U62" s="453"/>
      <c r="V62" s="453"/>
    </row>
    <row r="63" spans="1:22">
      <c r="A63" s="603">
        <f>ROW()</f>
        <v>63</v>
      </c>
      <c r="B63" s="160" t="s">
        <v>336</v>
      </c>
      <c r="C63" s="41"/>
      <c r="D63" s="41"/>
      <c r="E63" s="41"/>
      <c r="F63" s="156"/>
      <c r="G63" s="156"/>
      <c r="H63" s="318"/>
      <c r="I63" s="50"/>
      <c r="K63" s="317"/>
      <c r="L63" s="343"/>
      <c r="M63" s="453"/>
      <c r="N63" s="453"/>
      <c r="O63" s="453"/>
      <c r="P63" s="453"/>
      <c r="Q63" s="453"/>
      <c r="R63" s="453"/>
      <c r="S63" s="453"/>
      <c r="T63" s="453"/>
      <c r="U63" s="453"/>
      <c r="V63" s="453"/>
    </row>
    <row r="64" spans="1:22">
      <c r="A64" s="921">
        <f>ROW()</f>
        <v>64</v>
      </c>
      <c r="B64" s="41"/>
      <c r="C64" s="41"/>
      <c r="D64" s="41"/>
      <c r="E64" s="41"/>
      <c r="F64" s="156"/>
      <c r="G64" s="156"/>
      <c r="H64" s="318"/>
      <c r="I64" s="50"/>
      <c r="K64" s="317"/>
      <c r="L64" s="343"/>
      <c r="M64" s="453"/>
      <c r="N64" s="453"/>
      <c r="O64" s="453"/>
      <c r="P64" s="453"/>
      <c r="Q64" s="453"/>
      <c r="R64" s="453"/>
      <c r="S64" s="453"/>
      <c r="T64" s="453"/>
      <c r="U64" s="453"/>
      <c r="V64" s="453"/>
    </row>
    <row r="65" spans="1:22" ht="15.6">
      <c r="A65" s="196" t="s">
        <v>337</v>
      </c>
      <c r="B65" s="464"/>
      <c r="C65" s="464"/>
      <c r="D65" s="464"/>
      <c r="E65" s="69"/>
      <c r="F65" s="701"/>
      <c r="G65" s="702"/>
      <c r="H65" s="702"/>
      <c r="I65" s="50"/>
      <c r="L65" s="343"/>
      <c r="M65" s="453"/>
      <c r="N65" s="453"/>
      <c r="O65" s="453"/>
      <c r="P65" s="453"/>
      <c r="Q65" s="453"/>
      <c r="R65" s="453"/>
      <c r="S65" s="453"/>
      <c r="T65" s="453"/>
      <c r="U65" s="453"/>
      <c r="V65" s="453"/>
    </row>
    <row r="66" spans="1:22" ht="51" customHeight="1">
      <c r="A66" s="921">
        <f>ROW()</f>
        <v>66</v>
      </c>
      <c r="B66" s="1781" t="s">
        <v>318</v>
      </c>
      <c r="C66" s="1781"/>
      <c r="D66" s="1578"/>
      <c r="E66" s="1370" t="s">
        <v>319</v>
      </c>
      <c r="F66" s="712" t="s">
        <v>320</v>
      </c>
      <c r="G66" s="713" t="s">
        <v>338</v>
      </c>
      <c r="H66" s="713" t="s">
        <v>339</v>
      </c>
      <c r="I66" s="714" t="s">
        <v>323</v>
      </c>
      <c r="L66" s="922" t="s">
        <v>340</v>
      </c>
      <c r="M66" s="453"/>
      <c r="N66" s="453"/>
      <c r="O66" s="453"/>
      <c r="P66" s="453"/>
      <c r="Q66" s="453"/>
      <c r="R66" s="453"/>
      <c r="S66" s="453"/>
      <c r="T66" s="453"/>
      <c r="U66" s="453"/>
      <c r="V66" s="453"/>
    </row>
    <row r="67" spans="1:22">
      <c r="A67" s="604">
        <f>ROW()</f>
        <v>67</v>
      </c>
      <c r="B67" s="1779" t="s">
        <v>325</v>
      </c>
      <c r="C67" s="1779"/>
      <c r="D67" s="1779"/>
      <c r="E67" s="1593"/>
      <c r="F67" s="1593"/>
      <c r="G67" s="1594"/>
      <c r="H67" s="1595"/>
      <c r="I67" s="1596"/>
      <c r="L67" s="343"/>
      <c r="M67" s="453"/>
      <c r="N67" s="453"/>
      <c r="O67" s="453"/>
      <c r="P67" s="453"/>
      <c r="Q67" s="453"/>
      <c r="R67" s="453"/>
      <c r="S67" s="453"/>
      <c r="T67" s="453"/>
      <c r="U67" s="453"/>
      <c r="V67" s="453"/>
    </row>
    <row r="68" spans="1:22">
      <c r="A68" s="603">
        <f>ROW()</f>
        <v>68</v>
      </c>
      <c r="B68" s="1780" t="s">
        <v>327</v>
      </c>
      <c r="C68" s="1780"/>
      <c r="D68" s="1780"/>
      <c r="E68" s="298"/>
      <c r="F68" s="298"/>
      <c r="G68" s="299"/>
      <c r="H68" s="256">
        <v>100</v>
      </c>
      <c r="I68" s="851">
        <v>0</v>
      </c>
      <c r="L68" s="343"/>
      <c r="M68" s="453"/>
      <c r="N68" s="453"/>
      <c r="O68" s="453"/>
      <c r="P68" s="453"/>
      <c r="Q68" s="453"/>
      <c r="R68" s="453"/>
      <c r="S68" s="453"/>
      <c r="T68" s="453"/>
      <c r="U68" s="453"/>
      <c r="V68" s="453"/>
    </row>
    <row r="69" spans="1:22">
      <c r="A69" s="603">
        <f>ROW()</f>
        <v>69</v>
      </c>
      <c r="B69" s="1652" t="s">
        <v>328</v>
      </c>
      <c r="C69" s="1652"/>
      <c r="D69" s="1652"/>
      <c r="E69" s="298"/>
      <c r="F69" s="298"/>
      <c r="G69" s="299"/>
      <c r="H69" s="256">
        <v>0</v>
      </c>
      <c r="I69" s="851">
        <v>0</v>
      </c>
      <c r="L69" s="343"/>
      <c r="M69" s="453"/>
      <c r="N69" s="453"/>
      <c r="O69" s="453"/>
      <c r="P69" s="453"/>
      <c r="Q69" s="453"/>
      <c r="R69" s="453"/>
      <c r="S69" s="453"/>
      <c r="T69" s="453"/>
      <c r="U69" s="453"/>
      <c r="V69" s="453"/>
    </row>
    <row r="70" spans="1:22">
      <c r="A70" s="603">
        <f>ROW()</f>
        <v>70</v>
      </c>
      <c r="B70" s="1652" t="s">
        <v>329</v>
      </c>
      <c r="C70" s="1652"/>
      <c r="D70" s="1652"/>
      <c r="E70" s="298"/>
      <c r="F70" s="298"/>
      <c r="G70" s="299"/>
      <c r="H70" s="256">
        <v>0</v>
      </c>
      <c r="I70" s="851">
        <v>0</v>
      </c>
      <c r="L70" s="343"/>
      <c r="M70" s="453"/>
      <c r="N70" s="453"/>
      <c r="O70" s="453"/>
      <c r="P70" s="453"/>
      <c r="Q70" s="453"/>
      <c r="R70" s="453"/>
      <c r="S70" s="453"/>
      <c r="T70" s="453"/>
      <c r="U70" s="453"/>
      <c r="V70" s="453"/>
    </row>
    <row r="71" spans="1:22">
      <c r="A71" s="603">
        <f>ROW()</f>
        <v>71</v>
      </c>
      <c r="B71" s="1652"/>
      <c r="C71" s="1652"/>
      <c r="D71" s="1652"/>
      <c r="E71" s="298"/>
      <c r="F71" s="298"/>
      <c r="G71" s="299"/>
      <c r="H71" s="256">
        <v>0</v>
      </c>
      <c r="I71" s="851">
        <v>0</v>
      </c>
      <c r="L71" s="343"/>
      <c r="M71" s="453"/>
      <c r="N71" s="453"/>
      <c r="O71" s="453"/>
      <c r="P71" s="453"/>
      <c r="Q71" s="453"/>
      <c r="R71" s="453"/>
      <c r="S71" s="453"/>
      <c r="T71" s="453"/>
      <c r="U71" s="453"/>
      <c r="V71" s="453"/>
    </row>
    <row r="72" spans="1:22">
      <c r="A72" s="603">
        <f>ROW()</f>
        <v>72</v>
      </c>
      <c r="B72" s="1652"/>
      <c r="C72" s="1652"/>
      <c r="D72" s="1652"/>
      <c r="E72" s="298"/>
      <c r="F72" s="298"/>
      <c r="G72" s="299"/>
      <c r="H72" s="256">
        <v>0</v>
      </c>
      <c r="I72" s="851">
        <v>0</v>
      </c>
      <c r="L72" s="343"/>
      <c r="M72" s="453"/>
      <c r="N72" s="453"/>
      <c r="O72" s="453"/>
      <c r="P72" s="453"/>
      <c r="Q72" s="453"/>
      <c r="R72" s="453"/>
      <c r="S72" s="453"/>
      <c r="T72" s="453"/>
      <c r="U72" s="453"/>
      <c r="V72" s="453"/>
    </row>
    <row r="73" spans="1:22">
      <c r="A73" s="603">
        <f>ROW()</f>
        <v>73</v>
      </c>
      <c r="B73" s="1652"/>
      <c r="C73" s="1652"/>
      <c r="D73" s="1652"/>
      <c r="E73" s="298"/>
      <c r="F73" s="298"/>
      <c r="G73" s="299"/>
      <c r="H73" s="256">
        <v>0</v>
      </c>
      <c r="I73" s="851">
        <v>0</v>
      </c>
      <c r="L73" s="343"/>
      <c r="M73" s="453"/>
      <c r="N73" s="453"/>
      <c r="O73" s="453"/>
      <c r="P73" s="453"/>
      <c r="Q73" s="453"/>
      <c r="R73" s="453"/>
      <c r="S73" s="453"/>
      <c r="T73" s="453"/>
      <c r="U73" s="453"/>
      <c r="V73" s="453"/>
    </row>
    <row r="74" spans="1:22">
      <c r="A74" s="603">
        <f>ROW()</f>
        <v>74</v>
      </c>
      <c r="B74" s="1652"/>
      <c r="C74" s="1652"/>
      <c r="D74" s="1652"/>
      <c r="E74" s="298"/>
      <c r="F74" s="298"/>
      <c r="G74" s="299"/>
      <c r="H74" s="256">
        <v>0</v>
      </c>
      <c r="I74" s="851">
        <v>0</v>
      </c>
      <c r="L74" s="343"/>
      <c r="M74" s="453"/>
      <c r="N74" s="453"/>
      <c r="O74" s="453"/>
      <c r="P74" s="453"/>
      <c r="Q74" s="453"/>
      <c r="R74" s="453"/>
      <c r="S74" s="453"/>
      <c r="T74" s="453"/>
      <c r="U74" s="453"/>
      <c r="V74" s="453"/>
    </row>
    <row r="75" spans="1:22">
      <c r="A75" s="603">
        <f>ROW()</f>
        <v>75</v>
      </c>
      <c r="B75" s="1780"/>
      <c r="C75" s="1780"/>
      <c r="D75" s="1780"/>
      <c r="E75" s="298"/>
      <c r="F75" s="298"/>
      <c r="G75" s="299"/>
      <c r="H75" s="256">
        <v>0</v>
      </c>
      <c r="I75" s="851">
        <v>0</v>
      </c>
      <c r="L75" s="343"/>
      <c r="M75" s="453"/>
      <c r="N75" s="453"/>
      <c r="O75" s="453"/>
      <c r="P75" s="453"/>
      <c r="Q75" s="453"/>
      <c r="R75" s="453"/>
      <c r="S75" s="453"/>
      <c r="T75" s="453"/>
      <c r="U75" s="453"/>
      <c r="V75" s="453"/>
    </row>
    <row r="76" spans="1:22">
      <c r="A76" s="603">
        <f>ROW()</f>
        <v>76</v>
      </c>
      <c r="B76" s="1652"/>
      <c r="C76" s="1652"/>
      <c r="D76" s="1652"/>
      <c r="E76" s="298"/>
      <c r="F76" s="298"/>
      <c r="G76" s="299"/>
      <c r="H76" s="256">
        <v>0</v>
      </c>
      <c r="I76" s="851">
        <v>0</v>
      </c>
      <c r="L76" s="343"/>
      <c r="M76" s="453"/>
      <c r="N76" s="453"/>
      <c r="O76" s="453"/>
      <c r="P76" s="453"/>
      <c r="Q76" s="453"/>
      <c r="R76" s="453"/>
      <c r="S76" s="453"/>
      <c r="T76" s="453"/>
      <c r="U76" s="453"/>
      <c r="V76" s="453"/>
    </row>
    <row r="77" spans="1:22">
      <c r="A77" s="603">
        <f>ROW()</f>
        <v>77</v>
      </c>
      <c r="B77" s="1587" t="s">
        <v>330</v>
      </c>
      <c r="C77" s="1588"/>
      <c r="D77" s="1588"/>
      <c r="E77" s="1589"/>
      <c r="F77" s="1589"/>
      <c r="G77" s="1590"/>
      <c r="H77" s="1591"/>
      <c r="I77" s="1592"/>
      <c r="L77" s="343"/>
      <c r="M77" s="453"/>
      <c r="N77" s="453"/>
      <c r="O77" s="453"/>
      <c r="P77" s="453"/>
      <c r="Q77" s="453"/>
      <c r="R77" s="453"/>
      <c r="S77" s="453"/>
      <c r="T77" s="453"/>
      <c r="U77" s="453"/>
      <c r="V77" s="453"/>
    </row>
    <row r="78" spans="1:22">
      <c r="A78" s="603">
        <f>ROW()</f>
        <v>78</v>
      </c>
      <c r="B78" s="1652"/>
      <c r="C78" s="1652"/>
      <c r="D78" s="1652"/>
      <c r="E78" s="298"/>
      <c r="F78" s="298"/>
      <c r="G78" s="299"/>
      <c r="H78" s="256">
        <v>0</v>
      </c>
      <c r="I78" s="851">
        <v>0</v>
      </c>
      <c r="L78" s="343"/>
      <c r="M78" s="453"/>
      <c r="N78" s="453"/>
      <c r="O78" s="453"/>
      <c r="P78" s="453"/>
      <c r="Q78" s="453"/>
      <c r="R78" s="453"/>
      <c r="S78" s="453"/>
      <c r="T78" s="453"/>
      <c r="U78" s="453"/>
      <c r="V78" s="453"/>
    </row>
    <row r="79" spans="1:22">
      <c r="A79" s="603">
        <f>ROW()</f>
        <v>79</v>
      </c>
      <c r="B79" s="1652"/>
      <c r="C79" s="1652"/>
      <c r="D79" s="1652"/>
      <c r="E79" s="298"/>
      <c r="F79" s="298"/>
      <c r="G79" s="299"/>
      <c r="H79" s="256">
        <v>0</v>
      </c>
      <c r="I79" s="851">
        <v>0</v>
      </c>
      <c r="L79" s="343"/>
      <c r="M79" s="453"/>
      <c r="N79" s="453"/>
      <c r="O79" s="453"/>
      <c r="P79" s="453"/>
      <c r="Q79" s="453"/>
      <c r="R79" s="453"/>
      <c r="S79" s="453"/>
      <c r="T79" s="453"/>
      <c r="U79" s="453"/>
      <c r="V79" s="453"/>
    </row>
    <row r="80" spans="1:22">
      <c r="A80" s="603">
        <f>ROW()</f>
        <v>80</v>
      </c>
      <c r="B80" s="1652"/>
      <c r="C80" s="1652"/>
      <c r="D80" s="1652"/>
      <c r="E80" s="298"/>
      <c r="F80" s="298"/>
      <c r="G80" s="299"/>
      <c r="H80" s="256">
        <v>0</v>
      </c>
      <c r="I80" s="851">
        <v>0</v>
      </c>
      <c r="L80" s="343"/>
      <c r="M80" s="453"/>
      <c r="N80" s="453"/>
      <c r="O80" s="453"/>
      <c r="P80" s="453"/>
      <c r="Q80" s="453"/>
      <c r="R80" s="453"/>
      <c r="S80" s="453"/>
      <c r="T80" s="453"/>
      <c r="U80" s="453"/>
      <c r="V80" s="453"/>
    </row>
    <row r="81" spans="1:22">
      <c r="A81" s="603">
        <f>ROW()</f>
        <v>81</v>
      </c>
      <c r="B81" s="1652"/>
      <c r="C81" s="1652"/>
      <c r="D81" s="1652"/>
      <c r="E81" s="298"/>
      <c r="F81" s="298"/>
      <c r="G81" s="299"/>
      <c r="H81" s="256">
        <v>0</v>
      </c>
      <c r="I81" s="851">
        <v>0</v>
      </c>
      <c r="L81" s="343"/>
      <c r="M81" s="453"/>
      <c r="N81" s="453"/>
      <c r="O81" s="453"/>
      <c r="P81" s="453"/>
      <c r="Q81" s="453"/>
      <c r="R81" s="453"/>
      <c r="S81" s="453"/>
      <c r="T81" s="453"/>
      <c r="U81" s="453"/>
      <c r="V81" s="453"/>
    </row>
    <row r="82" spans="1:22">
      <c r="A82" s="603">
        <f>ROW()</f>
        <v>82</v>
      </c>
      <c r="B82" s="1652"/>
      <c r="C82" s="1652"/>
      <c r="D82" s="1652"/>
      <c r="E82" s="298"/>
      <c r="F82" s="298"/>
      <c r="G82" s="299"/>
      <c r="H82" s="256">
        <v>0</v>
      </c>
      <c r="I82" s="851">
        <v>0</v>
      </c>
      <c r="L82" s="343"/>
      <c r="M82" s="453"/>
      <c r="N82" s="453"/>
      <c r="O82" s="453"/>
      <c r="P82" s="453"/>
      <c r="Q82" s="453"/>
      <c r="R82" s="453"/>
      <c r="S82" s="453"/>
      <c r="T82" s="453"/>
      <c r="U82" s="453"/>
      <c r="V82" s="453"/>
    </row>
    <row r="83" spans="1:22">
      <c r="A83" s="603">
        <f>ROW()</f>
        <v>83</v>
      </c>
      <c r="B83" s="1652"/>
      <c r="C83" s="1652"/>
      <c r="D83" s="1652"/>
      <c r="E83" s="298"/>
      <c r="F83" s="298"/>
      <c r="G83" s="299"/>
      <c r="H83" s="256">
        <v>0</v>
      </c>
      <c r="I83" s="851">
        <v>0</v>
      </c>
      <c r="L83" s="343"/>
      <c r="M83" s="453"/>
      <c r="N83" s="453"/>
      <c r="O83" s="453"/>
      <c r="P83" s="453"/>
      <c r="Q83" s="453"/>
      <c r="R83" s="453"/>
      <c r="S83" s="453"/>
      <c r="T83" s="453"/>
      <c r="U83" s="453"/>
      <c r="V83" s="453"/>
    </row>
    <row r="84" spans="1:22">
      <c r="A84" s="603">
        <f>ROW()</f>
        <v>84</v>
      </c>
      <c r="B84" s="1652"/>
      <c r="C84" s="1652"/>
      <c r="D84" s="1652"/>
      <c r="E84" s="298"/>
      <c r="F84" s="298"/>
      <c r="G84" s="299"/>
      <c r="H84" s="256">
        <v>0</v>
      </c>
      <c r="I84" s="851">
        <v>0</v>
      </c>
      <c r="L84" s="343"/>
      <c r="M84" s="453"/>
      <c r="N84" s="453"/>
      <c r="O84" s="453"/>
      <c r="P84" s="453"/>
      <c r="Q84" s="453"/>
      <c r="R84" s="453"/>
      <c r="S84" s="453"/>
      <c r="T84" s="453"/>
      <c r="U84" s="453"/>
      <c r="V84" s="453"/>
    </row>
    <row r="85" spans="1:22">
      <c r="A85" s="603">
        <f>ROW()</f>
        <v>85</v>
      </c>
      <c r="B85" s="1652"/>
      <c r="C85" s="1652"/>
      <c r="D85" s="1652"/>
      <c r="E85" s="298"/>
      <c r="F85" s="298"/>
      <c r="G85" s="299"/>
      <c r="H85" s="256">
        <v>0</v>
      </c>
      <c r="I85" s="851">
        <v>0</v>
      </c>
      <c r="L85" s="343"/>
      <c r="M85" s="453"/>
      <c r="N85" s="453"/>
      <c r="O85" s="453"/>
      <c r="P85" s="453"/>
      <c r="Q85" s="453"/>
      <c r="R85" s="453"/>
      <c r="S85" s="453"/>
      <c r="T85" s="453"/>
      <c r="U85" s="453"/>
      <c r="V85" s="453"/>
    </row>
    <row r="86" spans="1:22">
      <c r="A86" s="921">
        <f>ROW()</f>
        <v>86</v>
      </c>
      <c r="B86" s="1778"/>
      <c r="C86" s="1778"/>
      <c r="D86" s="1778"/>
      <c r="E86" s="916"/>
      <c r="F86" s="916"/>
      <c r="G86" s="917"/>
      <c r="H86" s="258">
        <v>0</v>
      </c>
      <c r="I86" s="918">
        <v>0</v>
      </c>
      <c r="L86" s="343"/>
      <c r="M86" s="453"/>
      <c r="N86" s="453"/>
      <c r="O86" s="453"/>
      <c r="P86" s="453"/>
      <c r="Q86" s="453"/>
      <c r="R86" s="453"/>
      <c r="S86" s="453"/>
      <c r="T86" s="453"/>
      <c r="U86" s="453"/>
      <c r="V86" s="453"/>
    </row>
    <row r="87" spans="1:22" ht="13.5" customHeight="1">
      <c r="A87" s="64"/>
      <c r="B87" s="143"/>
      <c r="C87" s="143"/>
      <c r="D87" s="143"/>
      <c r="E87" s="143"/>
      <c r="F87" s="143"/>
      <c r="G87" s="919"/>
      <c r="H87" s="919">
        <f>SUM(H67:H86)</f>
        <v>100</v>
      </c>
      <c r="I87" s="920">
        <f>IFERROR(SUMPRODUCT(H67:H86,I67:I86)/H87,0)</f>
        <v>0</v>
      </c>
      <c r="K87" s="156"/>
      <c r="L87" s="343"/>
      <c r="M87" s="453"/>
      <c r="N87" s="453"/>
      <c r="O87" s="453"/>
      <c r="P87" s="453"/>
      <c r="Q87" s="453"/>
      <c r="R87" s="453"/>
      <c r="S87" s="453"/>
      <c r="T87" s="453"/>
      <c r="U87" s="453"/>
      <c r="V87" s="453"/>
    </row>
    <row r="88" spans="1:22">
      <c r="A88" s="64"/>
      <c r="B88" s="46"/>
      <c r="C88" s="46"/>
      <c r="D88" s="46"/>
      <c r="E88" s="41"/>
      <c r="F88" s="73"/>
      <c r="G88" s="74"/>
      <c r="H88" s="74"/>
      <c r="I88" s="50"/>
      <c r="K88" s="156"/>
      <c r="L88" s="343"/>
      <c r="M88" s="453"/>
      <c r="N88" s="453"/>
      <c r="O88" s="453"/>
      <c r="P88" s="453"/>
      <c r="Q88" s="453"/>
      <c r="R88" s="453"/>
      <c r="S88" s="453"/>
      <c r="T88" s="453"/>
      <c r="U88" s="453"/>
      <c r="V88" s="453"/>
    </row>
    <row r="89" spans="1:22">
      <c r="I89" s="50"/>
      <c r="M89" s="453"/>
      <c r="N89" s="453"/>
      <c r="O89" s="453"/>
      <c r="P89" s="453"/>
      <c r="Q89" s="453"/>
      <c r="R89" s="453"/>
      <c r="S89" s="453"/>
      <c r="T89" s="453"/>
      <c r="U89" s="453"/>
      <c r="V89" s="453"/>
    </row>
    <row r="90" spans="1:22">
      <c r="M90" s="453"/>
      <c r="N90" s="453"/>
      <c r="O90" s="453"/>
      <c r="P90" s="453"/>
      <c r="Q90" s="453"/>
      <c r="R90" s="453"/>
      <c r="S90" s="453"/>
      <c r="T90" s="453"/>
      <c r="U90" s="453"/>
      <c r="V90" s="453"/>
    </row>
    <row r="91" spans="1:22">
      <c r="M91" s="453"/>
      <c r="N91" s="453"/>
      <c r="O91" s="453"/>
      <c r="P91" s="453"/>
      <c r="Q91" s="453"/>
      <c r="R91" s="453"/>
      <c r="S91" s="453"/>
      <c r="T91" s="453"/>
      <c r="U91" s="453"/>
      <c r="V91" s="453"/>
    </row>
    <row r="92" spans="1:22">
      <c r="M92" s="453"/>
      <c r="N92" s="453"/>
      <c r="O92" s="453"/>
      <c r="P92" s="453"/>
      <c r="Q92" s="453"/>
      <c r="R92" s="453"/>
      <c r="S92" s="453"/>
      <c r="T92" s="453"/>
      <c r="U92" s="453"/>
      <c r="V92" s="453"/>
    </row>
    <row r="93" spans="1:22">
      <c r="M93" s="453"/>
      <c r="N93" s="453"/>
      <c r="O93" s="453"/>
      <c r="P93" s="453"/>
      <c r="Q93" s="453"/>
      <c r="R93" s="453"/>
      <c r="S93" s="453"/>
      <c r="T93" s="453"/>
      <c r="U93" s="453"/>
      <c r="V93" s="453"/>
    </row>
    <row r="94" spans="1:22">
      <c r="M94" s="453"/>
      <c r="N94" s="453"/>
      <c r="O94" s="453"/>
      <c r="P94" s="453"/>
      <c r="Q94" s="453"/>
      <c r="R94" s="453"/>
      <c r="S94" s="453"/>
      <c r="T94" s="453"/>
      <c r="U94" s="453"/>
      <c r="V94" s="453"/>
    </row>
    <row r="95" spans="1:22">
      <c r="M95" s="453"/>
      <c r="N95" s="453"/>
      <c r="O95" s="453"/>
      <c r="P95" s="453"/>
      <c r="Q95" s="453"/>
      <c r="R95" s="453"/>
      <c r="S95" s="453"/>
      <c r="T95" s="453"/>
      <c r="U95" s="453"/>
      <c r="V95" s="453"/>
    </row>
    <row r="96" spans="1:22">
      <c r="M96" s="453"/>
      <c r="N96" s="453"/>
      <c r="O96" s="453"/>
      <c r="P96" s="453"/>
      <c r="Q96" s="453"/>
      <c r="R96" s="453"/>
      <c r="S96" s="453"/>
      <c r="T96" s="453"/>
      <c r="U96" s="453"/>
      <c r="V96" s="453"/>
    </row>
    <row r="97" spans="13:22">
      <c r="M97" s="453"/>
      <c r="N97" s="453"/>
      <c r="O97" s="453"/>
      <c r="P97" s="453"/>
      <c r="Q97" s="453"/>
      <c r="R97" s="453"/>
      <c r="S97" s="453"/>
      <c r="T97" s="453"/>
      <c r="U97" s="453"/>
      <c r="V97" s="453"/>
    </row>
    <row r="98" spans="13:22">
      <c r="M98" s="453"/>
      <c r="N98" s="453"/>
      <c r="O98" s="453"/>
      <c r="P98" s="453"/>
      <c r="Q98" s="453"/>
      <c r="R98" s="453"/>
      <c r="S98" s="453"/>
      <c r="T98" s="453"/>
      <c r="U98" s="453"/>
      <c r="V98" s="453"/>
    </row>
    <row r="99" spans="13:22">
      <c r="M99" s="453"/>
      <c r="N99" s="453"/>
      <c r="O99" s="453"/>
      <c r="P99" s="453"/>
      <c r="Q99" s="453"/>
      <c r="R99" s="453"/>
      <c r="S99" s="453"/>
      <c r="T99" s="453"/>
      <c r="U99" s="453"/>
      <c r="V99" s="453"/>
    </row>
    <row r="100" spans="13:22">
      <c r="M100" s="453"/>
      <c r="N100" s="453"/>
      <c r="O100" s="453"/>
      <c r="P100" s="453"/>
      <c r="Q100" s="453"/>
      <c r="R100" s="453"/>
      <c r="S100" s="453"/>
      <c r="T100" s="453"/>
      <c r="U100" s="453"/>
      <c r="V100" s="453"/>
    </row>
    <row r="101" spans="13:22">
      <c r="M101" s="453"/>
      <c r="N101" s="453"/>
      <c r="O101" s="453"/>
      <c r="P101" s="453"/>
      <c r="Q101" s="453"/>
      <c r="R101" s="453"/>
      <c r="S101" s="453"/>
      <c r="T101" s="453"/>
      <c r="U101" s="453"/>
      <c r="V101" s="453"/>
    </row>
  </sheetData>
  <sheetProtection algorithmName="SHA-512" hashValue="Tw1fBU5KptirmWALBf0y16SsEe/GChy/0YevLlv0s6QHYUWdXTrROHheN40+f1iJ0Xng5JDvMw0yET4TKF/4dA==" saltValue="9lQ52qjD3TQCJCLmQEIxpA==" spinCount="100000" sheet="1" objects="1" scenarios="1"/>
  <mergeCells count="8">
    <mergeCell ref="B86:D86"/>
    <mergeCell ref="B67:D67"/>
    <mergeCell ref="B68:D68"/>
    <mergeCell ref="B75:D75"/>
    <mergeCell ref="B34:C34"/>
    <mergeCell ref="B66:C66"/>
    <mergeCell ref="B35:D35"/>
    <mergeCell ref="B48:D48"/>
  </mergeCells>
  <conditionalFormatting sqref="B14:C26">
    <cfRule type="expression" dxfId="62" priority="66" stopIfTrue="1">
      <formula>MOD(ROW(),2)=0</formula>
    </cfRule>
  </conditionalFormatting>
  <conditionalFormatting sqref="D1">
    <cfRule type="expression" dxfId="61" priority="7" stopIfTrue="1">
      <formula>MOD(ROW(),2)=0</formula>
    </cfRule>
  </conditionalFormatting>
  <conditionalFormatting sqref="D11:J12">
    <cfRule type="cellIs" dxfId="60" priority="68" stopIfTrue="1" operator="equal">
      <formula>0</formula>
    </cfRule>
  </conditionalFormatting>
  <conditionalFormatting sqref="D14:J26">
    <cfRule type="cellIs" dxfId="59" priority="67" stopIfTrue="1" operator="equal">
      <formula>0</formula>
    </cfRule>
  </conditionalFormatting>
  <hyperlinks>
    <hyperlink ref="D1" location="HypLink1" display="HypLink1"/>
    <hyperlink ref="B60" r:id="rId1"/>
    <hyperlink ref="B61" r:id="rId2"/>
  </hyperlinks>
  <pageMargins left="0.25" right="0.25" top="0.5" bottom="0.45" header="0.25" footer="0.25"/>
  <pageSetup fitToHeight="3" orientation="landscape" r:id="rId3"/>
  <headerFooter>
    <oddHeader xml:space="preserve">&amp;L &amp;C &amp;R </oddHeader>
    <oddFooter>&amp;L&amp;7&amp;D  at &amp;T Mike 702.854.0691&amp;C&amp;7&amp;F  &amp;A&amp;R&amp;7Page &amp;P of &amp;N</oddFooter>
  </headerFooter>
  <rowBreaks count="2" manualBreakCount="2">
    <brk id="32" max="10" man="1"/>
    <brk id="64" max="10" man="1"/>
  </rowBreaks>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50"/>
  </sheetPr>
  <dimension ref="A1:N149"/>
  <sheetViews>
    <sheetView topLeftCell="A70" zoomScaleNormal="100" workbookViewId="0">
      <selection activeCell="H119" sqref="H119"/>
    </sheetView>
  </sheetViews>
  <sheetFormatPr defaultColWidth="8.77734375" defaultRowHeight="13.8"/>
  <cols>
    <col min="1" max="1" width="5.5546875" style="33" customWidth="1"/>
    <col min="2" max="2" width="44.21875" style="33" customWidth="1"/>
    <col min="3" max="3" width="17.77734375" style="33" customWidth="1"/>
    <col min="4" max="4" width="10.44140625" style="33" customWidth="1"/>
    <col min="5" max="5" width="11" style="33" customWidth="1"/>
    <col min="6" max="6" width="15.21875" style="33" customWidth="1"/>
    <col min="7" max="7" width="16.21875" style="33" customWidth="1"/>
    <col min="8" max="9" width="21" style="33" customWidth="1"/>
    <col min="10" max="12" width="17" style="33" customWidth="1"/>
    <col min="13" max="13" width="1.21875" style="33" customWidth="1"/>
    <col min="14" max="14" width="88.5546875" style="307" customWidth="1"/>
    <col min="15" max="15" width="12.21875" style="33" customWidth="1"/>
    <col min="16" max="16384" width="8.77734375" style="33"/>
  </cols>
  <sheetData>
    <row r="1" spans="1:14" ht="17.399999999999999">
      <c r="A1" s="123" t="s">
        <v>116</v>
      </c>
      <c r="B1" s="35"/>
      <c r="D1" s="408" t="s">
        <v>3</v>
      </c>
      <c r="E1" s="408"/>
    </row>
    <row r="2" spans="1:14" ht="15.6">
      <c r="A2" s="114" t="str">
        <f>SchoolName</f>
        <v>The Delta Academy</v>
      </c>
      <c r="B2" s="38"/>
    </row>
    <row r="3" spans="1:14">
      <c r="A3" s="39" t="s">
        <v>80</v>
      </c>
      <c r="K3" s="31"/>
    </row>
    <row r="4" spans="1:14">
      <c r="A4" s="40" t="s">
        <v>81</v>
      </c>
    </row>
    <row r="5" spans="1:14">
      <c r="A5" s="30" t="str">
        <f ca="1">CELL("filename")</f>
        <v>C:\Users\kyle.konold\Downloads\[FY25 Budget - Delta Academy_Final.xlsx]Form 1 Cover</v>
      </c>
    </row>
    <row r="6" spans="1:14" ht="15.6">
      <c r="A6" s="64"/>
      <c r="D6" s="65" t="s">
        <v>341</v>
      </c>
      <c r="E6" s="65"/>
      <c r="G6" s="260"/>
      <c r="J6" s="65"/>
    </row>
    <row r="7" spans="1:14">
      <c r="A7" s="64"/>
      <c r="D7" s="32" t="s">
        <v>342</v>
      </c>
      <c r="E7" s="32"/>
      <c r="G7" s="32"/>
      <c r="J7" s="32"/>
    </row>
    <row r="8" spans="1:14">
      <c r="A8" s="64"/>
      <c r="F8" s="32"/>
      <c r="G8" s="31"/>
    </row>
    <row r="9" spans="1:14">
      <c r="A9" s="64"/>
      <c r="B9" s="31"/>
      <c r="F9" s="1638">
        <v>0</v>
      </c>
      <c r="G9" s="718">
        <v>1</v>
      </c>
      <c r="H9" s="718">
        <f>1+G9</f>
        <v>2</v>
      </c>
      <c r="I9" s="718">
        <f>1+H9</f>
        <v>3</v>
      </c>
      <c r="J9" s="718">
        <f>1+I9</f>
        <v>4</v>
      </c>
      <c r="K9" s="718">
        <f>1+J9</f>
        <v>5</v>
      </c>
      <c r="L9" s="1188">
        <f>1+K9</f>
        <v>6</v>
      </c>
    </row>
    <row r="10" spans="1:14">
      <c r="A10" s="346"/>
      <c r="B10" s="66"/>
      <c r="F10" s="719">
        <f>+G10-1</f>
        <v>2024</v>
      </c>
      <c r="G10" s="720">
        <f>Cover!E11</f>
        <v>2025</v>
      </c>
      <c r="H10" s="720">
        <f>+G11</f>
        <v>2026</v>
      </c>
      <c r="I10" s="720">
        <f>+H11</f>
        <v>2027</v>
      </c>
      <c r="J10" s="720">
        <f>+I11</f>
        <v>2028</v>
      </c>
      <c r="K10" s="720">
        <f>+J11</f>
        <v>2029</v>
      </c>
      <c r="L10" s="721">
        <f>+K11</f>
        <v>2030</v>
      </c>
    </row>
    <row r="11" spans="1:14" ht="17.399999999999999">
      <c r="A11" s="346">
        <f>ROW()</f>
        <v>11</v>
      </c>
      <c r="B11" s="1661" t="s">
        <v>116</v>
      </c>
      <c r="C11" s="1199" t="s">
        <v>343</v>
      </c>
      <c r="D11" s="245"/>
      <c r="E11" s="1662"/>
      <c r="F11" s="722">
        <f>+G11-1</f>
        <v>2025</v>
      </c>
      <c r="G11" s="723">
        <f t="shared" ref="G11:L11" si="0">+G10+1</f>
        <v>2026</v>
      </c>
      <c r="H11" s="723">
        <f t="shared" si="0"/>
        <v>2027</v>
      </c>
      <c r="I11" s="723">
        <f t="shared" si="0"/>
        <v>2028</v>
      </c>
      <c r="J11" s="723">
        <f t="shared" si="0"/>
        <v>2029</v>
      </c>
      <c r="K11" s="723">
        <f t="shared" si="0"/>
        <v>2030</v>
      </c>
      <c r="L11" s="724">
        <f t="shared" si="0"/>
        <v>2031</v>
      </c>
    </row>
    <row r="12" spans="1:14" ht="15.6">
      <c r="A12" s="346">
        <f>ROW()</f>
        <v>12</v>
      </c>
      <c r="B12" s="1663" t="s">
        <v>1463</v>
      </c>
      <c r="C12" s="1664"/>
      <c r="D12" s="595"/>
      <c r="E12" s="595"/>
      <c r="F12" s="245"/>
      <c r="G12" s="1577">
        <f>+G36</f>
        <v>1595</v>
      </c>
      <c r="H12" s="1577">
        <f t="shared" ref="H12:L12" si="1">+H36</f>
        <v>1688</v>
      </c>
      <c r="I12" s="1577">
        <f t="shared" si="1"/>
        <v>1788.6201881600005</v>
      </c>
      <c r="J12" s="1577">
        <f t="shared" si="1"/>
        <v>1895.9373994496007</v>
      </c>
      <c r="K12" s="1577">
        <f t="shared" si="1"/>
        <v>2009.6936434165768</v>
      </c>
      <c r="L12" s="1577">
        <f t="shared" si="1"/>
        <v>2130.2752620215715</v>
      </c>
    </row>
    <row r="13" spans="1:14" ht="15.6">
      <c r="A13" s="346">
        <f>ROW()</f>
        <v>13</v>
      </c>
      <c r="B13" s="80"/>
      <c r="D13" s="283"/>
      <c r="E13" s="283"/>
      <c r="F13" s="245"/>
      <c r="G13" s="1199"/>
      <c r="H13" s="1199"/>
      <c r="I13" s="1199"/>
      <c r="J13" s="1199"/>
      <c r="K13" s="1199"/>
      <c r="L13" s="1199"/>
    </row>
    <row r="14" spans="1:14" ht="15.6">
      <c r="A14" s="346">
        <f>ROW()</f>
        <v>14</v>
      </c>
      <c r="B14" s="852" t="s">
        <v>275</v>
      </c>
      <c r="C14" s="853"/>
      <c r="D14" s="853"/>
      <c r="E14" s="853"/>
      <c r="F14" s="726"/>
      <c r="G14" s="725"/>
      <c r="H14" s="725"/>
      <c r="I14" s="725"/>
      <c r="J14" s="725"/>
      <c r="K14" s="725"/>
      <c r="L14" s="725"/>
      <c r="N14" s="1365" t="s">
        <v>103</v>
      </c>
    </row>
    <row r="15" spans="1:14" ht="15.6">
      <c r="A15" s="346">
        <f>ROW()</f>
        <v>15</v>
      </c>
      <c r="B15" s="31"/>
      <c r="F15" s="283"/>
      <c r="G15" s="292"/>
      <c r="H15" s="292"/>
      <c r="I15" s="292"/>
      <c r="J15" s="292"/>
      <c r="K15" s="292"/>
      <c r="L15" s="292"/>
      <c r="N15" s="1278"/>
    </row>
    <row r="16" spans="1:14" ht="15.6">
      <c r="A16" s="346">
        <f>ROW()</f>
        <v>16</v>
      </c>
      <c r="B16" s="715" t="s">
        <v>344</v>
      </c>
      <c r="C16" s="716"/>
      <c r="D16" s="716"/>
      <c r="E16" s="716"/>
      <c r="F16" s="1283"/>
      <c r="G16" s="1284"/>
      <c r="H16" s="1284"/>
      <c r="I16" s="1284"/>
      <c r="J16" s="1284"/>
      <c r="K16" s="1284"/>
      <c r="L16" s="1284"/>
      <c r="N16" s="462"/>
    </row>
    <row r="17" spans="1:14">
      <c r="A17" s="346">
        <f>ROW()</f>
        <v>17</v>
      </c>
      <c r="B17" s="656" t="s">
        <v>297</v>
      </c>
      <c r="C17" s="524"/>
      <c r="D17" s="524"/>
      <c r="E17" s="524"/>
      <c r="F17" s="657"/>
      <c r="G17" s="809">
        <f t="shared" ref="G17:L17" si="2">COUNTIF(G23:G35,"&gt;0")</f>
        <v>7</v>
      </c>
      <c r="H17" s="809">
        <f t="shared" si="2"/>
        <v>7</v>
      </c>
      <c r="I17" s="809">
        <f t="shared" si="2"/>
        <v>7</v>
      </c>
      <c r="J17" s="809">
        <f t="shared" si="2"/>
        <v>7</v>
      </c>
      <c r="K17" s="809">
        <f t="shared" si="2"/>
        <v>7</v>
      </c>
      <c r="L17" s="809">
        <f t="shared" si="2"/>
        <v>7</v>
      </c>
      <c r="N17" s="343"/>
    </row>
    <row r="18" spans="1:14">
      <c r="A18" s="346">
        <f>ROW()</f>
        <v>18</v>
      </c>
      <c r="B18" s="70" t="s">
        <v>345</v>
      </c>
      <c r="C18" s="72"/>
      <c r="D18" s="72"/>
      <c r="E18" s="72"/>
      <c r="F18" s="493"/>
      <c r="G18" s="622">
        <v>0</v>
      </c>
      <c r="H18" s="622">
        <v>0</v>
      </c>
      <c r="I18" s="622">
        <v>0</v>
      </c>
      <c r="J18" s="622">
        <v>0</v>
      </c>
      <c r="K18" s="622">
        <v>0</v>
      </c>
      <c r="L18" s="622">
        <v>0</v>
      </c>
      <c r="N18" s="343"/>
    </row>
    <row r="19" spans="1:14">
      <c r="A19" s="346">
        <f>ROW()</f>
        <v>19</v>
      </c>
      <c r="B19" s="70" t="s">
        <v>346</v>
      </c>
      <c r="C19" s="72"/>
      <c r="D19" s="72"/>
      <c r="E19" s="72"/>
      <c r="F19" s="493"/>
      <c r="G19" s="810">
        <f>IFERROR(+G36/G18,0)</f>
        <v>0</v>
      </c>
      <c r="H19" s="810">
        <f t="shared" ref="H19:L19" si="3">IFERROR(+H36/H18,0)</f>
        <v>0</v>
      </c>
      <c r="I19" s="810">
        <f t="shared" si="3"/>
        <v>0</v>
      </c>
      <c r="J19" s="810">
        <f t="shared" si="3"/>
        <v>0</v>
      </c>
      <c r="K19" s="810">
        <f t="shared" si="3"/>
        <v>0</v>
      </c>
      <c r="L19" s="810">
        <f t="shared" si="3"/>
        <v>0</v>
      </c>
      <c r="N19" s="343"/>
    </row>
    <row r="20" spans="1:14">
      <c r="A20" s="346">
        <f>ROW()</f>
        <v>20</v>
      </c>
      <c r="B20" s="70" t="s">
        <v>347</v>
      </c>
      <c r="C20" s="72"/>
      <c r="D20" s="72"/>
      <c r="E20" s="72"/>
      <c r="F20" s="493"/>
      <c r="G20" s="811">
        <v>0</v>
      </c>
      <c r="H20" s="812">
        <v>0</v>
      </c>
      <c r="I20" s="812">
        <v>0</v>
      </c>
      <c r="J20" s="812">
        <v>0</v>
      </c>
      <c r="K20" s="812">
        <v>0</v>
      </c>
      <c r="L20" s="812"/>
      <c r="N20" s="343"/>
    </row>
    <row r="21" spans="1:14">
      <c r="A21" s="346">
        <f>ROW()</f>
        <v>21</v>
      </c>
      <c r="B21" s="655" t="s">
        <v>348</v>
      </c>
      <c r="C21" s="671"/>
      <c r="D21" s="671"/>
      <c r="E21" s="671"/>
      <c r="F21" s="672"/>
      <c r="G21" s="813">
        <f>IFERROR(G36/G20,0)</f>
        <v>0</v>
      </c>
      <c r="H21" s="813">
        <f t="shared" ref="H21:L21" si="4">IFERROR(H36/H20,0)</f>
        <v>0</v>
      </c>
      <c r="I21" s="813">
        <f t="shared" si="4"/>
        <v>0</v>
      </c>
      <c r="J21" s="813">
        <f t="shared" si="4"/>
        <v>0</v>
      </c>
      <c r="K21" s="813">
        <f t="shared" si="4"/>
        <v>0</v>
      </c>
      <c r="L21" s="813">
        <f t="shared" si="4"/>
        <v>0</v>
      </c>
      <c r="N21" s="343"/>
    </row>
    <row r="22" spans="1:14">
      <c r="A22" s="346">
        <f>ROW()</f>
        <v>22</v>
      </c>
      <c r="B22" s="41"/>
      <c r="C22" s="41"/>
      <c r="D22" s="41"/>
      <c r="E22" s="41"/>
      <c r="F22" s="250"/>
      <c r="G22" s="250"/>
      <c r="H22" s="250"/>
      <c r="I22" s="250"/>
      <c r="J22" s="250"/>
      <c r="K22" s="250"/>
      <c r="L22" s="250"/>
      <c r="N22" s="343"/>
    </row>
    <row r="23" spans="1:14">
      <c r="A23" s="346">
        <f>ROW()</f>
        <v>23</v>
      </c>
      <c r="B23" s="143" t="s">
        <v>299</v>
      </c>
      <c r="C23" s="125"/>
      <c r="D23" s="125"/>
      <c r="E23" s="125"/>
      <c r="F23" s="670"/>
      <c r="G23" s="814">
        <v>0</v>
      </c>
      <c r="H23" s="814">
        <v>0</v>
      </c>
      <c r="I23" s="814">
        <v>0</v>
      </c>
      <c r="J23" s="814">
        <v>0</v>
      </c>
      <c r="K23" s="814">
        <v>0</v>
      </c>
      <c r="L23" s="814">
        <v>0</v>
      </c>
      <c r="N23" s="343"/>
    </row>
    <row r="24" spans="1:14">
      <c r="A24" s="346">
        <f>ROW()</f>
        <v>24</v>
      </c>
      <c r="B24" s="70" t="s">
        <v>300</v>
      </c>
      <c r="C24" s="72"/>
      <c r="D24" s="72"/>
      <c r="E24" s="72"/>
      <c r="F24" s="491"/>
      <c r="G24" s="623"/>
      <c r="H24" s="623">
        <v>0</v>
      </c>
      <c r="I24" s="623">
        <v>0</v>
      </c>
      <c r="J24" s="623">
        <v>0</v>
      </c>
      <c r="K24" s="623">
        <v>0</v>
      </c>
      <c r="L24" s="623">
        <v>0</v>
      </c>
      <c r="N24" s="343"/>
    </row>
    <row r="25" spans="1:14">
      <c r="A25" s="346">
        <f>ROW()</f>
        <v>25</v>
      </c>
      <c r="B25" s="70" t="s">
        <v>301</v>
      </c>
      <c r="C25" s="72"/>
      <c r="D25" s="72"/>
      <c r="E25" s="72"/>
      <c r="F25" s="491"/>
      <c r="G25" s="623"/>
      <c r="H25" s="623">
        <v>0</v>
      </c>
      <c r="I25" s="623">
        <v>0</v>
      </c>
      <c r="J25" s="623">
        <v>0</v>
      </c>
      <c r="K25" s="623">
        <v>0</v>
      </c>
      <c r="L25" s="623">
        <v>0</v>
      </c>
      <c r="N25" s="343"/>
    </row>
    <row r="26" spans="1:14">
      <c r="A26" s="346">
        <f>ROW()</f>
        <v>26</v>
      </c>
      <c r="B26" s="70" t="s">
        <v>302</v>
      </c>
      <c r="C26" s="72"/>
      <c r="D26" s="72"/>
      <c r="E26" s="72"/>
      <c r="F26" s="491"/>
      <c r="G26" s="623"/>
      <c r="H26" s="623">
        <v>0</v>
      </c>
      <c r="I26" s="623">
        <v>0</v>
      </c>
      <c r="J26" s="623">
        <v>0</v>
      </c>
      <c r="K26" s="623">
        <v>0</v>
      </c>
      <c r="L26" s="623">
        <v>0</v>
      </c>
      <c r="N26" s="343"/>
    </row>
    <row r="27" spans="1:14">
      <c r="A27" s="346">
        <f>ROW()</f>
        <v>27</v>
      </c>
      <c r="B27" s="70" t="s">
        <v>303</v>
      </c>
      <c r="C27" s="72"/>
      <c r="D27" s="72"/>
      <c r="E27" s="72"/>
      <c r="F27" s="1764"/>
      <c r="G27" s="623"/>
      <c r="H27" s="623"/>
      <c r="I27" s="623"/>
      <c r="J27" s="623"/>
      <c r="K27" s="623"/>
      <c r="L27" s="623"/>
      <c r="N27" s="343"/>
    </row>
    <row r="28" spans="1:14">
      <c r="A28" s="346">
        <f>ROW()</f>
        <v>28</v>
      </c>
      <c r="B28" s="1275" t="s">
        <v>304</v>
      </c>
      <c r="C28" s="519"/>
      <c r="D28" s="519"/>
      <c r="E28" s="519"/>
      <c r="F28" s="1627"/>
      <c r="G28" s="1628"/>
      <c r="H28" s="1628"/>
      <c r="I28" s="1628"/>
      <c r="J28" s="1628"/>
      <c r="K28" s="1628"/>
      <c r="L28" s="1628"/>
      <c r="N28" s="343"/>
    </row>
    <row r="29" spans="1:14">
      <c r="A29" s="346">
        <f>ROW()</f>
        <v>29</v>
      </c>
      <c r="B29" s="656" t="s">
        <v>305</v>
      </c>
      <c r="C29" s="524"/>
      <c r="D29" s="524"/>
      <c r="E29" s="524"/>
      <c r="F29" s="1629"/>
      <c r="G29" s="814">
        <v>101</v>
      </c>
      <c r="H29" s="814">
        <v>107</v>
      </c>
      <c r="I29" s="814">
        <v>113.95641088000002</v>
      </c>
      <c r="J29" s="814">
        <v>120.79379553280003</v>
      </c>
      <c r="K29" s="814">
        <v>128.04142326476804</v>
      </c>
      <c r="L29" s="814">
        <v>135.72390866065413</v>
      </c>
      <c r="N29" s="343"/>
    </row>
    <row r="30" spans="1:14">
      <c r="A30" s="346">
        <f>ROW()</f>
        <v>30</v>
      </c>
      <c r="B30" s="70" t="s">
        <v>306</v>
      </c>
      <c r="C30" s="72"/>
      <c r="D30" s="72"/>
      <c r="E30" s="72"/>
      <c r="F30" s="492"/>
      <c r="G30" s="623">
        <v>166</v>
      </c>
      <c r="H30" s="623">
        <v>177</v>
      </c>
      <c r="I30" s="623">
        <v>187.03715264000004</v>
      </c>
      <c r="J30" s="623">
        <v>198.25938179840006</v>
      </c>
      <c r="K30" s="623">
        <v>210.15494470630406</v>
      </c>
      <c r="L30" s="623">
        <v>222.76424138868231</v>
      </c>
      <c r="N30" s="343"/>
    </row>
    <row r="31" spans="1:14">
      <c r="A31" s="346">
        <f>ROW()</f>
        <v>31</v>
      </c>
      <c r="B31" s="1275" t="s">
        <v>307</v>
      </c>
      <c r="C31" s="519"/>
      <c r="D31" s="519"/>
      <c r="E31" s="519"/>
      <c r="F31" s="1627"/>
      <c r="G31" s="1628">
        <v>264</v>
      </c>
      <c r="H31" s="1628">
        <v>280</v>
      </c>
      <c r="I31" s="1628">
        <v>296.03893696000006</v>
      </c>
      <c r="J31" s="1628">
        <v>313.80127317760008</v>
      </c>
      <c r="K31" s="1628">
        <v>332.62934956825609</v>
      </c>
      <c r="L31" s="1628">
        <v>352.58711054235147</v>
      </c>
      <c r="N31" s="343"/>
    </row>
    <row r="32" spans="1:14">
      <c r="A32" s="346">
        <f>ROW()</f>
        <v>32</v>
      </c>
      <c r="B32" s="656" t="s">
        <v>308</v>
      </c>
      <c r="C32" s="524"/>
      <c r="D32" s="524"/>
      <c r="E32" s="524"/>
      <c r="F32" s="1629"/>
      <c r="G32" s="814">
        <v>165</v>
      </c>
      <c r="H32" s="814">
        <v>174</v>
      </c>
      <c r="I32" s="814">
        <v>184.55983936000004</v>
      </c>
      <c r="J32" s="814">
        <v>195.63342972160007</v>
      </c>
      <c r="K32" s="814">
        <v>207.37143550489608</v>
      </c>
      <c r="L32" s="814">
        <v>219.81372163518986</v>
      </c>
      <c r="N32" s="343"/>
    </row>
    <row r="33" spans="1:14">
      <c r="A33" s="346">
        <f>ROW()</f>
        <v>33</v>
      </c>
      <c r="B33" s="70" t="s">
        <v>309</v>
      </c>
      <c r="C33" s="72"/>
      <c r="D33" s="72"/>
      <c r="E33" s="72"/>
      <c r="F33" s="492"/>
      <c r="G33" s="623">
        <v>237</v>
      </c>
      <c r="H33" s="623">
        <v>250</v>
      </c>
      <c r="I33" s="623">
        <v>265.07252096000002</v>
      </c>
      <c r="J33" s="623">
        <v>280.97687221760003</v>
      </c>
      <c r="K33" s="623">
        <v>297.83548455065608</v>
      </c>
      <c r="L33" s="623">
        <v>315.70561362369546</v>
      </c>
      <c r="N33" s="343"/>
    </row>
    <row r="34" spans="1:14">
      <c r="A34" s="346">
        <f>ROW()</f>
        <v>34</v>
      </c>
      <c r="B34" s="70" t="s">
        <v>310</v>
      </c>
      <c r="C34" s="72"/>
      <c r="D34" s="72"/>
      <c r="E34" s="72"/>
      <c r="F34" s="492"/>
      <c r="G34" s="623">
        <v>293</v>
      </c>
      <c r="H34" s="623">
        <v>310</v>
      </c>
      <c r="I34" s="623">
        <v>328.24400960000008</v>
      </c>
      <c r="J34" s="623">
        <v>347.93865017600012</v>
      </c>
      <c r="K34" s="623">
        <v>368.81496918656018</v>
      </c>
      <c r="L34" s="623">
        <v>390.94386733775383</v>
      </c>
      <c r="N34" s="343"/>
    </row>
    <row r="35" spans="1:14">
      <c r="A35" s="346">
        <f>ROW()</f>
        <v>35</v>
      </c>
      <c r="B35" s="70" t="s">
        <v>311</v>
      </c>
      <c r="F35" s="817"/>
      <c r="G35" s="624">
        <v>369</v>
      </c>
      <c r="H35" s="624">
        <v>390</v>
      </c>
      <c r="I35" s="624">
        <v>413.7113177600001</v>
      </c>
      <c r="J35" s="624">
        <v>438.53399682560013</v>
      </c>
      <c r="K35" s="624">
        <v>464.84603663513616</v>
      </c>
      <c r="L35" s="624">
        <v>492.73679883324434</v>
      </c>
      <c r="N35" s="343"/>
    </row>
    <row r="36" spans="1:14">
      <c r="A36" s="346">
        <f>ROW()</f>
        <v>36</v>
      </c>
      <c r="B36" s="143" t="s">
        <v>312</v>
      </c>
      <c r="C36" s="125"/>
      <c r="D36" s="125"/>
      <c r="E36" s="125"/>
      <c r="F36" s="126"/>
      <c r="G36" s="1200">
        <f t="shared" ref="G36:L36" si="5">SUM(G23:G35)</f>
        <v>1595</v>
      </c>
      <c r="H36" s="1200">
        <f t="shared" si="5"/>
        <v>1688</v>
      </c>
      <c r="I36" s="1200">
        <f t="shared" si="5"/>
        <v>1788.6201881600005</v>
      </c>
      <c r="J36" s="1200">
        <f t="shared" si="5"/>
        <v>1895.9373994496007</v>
      </c>
      <c r="K36" s="1200">
        <f t="shared" si="5"/>
        <v>2009.6936434165768</v>
      </c>
      <c r="L36" s="1200">
        <f t="shared" si="5"/>
        <v>2130.2752620215715</v>
      </c>
      <c r="N36" s="343"/>
    </row>
    <row r="37" spans="1:14">
      <c r="A37" s="346">
        <f>ROW()</f>
        <v>37</v>
      </c>
      <c r="B37" s="143" t="s">
        <v>349</v>
      </c>
      <c r="C37" s="125"/>
      <c r="D37" s="125"/>
      <c r="E37" s="125"/>
      <c r="F37" s="126"/>
      <c r="G37" s="1693">
        <v>1595</v>
      </c>
      <c r="H37" s="1693">
        <v>1685</v>
      </c>
      <c r="I37" s="1693">
        <v>1785</v>
      </c>
      <c r="J37" s="1693">
        <v>1895</v>
      </c>
      <c r="K37" s="1693">
        <v>2010</v>
      </c>
      <c r="L37" s="1693">
        <v>2130</v>
      </c>
      <c r="N37" s="343"/>
    </row>
    <row r="38" spans="1:14">
      <c r="A38" s="346">
        <f>ROW()</f>
        <v>38</v>
      </c>
      <c r="B38" s="1573" t="s">
        <v>350</v>
      </c>
      <c r="F38" s="181"/>
      <c r="G38" s="1574">
        <f>+G36/G37</f>
        <v>1</v>
      </c>
      <c r="H38" s="1574">
        <f t="shared" ref="H38:L38" si="6">+H36/H37</f>
        <v>1.001780415430267</v>
      </c>
      <c r="I38" s="1574">
        <f t="shared" si="6"/>
        <v>1.0020281166162468</v>
      </c>
      <c r="J38" s="1574">
        <f t="shared" si="6"/>
        <v>1.0004946698942483</v>
      </c>
      <c r="K38" s="1574">
        <f t="shared" si="6"/>
        <v>0.99984758378934169</v>
      </c>
      <c r="L38" s="1574">
        <f t="shared" si="6"/>
        <v>1.000129230996043</v>
      </c>
      <c r="N38" s="343"/>
    </row>
    <row r="39" spans="1:14">
      <c r="A39" s="346">
        <f>ROW()</f>
        <v>39</v>
      </c>
      <c r="B39" s="1573" t="s">
        <v>351</v>
      </c>
      <c r="F39" s="181"/>
      <c r="G39" s="1574"/>
      <c r="H39" s="1575">
        <f>(H36/G36)-1</f>
        <v>5.8307210031347978E-2</v>
      </c>
      <c r="I39" s="1575">
        <f t="shared" ref="I39:L39" si="7">(I36/H36)-1</f>
        <v>5.9609116208531043E-2</v>
      </c>
      <c r="J39" s="1575">
        <f t="shared" si="7"/>
        <v>6.0000000000000053E-2</v>
      </c>
      <c r="K39" s="1575">
        <f t="shared" si="7"/>
        <v>6.0000000000000053E-2</v>
      </c>
      <c r="L39" s="1575">
        <f t="shared" si="7"/>
        <v>6.0000000000000053E-2</v>
      </c>
      <c r="N39" s="343"/>
    </row>
    <row r="40" spans="1:14">
      <c r="A40" s="346">
        <f>ROW()</f>
        <v>40</v>
      </c>
      <c r="B40" s="143" t="s">
        <v>352</v>
      </c>
      <c r="C40" s="125"/>
      <c r="D40" s="125"/>
      <c r="E40" s="125"/>
      <c r="F40" s="126"/>
      <c r="G40" s="1619">
        <f>+'Mkt Res'!E29</f>
        <v>0.10049776321592842</v>
      </c>
      <c r="H40" s="1619">
        <f>+'Mkt Res'!F29</f>
        <v>0.10635750740344024</v>
      </c>
      <c r="I40" s="1619">
        <f>+'Mkt Res'!G29</f>
        <v>0.11269738442190161</v>
      </c>
      <c r="J40" s="1619">
        <f>+'Mkt Res'!H29</f>
        <v>0.11945922748721571</v>
      </c>
      <c r="K40" s="1619">
        <f>+'Mkt Res'!I29</f>
        <v>0.12662678113644868</v>
      </c>
      <c r="L40" s="1619">
        <f>+'Mkt Res'!J29</f>
        <v>0.1342243880046356</v>
      </c>
      <c r="N40" s="343"/>
    </row>
    <row r="41" spans="1:14">
      <c r="A41" s="346">
        <f>ROW()</f>
        <v>41</v>
      </c>
      <c r="B41" s="69" t="s">
        <v>353</v>
      </c>
      <c r="C41" s="63"/>
      <c r="D41" s="63"/>
      <c r="E41" s="63"/>
      <c r="F41" s="1620"/>
      <c r="G41" s="1621">
        <f>+'Mkt Res'!E30</f>
        <v>15.95</v>
      </c>
      <c r="H41" s="1621">
        <f>+'Mkt Res'!F30</f>
        <v>16.88</v>
      </c>
      <c r="I41" s="1621">
        <f>+'Mkt Res'!G30</f>
        <v>17.886201881600005</v>
      </c>
      <c r="J41" s="1621">
        <f>+'Mkt Res'!H30</f>
        <v>18.959373994496005</v>
      </c>
      <c r="K41" s="1621">
        <f>+'Mkt Res'!I30</f>
        <v>20.096936434165769</v>
      </c>
      <c r="L41" s="1621">
        <f>+'Mkt Res'!J30</f>
        <v>21.302752620215713</v>
      </c>
      <c r="N41" s="343"/>
    </row>
    <row r="42" spans="1:14">
      <c r="A42" s="346">
        <f>ROW()</f>
        <v>42</v>
      </c>
      <c r="B42" s="1573"/>
      <c r="F42" s="181"/>
      <c r="G42" s="1574"/>
      <c r="H42" s="1575"/>
      <c r="I42" s="1575"/>
      <c r="J42" s="1575"/>
      <c r="K42" s="1575"/>
      <c r="L42" s="1575"/>
      <c r="N42" s="343"/>
    </row>
    <row r="43" spans="1:14">
      <c r="A43" s="346">
        <f>ROW()</f>
        <v>43</v>
      </c>
      <c r="B43" s="80" t="s">
        <v>354</v>
      </c>
      <c r="G43" s="1342">
        <v>1771</v>
      </c>
      <c r="N43" s="343"/>
    </row>
    <row r="44" spans="1:14" ht="14.4">
      <c r="A44" s="346">
        <f>ROW()</f>
        <v>44</v>
      </c>
      <c r="B44" s="122" t="s">
        <v>355</v>
      </c>
      <c r="F44" s="1678"/>
      <c r="G44" s="815">
        <v>0.85</v>
      </c>
      <c r="H44" s="815">
        <v>0.85</v>
      </c>
      <c r="I44" s="815">
        <v>0.85</v>
      </c>
      <c r="J44" s="815">
        <v>0.85</v>
      </c>
      <c r="K44" s="815">
        <v>0.85</v>
      </c>
      <c r="L44" s="815">
        <v>0.85</v>
      </c>
      <c r="N44" s="343"/>
    </row>
    <row r="45" spans="1:14" ht="14.4">
      <c r="A45" s="346">
        <f>ROW()</f>
        <v>45</v>
      </c>
      <c r="B45" s="122" t="s">
        <v>356</v>
      </c>
      <c r="F45" s="74"/>
      <c r="G45" s="1566">
        <f t="shared" ref="G45:L45" si="8">+G36*(1-G44)</f>
        <v>239.25000000000003</v>
      </c>
      <c r="H45" s="1566">
        <f t="shared" si="8"/>
        <v>253.20000000000005</v>
      </c>
      <c r="I45" s="1566">
        <f t="shared" si="8"/>
        <v>268.29302822400012</v>
      </c>
      <c r="J45" s="1566">
        <f t="shared" si="8"/>
        <v>284.39060991744014</v>
      </c>
      <c r="K45" s="1566">
        <f t="shared" si="8"/>
        <v>301.45404651248657</v>
      </c>
      <c r="L45" s="1566">
        <f t="shared" si="8"/>
        <v>319.54128930323577</v>
      </c>
      <c r="N45" s="343"/>
    </row>
    <row r="46" spans="1:14" ht="14.4">
      <c r="A46" s="346">
        <f>ROW()</f>
        <v>46</v>
      </c>
      <c r="B46" s="122"/>
      <c r="F46" s="74"/>
      <c r="G46" s="816"/>
      <c r="H46" s="816"/>
      <c r="I46" s="816"/>
      <c r="J46" s="816"/>
      <c r="K46" s="816"/>
      <c r="L46" s="816"/>
      <c r="N46" s="343"/>
    </row>
    <row r="47" spans="1:14">
      <c r="A47" s="346">
        <f>ROW()</f>
        <v>47</v>
      </c>
      <c r="B47" s="1679" t="s">
        <v>357</v>
      </c>
      <c r="C47" s="1680"/>
      <c r="D47" s="1680"/>
      <c r="E47" s="1680"/>
      <c r="F47" s="62"/>
      <c r="G47" s="1281"/>
      <c r="H47" s="62"/>
      <c r="I47" s="62"/>
      <c r="J47" s="62"/>
      <c r="K47" s="62"/>
      <c r="L47" s="62"/>
      <c r="N47" s="343"/>
    </row>
    <row r="48" spans="1:14">
      <c r="A48" s="346">
        <f>ROW()</f>
        <v>48</v>
      </c>
      <c r="B48" s="31"/>
      <c r="C48" s="1673"/>
      <c r="D48" s="42" t="s">
        <v>358</v>
      </c>
      <c r="E48" s="42"/>
      <c r="N48" s="343"/>
    </row>
    <row r="49" spans="1:14">
      <c r="A49" s="346">
        <f>ROW()</f>
        <v>49</v>
      </c>
      <c r="C49" s="42"/>
      <c r="D49" s="42" t="s">
        <v>359</v>
      </c>
      <c r="E49" s="42"/>
      <c r="N49" s="343"/>
    </row>
    <row r="50" spans="1:14">
      <c r="A50" s="346">
        <f>ROW()</f>
        <v>50</v>
      </c>
      <c r="B50" s="1674" t="s">
        <v>1461</v>
      </c>
      <c r="C50" s="1675"/>
      <c r="D50" s="524"/>
      <c r="E50" s="1681"/>
      <c r="F50" s="1669"/>
      <c r="G50" s="1669"/>
      <c r="H50" s="1669"/>
      <c r="I50" s="1669"/>
      <c r="J50" s="1669"/>
      <c r="K50" s="1669"/>
      <c r="L50" s="1669"/>
      <c r="N50" s="343"/>
    </row>
    <row r="51" spans="1:14" ht="14.4">
      <c r="A51" s="346">
        <f>ROW()</f>
        <v>51</v>
      </c>
      <c r="B51" s="72" t="s">
        <v>360</v>
      </c>
      <c r="C51" s="1676"/>
      <c r="D51" s="1285">
        <v>0.11</v>
      </c>
      <c r="E51" s="1676"/>
      <c r="F51" s="1682"/>
      <c r="G51" s="1670">
        <f t="shared" ref="G51:L54" si="9">+$D51*G$36</f>
        <v>175.45</v>
      </c>
      <c r="H51" s="1670">
        <f t="shared" si="9"/>
        <v>185.68</v>
      </c>
      <c r="I51" s="1670">
        <f t="shared" si="9"/>
        <v>196.74822069760006</v>
      </c>
      <c r="J51" s="1670">
        <f t="shared" si="9"/>
        <v>208.55311393945607</v>
      </c>
      <c r="K51" s="1670">
        <f t="shared" si="9"/>
        <v>221.06630077582346</v>
      </c>
      <c r="L51" s="1670">
        <f t="shared" si="9"/>
        <v>234.33027882237286</v>
      </c>
      <c r="N51" s="343"/>
    </row>
    <row r="52" spans="1:14">
      <c r="A52" s="346">
        <f>ROW()</f>
        <v>52</v>
      </c>
      <c r="B52" s="70" t="s">
        <v>361</v>
      </c>
      <c r="C52" s="1676"/>
      <c r="D52" s="1285">
        <v>9.1999999999999998E-2</v>
      </c>
      <c r="E52" s="1676"/>
      <c r="F52" s="1683"/>
      <c r="G52" s="1670">
        <f t="shared" si="9"/>
        <v>146.74</v>
      </c>
      <c r="H52" s="1670">
        <f t="shared" si="9"/>
        <v>155.29599999999999</v>
      </c>
      <c r="I52" s="1670">
        <f t="shared" si="9"/>
        <v>164.55305731072005</v>
      </c>
      <c r="J52" s="1670">
        <f t="shared" si="9"/>
        <v>174.42624074936325</v>
      </c>
      <c r="K52" s="1670">
        <f t="shared" si="9"/>
        <v>184.89181519432506</v>
      </c>
      <c r="L52" s="1670">
        <f t="shared" si="9"/>
        <v>195.98532410598457</v>
      </c>
      <c r="N52" s="343"/>
    </row>
    <row r="53" spans="1:14" ht="14.4">
      <c r="A53" s="346">
        <f>ROW()</f>
        <v>53</v>
      </c>
      <c r="B53" s="70" t="s">
        <v>362</v>
      </c>
      <c r="C53" s="1676"/>
      <c r="D53" s="1285">
        <v>0</v>
      </c>
      <c r="E53" s="1684"/>
      <c r="F53" s="1685"/>
      <c r="G53" s="1670">
        <f t="shared" si="9"/>
        <v>0</v>
      </c>
      <c r="H53" s="1670">
        <f t="shared" si="9"/>
        <v>0</v>
      </c>
      <c r="I53" s="1670">
        <f t="shared" si="9"/>
        <v>0</v>
      </c>
      <c r="J53" s="1670">
        <f t="shared" si="9"/>
        <v>0</v>
      </c>
      <c r="K53" s="1670">
        <f t="shared" si="9"/>
        <v>0</v>
      </c>
      <c r="L53" s="1670">
        <f t="shared" si="9"/>
        <v>0</v>
      </c>
      <c r="N53" s="343"/>
    </row>
    <row r="54" spans="1:14" ht="14.4">
      <c r="A54" s="346">
        <f>ROW()</f>
        <v>54</v>
      </c>
      <c r="B54" s="72" t="s">
        <v>1458</v>
      </c>
      <c r="C54" s="1676"/>
      <c r="D54" s="1694"/>
      <c r="E54" s="1676"/>
      <c r="F54" s="1685"/>
      <c r="G54" s="1670">
        <f t="shared" si="9"/>
        <v>0</v>
      </c>
      <c r="H54" s="1670">
        <f t="shared" si="9"/>
        <v>0</v>
      </c>
      <c r="I54" s="1670">
        <f t="shared" si="9"/>
        <v>0</v>
      </c>
      <c r="J54" s="1670">
        <f t="shared" si="9"/>
        <v>0</v>
      </c>
      <c r="K54" s="1670">
        <f t="shared" si="9"/>
        <v>0</v>
      </c>
      <c r="L54" s="1670">
        <f t="shared" si="9"/>
        <v>0</v>
      </c>
      <c r="N54" s="343"/>
    </row>
    <row r="55" spans="1:14" ht="14.4">
      <c r="A55" s="346">
        <f>ROW()</f>
        <v>55</v>
      </c>
      <c r="B55" s="655"/>
      <c r="C55" s="1677"/>
      <c r="D55" s="1686"/>
      <c r="E55" s="1686"/>
      <c r="F55" s="1687"/>
      <c r="G55" s="1671"/>
      <c r="H55" s="1671"/>
      <c r="I55" s="1671"/>
      <c r="J55" s="1671"/>
      <c r="K55" s="1671"/>
      <c r="L55" s="1671"/>
      <c r="N55" s="343"/>
    </row>
    <row r="56" spans="1:14">
      <c r="A56" s="346">
        <f>ROW()</f>
        <v>56</v>
      </c>
      <c r="B56" s="80" t="s">
        <v>363</v>
      </c>
      <c r="D56" s="1690">
        <f>SUM(D51:D55)</f>
        <v>0.20200000000000001</v>
      </c>
      <c r="E56" s="1688"/>
      <c r="F56" s="1689" t="s">
        <v>364</v>
      </c>
      <c r="G56" s="1672">
        <f>SUM(G51:G55)</f>
        <v>322.19</v>
      </c>
      <c r="H56" s="1672">
        <f t="shared" ref="H56:L56" si="10">SUM(H51:H55)</f>
        <v>340.976</v>
      </c>
      <c r="I56" s="1672">
        <f t="shared" si="10"/>
        <v>361.30127800832008</v>
      </c>
      <c r="J56" s="1672">
        <f t="shared" si="10"/>
        <v>382.97935468881929</v>
      </c>
      <c r="K56" s="1672">
        <f t="shared" si="10"/>
        <v>405.95811597014853</v>
      </c>
      <c r="L56" s="1672">
        <f t="shared" si="10"/>
        <v>430.31560292835741</v>
      </c>
      <c r="N56" s="343"/>
    </row>
    <row r="57" spans="1:14">
      <c r="A57" s="346">
        <f>ROW()</f>
        <v>57</v>
      </c>
      <c r="B57" s="80"/>
      <c r="F57" s="1691"/>
      <c r="G57" s="1692"/>
      <c r="H57" s="1692"/>
      <c r="I57" s="1692"/>
      <c r="J57" s="1692"/>
      <c r="K57" s="1692"/>
      <c r="L57" s="1692"/>
      <c r="N57" s="343"/>
    </row>
    <row r="58" spans="1:14" ht="14.4">
      <c r="A58" s="346">
        <f>ROW()</f>
        <v>58</v>
      </c>
      <c r="B58" s="183"/>
      <c r="F58" s="74"/>
      <c r="G58" s="816"/>
      <c r="H58" s="816"/>
      <c r="I58" s="816"/>
      <c r="J58" s="816"/>
      <c r="K58" s="816"/>
      <c r="L58" s="816"/>
      <c r="N58" s="343"/>
    </row>
    <row r="59" spans="1:14">
      <c r="A59" s="346">
        <f>ROW()</f>
        <v>59</v>
      </c>
      <c r="B59" s="434" t="s">
        <v>365</v>
      </c>
      <c r="C59" s="1680"/>
      <c r="D59" s="1680"/>
      <c r="E59" s="1680"/>
      <c r="F59" s="62"/>
      <c r="G59" s="1281"/>
      <c r="H59" s="62"/>
      <c r="I59" s="62"/>
      <c r="J59" s="62"/>
      <c r="K59" s="62"/>
      <c r="L59" s="62"/>
      <c r="N59" s="343"/>
    </row>
    <row r="60" spans="1:14">
      <c r="A60" s="346">
        <f>ROW()</f>
        <v>60</v>
      </c>
      <c r="B60" s="1695" t="s">
        <v>366</v>
      </c>
      <c r="C60" s="97"/>
      <c r="D60" s="97"/>
      <c r="E60" s="97"/>
      <c r="F60" s="97"/>
      <c r="G60" s="97"/>
      <c r="H60" s="97"/>
      <c r="I60" s="97"/>
      <c r="J60" s="97"/>
      <c r="K60" s="97"/>
      <c r="L60" s="97"/>
      <c r="N60" s="343"/>
    </row>
    <row r="61" spans="1:14">
      <c r="A61" s="346">
        <f>ROW()</f>
        <v>61</v>
      </c>
      <c r="B61" s="1695" t="s">
        <v>367</v>
      </c>
      <c r="C61" s="97"/>
      <c r="D61" s="1695"/>
      <c r="E61" s="97"/>
      <c r="F61" s="97"/>
      <c r="G61" s="97"/>
      <c r="H61" s="97"/>
      <c r="I61" s="97"/>
      <c r="J61" s="97"/>
      <c r="K61" s="97"/>
      <c r="L61" s="97"/>
      <c r="N61" s="343"/>
    </row>
    <row r="62" spans="1:14">
      <c r="A62" s="346">
        <f>ROW()</f>
        <v>62</v>
      </c>
      <c r="B62" s="1695" t="s">
        <v>368</v>
      </c>
      <c r="C62" s="97"/>
      <c r="D62" s="1695"/>
      <c r="E62" s="97"/>
      <c r="F62" s="97"/>
      <c r="G62" s="97"/>
      <c r="H62" s="97"/>
      <c r="I62" s="97"/>
      <c r="J62" s="97"/>
      <c r="K62" s="97"/>
      <c r="L62" s="97"/>
      <c r="N62" s="343"/>
    </row>
    <row r="63" spans="1:14">
      <c r="A63" s="346">
        <f>ROW()</f>
        <v>63</v>
      </c>
      <c r="B63" s="1695" t="s">
        <v>369</v>
      </c>
      <c r="C63" s="97"/>
      <c r="D63" s="1695"/>
      <c r="E63" s="97"/>
      <c r="F63" s="97"/>
      <c r="G63" s="97"/>
      <c r="H63" s="97"/>
      <c r="I63" s="97"/>
      <c r="J63" s="97"/>
      <c r="K63" s="97"/>
      <c r="L63" s="97"/>
      <c r="N63" s="343"/>
    </row>
    <row r="64" spans="1:14">
      <c r="A64" s="346">
        <f>ROW()</f>
        <v>64</v>
      </c>
      <c r="B64" s="1695"/>
      <c r="C64" s="97"/>
      <c r="D64" s="1695"/>
      <c r="E64" s="97"/>
      <c r="F64" s="97"/>
      <c r="G64" s="97"/>
      <c r="H64" s="97"/>
      <c r="I64" s="97"/>
      <c r="J64" s="97"/>
      <c r="K64" s="97"/>
      <c r="L64" s="97"/>
      <c r="N64" s="343"/>
    </row>
    <row r="65" spans="1:14">
      <c r="A65" s="346">
        <f>ROW()</f>
        <v>65</v>
      </c>
      <c r="B65" s="1673"/>
      <c r="C65" s="42" t="s">
        <v>370</v>
      </c>
      <c r="D65" s="1673" t="s">
        <v>371</v>
      </c>
      <c r="E65" s="42" t="s">
        <v>372</v>
      </c>
      <c r="N65" s="343"/>
    </row>
    <row r="66" spans="1:14">
      <c r="A66" s="346">
        <f>ROW()</f>
        <v>66</v>
      </c>
      <c r="C66" s="42" t="s">
        <v>373</v>
      </c>
      <c r="D66" s="42" t="s">
        <v>374</v>
      </c>
      <c r="E66" s="42" t="s">
        <v>373</v>
      </c>
      <c r="N66" s="343"/>
    </row>
    <row r="67" spans="1:14">
      <c r="A67" s="346">
        <f>ROW()</f>
        <v>67</v>
      </c>
      <c r="B67" s="524"/>
      <c r="C67" s="524"/>
      <c r="D67" s="524"/>
      <c r="E67" s="1681"/>
      <c r="F67" s="1181"/>
      <c r="G67" s="1181"/>
      <c r="H67" s="1181"/>
      <c r="I67" s="1181"/>
      <c r="J67" s="1181"/>
      <c r="K67" s="1181"/>
      <c r="L67" s="1181"/>
      <c r="N67" s="343"/>
    </row>
    <row r="68" spans="1:14">
      <c r="A68" s="346">
        <f>ROW()</f>
        <v>68</v>
      </c>
      <c r="B68" s="72" t="s">
        <v>360</v>
      </c>
      <c r="C68" s="1696">
        <f>+D51</f>
        <v>0.11</v>
      </c>
      <c r="D68" s="1697">
        <v>1</v>
      </c>
      <c r="E68" s="1697">
        <f>+C68</f>
        <v>0.11</v>
      </c>
      <c r="F68" s="1167"/>
      <c r="G68" s="1168">
        <f t="shared" ref="G68:L68" si="11">+$E68*G$36</f>
        <v>175.45</v>
      </c>
      <c r="H68" s="1168">
        <f t="shared" si="11"/>
        <v>185.68</v>
      </c>
      <c r="I68" s="1168">
        <f t="shared" si="11"/>
        <v>196.74822069760006</v>
      </c>
      <c r="J68" s="1168">
        <f t="shared" si="11"/>
        <v>208.55311393945607</v>
      </c>
      <c r="K68" s="1168">
        <f t="shared" si="11"/>
        <v>221.06630077582346</v>
      </c>
      <c r="L68" s="1168">
        <f t="shared" si="11"/>
        <v>234.33027882237286</v>
      </c>
      <c r="N68" s="343"/>
    </row>
    <row r="69" spans="1:14">
      <c r="A69" s="346">
        <f>ROW()</f>
        <v>69</v>
      </c>
      <c r="B69" s="70" t="s">
        <v>375</v>
      </c>
      <c r="C69" s="1696">
        <f>+D52</f>
        <v>9.1999999999999998E-2</v>
      </c>
      <c r="D69" s="1697">
        <v>0.8579</v>
      </c>
      <c r="E69" s="1697">
        <f>+C69*D69</f>
        <v>7.8926799999999991E-2</v>
      </c>
      <c r="F69" s="1179">
        <v>126</v>
      </c>
      <c r="G69" s="1180">
        <f>+$E69*G$36</f>
        <v>125.88824599999998</v>
      </c>
      <c r="H69" s="1180">
        <f t="shared" ref="H69:L71" si="12">+$E69*H$36</f>
        <v>133.22843839999999</v>
      </c>
      <c r="I69" s="1180">
        <f t="shared" si="12"/>
        <v>141.1700678668667</v>
      </c>
      <c r="J69" s="1180">
        <f t="shared" si="12"/>
        <v>149.64027193887873</v>
      </c>
      <c r="K69" s="1180">
        <f t="shared" si="12"/>
        <v>158.61868825521145</v>
      </c>
      <c r="L69" s="1180">
        <f t="shared" si="12"/>
        <v>168.13580955052416</v>
      </c>
      <c r="N69" s="343"/>
    </row>
    <row r="70" spans="1:14">
      <c r="A70" s="346">
        <f>ROW()</f>
        <v>70</v>
      </c>
      <c r="B70" s="70" t="s">
        <v>362</v>
      </c>
      <c r="C70" s="1696">
        <f>+D53</f>
        <v>0</v>
      </c>
      <c r="D70" s="1697">
        <v>0.9556</v>
      </c>
      <c r="E70" s="1698">
        <f t="shared" ref="E70" si="13">+C70*D70</f>
        <v>0</v>
      </c>
      <c r="F70" s="1169"/>
      <c r="G70" s="1168">
        <f>+$E70*G$36</f>
        <v>0</v>
      </c>
      <c r="H70" s="1168">
        <f t="shared" si="12"/>
        <v>0</v>
      </c>
      <c r="I70" s="1168">
        <f t="shared" si="12"/>
        <v>0</v>
      </c>
      <c r="J70" s="1168">
        <f t="shared" si="12"/>
        <v>0</v>
      </c>
      <c r="K70" s="1168">
        <f t="shared" si="12"/>
        <v>0</v>
      </c>
      <c r="L70" s="1168">
        <f t="shared" si="12"/>
        <v>0</v>
      </c>
      <c r="N70" s="343"/>
    </row>
    <row r="71" spans="1:14">
      <c r="A71" s="346">
        <f>ROW()</f>
        <v>71</v>
      </c>
      <c r="B71" s="70" t="s">
        <v>1454</v>
      </c>
      <c r="C71" s="1696">
        <f>+D54</f>
        <v>0</v>
      </c>
      <c r="D71" s="1697">
        <v>0.76949999999999996</v>
      </c>
      <c r="E71" s="1697">
        <f>MIN(C71*D71,1-SUM(E68:E70))</f>
        <v>0</v>
      </c>
      <c r="F71" s="1169">
        <v>1227</v>
      </c>
      <c r="G71" s="1180">
        <f>+$E71*G$36</f>
        <v>0</v>
      </c>
      <c r="H71" s="1180">
        <f t="shared" si="12"/>
        <v>0</v>
      </c>
      <c r="I71" s="1180">
        <f t="shared" si="12"/>
        <v>0</v>
      </c>
      <c r="J71" s="1180">
        <f t="shared" si="12"/>
        <v>0</v>
      </c>
      <c r="K71" s="1180">
        <f t="shared" si="12"/>
        <v>0</v>
      </c>
      <c r="L71" s="1180">
        <f t="shared" si="12"/>
        <v>0</v>
      </c>
      <c r="N71" s="343"/>
    </row>
    <row r="72" spans="1:14">
      <c r="A72" s="346">
        <f>ROW()</f>
        <v>72</v>
      </c>
      <c r="B72" s="655" t="s">
        <v>376</v>
      </c>
      <c r="C72" s="1699">
        <v>0</v>
      </c>
      <c r="D72" s="1700">
        <v>0</v>
      </c>
      <c r="E72" s="1701">
        <v>0</v>
      </c>
      <c r="F72" s="1176"/>
      <c r="G72" s="1170">
        <f>G$36-SUM(G68:G71)</f>
        <v>1293.661754</v>
      </c>
      <c r="H72" s="1170">
        <f t="shared" ref="H72" si="14">H$36-SUM(H68:H71)</f>
        <v>1369.0915616</v>
      </c>
      <c r="I72" s="1170">
        <f t="shared" ref="I72" si="15">I$36-SUM(I68:I71)</f>
        <v>1450.7018995955336</v>
      </c>
      <c r="J72" s="1170">
        <f t="shared" ref="J72" si="16">J$36-SUM(J68:J71)</f>
        <v>1537.7440135712659</v>
      </c>
      <c r="K72" s="1170">
        <f t="shared" ref="K72" si="17">K$36-SUM(K68:K71)</f>
        <v>1630.0086543855418</v>
      </c>
      <c r="L72" s="1170">
        <f t="shared" ref="L72" si="18">L$36-SUM(L68:L71)</f>
        <v>1727.8091736486745</v>
      </c>
      <c r="N72" s="343"/>
    </row>
    <row r="73" spans="1:14">
      <c r="A73" s="346">
        <f>ROW()</f>
        <v>73</v>
      </c>
      <c r="B73" s="33" t="s">
        <v>377</v>
      </c>
      <c r="C73" s="1702">
        <f>SUM(C68:C72)</f>
        <v>0.20200000000000001</v>
      </c>
      <c r="D73" s="1703"/>
      <c r="E73" s="1703">
        <f>SUM(E68:E72)</f>
        <v>0.18892680000000001</v>
      </c>
      <c r="F73" s="1706"/>
      <c r="G73" s="1707">
        <f>SUM(G68:G72)</f>
        <v>1595</v>
      </c>
      <c r="H73" s="1707">
        <f t="shared" ref="H73:L73" si="19">SUM(H68:H72)</f>
        <v>1688</v>
      </c>
      <c r="I73" s="1707">
        <f t="shared" si="19"/>
        <v>1788.6201881600005</v>
      </c>
      <c r="J73" s="1707">
        <f t="shared" si="19"/>
        <v>1895.9373994496007</v>
      </c>
      <c r="K73" s="1707">
        <f t="shared" si="19"/>
        <v>2009.6936434165768</v>
      </c>
      <c r="L73" s="1707">
        <f t="shared" si="19"/>
        <v>2130.2752620215715</v>
      </c>
      <c r="N73" s="343"/>
    </row>
    <row r="74" spans="1:14">
      <c r="A74" s="346">
        <f>ROW()</f>
        <v>74</v>
      </c>
      <c r="B74" s="33" t="s">
        <v>378</v>
      </c>
      <c r="C74" s="1704">
        <f>IF(C73&gt;1,"Be sure next data tabe set =100%",0)</f>
        <v>0</v>
      </c>
      <c r="D74" s="1704"/>
      <c r="E74" s="1705"/>
      <c r="F74" s="1691"/>
      <c r="G74" s="1708">
        <f>SUM(G68:G71)</f>
        <v>301.33824599999997</v>
      </c>
      <c r="H74" s="1708">
        <f t="shared" ref="H74:L74" si="20">SUM(H68:H71)</f>
        <v>318.90843840000002</v>
      </c>
      <c r="I74" s="1708">
        <f t="shared" si="20"/>
        <v>337.91828856446676</v>
      </c>
      <c r="J74" s="1708">
        <f t="shared" si="20"/>
        <v>358.19338587833477</v>
      </c>
      <c r="K74" s="1708">
        <f t="shared" si="20"/>
        <v>379.68498903103489</v>
      </c>
      <c r="L74" s="1708">
        <f t="shared" si="20"/>
        <v>402.46608837289705</v>
      </c>
      <c r="N74" s="343"/>
    </row>
    <row r="75" spans="1:14">
      <c r="A75" s="346">
        <f>ROW()</f>
        <v>75</v>
      </c>
      <c r="B75" s="33" t="s">
        <v>379</v>
      </c>
      <c r="D75" s="1704"/>
      <c r="E75" s="1705"/>
      <c r="F75" s="1691"/>
      <c r="G75" s="1709">
        <f>+G74/G73</f>
        <v>0.18892679999999998</v>
      </c>
      <c r="H75" s="1709">
        <f t="shared" ref="H75:L75" si="21">+H74/H73</f>
        <v>0.18892680000000001</v>
      </c>
      <c r="I75" s="1709">
        <f t="shared" si="21"/>
        <v>0.18892680000000001</v>
      </c>
      <c r="J75" s="1709">
        <f t="shared" si="21"/>
        <v>0.18892679999999998</v>
      </c>
      <c r="K75" s="1709">
        <f t="shared" si="21"/>
        <v>0.18892679999999998</v>
      </c>
      <c r="L75" s="1709">
        <f t="shared" si="21"/>
        <v>0.18892680000000001</v>
      </c>
      <c r="N75" s="343"/>
    </row>
    <row r="76" spans="1:14">
      <c r="A76" s="346">
        <f>ROW()</f>
        <v>76</v>
      </c>
      <c r="B76" s="33" t="s">
        <v>380</v>
      </c>
      <c r="F76" s="1691"/>
      <c r="G76" s="1692" t="str">
        <f t="shared" ref="G76:L76" si="22">IF(G72&lt;0,"ERROR", "-")</f>
        <v>-</v>
      </c>
      <c r="H76" s="1692" t="str">
        <f t="shared" si="22"/>
        <v>-</v>
      </c>
      <c r="I76" s="1692" t="str">
        <f t="shared" si="22"/>
        <v>-</v>
      </c>
      <c r="J76" s="1692" t="str">
        <f t="shared" si="22"/>
        <v>-</v>
      </c>
      <c r="K76" s="1692" t="str">
        <f t="shared" si="22"/>
        <v>-</v>
      </c>
      <c r="L76" s="1692" t="str">
        <f t="shared" si="22"/>
        <v>-</v>
      </c>
      <c r="N76" s="343"/>
    </row>
    <row r="77" spans="1:14" ht="14.4" thickBot="1">
      <c r="A77" s="346">
        <f>ROW()</f>
        <v>77</v>
      </c>
      <c r="F77" s="1691"/>
      <c r="G77" s="1710"/>
      <c r="H77" s="1710"/>
      <c r="I77" s="1710"/>
      <c r="J77" s="1710"/>
      <c r="K77" s="1710"/>
      <c r="L77" s="1710"/>
      <c r="N77" s="343"/>
    </row>
    <row r="78" spans="1:14" ht="14.4" thickBot="1">
      <c r="A78" s="346">
        <f>ROW()</f>
        <v>78</v>
      </c>
      <c r="B78" s="33" t="s">
        <v>381</v>
      </c>
      <c r="C78" s="1660" t="s">
        <v>1136</v>
      </c>
      <c r="D78" s="33" t="s">
        <v>383</v>
      </c>
      <c r="N78" s="343"/>
    </row>
    <row r="79" spans="1:14">
      <c r="A79" s="346">
        <f>ROW()</f>
        <v>79</v>
      </c>
      <c r="D79" s="1715" t="s">
        <v>384</v>
      </c>
      <c r="F79" s="1711"/>
      <c r="G79" s="1712"/>
      <c r="H79" s="1712"/>
      <c r="I79" s="1712"/>
      <c r="J79" s="1712"/>
      <c r="K79" s="1712"/>
      <c r="L79" s="1712"/>
      <c r="N79" s="343"/>
    </row>
    <row r="80" spans="1:14">
      <c r="A80" s="346">
        <f>ROW()</f>
        <v>80</v>
      </c>
      <c r="F80" s="1711"/>
      <c r="G80" s="1712"/>
      <c r="H80" s="1712"/>
      <c r="I80" s="1712"/>
      <c r="J80" s="1712"/>
      <c r="K80" s="1712"/>
      <c r="L80" s="1712"/>
      <c r="N80" s="343"/>
    </row>
    <row r="81" spans="1:14">
      <c r="A81" s="346">
        <f>ROW()</f>
        <v>81</v>
      </c>
      <c r="B81" s="434" t="s">
        <v>385</v>
      </c>
      <c r="C81" s="1280" t="s">
        <v>386</v>
      </c>
      <c r="D81" s="62"/>
      <c r="E81" s="62"/>
      <c r="F81" s="1713"/>
      <c r="G81" s="1714"/>
      <c r="H81" s="1714"/>
      <c r="I81" s="1714"/>
      <c r="J81" s="1714"/>
      <c r="K81" s="1714"/>
      <c r="L81" s="1714"/>
      <c r="N81" s="343"/>
    </row>
    <row r="82" spans="1:14">
      <c r="A82" s="346">
        <f>ROW()</f>
        <v>82</v>
      </c>
      <c r="B82" s="33" t="s">
        <v>387</v>
      </c>
      <c r="F82" s="1711"/>
      <c r="G82" s="1711"/>
      <c r="H82" s="1711"/>
      <c r="I82" s="1711"/>
      <c r="J82" s="1711"/>
      <c r="K82" s="1711"/>
      <c r="L82" s="1711"/>
      <c r="N82" s="343"/>
    </row>
    <row r="83" spans="1:14">
      <c r="A83" s="346">
        <f>ROW()</f>
        <v>83</v>
      </c>
      <c r="C83" s="42" t="s">
        <v>388</v>
      </c>
      <c r="D83" s="42" t="s">
        <v>389</v>
      </c>
      <c r="F83" s="1711"/>
      <c r="G83" s="1711"/>
      <c r="H83" s="1711"/>
      <c r="I83" s="1711"/>
      <c r="J83" s="1711"/>
      <c r="K83" s="1711"/>
      <c r="L83" s="1711"/>
      <c r="N83" s="343"/>
    </row>
    <row r="84" spans="1:14">
      <c r="A84" s="346">
        <f>ROW()</f>
        <v>84</v>
      </c>
      <c r="B84" s="33" t="str">
        <f>+B51</f>
        <v>State Special Education (SPED)</v>
      </c>
      <c r="C84" s="1722">
        <f>+D84/C89</f>
        <v>0.40843424686636925</v>
      </c>
      <c r="D84" s="55">
        <f>+'PCFP Rates'!E26</f>
        <v>3845</v>
      </c>
      <c r="F84" s="1716"/>
      <c r="G84" s="1717">
        <f t="shared" ref="G84:L87" si="23">+F68*$D84</f>
        <v>0</v>
      </c>
      <c r="H84" s="1717">
        <f t="shared" si="23"/>
        <v>674605.25</v>
      </c>
      <c r="I84" s="1717">
        <f t="shared" si="23"/>
        <v>713939.6</v>
      </c>
      <c r="J84" s="1717">
        <f t="shared" si="23"/>
        <v>756496.90858227224</v>
      </c>
      <c r="K84" s="1717">
        <f t="shared" si="23"/>
        <v>801886.72309720854</v>
      </c>
      <c r="L84" s="1717">
        <f t="shared" si="23"/>
        <v>849999.92648304126</v>
      </c>
      <c r="N84" s="343"/>
    </row>
    <row r="85" spans="1:14">
      <c r="A85" s="346">
        <f>ROW()</f>
        <v>85</v>
      </c>
      <c r="B85" s="33" t="str">
        <f>+B52</f>
        <v>English Language Learners (EL)</v>
      </c>
      <c r="C85" s="1722">
        <v>0.23</v>
      </c>
      <c r="D85" s="55">
        <f>+$C$89*C85</f>
        <v>2165.2200000000003</v>
      </c>
      <c r="F85" s="1711"/>
      <c r="G85" s="1718">
        <f t="shared" si="23"/>
        <v>272817.72000000003</v>
      </c>
      <c r="H85" s="1718">
        <f t="shared" si="23"/>
        <v>272575.74800412002</v>
      </c>
      <c r="I85" s="1718">
        <f t="shared" si="23"/>
        <v>288468.879392448</v>
      </c>
      <c r="J85" s="1718">
        <f t="shared" si="23"/>
        <v>305664.25434669718</v>
      </c>
      <c r="K85" s="1718">
        <f t="shared" si="23"/>
        <v>324004.10960749903</v>
      </c>
      <c r="L85" s="1718">
        <f t="shared" si="23"/>
        <v>343444.35618394898</v>
      </c>
      <c r="N85" s="343"/>
    </row>
    <row r="86" spans="1:14">
      <c r="A86" s="346">
        <f>ROW()</f>
        <v>86</v>
      </c>
      <c r="B86" s="33" t="str">
        <f>+B53</f>
        <v>Gifted &amp; Talented (GATE)</v>
      </c>
      <c r="C86" s="1722">
        <v>0.12</v>
      </c>
      <c r="D86" s="55">
        <f>+$C$89*C86</f>
        <v>1129.68</v>
      </c>
      <c r="F86" s="1711"/>
      <c r="G86" s="1718">
        <f t="shared" si="23"/>
        <v>0</v>
      </c>
      <c r="H86" s="1718">
        <f t="shared" si="23"/>
        <v>0</v>
      </c>
      <c r="I86" s="1718">
        <f t="shared" si="23"/>
        <v>0</v>
      </c>
      <c r="J86" s="1718">
        <f t="shared" si="23"/>
        <v>0</v>
      </c>
      <c r="K86" s="1718">
        <f t="shared" si="23"/>
        <v>0</v>
      </c>
      <c r="L86" s="1718">
        <f t="shared" si="23"/>
        <v>0</v>
      </c>
      <c r="N86" s="343"/>
    </row>
    <row r="87" spans="1:14">
      <c r="A87" s="346">
        <f>ROW()</f>
        <v>87</v>
      </c>
      <c r="B87" s="33" t="s">
        <v>1462</v>
      </c>
      <c r="C87" s="1722"/>
      <c r="D87" s="1723"/>
      <c r="E87" s="72"/>
      <c r="F87" s="1719"/>
      <c r="G87" s="1720">
        <f t="shared" si="23"/>
        <v>0</v>
      </c>
      <c r="H87" s="1720">
        <f t="shared" si="23"/>
        <v>0</v>
      </c>
      <c r="I87" s="1720">
        <f t="shared" si="23"/>
        <v>0</v>
      </c>
      <c r="J87" s="1720">
        <f t="shared" si="23"/>
        <v>0</v>
      </c>
      <c r="K87" s="1720">
        <f t="shared" si="23"/>
        <v>0</v>
      </c>
      <c r="L87" s="1720">
        <f t="shared" si="23"/>
        <v>0</v>
      </c>
      <c r="N87" s="343"/>
    </row>
    <row r="88" spans="1:14">
      <c r="A88" s="346">
        <f>ROW()</f>
        <v>88</v>
      </c>
      <c r="B88" s="33" t="s">
        <v>390</v>
      </c>
      <c r="C88" s="606">
        <f>_xlfn.XLOOKUP(C78,'PCFP Rates'!B12:B20,'PCFP Rates'!E12:E20)</f>
        <v>9414</v>
      </c>
      <c r="D88" s="1723">
        <f>+C88</f>
        <v>9414</v>
      </c>
      <c r="E88" s="72"/>
      <c r="F88" s="72"/>
      <c r="G88" s="1721">
        <f t="shared" ref="G88:L88" si="24">+G36*$D88</f>
        <v>15015330</v>
      </c>
      <c r="H88" s="1721">
        <f t="shared" si="24"/>
        <v>15890832</v>
      </c>
      <c r="I88" s="1721">
        <f t="shared" si="24"/>
        <v>16838070.451338243</v>
      </c>
      <c r="J88" s="1721">
        <f t="shared" si="24"/>
        <v>17848354.678418539</v>
      </c>
      <c r="K88" s="1721">
        <f t="shared" si="24"/>
        <v>18919255.959123656</v>
      </c>
      <c r="L88" s="1721">
        <f t="shared" si="24"/>
        <v>20054411.316671073</v>
      </c>
      <c r="N88" s="343"/>
    </row>
    <row r="89" spans="1:14">
      <c r="A89" s="346">
        <f>ROW()</f>
        <v>89</v>
      </c>
      <c r="B89" s="33" t="s">
        <v>391</v>
      </c>
      <c r="C89" s="55">
        <f>+'PCFP Rates'!E20</f>
        <v>9414</v>
      </c>
      <c r="D89" s="221"/>
      <c r="E89" s="221"/>
      <c r="G89" s="221"/>
      <c r="H89" s="1185"/>
      <c r="I89" s="1185"/>
      <c r="J89" s="1185"/>
      <c r="K89" s="1185"/>
      <c r="L89" s="1185"/>
      <c r="N89" s="343"/>
    </row>
    <row r="90" spans="1:14">
      <c r="A90" s="346">
        <f>ROW()</f>
        <v>90</v>
      </c>
      <c r="C90" s="221"/>
      <c r="D90" s="221"/>
      <c r="E90" s="221"/>
      <c r="F90" s="816"/>
      <c r="G90" s="73"/>
      <c r="H90" s="73"/>
      <c r="I90" s="73"/>
      <c r="J90" s="73"/>
      <c r="K90" s="73"/>
      <c r="L90" s="73"/>
      <c r="N90" s="343"/>
    </row>
    <row r="91" spans="1:14">
      <c r="A91" s="346">
        <f>ROW()</f>
        <v>91</v>
      </c>
      <c r="B91" s="434" t="s">
        <v>392</v>
      </c>
      <c r="C91" s="1279"/>
      <c r="D91" s="1279"/>
      <c r="E91" s="1279"/>
      <c r="F91" s="1280"/>
      <c r="G91" s="1281"/>
      <c r="H91" s="1281"/>
      <c r="I91" s="1281"/>
      <c r="J91" s="1281"/>
      <c r="K91" s="1281"/>
      <c r="L91" s="1281"/>
      <c r="N91" s="343"/>
    </row>
    <row r="92" spans="1:14">
      <c r="A92" s="346">
        <f>ROW()</f>
        <v>92</v>
      </c>
      <c r="B92" s="401" t="s">
        <v>393</v>
      </c>
      <c r="C92" s="401"/>
      <c r="D92" s="401"/>
      <c r="E92" s="401"/>
      <c r="F92" s="1727"/>
      <c r="G92" s="1724">
        <f>+D54</f>
        <v>0</v>
      </c>
      <c r="H92" s="1724">
        <f>+G92</f>
        <v>0</v>
      </c>
      <c r="I92" s="1724">
        <f t="shared" ref="I92:L92" si="25">+H92</f>
        <v>0</v>
      </c>
      <c r="J92" s="1724">
        <f t="shared" si="25"/>
        <v>0</v>
      </c>
      <c r="K92" s="1724">
        <f t="shared" si="25"/>
        <v>0</v>
      </c>
      <c r="L92" s="1724">
        <f t="shared" si="25"/>
        <v>0</v>
      </c>
      <c r="N92" s="343"/>
    </row>
    <row r="93" spans="1:14">
      <c r="A93" s="346">
        <f>ROW()</f>
        <v>93</v>
      </c>
      <c r="B93" s="70" t="s">
        <v>394</v>
      </c>
      <c r="C93" s="72"/>
      <c r="D93" s="72"/>
      <c r="E93" s="72"/>
      <c r="F93" s="1728"/>
      <c r="G93" s="1725">
        <f>+D52</f>
        <v>9.1999999999999998E-2</v>
      </c>
      <c r="H93" s="1725">
        <f t="shared" ref="H93:L93" si="26">+G93</f>
        <v>9.1999999999999998E-2</v>
      </c>
      <c r="I93" s="1725">
        <f t="shared" si="26"/>
        <v>9.1999999999999998E-2</v>
      </c>
      <c r="J93" s="1725">
        <f t="shared" si="26"/>
        <v>9.1999999999999998E-2</v>
      </c>
      <c r="K93" s="1725">
        <f t="shared" si="26"/>
        <v>9.1999999999999998E-2</v>
      </c>
      <c r="L93" s="1725">
        <f t="shared" si="26"/>
        <v>9.1999999999999998E-2</v>
      </c>
      <c r="N93" s="343"/>
    </row>
    <row r="94" spans="1:14">
      <c r="A94" s="346">
        <f>ROW()</f>
        <v>94</v>
      </c>
      <c r="B94" s="1275" t="s">
        <v>395</v>
      </c>
      <c r="C94" s="519"/>
      <c r="D94" s="519"/>
      <c r="E94" s="519"/>
      <c r="F94" s="1729"/>
      <c r="G94" s="1726">
        <f>+D51</f>
        <v>0.11</v>
      </c>
      <c r="H94" s="1726">
        <f t="shared" ref="H94:L94" si="27">+G94</f>
        <v>0.11</v>
      </c>
      <c r="I94" s="1726">
        <f t="shared" si="27"/>
        <v>0.11</v>
      </c>
      <c r="J94" s="1726">
        <f t="shared" si="27"/>
        <v>0.11</v>
      </c>
      <c r="K94" s="1726">
        <f t="shared" si="27"/>
        <v>0.11</v>
      </c>
      <c r="L94" s="1726">
        <f t="shared" si="27"/>
        <v>0.11</v>
      </c>
      <c r="N94" s="343"/>
    </row>
    <row r="95" spans="1:14">
      <c r="A95" s="346">
        <f>ROW()</f>
        <v>95</v>
      </c>
      <c r="B95" s="656" t="s">
        <v>396</v>
      </c>
      <c r="C95" s="524"/>
      <c r="D95" s="524"/>
      <c r="E95" s="524"/>
      <c r="F95" s="1276"/>
      <c r="G95" s="1277">
        <f t="shared" ref="G95:L95" si="28">+G$36*G94</f>
        <v>175.45</v>
      </c>
      <c r="H95" s="1277">
        <f t="shared" si="28"/>
        <v>185.68</v>
      </c>
      <c r="I95" s="1277">
        <f t="shared" si="28"/>
        <v>196.74822069760006</v>
      </c>
      <c r="J95" s="1277">
        <f t="shared" si="28"/>
        <v>208.55311393945607</v>
      </c>
      <c r="K95" s="1277">
        <f t="shared" si="28"/>
        <v>221.06630077582346</v>
      </c>
      <c r="L95" s="1277">
        <f t="shared" si="28"/>
        <v>234.33027882237286</v>
      </c>
      <c r="N95" s="343"/>
    </row>
    <row r="96" spans="1:14">
      <c r="A96" s="346">
        <f>ROW()</f>
        <v>96</v>
      </c>
      <c r="B96" s="999"/>
      <c r="C96" s="1000"/>
      <c r="D96" s="1000"/>
      <c r="E96" s="1000"/>
      <c r="F96" s="63"/>
      <c r="G96" s="63"/>
      <c r="H96" s="63"/>
      <c r="I96" s="63"/>
      <c r="J96" s="1001"/>
      <c r="K96" s="1001"/>
      <c r="L96" s="1001"/>
      <c r="M96" s="96"/>
      <c r="N96" s="343"/>
    </row>
    <row r="97" spans="1:14">
      <c r="A97" s="346">
        <f>ROW()</f>
        <v>97</v>
      </c>
      <c r="B97" s="41" t="s">
        <v>397</v>
      </c>
      <c r="C97" s="998">
        <v>0.01</v>
      </c>
      <c r="D97" s="41" t="s">
        <v>398</v>
      </c>
      <c r="E97" s="41"/>
      <c r="J97" s="41"/>
      <c r="K97" s="41"/>
      <c r="L97" s="41"/>
      <c r="M97" s="41"/>
      <c r="N97" s="343"/>
    </row>
    <row r="98" spans="1:14">
      <c r="A98" s="346">
        <f>ROW()</f>
        <v>98</v>
      </c>
      <c r="B98" s="41" t="s">
        <v>399</v>
      </c>
      <c r="C98" s="787">
        <v>1.2500000000000001E-2</v>
      </c>
      <c r="D98" s="98" t="s">
        <v>400</v>
      </c>
      <c r="E98" s="74"/>
      <c r="H98" s="32"/>
      <c r="I98" s="32"/>
      <c r="J98" s="98"/>
      <c r="K98" s="98"/>
      <c r="L98" s="98"/>
      <c r="M98" s="98"/>
      <c r="N98" s="343"/>
    </row>
    <row r="99" spans="1:14">
      <c r="A99" s="346">
        <f>ROW()</f>
        <v>99</v>
      </c>
      <c r="B99" s="41" t="s">
        <v>401</v>
      </c>
      <c r="C99" s="997">
        <v>0</v>
      </c>
      <c r="D99" s="286" t="s">
        <v>402</v>
      </c>
      <c r="E99" s="286"/>
      <c r="H99" s="97"/>
      <c r="I99" s="97"/>
      <c r="J99" s="76"/>
      <c r="K99" s="76"/>
      <c r="L99" s="76"/>
      <c r="M99" s="76"/>
      <c r="N99" s="343"/>
    </row>
    <row r="100" spans="1:14">
      <c r="A100" s="346">
        <f>ROW()</f>
        <v>100</v>
      </c>
      <c r="B100" s="41" t="s">
        <v>403</v>
      </c>
      <c r="C100" s="997">
        <v>0</v>
      </c>
      <c r="D100" s="286" t="s">
        <v>402</v>
      </c>
      <c r="E100" s="286"/>
      <c r="H100" s="97"/>
      <c r="I100" s="97"/>
      <c r="J100" s="76"/>
      <c r="K100" s="76"/>
      <c r="L100" s="76"/>
      <c r="M100" s="76"/>
      <c r="N100" s="343"/>
    </row>
    <row r="101" spans="1:14">
      <c r="A101" s="346">
        <f>ROW()</f>
        <v>101</v>
      </c>
      <c r="B101" s="33" t="s">
        <v>404</v>
      </c>
      <c r="C101" s="1310">
        <v>0</v>
      </c>
      <c r="D101" s="286" t="s">
        <v>402</v>
      </c>
      <c r="E101" s="286"/>
      <c r="H101" s="97"/>
      <c r="I101" s="97"/>
      <c r="J101" s="76"/>
      <c r="K101" s="76"/>
      <c r="L101" s="76"/>
      <c r="M101" s="76"/>
      <c r="N101" s="343"/>
    </row>
    <row r="102" spans="1:14">
      <c r="A102" s="346">
        <f>ROW()</f>
        <v>102</v>
      </c>
      <c r="B102" s="41" t="s">
        <v>405</v>
      </c>
      <c r="C102" s="997">
        <v>0</v>
      </c>
      <c r="D102" s="286" t="s">
        <v>406</v>
      </c>
      <c r="E102" s="286"/>
      <c r="H102" s="97"/>
      <c r="I102" s="97"/>
      <c r="J102" s="76"/>
      <c r="K102" s="76"/>
      <c r="L102" s="76"/>
      <c r="M102" s="76"/>
      <c r="N102" s="343"/>
    </row>
    <row r="103" spans="1:14">
      <c r="A103" s="346">
        <f>ROW()</f>
        <v>103</v>
      </c>
      <c r="B103" s="33" t="s">
        <v>407</v>
      </c>
      <c r="C103" s="1665">
        <v>0</v>
      </c>
      <c r="D103" s="286"/>
      <c r="E103" s="286"/>
      <c r="H103" s="97"/>
      <c r="I103" s="97"/>
      <c r="J103" s="76"/>
      <c r="K103" s="76"/>
      <c r="L103" s="76"/>
      <c r="M103" s="76"/>
      <c r="N103" s="343"/>
    </row>
    <row r="104" spans="1:14">
      <c r="A104" s="346">
        <f>ROW()</f>
        <v>104</v>
      </c>
      <c r="B104" s="41" t="s">
        <v>408</v>
      </c>
      <c r="C104" s="997">
        <v>1005</v>
      </c>
      <c r="D104" s="41" t="s">
        <v>409</v>
      </c>
      <c r="E104" s="41"/>
      <c r="J104" s="41"/>
      <c r="K104" s="41"/>
      <c r="L104" s="41"/>
      <c r="M104" s="41"/>
      <c r="N104" s="343"/>
    </row>
    <row r="105" spans="1:14">
      <c r="A105" s="346">
        <f>ROW()</f>
        <v>105</v>
      </c>
      <c r="B105" s="41" t="s">
        <v>410</v>
      </c>
      <c r="C105" s="788" t="s">
        <v>411</v>
      </c>
      <c r="D105" s="41" t="s">
        <v>412</v>
      </c>
      <c r="E105" s="41"/>
      <c r="G105" s="55"/>
      <c r="J105" s="41"/>
      <c r="K105" s="41"/>
      <c r="L105" s="41"/>
      <c r="M105" s="41"/>
      <c r="N105" s="343"/>
    </row>
    <row r="106" spans="1:14">
      <c r="A106" s="346">
        <f>ROW()</f>
        <v>106</v>
      </c>
      <c r="B106" s="41" t="s">
        <v>413</v>
      </c>
      <c r="C106" s="788">
        <v>1.45</v>
      </c>
      <c r="D106" s="41" t="s">
        <v>414</v>
      </c>
      <c r="E106" s="41"/>
      <c r="G106" s="55"/>
      <c r="J106" s="41"/>
      <c r="K106" s="41"/>
      <c r="L106" s="41"/>
      <c r="M106" s="41"/>
      <c r="N106" s="343"/>
    </row>
    <row r="107" spans="1:14">
      <c r="A107" s="346">
        <f>ROW()</f>
        <v>107</v>
      </c>
      <c r="B107" s="41" t="s">
        <v>415</v>
      </c>
      <c r="C107" s="788">
        <v>2.25</v>
      </c>
      <c r="D107" s="41" t="s">
        <v>414</v>
      </c>
      <c r="E107" s="41"/>
      <c r="H107" s="90"/>
      <c r="J107" s="41"/>
      <c r="K107" s="41"/>
      <c r="L107" s="41"/>
      <c r="M107" s="41"/>
      <c r="N107" s="343"/>
    </row>
    <row r="108" spans="1:14">
      <c r="A108" s="346">
        <f>ROW()</f>
        <v>108</v>
      </c>
      <c r="B108" s="41" t="s">
        <v>176</v>
      </c>
      <c r="C108" s="788">
        <v>0</v>
      </c>
      <c r="D108" s="41" t="s">
        <v>416</v>
      </c>
      <c r="E108" s="41"/>
      <c r="G108" s="50"/>
      <c r="H108" s="55"/>
      <c r="J108" s="41"/>
      <c r="K108" s="41"/>
      <c r="L108" s="41"/>
      <c r="M108" s="41"/>
      <c r="N108" s="343"/>
    </row>
    <row r="109" spans="1:14">
      <c r="A109" s="346">
        <f>ROW()</f>
        <v>109</v>
      </c>
      <c r="B109" s="46" t="s">
        <v>417</v>
      </c>
      <c r="C109" s="1732" t="str">
        <f>+C78</f>
        <v>Clark</v>
      </c>
      <c r="D109" s="171"/>
      <c r="E109" s="171"/>
      <c r="F109" s="41"/>
      <c r="G109" s="144"/>
      <c r="H109" s="352"/>
      <c r="J109" s="41"/>
      <c r="K109" s="41"/>
      <c r="L109" s="41"/>
      <c r="M109" s="41"/>
      <c r="N109" s="343"/>
    </row>
    <row r="110" spans="1:14">
      <c r="A110" s="346">
        <f>ROW()</f>
        <v>110</v>
      </c>
      <c r="B110" s="127"/>
      <c r="C110" s="127"/>
      <c r="D110" s="127"/>
      <c r="E110" s="127"/>
      <c r="F110" s="125"/>
      <c r="G110" s="359"/>
      <c r="H110" s="359"/>
      <c r="I110" s="359"/>
      <c r="J110" s="359"/>
      <c r="K110" s="359"/>
      <c r="L110" s="359"/>
      <c r="M110" s="99"/>
      <c r="N110" s="343"/>
    </row>
    <row r="111" spans="1:14">
      <c r="A111" s="346">
        <f>ROW()</f>
        <v>111</v>
      </c>
      <c r="B111" s="31" t="s">
        <v>418</v>
      </c>
      <c r="C111" s="31"/>
      <c r="D111" s="31"/>
      <c r="E111" s="31"/>
      <c r="F111" s="1711"/>
      <c r="G111" s="50">
        <f t="shared" ref="G111:L111" si="29">+G36</f>
        <v>1595</v>
      </c>
      <c r="H111" s="50">
        <f t="shared" si="29"/>
        <v>1688</v>
      </c>
      <c r="I111" s="50">
        <f t="shared" si="29"/>
        <v>1788.6201881600005</v>
      </c>
      <c r="J111" s="50">
        <f t="shared" si="29"/>
        <v>1895.9373994496007</v>
      </c>
      <c r="K111" s="50">
        <f t="shared" si="29"/>
        <v>2009.6936434165768</v>
      </c>
      <c r="L111" s="50">
        <f t="shared" si="29"/>
        <v>2130.2752620215715</v>
      </c>
      <c r="M111" s="99"/>
      <c r="N111" s="343"/>
    </row>
    <row r="112" spans="1:14">
      <c r="A112" s="346">
        <f>ROW()</f>
        <v>112</v>
      </c>
      <c r="B112" s="31"/>
      <c r="C112" s="31"/>
      <c r="D112" s="31"/>
      <c r="E112" s="31"/>
      <c r="F112" s="1711"/>
      <c r="G112" s="50"/>
      <c r="H112" s="50"/>
      <c r="I112" s="50"/>
      <c r="J112" s="50"/>
      <c r="K112" s="50"/>
      <c r="L112" s="50"/>
      <c r="M112" s="99"/>
      <c r="N112" s="343"/>
    </row>
    <row r="113" spans="1:14">
      <c r="A113" s="346">
        <f>ROW()</f>
        <v>113</v>
      </c>
      <c r="B113" s="715" t="s">
        <v>419</v>
      </c>
      <c r="C113" s="715"/>
      <c r="D113" s="715"/>
      <c r="E113" s="715"/>
      <c r="F113" s="1731"/>
      <c r="G113" s="1282"/>
      <c r="H113" s="1282"/>
      <c r="I113" s="1282"/>
      <c r="J113" s="1282"/>
      <c r="K113" s="1282"/>
      <c r="L113" s="1282"/>
      <c r="M113" s="99"/>
      <c r="N113" s="343"/>
    </row>
    <row r="114" spans="1:14">
      <c r="A114" s="346">
        <f>ROW()</f>
        <v>114</v>
      </c>
      <c r="B114" s="125" t="s">
        <v>420</v>
      </c>
      <c r="C114" s="125"/>
      <c r="D114" s="125"/>
      <c r="E114" s="125"/>
      <c r="F114" s="1183"/>
      <c r="G114" s="1730">
        <f t="shared" ref="G114:L114" si="30">+G88</f>
        <v>15015330</v>
      </c>
      <c r="H114" s="1730">
        <f t="shared" si="30"/>
        <v>15890832</v>
      </c>
      <c r="I114" s="1730">
        <f t="shared" si="30"/>
        <v>16838070.451338243</v>
      </c>
      <c r="J114" s="1730">
        <f t="shared" si="30"/>
        <v>17848354.678418539</v>
      </c>
      <c r="K114" s="1730">
        <f t="shared" si="30"/>
        <v>18919255.959123656</v>
      </c>
      <c r="L114" s="1730">
        <f t="shared" si="30"/>
        <v>20054411.316671073</v>
      </c>
      <c r="M114" s="99"/>
      <c r="N114" s="343"/>
    </row>
    <row r="115" spans="1:14">
      <c r="A115" s="346">
        <f>ROW()</f>
        <v>115</v>
      </c>
      <c r="B115" s="33" t="s">
        <v>1464</v>
      </c>
      <c r="F115" s="1177"/>
      <c r="G115" s="1717">
        <f t="shared" ref="G115:L115" si="31">SUM(G85:G87)</f>
        <v>272817.72000000003</v>
      </c>
      <c r="H115" s="1717">
        <f t="shared" si="31"/>
        <v>272575.74800412002</v>
      </c>
      <c r="I115" s="1717">
        <f t="shared" si="31"/>
        <v>288468.879392448</v>
      </c>
      <c r="J115" s="1717">
        <f t="shared" si="31"/>
        <v>305664.25434669718</v>
      </c>
      <c r="K115" s="1717">
        <f t="shared" si="31"/>
        <v>324004.10960749903</v>
      </c>
      <c r="L115" s="1717">
        <f t="shared" si="31"/>
        <v>343444.35618394898</v>
      </c>
      <c r="M115" s="99"/>
      <c r="N115" s="343"/>
    </row>
    <row r="116" spans="1:14">
      <c r="A116" s="346">
        <f>ROW()</f>
        <v>116</v>
      </c>
      <c r="B116" s="33" t="s">
        <v>421</v>
      </c>
      <c r="F116" s="1177"/>
      <c r="G116" s="1718">
        <f t="shared" ref="G116:L116" si="32">+G84</f>
        <v>0</v>
      </c>
      <c r="H116" s="1718">
        <f t="shared" si="32"/>
        <v>674605.25</v>
      </c>
      <c r="I116" s="1718">
        <f t="shared" si="32"/>
        <v>713939.6</v>
      </c>
      <c r="J116" s="1718">
        <f t="shared" si="32"/>
        <v>756496.90858227224</v>
      </c>
      <c r="K116" s="1718">
        <f t="shared" si="32"/>
        <v>801886.72309720854</v>
      </c>
      <c r="L116" s="1718">
        <f t="shared" si="32"/>
        <v>849999.92648304126</v>
      </c>
      <c r="M116" s="99"/>
      <c r="N116" s="913" t="s">
        <v>422</v>
      </c>
    </row>
    <row r="117" spans="1:14">
      <c r="A117" s="346">
        <f>ROW()</f>
        <v>117</v>
      </c>
      <c r="B117" s="33" t="s">
        <v>423</v>
      </c>
      <c r="F117" s="1177"/>
      <c r="G117" s="1718">
        <f t="shared" ref="G117:L117" si="33">+G82</f>
        <v>0</v>
      </c>
      <c r="H117" s="1718">
        <f t="shared" si="33"/>
        <v>0</v>
      </c>
      <c r="I117" s="1718">
        <f t="shared" si="33"/>
        <v>0</v>
      </c>
      <c r="J117" s="1718">
        <f t="shared" si="33"/>
        <v>0</v>
      </c>
      <c r="K117" s="1718">
        <f t="shared" si="33"/>
        <v>0</v>
      </c>
      <c r="L117" s="1718">
        <f t="shared" si="33"/>
        <v>0</v>
      </c>
      <c r="M117" s="99"/>
      <c r="N117" s="343"/>
    </row>
    <row r="118" spans="1:14">
      <c r="A118" s="346">
        <f>ROW()</f>
        <v>118</v>
      </c>
      <c r="B118" s="33" t="s">
        <v>1460</v>
      </c>
      <c r="C118" s="1182">
        <f>+C97</f>
        <v>0.01</v>
      </c>
      <c r="G118" s="1178"/>
      <c r="H118" s="1178">
        <f>+$C$97*H114</f>
        <v>158908.32</v>
      </c>
      <c r="I118" s="1178">
        <f>+$C$97*I114</f>
        <v>168380.70451338243</v>
      </c>
      <c r="J118" s="1178">
        <f>+$C$97*J114</f>
        <v>178483.5467841854</v>
      </c>
      <c r="K118" s="1178">
        <f>+$C$97*K114</f>
        <v>189192.55959123655</v>
      </c>
      <c r="L118" s="1178">
        <f>+$C$97*L114</f>
        <v>200544.11316671074</v>
      </c>
      <c r="M118" s="99"/>
      <c r="N118" s="343"/>
    </row>
    <row r="119" spans="1:14">
      <c r="A119" s="346">
        <f>ROW()</f>
        <v>119</v>
      </c>
      <c r="B119" s="125" t="s">
        <v>424</v>
      </c>
      <c r="C119" s="125"/>
      <c r="D119" s="125"/>
      <c r="E119" s="125"/>
      <c r="F119" s="1183"/>
      <c r="G119" s="1184">
        <f t="shared" ref="G119:L119" si="34">SUM(G114:G118)</f>
        <v>15288147.720000001</v>
      </c>
      <c r="H119" s="1184">
        <f t="shared" si="34"/>
        <v>16996921.31800412</v>
      </c>
      <c r="I119" s="1184">
        <f>SUM(I114:I118)</f>
        <v>18008859.635244075</v>
      </c>
      <c r="J119" s="1184">
        <f t="shared" si="34"/>
        <v>19088999.388131697</v>
      </c>
      <c r="K119" s="1184">
        <f t="shared" si="34"/>
        <v>20234339.351419602</v>
      </c>
      <c r="L119" s="1184">
        <f t="shared" si="34"/>
        <v>21448399.712504778</v>
      </c>
      <c r="M119" s="99"/>
      <c r="N119" s="343"/>
    </row>
    <row r="120" spans="1:14">
      <c r="A120" s="346">
        <f>ROW()</f>
        <v>120</v>
      </c>
      <c r="B120" s="33" t="s">
        <v>425</v>
      </c>
      <c r="C120" s="31"/>
      <c r="F120" s="1177"/>
      <c r="G120" s="1178">
        <f t="shared" ref="G120:L120" si="35">-G114*$C$98</f>
        <v>-187691.625</v>
      </c>
      <c r="H120" s="1178">
        <f t="shared" si="35"/>
        <v>-198635.40000000002</v>
      </c>
      <c r="I120" s="1178">
        <f t="shared" si="35"/>
        <v>-210475.88064172806</v>
      </c>
      <c r="J120" s="1178">
        <f t="shared" si="35"/>
        <v>-223104.43348023176</v>
      </c>
      <c r="K120" s="1178">
        <f t="shared" si="35"/>
        <v>-236490.69948904571</v>
      </c>
      <c r="L120" s="1178">
        <f t="shared" si="35"/>
        <v>-250680.14145838842</v>
      </c>
      <c r="M120" s="99"/>
      <c r="N120" s="343"/>
    </row>
    <row r="121" spans="1:14">
      <c r="A121" s="346">
        <f>ROW()</f>
        <v>121</v>
      </c>
      <c r="B121" s="127" t="s">
        <v>426</v>
      </c>
      <c r="C121" s="127"/>
      <c r="D121" s="127"/>
      <c r="E121" s="127"/>
      <c r="F121" s="125"/>
      <c r="G121" s="1186">
        <f>SUM(G119:G120)</f>
        <v>15100456.095000001</v>
      </c>
      <c r="H121" s="1186">
        <f t="shared" ref="H121:L121" si="36">SUM(H119:H120)</f>
        <v>16798285.918004122</v>
      </c>
      <c r="I121" s="1186">
        <f t="shared" si="36"/>
        <v>17798383.754602347</v>
      </c>
      <c r="J121" s="1186">
        <f t="shared" si="36"/>
        <v>18865894.954651464</v>
      </c>
      <c r="K121" s="1186">
        <f t="shared" si="36"/>
        <v>19997848.651930556</v>
      </c>
      <c r="L121" s="1186">
        <f t="shared" si="36"/>
        <v>21197719.57104639</v>
      </c>
      <c r="M121" s="99"/>
      <c r="N121" s="343"/>
    </row>
    <row r="122" spans="1:14">
      <c r="A122" s="346">
        <f>ROW()</f>
        <v>122</v>
      </c>
      <c r="B122" s="31" t="s">
        <v>427</v>
      </c>
      <c r="C122" s="31"/>
      <c r="D122" s="31"/>
      <c r="E122" s="31"/>
      <c r="G122" s="55">
        <f>+G121/G111</f>
        <v>9467.370592476489</v>
      </c>
      <c r="H122" s="55">
        <f t="shared" ref="H122:L122" si="37">+H121/H111</f>
        <v>9951.5911836517316</v>
      </c>
      <c r="I122" s="55">
        <f t="shared" si="37"/>
        <v>9950.901746732492</v>
      </c>
      <c r="J122" s="55">
        <f t="shared" si="37"/>
        <v>9950.6950810339622</v>
      </c>
      <c r="K122" s="55">
        <f t="shared" si="37"/>
        <v>9950.695081033964</v>
      </c>
      <c r="L122" s="55">
        <f t="shared" si="37"/>
        <v>9950.695081033964</v>
      </c>
      <c r="M122" s="99"/>
      <c r="N122" s="343"/>
    </row>
    <row r="123" spans="1:14">
      <c r="A123" s="346">
        <f>ROW()</f>
        <v>123</v>
      </c>
      <c r="B123" s="31"/>
      <c r="C123" s="31"/>
      <c r="D123" s="31"/>
      <c r="E123" s="31"/>
      <c r="G123" s="55"/>
      <c r="H123" s="55"/>
      <c r="I123" s="55"/>
      <c r="J123" s="55"/>
      <c r="K123" s="55"/>
      <c r="L123" s="55"/>
      <c r="M123" s="99"/>
      <c r="N123" s="343"/>
    </row>
    <row r="124" spans="1:14">
      <c r="A124" s="346">
        <f>ROW()</f>
        <v>124</v>
      </c>
      <c r="B124" s="434" t="s">
        <v>428</v>
      </c>
      <c r="C124" s="1279"/>
      <c r="D124" s="1279"/>
      <c r="E124" s="1279"/>
      <c r="F124" s="1280"/>
      <c r="G124" s="1281"/>
      <c r="H124" s="1281"/>
      <c r="I124" s="1281"/>
      <c r="J124" s="1281"/>
      <c r="K124" s="1281"/>
      <c r="L124" s="1281"/>
      <c r="N124" s="343"/>
    </row>
    <row r="125" spans="1:14">
      <c r="A125" s="346">
        <f>ROW()</f>
        <v>125</v>
      </c>
      <c r="B125" s="33" t="s">
        <v>161</v>
      </c>
      <c r="C125" s="50">
        <f t="shared" ref="C125:C132" si="38">SUM(F125:L125)</f>
        <v>0</v>
      </c>
      <c r="D125" s="50"/>
      <c r="E125" s="50"/>
      <c r="F125" s="600"/>
      <c r="G125" s="786">
        <f t="shared" ref="G125:L125" si="39">(G36*G92)*($C$99)</f>
        <v>0</v>
      </c>
      <c r="H125" s="786">
        <f t="shared" si="39"/>
        <v>0</v>
      </c>
      <c r="I125" s="786">
        <f t="shared" si="39"/>
        <v>0</v>
      </c>
      <c r="J125" s="786">
        <f t="shared" si="39"/>
        <v>0</v>
      </c>
      <c r="K125" s="786">
        <f t="shared" si="39"/>
        <v>0</v>
      </c>
      <c r="L125" s="786">
        <f t="shared" si="39"/>
        <v>0</v>
      </c>
      <c r="N125" s="343" t="s">
        <v>429</v>
      </c>
    </row>
    <row r="126" spans="1:14">
      <c r="A126" s="346">
        <f>ROW()</f>
        <v>126</v>
      </c>
      <c r="B126" s="33" t="s">
        <v>430</v>
      </c>
      <c r="C126" s="50">
        <f t="shared" si="38"/>
        <v>38876.342725667128</v>
      </c>
      <c r="D126" s="50"/>
      <c r="E126" s="50"/>
      <c r="F126" s="600"/>
      <c r="G126" s="786">
        <f t="shared" ref="G126:L126" si="40">($C$100*G36*G92)+(G36*3.5)</f>
        <v>5582.5</v>
      </c>
      <c r="H126" s="786">
        <f t="shared" si="40"/>
        <v>5908</v>
      </c>
      <c r="I126" s="786">
        <f t="shared" si="40"/>
        <v>6260.1706585600014</v>
      </c>
      <c r="J126" s="786">
        <f t="shared" si="40"/>
        <v>6635.7808980736027</v>
      </c>
      <c r="K126" s="786">
        <f t="shared" si="40"/>
        <v>7033.9277519580191</v>
      </c>
      <c r="L126" s="786">
        <f t="shared" si="40"/>
        <v>7455.9634170754998</v>
      </c>
      <c r="N126" s="343"/>
    </row>
    <row r="127" spans="1:14">
      <c r="A127" s="346">
        <f>ROW()</f>
        <v>127</v>
      </c>
      <c r="B127" s="33" t="s">
        <v>431</v>
      </c>
      <c r="C127" s="50">
        <f t="shared" ref="C127" si="41">SUM(F127:L127)</f>
        <v>0</v>
      </c>
      <c r="D127" s="50"/>
      <c r="E127" s="50"/>
      <c r="F127" s="600"/>
      <c r="G127" s="1382">
        <f t="shared" ref="G127:L127" si="42">+$C$101*G36</f>
        <v>0</v>
      </c>
      <c r="H127" s="1382">
        <f t="shared" si="42"/>
        <v>0</v>
      </c>
      <c r="I127" s="1382">
        <f t="shared" si="42"/>
        <v>0</v>
      </c>
      <c r="J127" s="1382">
        <f t="shared" si="42"/>
        <v>0</v>
      </c>
      <c r="K127" s="1382">
        <f t="shared" si="42"/>
        <v>0</v>
      </c>
      <c r="L127" s="1382">
        <f t="shared" si="42"/>
        <v>0</v>
      </c>
      <c r="N127" s="343"/>
    </row>
    <row r="128" spans="1:14">
      <c r="A128" s="346">
        <f>ROW()</f>
        <v>128</v>
      </c>
      <c r="B128" s="33" t="s">
        <v>163</v>
      </c>
      <c r="C128" s="50">
        <f t="shared" si="38"/>
        <v>0</v>
      </c>
      <c r="D128" s="50"/>
      <c r="E128" s="50"/>
      <c r="F128" s="600"/>
      <c r="G128" s="786">
        <f t="shared" ref="G128:L128" si="43">$C$102*G36*G93</f>
        <v>0</v>
      </c>
      <c r="H128" s="786">
        <f t="shared" si="43"/>
        <v>0</v>
      </c>
      <c r="I128" s="786">
        <f t="shared" si="43"/>
        <v>0</v>
      </c>
      <c r="J128" s="786">
        <f t="shared" si="43"/>
        <v>0</v>
      </c>
      <c r="K128" s="786">
        <f t="shared" si="43"/>
        <v>0</v>
      </c>
      <c r="L128" s="786">
        <f t="shared" si="43"/>
        <v>0</v>
      </c>
      <c r="N128" s="343"/>
    </row>
    <row r="129" spans="1:14">
      <c r="A129" s="346">
        <f>ROW()</f>
        <v>129</v>
      </c>
      <c r="B129" s="33" t="s">
        <v>164</v>
      </c>
      <c r="C129" s="50"/>
      <c r="D129" s="50"/>
      <c r="E129" s="50"/>
      <c r="F129" s="600"/>
      <c r="G129" s="786"/>
      <c r="H129" s="786"/>
      <c r="I129" s="786"/>
      <c r="J129" s="786"/>
      <c r="K129" s="786"/>
      <c r="L129" s="786"/>
      <c r="N129" s="343" t="s">
        <v>432</v>
      </c>
    </row>
    <row r="130" spans="1:14">
      <c r="A130" s="346">
        <f>ROW()</f>
        <v>130</v>
      </c>
      <c r="B130" s="33" t="s">
        <v>165</v>
      </c>
      <c r="C130" s="50">
        <f t="shared" si="38"/>
        <v>0</v>
      </c>
      <c r="D130" s="50"/>
      <c r="E130" s="50"/>
      <c r="F130" s="600"/>
      <c r="G130" s="786">
        <f>IF($C$105="yes",$C$106*Staff!$C$70*(G36*G92),0)</f>
        <v>0</v>
      </c>
      <c r="H130" s="786">
        <f>IF($C$105="yes",$C$106*Staff!$C$70*(H36*H92),0)</f>
        <v>0</v>
      </c>
      <c r="I130" s="786">
        <f>IF($C$105="yes",$C$106*Staff!$C$70*(I36*I92),0)</f>
        <v>0</v>
      </c>
      <c r="J130" s="786">
        <f>IF($C$105="yes",$C$106*Staff!$C$70*(J36*J92),0)</f>
        <v>0</v>
      </c>
      <c r="K130" s="786">
        <f>IF($C$105="yes",$C$106*Staff!$C$70*(K36*K92),0)</f>
        <v>0</v>
      </c>
      <c r="L130" s="786">
        <f>IF($C$105="yes",$C$106*Staff!$C$70*(L36*L92),0)</f>
        <v>0</v>
      </c>
      <c r="N130" s="343"/>
    </row>
    <row r="131" spans="1:14">
      <c r="A131" s="346">
        <f>ROW()</f>
        <v>131</v>
      </c>
      <c r="B131" s="33" t="s">
        <v>433</v>
      </c>
      <c r="C131" s="50">
        <f t="shared" si="38"/>
        <v>0</v>
      </c>
      <c r="D131" s="50"/>
      <c r="E131" s="50"/>
      <c r="F131" s="600"/>
      <c r="G131" s="786">
        <f>(G36*G92)*Staff!$C$70*$C$107</f>
        <v>0</v>
      </c>
      <c r="H131" s="786">
        <f>(H36*H92)*Staff!$C$70*$C$107</f>
        <v>0</v>
      </c>
      <c r="I131" s="786">
        <f>(I36*I92)*Staff!$C$70*$C$107</f>
        <v>0</v>
      </c>
      <c r="J131" s="786">
        <f>(J36*J92)*Staff!$C$70*$C$107</f>
        <v>0</v>
      </c>
      <c r="K131" s="786">
        <f>(K36*K92)*Staff!$C$70*$C$107</f>
        <v>0</v>
      </c>
      <c r="L131" s="786">
        <f>(L36*L92)*Staff!$C$70*$C$107</f>
        <v>0</v>
      </c>
      <c r="N131" s="343"/>
    </row>
    <row r="132" spans="1:14">
      <c r="A132" s="346">
        <f>ROW()</f>
        <v>132</v>
      </c>
      <c r="B132" s="33" t="s">
        <v>167</v>
      </c>
      <c r="C132" s="50">
        <f t="shared" si="38"/>
        <v>1227937.0538064288</v>
      </c>
      <c r="D132" s="50"/>
      <c r="E132" s="50"/>
      <c r="F132" s="600"/>
      <c r="G132" s="786">
        <f t="shared" ref="G132:L132" si="44">(G36*G94)*$C$104</f>
        <v>176327.25</v>
      </c>
      <c r="H132" s="786">
        <f t="shared" si="44"/>
        <v>186608.4</v>
      </c>
      <c r="I132" s="786">
        <f t="shared" si="44"/>
        <v>197731.96180108807</v>
      </c>
      <c r="J132" s="786">
        <f t="shared" si="44"/>
        <v>209595.87950915334</v>
      </c>
      <c r="K132" s="786">
        <f t="shared" si="44"/>
        <v>222171.63227970258</v>
      </c>
      <c r="L132" s="786">
        <f t="shared" si="44"/>
        <v>235501.93021648473</v>
      </c>
      <c r="N132" s="343"/>
    </row>
    <row r="133" spans="1:14" ht="27.6">
      <c r="A133" s="898">
        <f>ROW()</f>
        <v>133</v>
      </c>
      <c r="B133" s="43" t="s">
        <v>434</v>
      </c>
      <c r="C133" s="50">
        <f>SUM(F133:L133)</f>
        <v>0</v>
      </c>
      <c r="D133" s="50"/>
      <c r="E133" s="50"/>
      <c r="F133" s="1330"/>
      <c r="G133" s="933">
        <v>0</v>
      </c>
      <c r="H133" s="933">
        <v>0</v>
      </c>
      <c r="I133" s="933">
        <v>0</v>
      </c>
      <c r="J133" s="933">
        <v>0</v>
      </c>
      <c r="K133" s="933">
        <v>0</v>
      </c>
      <c r="L133" s="933">
        <v>0</v>
      </c>
      <c r="N133" s="343"/>
    </row>
    <row r="134" spans="1:14">
      <c r="A134" s="898">
        <f>ROW()</f>
        <v>134</v>
      </c>
      <c r="B134" s="43" t="s">
        <v>435</v>
      </c>
      <c r="C134" s="50">
        <f t="shared" ref="C134:C142" si="45">SUM(F134:L134)</f>
        <v>0</v>
      </c>
      <c r="D134" s="50"/>
      <c r="E134" s="50"/>
      <c r="F134" s="1332"/>
      <c r="G134" s="319">
        <v>0</v>
      </c>
      <c r="H134" s="319">
        <v>0</v>
      </c>
      <c r="I134" s="319">
        <v>0</v>
      </c>
      <c r="J134" s="319">
        <v>0</v>
      </c>
      <c r="K134" s="319">
        <v>0</v>
      </c>
      <c r="L134" s="319">
        <v>0</v>
      </c>
      <c r="N134" s="343"/>
    </row>
    <row r="135" spans="1:14">
      <c r="A135" s="898">
        <f>ROW()</f>
        <v>135</v>
      </c>
      <c r="B135" s="33" t="s">
        <v>436</v>
      </c>
      <c r="C135" s="50">
        <f t="shared" si="45"/>
        <v>0</v>
      </c>
      <c r="D135" s="50"/>
      <c r="E135" s="50"/>
      <c r="F135" s="1331"/>
      <c r="G135" s="319">
        <v>0</v>
      </c>
      <c r="H135" s="319">
        <v>0</v>
      </c>
      <c r="I135" s="319">
        <v>0</v>
      </c>
      <c r="J135" s="319">
        <v>0</v>
      </c>
      <c r="K135" s="319">
        <v>0</v>
      </c>
      <c r="L135" s="319">
        <v>0</v>
      </c>
      <c r="N135" s="343"/>
    </row>
    <row r="136" spans="1:14">
      <c r="A136" s="898">
        <f>ROW()</f>
        <v>136</v>
      </c>
      <c r="B136" s="33" t="s">
        <v>437</v>
      </c>
      <c r="C136" s="50">
        <f t="shared" si="45"/>
        <v>0</v>
      </c>
      <c r="D136" s="50"/>
      <c r="E136" s="50"/>
      <c r="F136" s="1331"/>
      <c r="G136" s="1381">
        <f t="shared" ref="G136:L136" si="46">$C$108*G36</f>
        <v>0</v>
      </c>
      <c r="H136" s="1381">
        <f t="shared" si="46"/>
        <v>0</v>
      </c>
      <c r="I136" s="1381">
        <f t="shared" si="46"/>
        <v>0</v>
      </c>
      <c r="J136" s="1381">
        <f t="shared" si="46"/>
        <v>0</v>
      </c>
      <c r="K136" s="1381">
        <f t="shared" si="46"/>
        <v>0</v>
      </c>
      <c r="L136" s="1381">
        <f t="shared" si="46"/>
        <v>0</v>
      </c>
      <c r="N136" s="343"/>
    </row>
    <row r="137" spans="1:14">
      <c r="A137" s="898">
        <f>ROW()</f>
        <v>137</v>
      </c>
      <c r="B137" s="33" t="s">
        <v>172</v>
      </c>
      <c r="C137" s="50">
        <f t="shared" si="45"/>
        <v>2017685.9344426962</v>
      </c>
      <c r="D137" s="50"/>
      <c r="E137" s="50"/>
      <c r="F137" s="1331"/>
      <c r="G137" s="319">
        <f>(G111-350)*224</f>
        <v>278880</v>
      </c>
      <c r="H137" s="319">
        <f>(H111-350)*224</f>
        <v>299712</v>
      </c>
      <c r="I137" s="319">
        <f t="shared" ref="I137:K137" si="47">(I111-350)*224</f>
        <v>322250.92214784009</v>
      </c>
      <c r="J137" s="319">
        <f t="shared" si="47"/>
        <v>346289.97747671057</v>
      </c>
      <c r="K137" s="319">
        <f t="shared" si="47"/>
        <v>371771.37612531323</v>
      </c>
      <c r="L137" s="319">
        <f>(L111-350)*224</f>
        <v>398781.65869283199</v>
      </c>
      <c r="N137" s="343" t="s">
        <v>1597</v>
      </c>
    </row>
    <row r="138" spans="1:14">
      <c r="A138" s="898">
        <f>ROW()</f>
        <v>138</v>
      </c>
      <c r="B138" s="33" t="s">
        <v>438</v>
      </c>
      <c r="C138" s="50">
        <f t="shared" si="45"/>
        <v>0</v>
      </c>
      <c r="D138" s="50"/>
      <c r="E138" s="50"/>
      <c r="F138" s="1331"/>
      <c r="G138" s="319">
        <v>0</v>
      </c>
      <c r="H138" s="319">
        <v>0</v>
      </c>
      <c r="I138" s="319">
        <v>0</v>
      </c>
      <c r="J138" s="319">
        <v>0</v>
      </c>
      <c r="K138" s="319">
        <v>0</v>
      </c>
      <c r="L138" s="319">
        <v>0</v>
      </c>
      <c r="N138" s="343"/>
    </row>
    <row r="139" spans="1:14">
      <c r="A139" s="898">
        <f>ROW()</f>
        <v>139</v>
      </c>
      <c r="B139" s="33" t="s">
        <v>439</v>
      </c>
      <c r="C139" s="50">
        <f t="shared" si="45"/>
        <v>0</v>
      </c>
      <c r="D139" s="50"/>
      <c r="E139" s="50"/>
      <c r="F139" s="1331"/>
      <c r="G139" s="319">
        <v>0</v>
      </c>
      <c r="H139" s="319">
        <v>0</v>
      </c>
      <c r="I139" s="319">
        <v>0</v>
      </c>
      <c r="J139" s="319">
        <v>0</v>
      </c>
      <c r="K139" s="319">
        <v>0</v>
      </c>
      <c r="L139" s="319">
        <v>0</v>
      </c>
      <c r="N139" s="343"/>
    </row>
    <row r="140" spans="1:14">
      <c r="A140" s="898">
        <f>ROW()</f>
        <v>140</v>
      </c>
      <c r="B140" s="33" t="s">
        <v>175</v>
      </c>
      <c r="C140" s="50">
        <f t="shared" si="45"/>
        <v>0</v>
      </c>
      <c r="D140" s="50"/>
      <c r="E140" s="50"/>
      <c r="F140" s="1331"/>
      <c r="G140" s="319">
        <v>0</v>
      </c>
      <c r="H140" s="319">
        <v>0</v>
      </c>
      <c r="I140" s="319">
        <v>0</v>
      </c>
      <c r="J140" s="319">
        <v>0</v>
      </c>
      <c r="K140" s="319">
        <v>0</v>
      </c>
      <c r="L140" s="319">
        <v>0</v>
      </c>
      <c r="N140" s="343"/>
    </row>
    <row r="141" spans="1:14">
      <c r="A141" s="898">
        <f>ROW()</f>
        <v>141</v>
      </c>
      <c r="B141" s="33" t="s">
        <v>440</v>
      </c>
      <c r="C141" s="50">
        <f t="shared" si="45"/>
        <v>270000</v>
      </c>
      <c r="D141" s="50"/>
      <c r="E141" s="50"/>
      <c r="F141" s="1331"/>
      <c r="G141" s="319">
        <v>45000</v>
      </c>
      <c r="H141" s="319">
        <v>45000</v>
      </c>
      <c r="I141" s="319">
        <v>45000</v>
      </c>
      <c r="J141" s="319">
        <v>45000</v>
      </c>
      <c r="K141" s="319">
        <v>45000</v>
      </c>
      <c r="L141" s="319">
        <v>45000</v>
      </c>
      <c r="N141" s="343" t="s">
        <v>1583</v>
      </c>
    </row>
    <row r="142" spans="1:14">
      <c r="A142" s="898">
        <f>ROW()</f>
        <v>142</v>
      </c>
      <c r="B142" s="33" t="s">
        <v>441</v>
      </c>
      <c r="C142" s="50">
        <f t="shared" si="45"/>
        <v>0</v>
      </c>
      <c r="D142" s="50"/>
      <c r="E142" s="50"/>
      <c r="F142" s="1331"/>
      <c r="G142" s="320">
        <v>0</v>
      </c>
      <c r="H142" s="319">
        <v>0</v>
      </c>
      <c r="I142" s="319">
        <v>0</v>
      </c>
      <c r="J142" s="319">
        <v>0</v>
      </c>
      <c r="K142" s="319">
        <v>0</v>
      </c>
      <c r="L142" s="319">
        <v>0</v>
      </c>
      <c r="N142" s="343"/>
    </row>
    <row r="143" spans="1:14" ht="15.6">
      <c r="A143" s="898">
        <f>ROW()</f>
        <v>143</v>
      </c>
      <c r="B143" s="1201"/>
      <c r="C143" s="362"/>
      <c r="D143" s="363"/>
      <c r="E143" s="363"/>
      <c r="F143" s="364">
        <f t="shared" ref="F143:L143" si="48">SUM(F125:F142)</f>
        <v>0</v>
      </c>
      <c r="G143" s="364">
        <f>SUM(G125:G142)</f>
        <v>505789.75</v>
      </c>
      <c r="H143" s="364">
        <f t="shared" si="48"/>
        <v>537228.4</v>
      </c>
      <c r="I143" s="364">
        <f t="shared" si="48"/>
        <v>571243.05460748821</v>
      </c>
      <c r="J143" s="364">
        <f t="shared" si="48"/>
        <v>607521.63788393745</v>
      </c>
      <c r="K143" s="364">
        <f t="shared" si="48"/>
        <v>645976.93615697382</v>
      </c>
      <c r="L143" s="364">
        <f t="shared" si="48"/>
        <v>686739.55232639215</v>
      </c>
      <c r="N143" s="343"/>
    </row>
    <row r="144" spans="1:14" ht="15.6">
      <c r="A144" s="898">
        <f>ROW()</f>
        <v>144</v>
      </c>
      <c r="B144" s="127" t="s">
        <v>442</v>
      </c>
      <c r="C144" s="1327"/>
      <c r="D144" s="1328"/>
      <c r="E144" s="1328"/>
      <c r="F144" s="1329"/>
      <c r="G144" s="1383">
        <f t="shared" ref="G144:L144" si="49">+G143/G36</f>
        <v>317.10956112852665</v>
      </c>
      <c r="H144" s="1383">
        <f t="shared" si="49"/>
        <v>318.26327014218009</v>
      </c>
      <c r="I144" s="1383">
        <f t="shared" si="49"/>
        <v>319.3763876696151</v>
      </c>
      <c r="J144" s="1383">
        <f t="shared" si="49"/>
        <v>320.43338459397643</v>
      </c>
      <c r="K144" s="1383">
        <f t="shared" si="49"/>
        <v>321.43055150375142</v>
      </c>
      <c r="L144" s="1383">
        <f t="shared" si="49"/>
        <v>322.37127500353898</v>
      </c>
      <c r="N144" s="343"/>
    </row>
    <row r="145" spans="1:14" ht="15.6">
      <c r="A145" s="898">
        <f>ROW()</f>
        <v>145</v>
      </c>
      <c r="B145" s="1201" t="s">
        <v>180</v>
      </c>
      <c r="C145" s="362">
        <f t="shared" ref="C145" si="50">SUM(G145:L145)</f>
        <v>113313088.27620967</v>
      </c>
      <c r="D145" s="363"/>
      <c r="E145" s="363"/>
      <c r="F145" s="364">
        <f t="shared" ref="F145:L145" si="51">+F143+F121</f>
        <v>0</v>
      </c>
      <c r="G145" s="364">
        <f t="shared" si="51"/>
        <v>15606245.845000001</v>
      </c>
      <c r="H145" s="364">
        <f t="shared" si="51"/>
        <v>17335514.31800412</v>
      </c>
      <c r="I145" s="364">
        <f>+I143+I121</f>
        <v>18369626.809209835</v>
      </c>
      <c r="J145" s="364">
        <f t="shared" si="51"/>
        <v>19473416.592535403</v>
      </c>
      <c r="K145" s="364">
        <f t="shared" si="51"/>
        <v>20643825.588087529</v>
      </c>
      <c r="L145" s="364">
        <f t="shared" si="51"/>
        <v>21884459.123372782</v>
      </c>
      <c r="N145" s="343"/>
    </row>
    <row r="146" spans="1:14" ht="14.4">
      <c r="A146" s="898">
        <f>ROW()</f>
        <v>146</v>
      </c>
      <c r="B146" s="183" t="s">
        <v>443</v>
      </c>
      <c r="C146" s="80"/>
      <c r="D146" s="80"/>
      <c r="E146" s="80"/>
      <c r="F146" s="1187"/>
      <c r="G146" s="1384">
        <f t="shared" ref="G146:L146" si="52">IFERROR(G145/G36,0)</f>
        <v>9784.4801536050163</v>
      </c>
      <c r="H146" s="1384">
        <f t="shared" si="52"/>
        <v>10269.854453793911</v>
      </c>
      <c r="I146" s="1384">
        <f t="shared" si="52"/>
        <v>10270.278134402108</v>
      </c>
      <c r="J146" s="1384">
        <f t="shared" si="52"/>
        <v>10271.128465627939</v>
      </c>
      <c r="K146" s="1384">
        <f t="shared" si="52"/>
        <v>10272.125632537714</v>
      </c>
      <c r="L146" s="1384">
        <f t="shared" si="52"/>
        <v>10273.066356037503</v>
      </c>
      <c r="N146" s="343"/>
    </row>
    <row r="147" spans="1:14">
      <c r="A147" s="346"/>
      <c r="B147" s="31" t="s">
        <v>444</v>
      </c>
      <c r="C147" s="31"/>
      <c r="D147" s="31"/>
      <c r="E147" s="31"/>
      <c r="G147" s="55">
        <f>+Summary!G35</f>
        <v>15606245.845000001</v>
      </c>
      <c r="H147" s="55">
        <f>+Summary!H35</f>
        <v>17335514.31800412</v>
      </c>
      <c r="I147" s="55">
        <f>+Summary!I35</f>
        <v>18369626.809209835</v>
      </c>
      <c r="J147" s="55">
        <f>+Summary!J35</f>
        <v>19473416.592535403</v>
      </c>
      <c r="K147" s="55">
        <f>+Summary!K35</f>
        <v>20643825.588087529</v>
      </c>
      <c r="L147" s="55">
        <f>+Summary!L35</f>
        <v>21884459.123372782</v>
      </c>
    </row>
    <row r="148" spans="1:14">
      <c r="A148" s="346"/>
      <c r="B148" s="127" t="s">
        <v>445</v>
      </c>
      <c r="C148" s="127"/>
      <c r="D148" s="127"/>
      <c r="E148" s="127"/>
      <c r="F148" s="125"/>
      <c r="G148" s="1186">
        <f>+G145-G147</f>
        <v>0</v>
      </c>
      <c r="H148" s="1186">
        <f t="shared" ref="H148:L148" si="53">+H145-H147</f>
        <v>0</v>
      </c>
      <c r="I148" s="1186">
        <f t="shared" si="53"/>
        <v>0</v>
      </c>
      <c r="J148" s="1186">
        <f t="shared" si="53"/>
        <v>0</v>
      </c>
      <c r="K148" s="1186">
        <f t="shared" si="53"/>
        <v>0</v>
      </c>
      <c r="L148" s="1186">
        <f t="shared" si="53"/>
        <v>0</v>
      </c>
    </row>
    <row r="149" spans="1:14">
      <c r="A149" s="64"/>
      <c r="B149" s="80" t="s">
        <v>446</v>
      </c>
      <c r="C149" s="31"/>
      <c r="D149" s="31"/>
      <c r="E149" s="31"/>
    </row>
  </sheetData>
  <sheetProtection algorithmName="SHA-512" hashValue="Q/HHvok61j0VbY36C+HDZCDpxd90Eg2ci4vY8cNxnK2WEEUBxk8nPfi/8MdvB7KzEnUEtboXw9u1sD3XrHrS6A==" saltValue="FBUUGTkA5XtMxwn9c6mCQA==" spinCount="100000" sheet="1" objects="1" scenarios="1"/>
  <phoneticPr fontId="7" type="noConversion"/>
  <conditionalFormatting sqref="C73">
    <cfRule type="top10" dxfId="58" priority="6" rank="10"/>
  </conditionalFormatting>
  <conditionalFormatting sqref="D1:E1 C14:E14 B23:E35">
    <cfRule type="expression" dxfId="57" priority="171" stopIfTrue="1">
      <formula>MOD(ROW(),2)=0</formula>
    </cfRule>
  </conditionalFormatting>
  <conditionalFormatting sqref="D73:E73">
    <cfRule type="cellIs" dxfId="56" priority="4" operator="greaterThan">
      <formula>1</formula>
    </cfRule>
  </conditionalFormatting>
  <conditionalFormatting sqref="G94:H94">
    <cfRule type="cellIs" dxfId="55" priority="21" operator="greaterThan">
      <formula>0.25</formula>
    </cfRule>
  </conditionalFormatting>
  <conditionalFormatting sqref="G17:L17">
    <cfRule type="cellIs" dxfId="54" priority="215" stopIfTrue="1" operator="equal">
      <formula>0</formula>
    </cfRule>
  </conditionalFormatting>
  <conditionalFormatting sqref="G19:L19">
    <cfRule type="cellIs" dxfId="53" priority="14" stopIfTrue="1" operator="equal">
      <formula>0</formula>
    </cfRule>
  </conditionalFormatting>
  <conditionalFormatting sqref="G95:L95">
    <cfRule type="cellIs" dxfId="52" priority="146" stopIfTrue="1" operator="equal">
      <formula>0</formula>
    </cfRule>
  </conditionalFormatting>
  <hyperlinks>
    <hyperlink ref="D1" location="HypLink1" display="HypLink1"/>
    <hyperlink ref="D79" r:id="rId1" display="Rates based on SB503, 82nd 2023 Nevada legislative session"/>
  </hyperlinks>
  <pageMargins left="0.25" right="0.25" top="0.5" bottom="0.45" header="0.25" footer="0.25"/>
  <pageSetup scale="60" fitToHeight="4" orientation="landscape" r:id="rId2"/>
  <headerFooter>
    <oddHeader xml:space="preserve">&amp;L &amp;C &amp;R </oddHeader>
    <oddFooter>&amp;L&amp;7&amp;D  at &amp;T Mike 702.854.0691&amp;C&amp;7&amp;F  &amp;A&amp;R&amp;7Page &amp;P of &amp;N</oddFooter>
  </headerFooter>
  <rowBreaks count="1" manualBreakCount="1">
    <brk id="109" max="12" man="1"/>
  </rowBreaks>
  <drawing r:id="rId3"/>
  <legacyDrawing r:id="rId4"/>
  <extLst>
    <ext xmlns:x14="http://schemas.microsoft.com/office/spreadsheetml/2009/9/main" uri="{CCE6A557-97BC-4b89-ADB6-D9C93CAAB3DF}">
      <x14:dataValidations xmlns:xm="http://schemas.microsoft.com/office/excel/2006/main" disablePrompts="1" xWindow="527" yWindow="807" count="2">
        <x14:dataValidation type="list" allowBlank="1" showInputMessage="1" showErrorMessage="1">
          <x14:formula1>
            <xm:f>'PCFP Rates'!$B$12:$B$20</xm:f>
          </x14:formula1>
          <xm:sqref>C78</xm:sqref>
        </x14:dataValidation>
        <x14:dataValidation type="list" allowBlank="1" showInputMessage="1" showErrorMessage="1" promptTitle="County" prompt="In the Dropdown Box select the county where your school will be located.">
          <x14:formula1>
            <xm:f>'PCFP Rates'!$O$49:$O$80</xm:f>
          </x14:formula1>
          <xm:sqref>D109:E109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M56"/>
  <sheetViews>
    <sheetView workbookViewId="0"/>
  </sheetViews>
  <sheetFormatPr defaultColWidth="8.77734375" defaultRowHeight="13.2"/>
  <cols>
    <col min="1" max="1" width="4.77734375" style="6" customWidth="1"/>
    <col min="2" max="2" width="30.21875" style="6" customWidth="1"/>
    <col min="3" max="3" width="16.77734375" style="6" customWidth="1"/>
    <col min="4" max="4" width="15.21875" style="6" bestFit="1" customWidth="1"/>
    <col min="5" max="5" width="13.77734375" style="6" customWidth="1"/>
    <col min="6" max="6" width="3.77734375" style="6" customWidth="1"/>
    <col min="7" max="7" width="35.77734375" style="6" customWidth="1"/>
    <col min="8" max="8" width="3.5546875" style="6" customWidth="1"/>
    <col min="9" max="16384" width="8.77734375" style="6"/>
  </cols>
  <sheetData>
    <row r="1" spans="1:13" ht="17.399999999999999">
      <c r="A1" s="22" t="s">
        <v>447</v>
      </c>
      <c r="B1" s="21"/>
      <c r="C1" s="21"/>
      <c r="D1" s="21"/>
      <c r="E1" s="408" t="s">
        <v>3</v>
      </c>
    </row>
    <row r="2" spans="1:13" ht="15.6">
      <c r="A2" s="25" t="str">
        <f>SchoolName</f>
        <v>The Delta Academy</v>
      </c>
      <c r="B2" s="24"/>
      <c r="C2" s="24"/>
      <c r="D2" s="24"/>
    </row>
    <row r="3" spans="1:13">
      <c r="A3" s="10" t="s">
        <v>448</v>
      </c>
    </row>
    <row r="4" spans="1:13">
      <c r="A4" s="9" t="s">
        <v>80</v>
      </c>
      <c r="H4" s="7"/>
      <c r="I4" s="7"/>
      <c r="J4" s="7"/>
      <c r="K4" s="7"/>
      <c r="L4" s="7"/>
      <c r="M4" s="7"/>
    </row>
    <row r="5" spans="1:13">
      <c r="A5" s="8" t="str">
        <f ca="1">CELL("filename")</f>
        <v>C:\Users\kyle.konold\Downloads\[FY25 Budget - Delta Academy_Final.xlsx]Form 1 Cover</v>
      </c>
      <c r="H5" s="7"/>
      <c r="I5" s="7"/>
      <c r="J5" s="7"/>
      <c r="K5" s="7"/>
      <c r="L5" s="7"/>
      <c r="M5" s="7"/>
    </row>
    <row r="6" spans="1:13">
      <c r="A6" s="7"/>
      <c r="B6" s="7"/>
      <c r="C6" s="7"/>
      <c r="D6" s="7"/>
      <c r="E6" s="1345" t="s">
        <v>449</v>
      </c>
      <c r="F6" s="7"/>
      <c r="G6" s="7"/>
      <c r="H6" s="7"/>
      <c r="I6" s="7"/>
      <c r="J6" s="7"/>
      <c r="K6" s="7"/>
      <c r="L6" s="7"/>
      <c r="M6" s="7"/>
    </row>
    <row r="7" spans="1:13">
      <c r="A7" s="7"/>
      <c r="B7" s="7"/>
      <c r="C7" s="7"/>
      <c r="D7" s="7"/>
      <c r="E7" s="1343">
        <f>+Cover!E11-1</f>
        <v>2024</v>
      </c>
      <c r="F7" s="7"/>
      <c r="G7" s="1262" t="s">
        <v>450</v>
      </c>
      <c r="H7" s="1262"/>
      <c r="I7" s="1262"/>
      <c r="J7" s="1262"/>
      <c r="K7" s="7"/>
      <c r="L7" s="7"/>
      <c r="M7" s="7"/>
    </row>
    <row r="8" spans="1:13">
      <c r="A8" s="7"/>
      <c r="B8" s="7"/>
      <c r="C8" s="7"/>
      <c r="D8" s="7"/>
      <c r="E8" s="1344">
        <f>+E7+1</f>
        <v>2025</v>
      </c>
      <c r="F8" s="7"/>
      <c r="G8" s="1262"/>
      <c r="H8" s="1262"/>
      <c r="I8" s="1262"/>
      <c r="J8" s="1262"/>
      <c r="K8" s="7"/>
      <c r="L8" s="7"/>
      <c r="M8" s="7"/>
    </row>
    <row r="9" spans="1:13" ht="13.8">
      <c r="A9" s="7"/>
      <c r="B9" s="11"/>
      <c r="C9" s="7"/>
      <c r="D9" s="7"/>
      <c r="E9" s="7"/>
      <c r="F9" s="7"/>
      <c r="G9" s="7"/>
      <c r="H9" s="7"/>
      <c r="I9" s="7"/>
      <c r="J9" s="7"/>
      <c r="K9" s="7"/>
      <c r="L9" s="7"/>
      <c r="M9" s="7"/>
    </row>
    <row r="10" spans="1:13" ht="13.8">
      <c r="A10" s="7"/>
      <c r="B10" s="1782" t="s">
        <v>451</v>
      </c>
      <c r="C10" s="1783"/>
      <c r="D10" s="1783"/>
      <c r="E10" s="1784"/>
      <c r="F10" s="7"/>
      <c r="G10" s="1650" t="s">
        <v>103</v>
      </c>
      <c r="H10" s="7"/>
      <c r="I10" s="7"/>
      <c r="J10" s="7"/>
      <c r="K10" s="7"/>
      <c r="L10" s="7"/>
      <c r="M10" s="7"/>
    </row>
    <row r="11" spans="1:13" ht="13.8">
      <c r="A11" s="488">
        <f>ROW()</f>
        <v>11</v>
      </c>
      <c r="B11" s="1257"/>
      <c r="C11" s="1257"/>
      <c r="D11" s="1257"/>
      <c r="E11" s="1268"/>
      <c r="F11" s="15"/>
      <c r="G11" s="462"/>
      <c r="H11" s="7"/>
      <c r="I11" s="7"/>
      <c r="J11" s="7"/>
      <c r="K11" s="7"/>
      <c r="L11" s="7"/>
      <c r="M11" s="7"/>
    </row>
    <row r="12" spans="1:13" ht="13.8">
      <c r="A12" s="488">
        <f>ROW()</f>
        <v>12</v>
      </c>
      <c r="B12" s="1258"/>
      <c r="C12" s="1258"/>
      <c r="D12" s="1258"/>
      <c r="E12" s="1269">
        <v>0</v>
      </c>
      <c r="F12" s="15"/>
      <c r="G12" s="343"/>
      <c r="H12" s="7"/>
      <c r="I12" s="7"/>
      <c r="J12" s="7"/>
      <c r="K12" s="7"/>
      <c r="L12" s="7"/>
      <c r="M12" s="7"/>
    </row>
    <row r="13" spans="1:13" ht="13.8">
      <c r="A13" s="488">
        <f>ROW()</f>
        <v>13</v>
      </c>
      <c r="B13" s="1258"/>
      <c r="C13" s="1258"/>
      <c r="D13" s="1258"/>
      <c r="E13" s="452">
        <v>0</v>
      </c>
      <c r="F13" s="15"/>
      <c r="G13" s="343"/>
      <c r="H13" s="7"/>
      <c r="I13" s="7"/>
      <c r="J13" s="7"/>
      <c r="K13" s="7"/>
      <c r="L13" s="7"/>
      <c r="M13" s="7"/>
    </row>
    <row r="14" spans="1:13" ht="13.8">
      <c r="A14" s="488">
        <f>ROW()</f>
        <v>14</v>
      </c>
      <c r="B14" s="1258"/>
      <c r="C14" s="1258"/>
      <c r="D14" s="1258"/>
      <c r="E14" s="452"/>
      <c r="F14" s="15"/>
      <c r="G14" s="343"/>
      <c r="H14" s="7"/>
      <c r="I14" s="7"/>
      <c r="J14" s="7"/>
      <c r="K14" s="7"/>
      <c r="L14" s="7"/>
      <c r="M14" s="7"/>
    </row>
    <row r="15" spans="1:13" ht="13.8">
      <c r="A15" s="488">
        <f>ROW()</f>
        <v>15</v>
      </c>
      <c r="B15" s="1258" t="s">
        <v>452</v>
      </c>
      <c r="C15" s="1258"/>
      <c r="D15" s="1258"/>
      <c r="E15" s="452">
        <v>0</v>
      </c>
      <c r="F15" s="15"/>
      <c r="G15" s="343"/>
      <c r="H15" s="7"/>
      <c r="I15" s="7"/>
      <c r="J15" s="7"/>
      <c r="K15" s="7"/>
      <c r="L15" s="7"/>
      <c r="M15" s="7"/>
    </row>
    <row r="16" spans="1:13" ht="13.8">
      <c r="A16" s="488">
        <f>ROW()</f>
        <v>16</v>
      </c>
      <c r="B16" s="1258" t="s">
        <v>453</v>
      </c>
      <c r="C16" s="1258"/>
      <c r="D16" s="1258"/>
      <c r="E16" s="452">
        <v>0</v>
      </c>
      <c r="F16" s="15"/>
      <c r="G16" s="343"/>
      <c r="H16" s="7"/>
      <c r="I16" s="7"/>
      <c r="J16" s="7"/>
      <c r="K16" s="7"/>
      <c r="L16" s="7"/>
      <c r="M16" s="7"/>
    </row>
    <row r="17" spans="1:13" ht="13.8">
      <c r="A17" s="488">
        <f>ROW()</f>
        <v>17</v>
      </c>
      <c r="B17" s="1258" t="s">
        <v>454</v>
      </c>
      <c r="C17" s="1258"/>
      <c r="D17" s="1258"/>
      <c r="E17" s="452">
        <v>0</v>
      </c>
      <c r="F17" s="15"/>
      <c r="G17" s="343"/>
      <c r="H17" s="7"/>
      <c r="I17" s="7"/>
      <c r="J17" s="7"/>
      <c r="K17" s="7"/>
      <c r="L17" s="7"/>
      <c r="M17" s="7"/>
    </row>
    <row r="18" spans="1:13" ht="13.8">
      <c r="A18" s="488">
        <f>ROW()</f>
        <v>18</v>
      </c>
      <c r="B18" s="1258" t="s">
        <v>455</v>
      </c>
      <c r="C18" s="1258"/>
      <c r="D18" s="1258"/>
      <c r="E18" s="452">
        <v>0</v>
      </c>
      <c r="F18" s="15"/>
      <c r="G18" s="343"/>
      <c r="H18" s="7"/>
      <c r="I18" s="7"/>
      <c r="J18" s="7"/>
      <c r="K18" s="7"/>
      <c r="L18" s="7"/>
      <c r="M18" s="7"/>
    </row>
    <row r="19" spans="1:13" ht="13.8">
      <c r="A19" s="488">
        <f>ROW()</f>
        <v>19</v>
      </c>
      <c r="B19" s="1256" t="s">
        <v>456</v>
      </c>
      <c r="C19" s="1258"/>
      <c r="D19" s="1258"/>
      <c r="E19" s="452">
        <v>0</v>
      </c>
      <c r="F19" s="15"/>
      <c r="G19" s="343"/>
      <c r="H19" s="7"/>
      <c r="I19" s="7"/>
      <c r="J19" s="7"/>
      <c r="K19" s="7"/>
      <c r="L19" s="7"/>
      <c r="M19" s="7"/>
    </row>
    <row r="20" spans="1:13" ht="13.8">
      <c r="A20" s="488">
        <f>ROW()</f>
        <v>20</v>
      </c>
      <c r="B20" s="1258" t="s">
        <v>457</v>
      </c>
      <c r="C20" s="1258"/>
      <c r="D20" s="1258"/>
      <c r="E20" s="452">
        <v>0</v>
      </c>
      <c r="F20" s="15"/>
      <c r="G20" s="343"/>
      <c r="H20" s="7"/>
      <c r="I20" s="1262"/>
      <c r="J20" s="7"/>
      <c r="K20" s="7"/>
      <c r="L20" s="7"/>
      <c r="M20" s="7"/>
    </row>
    <row r="21" spans="1:13" ht="13.8">
      <c r="A21" s="488">
        <f>ROW()</f>
        <v>21</v>
      </c>
      <c r="B21" s="1258" t="s">
        <v>458</v>
      </c>
      <c r="C21" s="1258"/>
      <c r="D21" s="1258"/>
      <c r="E21" s="452">
        <v>0</v>
      </c>
      <c r="F21" s="15"/>
      <c r="G21" s="343"/>
      <c r="H21" s="7"/>
      <c r="I21" s="1262"/>
      <c r="J21" s="7"/>
      <c r="K21" s="7"/>
      <c r="L21" s="7"/>
      <c r="M21" s="7"/>
    </row>
    <row r="22" spans="1:13" ht="13.8">
      <c r="A22" s="488">
        <f>ROW()</f>
        <v>22</v>
      </c>
      <c r="B22" s="1258" t="s">
        <v>459</v>
      </c>
      <c r="C22" s="1258"/>
      <c r="D22" s="1258"/>
      <c r="E22" s="452"/>
      <c r="F22" s="15"/>
      <c r="G22" s="343"/>
      <c r="H22" s="7"/>
      <c r="I22" s="1262"/>
      <c r="J22" s="7"/>
      <c r="K22" s="7"/>
      <c r="L22" s="7"/>
      <c r="M22" s="7"/>
    </row>
    <row r="23" spans="1:13" ht="13.8">
      <c r="A23" s="488">
        <f>ROW()</f>
        <v>23</v>
      </c>
      <c r="B23" s="1258" t="s">
        <v>460</v>
      </c>
      <c r="C23" s="1258"/>
      <c r="D23" s="1258"/>
      <c r="E23" s="452"/>
      <c r="F23" s="15"/>
      <c r="G23" s="343"/>
      <c r="H23" s="7"/>
      <c r="I23" s="1262"/>
      <c r="J23" s="7"/>
      <c r="K23" s="7"/>
      <c r="L23" s="7"/>
      <c r="M23" s="7"/>
    </row>
    <row r="24" spans="1:13" ht="13.8">
      <c r="A24" s="488">
        <f>ROW()</f>
        <v>24</v>
      </c>
      <c r="B24" s="1258" t="s">
        <v>461</v>
      </c>
      <c r="C24" s="1258"/>
      <c r="D24" s="1258"/>
      <c r="E24" s="452"/>
      <c r="F24" s="15"/>
      <c r="G24" s="343"/>
      <c r="H24" s="7"/>
      <c r="I24" s="1262"/>
      <c r="J24" s="7"/>
      <c r="K24" s="7"/>
      <c r="L24" s="7"/>
      <c r="M24" s="7"/>
    </row>
    <row r="25" spans="1:13" ht="13.8">
      <c r="A25" s="488">
        <f>ROW()</f>
        <v>25</v>
      </c>
      <c r="B25" s="1258" t="s">
        <v>462</v>
      </c>
      <c r="C25" s="1258"/>
      <c r="D25" s="1258"/>
      <c r="E25" s="452">
        <v>5000</v>
      </c>
      <c r="F25" s="15"/>
      <c r="G25" s="343"/>
      <c r="H25" s="7"/>
      <c r="I25" s="1262"/>
      <c r="J25" s="7"/>
      <c r="K25" s="7"/>
      <c r="L25" s="7"/>
      <c r="M25" s="7"/>
    </row>
    <row r="26" spans="1:13" ht="13.8">
      <c r="A26" s="488">
        <f>ROW()</f>
        <v>26</v>
      </c>
      <c r="B26" s="1258" t="s">
        <v>114</v>
      </c>
      <c r="C26" s="1258"/>
      <c r="D26" s="1258"/>
      <c r="E26" s="452"/>
      <c r="F26" s="15"/>
      <c r="G26" s="343"/>
      <c r="H26" s="7"/>
      <c r="I26" s="7"/>
      <c r="J26" s="7"/>
      <c r="K26" s="7"/>
      <c r="L26" s="7"/>
      <c r="M26" s="7"/>
    </row>
    <row r="27" spans="1:13" ht="13.8">
      <c r="A27" s="488">
        <f>ROW()</f>
        <v>27</v>
      </c>
      <c r="B27" s="1258" t="s">
        <v>463</v>
      </c>
      <c r="C27" s="1258"/>
      <c r="D27" s="1258"/>
      <c r="E27" s="452">
        <v>0</v>
      </c>
      <c r="F27" s="15"/>
      <c r="G27" s="343"/>
      <c r="H27" s="7"/>
      <c r="I27" s="7"/>
      <c r="J27" s="7"/>
      <c r="K27" s="7"/>
      <c r="L27" s="7"/>
      <c r="M27" s="7"/>
    </row>
    <row r="28" spans="1:13" ht="13.8">
      <c r="A28" s="488">
        <f>ROW()</f>
        <v>28</v>
      </c>
      <c r="B28" s="1258" t="s">
        <v>464</v>
      </c>
      <c r="C28" s="1258"/>
      <c r="D28" s="1258"/>
      <c r="E28" s="452">
        <v>0</v>
      </c>
      <c r="F28" s="15"/>
      <c r="G28" s="343"/>
      <c r="H28" s="7"/>
      <c r="I28" s="7"/>
      <c r="J28" s="7"/>
      <c r="K28" s="7"/>
      <c r="L28" s="7"/>
      <c r="M28" s="7"/>
    </row>
    <row r="29" spans="1:13" ht="13.8">
      <c r="A29" s="488">
        <f>ROW()</f>
        <v>29</v>
      </c>
      <c r="B29" s="1258" t="s">
        <v>465</v>
      </c>
      <c r="C29" s="1258"/>
      <c r="D29" s="1258"/>
      <c r="E29" s="452">
        <v>0</v>
      </c>
      <c r="F29" s="15"/>
      <c r="G29" s="343"/>
      <c r="H29" s="7"/>
      <c r="I29" s="7"/>
      <c r="J29" s="7"/>
      <c r="K29" s="7"/>
      <c r="L29" s="7"/>
      <c r="M29" s="7"/>
    </row>
    <row r="30" spans="1:13" ht="13.8">
      <c r="A30" s="488">
        <f>ROW()</f>
        <v>30</v>
      </c>
      <c r="B30" s="1258" t="s">
        <v>466</v>
      </c>
      <c r="C30" s="1258"/>
      <c r="D30" s="1258"/>
      <c r="E30" s="452">
        <v>0</v>
      </c>
      <c r="F30" s="15"/>
      <c r="G30" s="343"/>
      <c r="H30" s="7"/>
      <c r="I30" s="7"/>
      <c r="J30" s="7"/>
      <c r="K30" s="7"/>
      <c r="L30" s="7"/>
      <c r="M30" s="7"/>
    </row>
    <row r="31" spans="1:13" ht="13.8">
      <c r="A31" s="488">
        <f>ROW()</f>
        <v>31</v>
      </c>
      <c r="B31" s="1258" t="s">
        <v>467</v>
      </c>
      <c r="C31" s="1258"/>
      <c r="D31" s="1258"/>
      <c r="E31" s="452">
        <v>0</v>
      </c>
      <c r="F31" s="15"/>
      <c r="G31" s="343"/>
      <c r="H31" s="7"/>
      <c r="I31" s="7"/>
      <c r="J31" s="7"/>
      <c r="K31" s="7"/>
      <c r="L31" s="7"/>
      <c r="M31" s="7"/>
    </row>
    <row r="32" spans="1:13" ht="13.8">
      <c r="A32" s="488">
        <f>ROW()</f>
        <v>32</v>
      </c>
      <c r="B32" s="1258" t="s">
        <v>468</v>
      </c>
      <c r="C32" s="1258"/>
      <c r="D32" s="1258"/>
      <c r="E32" s="452"/>
      <c r="F32" s="15"/>
      <c r="G32" s="343"/>
      <c r="H32" s="7"/>
      <c r="I32" s="7"/>
      <c r="J32" s="7"/>
      <c r="K32" s="7"/>
      <c r="L32" s="7"/>
      <c r="M32" s="7"/>
    </row>
    <row r="33" spans="1:13" ht="13.8">
      <c r="A33" s="488">
        <f>ROW()</f>
        <v>33</v>
      </c>
      <c r="B33" s="1265" t="s">
        <v>469</v>
      </c>
      <c r="C33" s="1265"/>
      <c r="D33" s="1265"/>
      <c r="E33" s="452">
        <v>98000</v>
      </c>
      <c r="F33" s="15"/>
      <c r="G33" s="343"/>
      <c r="H33" s="7"/>
      <c r="I33" s="7"/>
      <c r="J33" s="7"/>
      <c r="K33" s="7"/>
      <c r="L33" s="7"/>
      <c r="M33" s="7"/>
    </row>
    <row r="34" spans="1:13" ht="13.8">
      <c r="A34" s="488">
        <f>ROW()</f>
        <v>34</v>
      </c>
      <c r="B34" s="1265"/>
      <c r="C34" s="1265"/>
      <c r="D34" s="1265"/>
      <c r="E34" s="452"/>
      <c r="F34" s="15"/>
      <c r="G34" s="343"/>
      <c r="H34" s="7"/>
      <c r="I34" s="7"/>
      <c r="J34" s="7"/>
      <c r="K34" s="7"/>
      <c r="L34" s="7"/>
      <c r="M34" s="7"/>
    </row>
    <row r="35" spans="1:13" ht="13.8">
      <c r="A35" s="488">
        <f>ROW()</f>
        <v>35</v>
      </c>
      <c r="B35" s="1265"/>
      <c r="C35" s="1265"/>
      <c r="D35" s="1265"/>
      <c r="E35" s="452"/>
      <c r="F35" s="15"/>
      <c r="G35" s="343"/>
      <c r="H35" s="7"/>
      <c r="I35" s="7"/>
      <c r="J35" s="7"/>
      <c r="K35" s="7"/>
      <c r="L35" s="7"/>
      <c r="M35" s="7"/>
    </row>
    <row r="36" spans="1:13" ht="13.8">
      <c r="A36" s="488">
        <f>ROW()</f>
        <v>36</v>
      </c>
      <c r="B36" s="1265"/>
      <c r="C36" s="1265"/>
      <c r="D36" s="1265"/>
      <c r="E36" s="452"/>
      <c r="F36" s="15"/>
      <c r="G36" s="343"/>
      <c r="H36" s="7"/>
      <c r="I36" s="7"/>
      <c r="J36" s="7"/>
      <c r="K36" s="7"/>
      <c r="L36" s="7"/>
      <c r="M36" s="7"/>
    </row>
    <row r="37" spans="1:13" ht="13.8">
      <c r="A37" s="488">
        <f>ROW()</f>
        <v>37</v>
      </c>
      <c r="B37" s="1785"/>
      <c r="C37" s="1785"/>
      <c r="D37" s="1785"/>
      <c r="E37" s="452">
        <v>0</v>
      </c>
      <c r="F37" s="15"/>
      <c r="G37" s="343"/>
      <c r="H37" s="7"/>
      <c r="I37" s="7"/>
      <c r="J37" s="7"/>
      <c r="K37" s="7"/>
      <c r="L37" s="7"/>
      <c r="M37" s="7"/>
    </row>
    <row r="38" spans="1:13" ht="13.8">
      <c r="A38" s="488">
        <f>ROW()</f>
        <v>38</v>
      </c>
      <c r="B38" s="1211" t="s">
        <v>470</v>
      </c>
      <c r="C38" s="1211"/>
      <c r="D38" s="1212"/>
      <c r="E38" s="1213" t="s">
        <v>471</v>
      </c>
      <c r="F38" s="16"/>
      <c r="G38" s="7"/>
      <c r="H38" s="7"/>
      <c r="I38" s="7"/>
      <c r="J38" s="7"/>
      <c r="K38" s="7"/>
      <c r="L38" s="7"/>
      <c r="M38" s="7"/>
    </row>
    <row r="39" spans="1:13" ht="13.8">
      <c r="A39" s="488">
        <f>ROW()</f>
        <v>39</v>
      </c>
      <c r="B39" s="1333" t="s">
        <v>182</v>
      </c>
      <c r="C39" s="1333"/>
      <c r="D39" s="1334"/>
      <c r="E39" s="1335" t="e">
        <f>+#REF!-E38</f>
        <v>#REF!</v>
      </c>
      <c r="F39" s="16"/>
      <c r="G39" s="7"/>
      <c r="H39" s="7"/>
      <c r="I39" s="7"/>
      <c r="J39" s="7"/>
      <c r="K39" s="7"/>
      <c r="L39" s="7"/>
      <c r="M39" s="7"/>
    </row>
    <row r="40" spans="1:13" ht="13.8">
      <c r="A40" s="488">
        <f>ROW()</f>
        <v>40</v>
      </c>
      <c r="B40" s="11" t="s">
        <v>472</v>
      </c>
      <c r="C40" s="18"/>
      <c r="D40" s="18"/>
      <c r="E40" s="18"/>
      <c r="F40" s="18"/>
      <c r="G40" s="7"/>
      <c r="H40" s="7"/>
      <c r="I40" s="7"/>
      <c r="J40" s="7"/>
      <c r="K40" s="7"/>
      <c r="L40" s="7"/>
      <c r="M40" s="7"/>
    </row>
    <row r="41" spans="1:13">
      <c r="A41" s="7"/>
      <c r="C41" s="7"/>
      <c r="D41" s="7"/>
      <c r="E41" s="7"/>
      <c r="F41" s="7"/>
      <c r="G41" s="7"/>
      <c r="H41" s="7"/>
      <c r="I41" s="7"/>
      <c r="J41" s="7"/>
      <c r="K41" s="7"/>
      <c r="L41" s="7"/>
      <c r="M41" s="7"/>
    </row>
    <row r="42" spans="1:13">
      <c r="A42" s="7"/>
      <c r="B42" s="7"/>
      <c r="C42" s="7"/>
      <c r="D42" s="7"/>
      <c r="E42" s="7"/>
      <c r="F42" s="7"/>
      <c r="G42" s="7"/>
      <c r="H42" s="7"/>
      <c r="I42" s="7"/>
      <c r="J42" s="7"/>
      <c r="K42" s="7"/>
      <c r="L42" s="7"/>
      <c r="M42" s="7"/>
    </row>
    <row r="43" spans="1:13">
      <c r="A43" s="7"/>
      <c r="B43" s="7"/>
      <c r="C43" s="7"/>
      <c r="D43" s="7"/>
      <c r="E43" s="7"/>
      <c r="F43" s="7"/>
      <c r="G43" s="7"/>
      <c r="H43" s="7"/>
      <c r="I43" s="7"/>
      <c r="J43" s="7"/>
      <c r="K43" s="7"/>
      <c r="L43" s="7"/>
      <c r="M43" s="7"/>
    </row>
    <row r="44" spans="1:13">
      <c r="A44" s="7"/>
      <c r="B44" s="7"/>
      <c r="C44" s="7"/>
      <c r="D44" s="7"/>
      <c r="E44" s="7"/>
      <c r="F44" s="7"/>
      <c r="G44" s="7"/>
      <c r="H44" s="7"/>
      <c r="I44" s="7"/>
      <c r="J44" s="7"/>
      <c r="K44" s="7"/>
      <c r="L44" s="7"/>
      <c r="M44" s="7"/>
    </row>
    <row r="45" spans="1:13">
      <c r="A45" s="7"/>
      <c r="B45" s="7"/>
      <c r="C45" s="7"/>
      <c r="D45" s="7"/>
      <c r="E45" s="7"/>
      <c r="F45" s="7"/>
      <c r="G45" s="7"/>
      <c r="H45" s="7"/>
      <c r="I45" s="7"/>
      <c r="J45" s="7"/>
      <c r="K45" s="7"/>
      <c r="L45" s="7"/>
      <c r="M45" s="7"/>
    </row>
    <row r="46" spans="1:13">
      <c r="A46" s="7"/>
      <c r="B46" s="7"/>
      <c r="C46" s="7"/>
      <c r="D46" s="7"/>
      <c r="E46" s="7"/>
      <c r="F46" s="7"/>
      <c r="G46" s="7"/>
      <c r="H46" s="7"/>
      <c r="I46" s="7"/>
      <c r="J46" s="7"/>
      <c r="K46" s="7"/>
      <c r="L46" s="7"/>
      <c r="M46" s="7"/>
    </row>
    <row r="47" spans="1:13">
      <c r="A47" s="7"/>
      <c r="B47" s="7"/>
      <c r="C47" s="7"/>
      <c r="D47" s="7"/>
      <c r="E47" s="7"/>
      <c r="F47" s="7"/>
      <c r="G47" s="7"/>
      <c r="H47" s="7"/>
      <c r="I47" s="7"/>
      <c r="J47" s="7"/>
      <c r="K47" s="7"/>
      <c r="L47" s="7"/>
      <c r="M47" s="7"/>
    </row>
    <row r="48" spans="1:13">
      <c r="A48" s="7"/>
      <c r="B48" s="7"/>
      <c r="C48" s="7"/>
      <c r="D48" s="7"/>
      <c r="E48" s="7"/>
      <c r="F48" s="7"/>
      <c r="G48" s="7"/>
      <c r="H48" s="7"/>
      <c r="I48" s="7"/>
      <c r="J48" s="7"/>
      <c r="K48" s="7"/>
      <c r="L48" s="7"/>
      <c r="M48" s="7"/>
    </row>
    <row r="49" spans="1:13">
      <c r="A49" s="7"/>
      <c r="B49" s="7"/>
      <c r="C49" s="7"/>
      <c r="D49" s="7"/>
      <c r="E49" s="7"/>
      <c r="F49" s="7"/>
      <c r="G49" s="7"/>
      <c r="H49" s="7"/>
      <c r="I49" s="7"/>
      <c r="J49" s="7"/>
      <c r="K49" s="7"/>
      <c r="L49" s="7"/>
      <c r="M49" s="7"/>
    </row>
    <row r="50" spans="1:13">
      <c r="A50" s="7"/>
      <c r="B50" s="7"/>
      <c r="C50" s="7"/>
      <c r="D50" s="7"/>
      <c r="E50" s="7"/>
      <c r="F50" s="7"/>
      <c r="G50" s="7"/>
      <c r="H50" s="7"/>
      <c r="I50" s="7"/>
      <c r="J50" s="7"/>
      <c r="K50" s="7"/>
      <c r="L50" s="7"/>
      <c r="M50" s="7"/>
    </row>
    <row r="51" spans="1:13">
      <c r="A51" s="7"/>
      <c r="B51" s="7"/>
      <c r="C51" s="7"/>
      <c r="D51" s="7"/>
      <c r="E51" s="7"/>
      <c r="F51" s="7"/>
      <c r="G51" s="7"/>
      <c r="H51" s="7"/>
      <c r="I51" s="7"/>
      <c r="J51" s="7"/>
      <c r="K51" s="7"/>
      <c r="L51" s="7"/>
      <c r="M51" s="7"/>
    </row>
    <row r="52" spans="1:13">
      <c r="A52" s="7"/>
      <c r="B52" s="7"/>
      <c r="C52" s="7"/>
      <c r="D52" s="7"/>
      <c r="E52" s="7"/>
      <c r="F52" s="7"/>
      <c r="G52" s="7"/>
      <c r="H52" s="7"/>
      <c r="I52" s="7"/>
      <c r="J52" s="7"/>
      <c r="K52" s="7"/>
      <c r="L52" s="7"/>
      <c r="M52" s="7"/>
    </row>
    <row r="53" spans="1:13">
      <c r="A53" s="7"/>
      <c r="B53" s="7"/>
      <c r="C53" s="7"/>
      <c r="D53" s="7"/>
      <c r="E53" s="7"/>
      <c r="F53" s="7"/>
      <c r="G53" s="7"/>
      <c r="H53" s="7"/>
      <c r="I53" s="7"/>
      <c r="J53" s="7"/>
      <c r="K53" s="7"/>
      <c r="L53" s="7"/>
      <c r="M53" s="7"/>
    </row>
    <row r="54" spans="1:13">
      <c r="A54" s="7"/>
      <c r="B54" s="7"/>
      <c r="C54" s="7"/>
      <c r="D54" s="7"/>
      <c r="E54" s="7"/>
      <c r="F54" s="7"/>
      <c r="G54" s="7"/>
      <c r="H54" s="7"/>
      <c r="I54" s="7"/>
      <c r="J54" s="7"/>
      <c r="K54" s="7"/>
      <c r="L54" s="7"/>
      <c r="M54" s="7"/>
    </row>
    <row r="55" spans="1:13">
      <c r="A55" s="7"/>
      <c r="B55" s="7"/>
      <c r="C55" s="7"/>
      <c r="D55" s="7"/>
      <c r="E55" s="7"/>
      <c r="F55" s="7"/>
      <c r="G55" s="7"/>
      <c r="H55" s="7"/>
      <c r="I55" s="7"/>
      <c r="J55" s="7"/>
      <c r="K55" s="7"/>
      <c r="L55" s="7"/>
      <c r="M55" s="7"/>
    </row>
    <row r="56" spans="1:13">
      <c r="A56" s="7"/>
      <c r="B56" s="7"/>
      <c r="C56" s="7"/>
      <c r="D56" s="7"/>
      <c r="E56" s="7"/>
      <c r="F56" s="7"/>
      <c r="G56" s="7"/>
      <c r="H56" s="7"/>
      <c r="I56" s="7"/>
      <c r="J56" s="7"/>
      <c r="K56" s="7"/>
      <c r="L56" s="7"/>
      <c r="M56" s="7"/>
    </row>
  </sheetData>
  <sheetProtection algorithmName="SHA-512" hashValue="pliDGErqz/3TB0wyJ2NwwkgjpbLzqBo1FclrTokcD5ipjYfWSp0TsXz6KLM82HqsY5UuGGMiEjhuynY+Aa5C+Q==" saltValue="HqLFRwRnLXqAgWbIrGGSrg==" spinCount="100000" sheet="1" objects="1" scenarios="1"/>
  <sortState ref="B11:E33">
    <sortCondition ref="B11:B33"/>
  </sortState>
  <mergeCells count="2">
    <mergeCell ref="B10:E10"/>
    <mergeCell ref="B37:D37"/>
  </mergeCells>
  <conditionalFormatting sqref="E1">
    <cfRule type="expression" dxfId="51" priority="1" stopIfTrue="1">
      <formula>MOD(ROW(),2)=0</formula>
    </cfRule>
  </conditionalFormatting>
  <dataValidations count="1">
    <dataValidation allowBlank="1" showInputMessage="1" showErrorMessage="1" prompt="You may change any of the job titles." sqref="B11:B37"/>
  </dataValidations>
  <hyperlinks>
    <hyperlink ref="E1" location="HypLink1" display="HypLink1"/>
  </hyperlinks>
  <pageMargins left="0.25" right="0.25" top="0.5" bottom="0.45" header="0.25" footer="0.25"/>
  <pageSetup orientation="landscape" r:id="rId1"/>
  <headerFooter alignWithMargins="0">
    <oddHeader xml:space="preserve">&amp;L &amp;C &amp;R </oddHeader>
    <oddFooter>&amp;L&amp;7&amp;D  at &amp;T Mike 702.486.8879&amp;C&amp;7&amp;F  &amp;A&amp;R&amp;7Page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O132"/>
  <sheetViews>
    <sheetView topLeftCell="A37" workbookViewId="0">
      <selection activeCell="C26" sqref="C26"/>
    </sheetView>
  </sheetViews>
  <sheetFormatPr defaultColWidth="9.21875" defaultRowHeight="13.8"/>
  <cols>
    <col min="1" max="1" width="4.77734375" style="33" customWidth="1"/>
    <col min="2" max="2" width="28.77734375" style="33" customWidth="1"/>
    <col min="3" max="3" width="12.21875" style="33" customWidth="1"/>
    <col min="4" max="4" width="11.5546875" style="33" customWidth="1"/>
    <col min="5" max="6" width="13.77734375" style="33" customWidth="1"/>
    <col min="7" max="7" width="14.21875" style="33" customWidth="1"/>
    <col min="8" max="8" width="14" style="33" customWidth="1"/>
    <col min="9" max="15" width="12.77734375" style="33" customWidth="1"/>
    <col min="16" max="17" width="13.21875" style="33" customWidth="1"/>
    <col min="18" max="18" width="14.44140625" style="33" customWidth="1"/>
    <col min="19" max="19" width="2.44140625" style="33" customWidth="1"/>
    <col min="20" max="20" width="3.77734375" style="33" customWidth="1"/>
    <col min="21" max="21" width="58.77734375" style="307" customWidth="1"/>
    <col min="22" max="22" width="9.21875" style="33"/>
    <col min="23" max="41" width="4" style="33" customWidth="1"/>
    <col min="42" max="16384" width="9.21875" style="33"/>
  </cols>
  <sheetData>
    <row r="1" spans="1:41" ht="15.6">
      <c r="A1" s="112" t="s">
        <v>473</v>
      </c>
      <c r="B1" s="112"/>
      <c r="C1" s="35"/>
      <c r="D1" s="408" t="s">
        <v>3</v>
      </c>
      <c r="F1" s="80"/>
      <c r="G1" s="80"/>
      <c r="H1" s="80"/>
      <c r="I1" s="80"/>
      <c r="J1" s="80"/>
      <c r="K1" s="80"/>
      <c r="L1" s="80"/>
      <c r="P1" s="36"/>
      <c r="Q1" s="36"/>
      <c r="W1" s="50"/>
      <c r="X1" s="50"/>
      <c r="Y1" s="50"/>
      <c r="Z1" s="50"/>
      <c r="AA1" s="50"/>
      <c r="AB1" s="50"/>
      <c r="AC1" s="50"/>
      <c r="AD1" s="50"/>
      <c r="AE1" s="50"/>
      <c r="AF1" s="50"/>
      <c r="AG1" s="50"/>
      <c r="AH1" s="50"/>
      <c r="AI1" s="50"/>
      <c r="AJ1" s="50"/>
      <c r="AK1" s="50"/>
      <c r="AL1" s="50"/>
      <c r="AM1" s="50"/>
      <c r="AN1" s="50"/>
      <c r="AO1" s="50"/>
    </row>
    <row r="2" spans="1:41" ht="15.6">
      <c r="A2" s="114" t="str">
        <f>SchoolName</f>
        <v>The Delta Academy</v>
      </c>
      <c r="B2" s="114"/>
      <c r="C2" s="37"/>
      <c r="F2" s="80"/>
      <c r="G2" s="80"/>
      <c r="H2" s="80"/>
      <c r="I2" s="80"/>
      <c r="J2" s="80"/>
      <c r="K2" s="80"/>
      <c r="L2" s="80"/>
      <c r="W2" s="50"/>
      <c r="X2" s="50"/>
      <c r="Y2" s="50"/>
      <c r="Z2" s="50"/>
      <c r="AA2" s="50"/>
      <c r="AB2" s="50"/>
      <c r="AC2" s="50"/>
      <c r="AD2" s="50"/>
      <c r="AE2" s="50"/>
      <c r="AF2" s="50"/>
      <c r="AG2" s="50"/>
      <c r="AH2" s="50"/>
      <c r="AI2" s="50"/>
      <c r="AJ2" s="50"/>
      <c r="AK2" s="50"/>
      <c r="AL2" s="50"/>
      <c r="AM2" s="50"/>
      <c r="AN2" s="50"/>
      <c r="AO2" s="50"/>
    </row>
    <row r="3" spans="1:41">
      <c r="A3" s="39" t="s">
        <v>80</v>
      </c>
      <c r="B3" s="39"/>
      <c r="C3" s="39"/>
      <c r="D3" s="39"/>
      <c r="L3" s="80"/>
      <c r="W3" s="50"/>
      <c r="X3" s="50"/>
      <c r="Y3" s="50"/>
      <c r="Z3" s="50"/>
      <c r="AA3" s="50"/>
      <c r="AB3" s="50"/>
      <c r="AC3" s="50"/>
      <c r="AD3" s="50"/>
      <c r="AE3" s="50"/>
      <c r="AF3" s="50"/>
      <c r="AG3" s="50"/>
      <c r="AH3" s="50"/>
      <c r="AI3" s="50"/>
      <c r="AJ3" s="50"/>
      <c r="AK3" s="50"/>
      <c r="AL3" s="50"/>
      <c r="AM3" s="50"/>
      <c r="AN3" s="50"/>
      <c r="AO3" s="50"/>
    </row>
    <row r="4" spans="1:41">
      <c r="A4" s="40" t="s">
        <v>81</v>
      </c>
      <c r="B4" s="40"/>
      <c r="C4" s="40"/>
      <c r="D4" s="40"/>
      <c r="L4" s="80"/>
      <c r="W4" s="50"/>
      <c r="X4" s="50"/>
      <c r="Y4" s="50"/>
      <c r="Z4" s="50"/>
      <c r="AA4" s="50"/>
      <c r="AB4" s="50"/>
      <c r="AC4" s="50"/>
      <c r="AD4" s="50"/>
      <c r="AE4" s="50"/>
      <c r="AF4" s="50"/>
      <c r="AG4" s="50"/>
      <c r="AH4" s="50"/>
      <c r="AI4" s="50"/>
      <c r="AJ4" s="50"/>
      <c r="AK4" s="50"/>
      <c r="AL4" s="50"/>
      <c r="AM4" s="50"/>
      <c r="AN4" s="50"/>
      <c r="AO4" s="50"/>
    </row>
    <row r="5" spans="1:41">
      <c r="A5" s="30" t="str">
        <f ca="1">CELL("filename")</f>
        <v>C:\Users\kyle.konold\Downloads\[FY25 Budget - Delta Academy_Final.xlsx]Form 1 Cover</v>
      </c>
      <c r="B5" s="30"/>
      <c r="C5" s="30"/>
      <c r="D5" s="30"/>
      <c r="L5" s="80"/>
      <c r="W5" s="50"/>
      <c r="X5" s="50"/>
      <c r="Y5" s="50"/>
      <c r="Z5" s="50"/>
      <c r="AA5" s="50"/>
      <c r="AB5" s="50"/>
      <c r="AC5" s="50"/>
      <c r="AD5" s="50"/>
      <c r="AE5" s="50"/>
      <c r="AF5" s="50"/>
      <c r="AG5" s="50"/>
      <c r="AH5" s="50"/>
      <c r="AI5" s="50"/>
      <c r="AJ5" s="50"/>
      <c r="AK5" s="50"/>
      <c r="AL5" s="50"/>
      <c r="AM5" s="50"/>
      <c r="AN5" s="50"/>
      <c r="AO5" s="50"/>
    </row>
    <row r="6" spans="1:41">
      <c r="W6" s="50"/>
      <c r="X6" s="50"/>
      <c r="Y6" s="50"/>
      <c r="Z6" s="50"/>
      <c r="AA6" s="50"/>
      <c r="AB6" s="50"/>
      <c r="AC6" s="50"/>
      <c r="AD6" s="50"/>
      <c r="AE6" s="50"/>
      <c r="AF6" s="50"/>
      <c r="AG6" s="50"/>
      <c r="AH6" s="50"/>
      <c r="AI6" s="50"/>
      <c r="AJ6" s="50"/>
      <c r="AK6" s="50"/>
      <c r="AL6" s="50"/>
      <c r="AM6" s="50"/>
      <c r="AN6" s="50"/>
      <c r="AO6" s="50"/>
    </row>
    <row r="7" spans="1:41" ht="17.399999999999999">
      <c r="B7" s="77" t="s">
        <v>474</v>
      </c>
      <c r="C7" s="77"/>
      <c r="D7" s="77"/>
      <c r="E7" s="220">
        <f>' Enrol &amp; Rev'!G10</f>
        <v>2025</v>
      </c>
      <c r="F7" s="78" t="s">
        <v>475</v>
      </c>
      <c r="M7" s="12"/>
      <c r="N7" s="12"/>
      <c r="O7" s="12"/>
      <c r="P7" s="12"/>
      <c r="Q7" s="12"/>
      <c r="R7" s="12"/>
      <c r="W7" s="50"/>
      <c r="X7" s="50"/>
      <c r="Y7" s="50"/>
      <c r="Z7" s="50"/>
      <c r="AA7" s="50"/>
      <c r="AB7" s="50"/>
      <c r="AC7" s="50"/>
      <c r="AD7" s="50"/>
      <c r="AE7" s="50"/>
      <c r="AF7" s="50"/>
      <c r="AG7" s="50"/>
      <c r="AH7" s="50"/>
      <c r="AI7" s="50"/>
      <c r="AJ7" s="50"/>
      <c r="AK7" s="50"/>
      <c r="AL7" s="50"/>
      <c r="AM7" s="50"/>
      <c r="AN7" s="50"/>
      <c r="AO7" s="50"/>
    </row>
    <row r="8" spans="1:41" ht="14.4">
      <c r="B8" s="79" t="s">
        <v>476</v>
      </c>
      <c r="C8" s="79"/>
      <c r="D8" s="79"/>
      <c r="E8" s="220">
        <f>' Enrol &amp; Rev'!G11</f>
        <v>2026</v>
      </c>
      <c r="F8" s="183" t="s">
        <v>477</v>
      </c>
      <c r="G8" s="81"/>
      <c r="L8" s="81"/>
      <c r="M8" s="81"/>
      <c r="N8" s="81"/>
      <c r="O8" s="81"/>
      <c r="P8" s="81"/>
      <c r="Q8" s="81"/>
      <c r="R8" s="81"/>
      <c r="W8" s="50"/>
      <c r="X8" s="50"/>
      <c r="Y8" s="50"/>
      <c r="Z8" s="50"/>
      <c r="AA8" s="50"/>
      <c r="AB8" s="50"/>
      <c r="AC8" s="50"/>
      <c r="AD8" s="50"/>
      <c r="AE8" s="50"/>
      <c r="AF8" s="50"/>
      <c r="AG8" s="50"/>
      <c r="AH8" s="50"/>
      <c r="AI8" s="50"/>
      <c r="AJ8" s="50"/>
      <c r="AK8" s="50"/>
      <c r="AL8" s="50"/>
      <c r="AM8" s="50"/>
      <c r="AN8" s="50"/>
      <c r="AO8" s="50"/>
    </row>
    <row r="9" spans="1:41">
      <c r="B9" s="79" t="s">
        <v>478</v>
      </c>
      <c r="C9" s="79"/>
      <c r="D9" s="79"/>
      <c r="E9" s="242">
        <v>1.2500000000000001E-2</v>
      </c>
      <c r="F9" s="1745">
        <v>1</v>
      </c>
      <c r="G9" s="1746">
        <f>1+F9</f>
        <v>2</v>
      </c>
      <c r="H9" s="1746">
        <f t="shared" ref="H9:Q9" si="0">1+G9</f>
        <v>3</v>
      </c>
      <c r="I9" s="1746">
        <f t="shared" si="0"/>
        <v>4</v>
      </c>
      <c r="J9" s="1746">
        <f t="shared" si="0"/>
        <v>5</v>
      </c>
      <c r="K9" s="1746">
        <f t="shared" si="0"/>
        <v>6</v>
      </c>
      <c r="L9" s="1746">
        <f t="shared" si="0"/>
        <v>7</v>
      </c>
      <c r="M9" s="1746">
        <f t="shared" si="0"/>
        <v>8</v>
      </c>
      <c r="N9" s="1746">
        <f t="shared" si="0"/>
        <v>9</v>
      </c>
      <c r="O9" s="1746">
        <f t="shared" si="0"/>
        <v>10</v>
      </c>
      <c r="P9" s="1746">
        <f t="shared" si="0"/>
        <v>11</v>
      </c>
      <c r="Q9" s="1746">
        <f t="shared" si="0"/>
        <v>12</v>
      </c>
      <c r="R9" s="1747" t="s">
        <v>1466</v>
      </c>
      <c r="W9" s="50"/>
      <c r="X9" s="50"/>
      <c r="Y9" s="50"/>
      <c r="Z9" s="50"/>
      <c r="AA9" s="50"/>
      <c r="AB9" s="50"/>
      <c r="AC9" s="50"/>
      <c r="AD9" s="50"/>
      <c r="AE9" s="50"/>
      <c r="AF9" s="50"/>
      <c r="AG9" s="50"/>
      <c r="AH9" s="50"/>
      <c r="AI9" s="50"/>
      <c r="AJ9" s="50"/>
      <c r="AK9" s="50"/>
      <c r="AL9" s="50"/>
      <c r="AM9" s="50"/>
      <c r="AN9" s="50"/>
      <c r="AO9" s="50"/>
    </row>
    <row r="10" spans="1:41">
      <c r="B10" s="80" t="s">
        <v>479</v>
      </c>
      <c r="C10" s="80"/>
      <c r="D10" s="80"/>
      <c r="E10" s="12"/>
      <c r="F10" s="1748"/>
      <c r="G10" s="1749"/>
      <c r="H10" s="1750" t="s">
        <v>480</v>
      </c>
      <c r="I10" s="1749"/>
      <c r="J10" s="1751"/>
      <c r="K10" s="1750" t="s">
        <v>480</v>
      </c>
      <c r="L10" s="1751"/>
      <c r="M10" s="1751"/>
      <c r="N10" s="1750" t="s">
        <v>480</v>
      </c>
      <c r="O10" s="1751"/>
      <c r="P10" s="1751"/>
      <c r="Q10" s="1750" t="s">
        <v>480</v>
      </c>
      <c r="R10" s="1752" t="s">
        <v>481</v>
      </c>
      <c r="W10" s="50"/>
      <c r="X10" s="50"/>
      <c r="Y10" s="50"/>
      <c r="Z10" s="50"/>
      <c r="AA10" s="50"/>
      <c r="AB10" s="50"/>
      <c r="AC10" s="50"/>
      <c r="AD10" s="50"/>
      <c r="AE10" s="50"/>
      <c r="AF10" s="50"/>
      <c r="AG10" s="50"/>
      <c r="AH10" s="50"/>
      <c r="AI10" s="50"/>
      <c r="AJ10" s="50"/>
      <c r="AK10" s="50"/>
      <c r="AL10" s="50"/>
      <c r="AM10" s="50"/>
      <c r="AN10" s="50"/>
      <c r="AO10" s="50"/>
    </row>
    <row r="11" spans="1:41" ht="15" customHeight="1">
      <c r="C11" s="1733" t="s">
        <v>482</v>
      </c>
      <c r="D11" s="1734"/>
      <c r="E11" s="1735" t="s">
        <v>483</v>
      </c>
      <c r="F11" s="1736" t="s">
        <v>484</v>
      </c>
      <c r="G11" s="1736" t="s">
        <v>484</v>
      </c>
      <c r="H11" s="1737" t="s">
        <v>484</v>
      </c>
      <c r="I11" s="1736" t="s">
        <v>484</v>
      </c>
      <c r="J11" s="1736" t="s">
        <v>484</v>
      </c>
      <c r="K11" s="1737" t="s">
        <v>484</v>
      </c>
      <c r="L11" s="1736" t="s">
        <v>484</v>
      </c>
      <c r="M11" s="1736" t="s">
        <v>484</v>
      </c>
      <c r="N11" s="1737" t="s">
        <v>484</v>
      </c>
      <c r="O11" s="1736" t="s">
        <v>484</v>
      </c>
      <c r="P11" s="1736" t="s">
        <v>484</v>
      </c>
      <c r="Q11" s="1737" t="s">
        <v>484</v>
      </c>
      <c r="R11" s="1738" t="s">
        <v>484</v>
      </c>
      <c r="W11" s="50"/>
      <c r="X11" s="50"/>
      <c r="Y11" s="50"/>
      <c r="Z11" s="50"/>
      <c r="AA11" s="50"/>
      <c r="AB11" s="50"/>
      <c r="AC11" s="50"/>
      <c r="AD11" s="50"/>
      <c r="AE11" s="50"/>
      <c r="AF11" s="50"/>
      <c r="AG11" s="50"/>
      <c r="AH11" s="50"/>
      <c r="AI11" s="50"/>
      <c r="AJ11" s="50"/>
      <c r="AK11" s="50"/>
      <c r="AL11" s="50"/>
      <c r="AM11" s="50"/>
      <c r="AN11" s="50"/>
      <c r="AO11" s="50"/>
    </row>
    <row r="12" spans="1:41">
      <c r="B12" s="13"/>
      <c r="C12" s="1739" t="s">
        <v>485</v>
      </c>
      <c r="D12" s="1740" t="s">
        <v>486</v>
      </c>
      <c r="E12" s="1741">
        <f>+E8</f>
        <v>2026</v>
      </c>
      <c r="F12" s="1742">
        <v>44378</v>
      </c>
      <c r="G12" s="1742">
        <v>44409</v>
      </c>
      <c r="H12" s="1743">
        <v>44440</v>
      </c>
      <c r="I12" s="1742">
        <v>44470</v>
      </c>
      <c r="J12" s="1742">
        <v>44501</v>
      </c>
      <c r="K12" s="1743">
        <v>44531</v>
      </c>
      <c r="L12" s="1742">
        <v>44197</v>
      </c>
      <c r="M12" s="1742">
        <v>44228</v>
      </c>
      <c r="N12" s="1743">
        <v>44256</v>
      </c>
      <c r="O12" s="1742">
        <v>44287</v>
      </c>
      <c r="P12" s="1742">
        <v>44317</v>
      </c>
      <c r="Q12" s="1743">
        <v>44348</v>
      </c>
      <c r="R12" s="1744">
        <v>44378</v>
      </c>
      <c r="U12" s="1365" t="s">
        <v>487</v>
      </c>
      <c r="W12" s="50"/>
      <c r="X12" s="50"/>
      <c r="Y12" s="50"/>
      <c r="Z12" s="50"/>
      <c r="AA12" s="50"/>
      <c r="AB12" s="50"/>
      <c r="AC12" s="50"/>
      <c r="AD12" s="50"/>
      <c r="AE12" s="50"/>
      <c r="AF12" s="50"/>
      <c r="AG12" s="50"/>
      <c r="AH12" s="50"/>
      <c r="AI12" s="50"/>
      <c r="AJ12" s="50"/>
      <c r="AK12" s="50"/>
      <c r="AL12" s="50"/>
      <c r="AM12" s="50"/>
      <c r="AN12" s="50"/>
      <c r="AO12" s="50"/>
    </row>
    <row r="13" spans="1:41">
      <c r="B13" s="13"/>
      <c r="C13" s="1240"/>
      <c r="D13" s="1241"/>
      <c r="E13" s="1242" t="s">
        <v>488</v>
      </c>
      <c r="F13" s="1243">
        <v>7</v>
      </c>
      <c r="G13" s="1243">
        <f>+F13+1</f>
        <v>8</v>
      </c>
      <c r="H13" s="1243">
        <f>+G13+1</f>
        <v>9</v>
      </c>
      <c r="I13" s="1243">
        <f>+H13+1</f>
        <v>10</v>
      </c>
      <c r="J13" s="1243">
        <f>+I13+1</f>
        <v>11</v>
      </c>
      <c r="K13" s="1243">
        <f>+J13+1</f>
        <v>12</v>
      </c>
      <c r="L13" s="1243">
        <v>1</v>
      </c>
      <c r="M13" s="1243">
        <f t="shared" ref="M13:R13" si="1">+L13+1</f>
        <v>2</v>
      </c>
      <c r="N13" s="1243">
        <f t="shared" si="1"/>
        <v>3</v>
      </c>
      <c r="O13" s="1243">
        <f t="shared" si="1"/>
        <v>4</v>
      </c>
      <c r="P13" s="1243">
        <f t="shared" si="1"/>
        <v>5</v>
      </c>
      <c r="Q13" s="1243">
        <f t="shared" si="1"/>
        <v>6</v>
      </c>
      <c r="R13" s="1243">
        <f t="shared" si="1"/>
        <v>7</v>
      </c>
      <c r="U13" s="1278"/>
      <c r="W13" s="50"/>
      <c r="X13" s="50"/>
      <c r="Y13" s="50"/>
      <c r="Z13" s="50"/>
      <c r="AA13" s="50"/>
      <c r="AB13" s="50"/>
      <c r="AC13" s="50"/>
      <c r="AD13" s="50"/>
      <c r="AE13" s="50"/>
      <c r="AF13" s="50"/>
      <c r="AG13" s="50"/>
      <c r="AH13" s="50"/>
      <c r="AI13" s="50"/>
      <c r="AJ13" s="50"/>
      <c r="AK13" s="50"/>
      <c r="AL13" s="50"/>
      <c r="AM13" s="50"/>
      <c r="AN13" s="50"/>
      <c r="AO13" s="50"/>
    </row>
    <row r="14" spans="1:41">
      <c r="B14" s="13"/>
      <c r="C14" s="1240"/>
      <c r="D14" s="1241"/>
      <c r="E14" s="1242" t="s">
        <v>489</v>
      </c>
      <c r="F14" s="1244">
        <f t="shared" ref="F14:K14" si="2">DATE($E$12-1,F13,1)</f>
        <v>45839</v>
      </c>
      <c r="G14" s="1244">
        <f t="shared" si="2"/>
        <v>45870</v>
      </c>
      <c r="H14" s="1244">
        <f t="shared" si="2"/>
        <v>45901</v>
      </c>
      <c r="I14" s="1244">
        <f t="shared" si="2"/>
        <v>45931</v>
      </c>
      <c r="J14" s="1244">
        <f t="shared" si="2"/>
        <v>45962</v>
      </c>
      <c r="K14" s="1244">
        <f t="shared" si="2"/>
        <v>45992</v>
      </c>
      <c r="L14" s="1244">
        <f t="shared" ref="L14:R14" si="3">DATE($E$12,L13,1)</f>
        <v>46023</v>
      </c>
      <c r="M14" s="1244">
        <f t="shared" si="3"/>
        <v>46054</v>
      </c>
      <c r="N14" s="1244">
        <f t="shared" si="3"/>
        <v>46082</v>
      </c>
      <c r="O14" s="1244">
        <f t="shared" si="3"/>
        <v>46113</v>
      </c>
      <c r="P14" s="1244">
        <f t="shared" si="3"/>
        <v>46143</v>
      </c>
      <c r="Q14" s="1244">
        <f t="shared" ref="Q14" si="4">DATE($E$12,Q13,1)</f>
        <v>46174</v>
      </c>
      <c r="R14" s="1244">
        <f t="shared" si="3"/>
        <v>46204</v>
      </c>
      <c r="U14" s="1278"/>
      <c r="W14" s="50"/>
      <c r="X14" s="50"/>
      <c r="Y14" s="50"/>
      <c r="Z14" s="50"/>
      <c r="AA14" s="50"/>
      <c r="AB14" s="50"/>
      <c r="AC14" s="50"/>
      <c r="AD14" s="50"/>
      <c r="AE14" s="50"/>
      <c r="AF14" s="50"/>
      <c r="AG14" s="50"/>
      <c r="AH14" s="50"/>
      <c r="AI14" s="50"/>
      <c r="AJ14" s="50"/>
      <c r="AK14" s="50"/>
      <c r="AL14" s="50"/>
      <c r="AM14" s="50"/>
      <c r="AN14" s="50"/>
      <c r="AO14" s="50"/>
    </row>
    <row r="15" spans="1:41">
      <c r="B15" s="13"/>
      <c r="C15" s="1240"/>
      <c r="D15" s="1241"/>
      <c r="E15" s="1245" t="s">
        <v>490</v>
      </c>
      <c r="F15" s="1553">
        <f t="shared" ref="F15:Q15" si="5">+G14-F14</f>
        <v>31</v>
      </c>
      <c r="G15" s="1553">
        <f t="shared" si="5"/>
        <v>31</v>
      </c>
      <c r="H15" s="1553">
        <f t="shared" si="5"/>
        <v>30</v>
      </c>
      <c r="I15" s="1553">
        <f t="shared" si="5"/>
        <v>31</v>
      </c>
      <c r="J15" s="1553">
        <f t="shared" si="5"/>
        <v>30</v>
      </c>
      <c r="K15" s="1553">
        <f t="shared" si="5"/>
        <v>31</v>
      </c>
      <c r="L15" s="1553">
        <f t="shared" si="5"/>
        <v>31</v>
      </c>
      <c r="M15" s="1553">
        <f t="shared" si="5"/>
        <v>28</v>
      </c>
      <c r="N15" s="1553">
        <f t="shared" si="5"/>
        <v>31</v>
      </c>
      <c r="O15" s="1553">
        <f t="shared" si="5"/>
        <v>30</v>
      </c>
      <c r="P15" s="1553">
        <f t="shared" si="5"/>
        <v>31</v>
      </c>
      <c r="Q15" s="1553">
        <f t="shared" si="5"/>
        <v>30</v>
      </c>
      <c r="R15" s="1553">
        <f>DATE($E$12,7,1)-R14</f>
        <v>0</v>
      </c>
      <c r="U15" s="1278"/>
      <c r="W15" s="50"/>
      <c r="X15" s="50"/>
      <c r="Y15" s="50"/>
      <c r="Z15" s="50"/>
      <c r="AA15" s="50"/>
      <c r="AB15" s="50"/>
      <c r="AC15" s="50"/>
      <c r="AD15" s="50"/>
      <c r="AE15" s="50"/>
      <c r="AF15" s="50"/>
      <c r="AG15" s="50"/>
      <c r="AH15" s="50"/>
      <c r="AI15" s="50"/>
      <c r="AJ15" s="50"/>
      <c r="AK15" s="50"/>
      <c r="AL15" s="50"/>
      <c r="AM15" s="50"/>
      <c r="AN15" s="50"/>
      <c r="AO15" s="50"/>
    </row>
    <row r="16" spans="1:41">
      <c r="A16" s="346">
        <f>ROW()</f>
        <v>16</v>
      </c>
      <c r="B16" s="829" t="s">
        <v>491</v>
      </c>
      <c r="C16" s="829"/>
      <c r="D16" s="829"/>
      <c r="E16" s="830"/>
      <c r="F16" s="831"/>
      <c r="G16" s="831"/>
      <c r="H16" s="831"/>
      <c r="I16" s="831"/>
      <c r="J16" s="831"/>
      <c r="K16" s="831"/>
      <c r="L16" s="831"/>
      <c r="M16" s="831"/>
      <c r="N16" s="831"/>
      <c r="O16" s="831"/>
      <c r="P16" s="831"/>
      <c r="Q16" s="831"/>
      <c r="R16" s="831"/>
      <c r="W16" s="50"/>
      <c r="X16" s="50"/>
      <c r="Y16" s="50"/>
      <c r="Z16" s="50"/>
      <c r="AA16" s="50"/>
      <c r="AB16" s="50"/>
      <c r="AC16" s="50"/>
      <c r="AD16" s="50"/>
      <c r="AE16" s="50"/>
      <c r="AF16" s="50"/>
      <c r="AG16" s="50"/>
      <c r="AH16" s="50"/>
      <c r="AI16" s="50"/>
      <c r="AJ16" s="50"/>
      <c r="AK16" s="50"/>
      <c r="AL16" s="50"/>
      <c r="AM16" s="50"/>
      <c r="AN16" s="50"/>
      <c r="AO16" s="50"/>
    </row>
    <row r="17" spans="1:41">
      <c r="A17" s="346">
        <f>ROW()</f>
        <v>17</v>
      </c>
      <c r="B17" s="864" t="s">
        <v>492</v>
      </c>
      <c r="C17" s="826">
        <f>' Enrol &amp; Rev'!G119</f>
        <v>15288147.720000001</v>
      </c>
      <c r="D17" s="826">
        <f>+C17-E17</f>
        <v>-2773389.2799999993</v>
      </c>
      <c r="E17" s="826">
        <f>SUM(F17:R17)</f>
        <v>18061537</v>
      </c>
      <c r="F17" s="828">
        <v>1389349</v>
      </c>
      <c r="G17" s="828">
        <v>1389349</v>
      </c>
      <c r="H17" s="828">
        <v>1389349</v>
      </c>
      <c r="I17" s="827">
        <v>1389349</v>
      </c>
      <c r="J17" s="828">
        <v>1389349</v>
      </c>
      <c r="K17" s="828">
        <v>1389349</v>
      </c>
      <c r="L17" s="828">
        <v>1389349</v>
      </c>
      <c r="M17" s="828">
        <v>1389349</v>
      </c>
      <c r="N17" s="828">
        <v>1389349</v>
      </c>
      <c r="O17" s="828">
        <v>1389349</v>
      </c>
      <c r="P17" s="828">
        <v>1389349</v>
      </c>
      <c r="Q17" s="828">
        <v>1389349</v>
      </c>
      <c r="R17" s="828">
        <v>1389349</v>
      </c>
      <c r="S17" s="307"/>
      <c r="T17" s="307"/>
      <c r="U17" s="343" t="s">
        <v>493</v>
      </c>
      <c r="W17" s="50"/>
      <c r="X17" s="50"/>
      <c r="Y17" s="50"/>
      <c r="Z17" s="50"/>
      <c r="AA17" s="50"/>
      <c r="AB17" s="50"/>
      <c r="AC17" s="50"/>
      <c r="AD17" s="50"/>
      <c r="AE17" s="50"/>
      <c r="AF17" s="50"/>
      <c r="AG17" s="50"/>
      <c r="AH17" s="50"/>
      <c r="AI17" s="50"/>
      <c r="AJ17" s="50"/>
      <c r="AK17" s="50"/>
      <c r="AL17" s="50"/>
      <c r="AM17" s="50"/>
      <c r="AN17" s="50"/>
      <c r="AO17" s="50"/>
    </row>
    <row r="18" spans="1:41">
      <c r="A18" s="346">
        <f>ROW()</f>
        <v>18</v>
      </c>
      <c r="B18" s="865" t="s">
        <v>494</v>
      </c>
      <c r="C18" s="531">
        <f>' Enrol &amp; Rev'!G120</f>
        <v>-187691.625</v>
      </c>
      <c r="D18" s="531">
        <f t="shared" ref="D18:D34" si="6">+C18-E18</f>
        <v>38077.587499999936</v>
      </c>
      <c r="E18" s="531">
        <f>SUM(F18:R18)</f>
        <v>-225769.21249999994</v>
      </c>
      <c r="F18" s="532">
        <f t="shared" ref="F18:R18" si="7">-0.0125*F17</f>
        <v>-17366.862499999999</v>
      </c>
      <c r="G18" s="532">
        <f>-0.0125*G17</f>
        <v>-17366.862499999999</v>
      </c>
      <c r="H18" s="532">
        <f t="shared" si="7"/>
        <v>-17366.862499999999</v>
      </c>
      <c r="I18" s="532">
        <f t="shared" si="7"/>
        <v>-17366.862499999999</v>
      </c>
      <c r="J18" s="532">
        <f t="shared" si="7"/>
        <v>-17366.862499999999</v>
      </c>
      <c r="K18" s="532">
        <f t="shared" si="7"/>
        <v>-17366.862499999999</v>
      </c>
      <c r="L18" s="532">
        <f t="shared" si="7"/>
        <v>-17366.862499999999</v>
      </c>
      <c r="M18" s="532">
        <f t="shared" si="7"/>
        <v>-17366.862499999999</v>
      </c>
      <c r="N18" s="532">
        <f t="shared" si="7"/>
        <v>-17366.862499999999</v>
      </c>
      <c r="O18" s="532">
        <f t="shared" si="7"/>
        <v>-17366.862499999999</v>
      </c>
      <c r="P18" s="532">
        <f t="shared" si="7"/>
        <v>-17366.862499999999</v>
      </c>
      <c r="Q18" s="532">
        <f t="shared" ref="Q18" si="8">-0.0125*Q17</f>
        <v>-17366.862499999999</v>
      </c>
      <c r="R18" s="532">
        <f t="shared" si="7"/>
        <v>-17366.862499999999</v>
      </c>
      <c r="S18" s="307"/>
      <c r="T18" s="307"/>
      <c r="U18" s="343" t="s">
        <v>495</v>
      </c>
      <c r="W18" s="50"/>
      <c r="X18" s="50"/>
      <c r="Y18" s="50"/>
      <c r="Z18" s="50"/>
      <c r="AA18" s="50"/>
      <c r="AB18" s="50"/>
      <c r="AC18" s="50"/>
      <c r="AD18" s="50"/>
      <c r="AE18" s="50"/>
      <c r="AF18" s="50"/>
      <c r="AG18" s="50"/>
      <c r="AH18" s="50"/>
      <c r="AI18" s="50"/>
      <c r="AJ18" s="50"/>
      <c r="AK18" s="50"/>
      <c r="AL18" s="50"/>
      <c r="AM18" s="50"/>
      <c r="AN18" s="50"/>
      <c r="AO18" s="50"/>
    </row>
    <row r="19" spans="1:41">
      <c r="A19" s="346">
        <f>ROW()</f>
        <v>19</v>
      </c>
      <c r="B19" s="865" t="s">
        <v>161</v>
      </c>
      <c r="C19" s="531">
        <f>' Enrol &amp; Rev'!G125</f>
        <v>0</v>
      </c>
      <c r="D19" s="531">
        <f t="shared" si="6"/>
        <v>-597576.6</v>
      </c>
      <c r="E19" s="531">
        <f>SUM(F19:R19)</f>
        <v>597576.6</v>
      </c>
      <c r="F19" s="532"/>
      <c r="G19" s="532">
        <v>597576.6</v>
      </c>
      <c r="H19" s="532"/>
      <c r="I19" s="532"/>
      <c r="J19" s="532"/>
      <c r="K19" s="532"/>
      <c r="L19" s="532"/>
      <c r="M19" s="532"/>
      <c r="N19" s="532"/>
      <c r="O19" s="532"/>
      <c r="P19" s="532"/>
      <c r="Q19" s="532"/>
      <c r="R19" s="1551">
        <v>0</v>
      </c>
      <c r="S19" s="307"/>
      <c r="T19" s="307"/>
      <c r="U19" s="343" t="s">
        <v>496</v>
      </c>
      <c r="W19" s="50"/>
      <c r="X19" s="50"/>
      <c r="Y19" s="50"/>
      <c r="Z19" s="50"/>
      <c r="AA19" s="50"/>
      <c r="AB19" s="50"/>
      <c r="AC19" s="50"/>
      <c r="AD19" s="50"/>
      <c r="AE19" s="50"/>
      <c r="AF19" s="50"/>
      <c r="AG19" s="50"/>
      <c r="AH19" s="50"/>
      <c r="AI19" s="50"/>
      <c r="AJ19" s="50"/>
      <c r="AK19" s="50"/>
      <c r="AL19" s="50"/>
      <c r="AM19" s="50"/>
      <c r="AN19" s="50"/>
      <c r="AO19" s="50"/>
    </row>
    <row r="20" spans="1:41">
      <c r="A20" s="346">
        <f>ROW()</f>
        <v>20</v>
      </c>
      <c r="B20" s="865" t="s">
        <v>162</v>
      </c>
      <c r="C20" s="531">
        <f>' Enrol &amp; Rev'!G126</f>
        <v>5582.5</v>
      </c>
      <c r="D20" s="531">
        <f t="shared" si="6"/>
        <v>5582.5</v>
      </c>
      <c r="E20" s="531">
        <f>SUM(F20:R20)</f>
        <v>0</v>
      </c>
      <c r="F20" s="532"/>
      <c r="G20" s="532"/>
      <c r="H20" s="532">
        <v>0</v>
      </c>
      <c r="I20" s="532"/>
      <c r="J20" s="532"/>
      <c r="K20" s="532"/>
      <c r="L20" s="532"/>
      <c r="M20" s="532"/>
      <c r="N20" s="532"/>
      <c r="O20" s="532"/>
      <c r="P20" s="532"/>
      <c r="Q20" s="532"/>
      <c r="R20" s="1551">
        <v>0</v>
      </c>
      <c r="S20" s="307"/>
      <c r="T20" s="307"/>
      <c r="U20" s="343" t="s">
        <v>497</v>
      </c>
      <c r="W20" s="50"/>
      <c r="X20" s="50"/>
      <c r="Y20" s="50"/>
      <c r="Z20" s="50"/>
      <c r="AA20" s="50"/>
      <c r="AB20" s="50"/>
      <c r="AC20" s="50"/>
      <c r="AD20" s="50"/>
      <c r="AE20" s="50"/>
      <c r="AF20" s="50"/>
      <c r="AG20" s="50"/>
      <c r="AH20" s="50"/>
      <c r="AI20" s="50"/>
      <c r="AJ20" s="50"/>
      <c r="AK20" s="50"/>
      <c r="AL20" s="50"/>
      <c r="AM20" s="50"/>
      <c r="AN20" s="50"/>
      <c r="AO20" s="50"/>
    </row>
    <row r="21" spans="1:41">
      <c r="A21" s="346">
        <f>ROW()</f>
        <v>21</v>
      </c>
      <c r="B21" s="865" t="s">
        <v>162</v>
      </c>
      <c r="C21" s="531">
        <f>' Enrol &amp; Rev'!G127</f>
        <v>0</v>
      </c>
      <c r="D21" s="531">
        <f t="shared" ref="D21" si="9">+C21-E21</f>
        <v>0</v>
      </c>
      <c r="E21" s="531">
        <f>SUM(F21:R21)</f>
        <v>0</v>
      </c>
      <c r="F21" s="532"/>
      <c r="G21" s="532"/>
      <c r="H21" s="532">
        <v>0</v>
      </c>
      <c r="I21" s="532"/>
      <c r="J21" s="532"/>
      <c r="K21" s="532"/>
      <c r="L21" s="532"/>
      <c r="M21" s="532"/>
      <c r="N21" s="532"/>
      <c r="O21" s="532"/>
      <c r="P21" s="532"/>
      <c r="Q21" s="532"/>
      <c r="R21" s="1551">
        <v>0</v>
      </c>
      <c r="S21" s="307"/>
      <c r="T21" s="307"/>
      <c r="U21" s="343" t="s">
        <v>498</v>
      </c>
      <c r="W21" s="50"/>
      <c r="X21" s="50"/>
      <c r="Y21" s="50"/>
      <c r="Z21" s="50"/>
      <c r="AA21" s="50"/>
      <c r="AB21" s="50"/>
      <c r="AC21" s="50"/>
      <c r="AD21" s="50"/>
      <c r="AE21" s="50"/>
      <c r="AF21" s="50"/>
      <c r="AG21" s="50"/>
      <c r="AH21" s="50"/>
      <c r="AI21" s="50"/>
      <c r="AJ21" s="50"/>
      <c r="AK21" s="50"/>
      <c r="AL21" s="50"/>
      <c r="AM21" s="50"/>
      <c r="AN21" s="50"/>
      <c r="AO21" s="50"/>
    </row>
    <row r="22" spans="1:41">
      <c r="A22" s="346">
        <f>ROW()</f>
        <v>22</v>
      </c>
      <c r="B22" s="865" t="s">
        <v>163</v>
      </c>
      <c r="C22" s="531">
        <f>' Enrol &amp; Rev'!G128</f>
        <v>0</v>
      </c>
      <c r="D22" s="531">
        <f t="shared" si="6"/>
        <v>0</v>
      </c>
      <c r="E22" s="531">
        <f t="shared" ref="E22:E33" si="10">SUM(F22:R22)</f>
        <v>0</v>
      </c>
      <c r="F22" s="532"/>
      <c r="G22" s="532">
        <v>0</v>
      </c>
      <c r="H22" s="532">
        <v>0</v>
      </c>
      <c r="I22" s="532">
        <v>0</v>
      </c>
      <c r="J22" s="532">
        <v>0</v>
      </c>
      <c r="K22" s="532">
        <v>0</v>
      </c>
      <c r="L22" s="532">
        <v>0</v>
      </c>
      <c r="M22" s="532">
        <v>0</v>
      </c>
      <c r="N22" s="532"/>
      <c r="O22" s="532"/>
      <c r="P22" s="532"/>
      <c r="Q22" s="532"/>
      <c r="R22" s="1551">
        <v>0</v>
      </c>
      <c r="S22" s="307"/>
      <c r="T22" s="307"/>
      <c r="U22" s="343" t="s">
        <v>499</v>
      </c>
      <c r="W22" s="50"/>
      <c r="X22" s="50"/>
      <c r="Y22" s="50"/>
      <c r="Z22" s="50"/>
      <c r="AA22" s="50"/>
      <c r="AB22" s="50"/>
      <c r="AC22" s="50"/>
      <c r="AD22" s="50"/>
      <c r="AE22" s="50"/>
      <c r="AF22" s="50"/>
      <c r="AG22" s="50"/>
      <c r="AH22" s="50"/>
      <c r="AI22" s="50"/>
      <c r="AJ22" s="50"/>
      <c r="AK22" s="50"/>
      <c r="AL22" s="50"/>
      <c r="AM22" s="50"/>
      <c r="AN22" s="50"/>
      <c r="AO22" s="50"/>
    </row>
    <row r="23" spans="1:41">
      <c r="A23" s="346">
        <f>ROW()</f>
        <v>23</v>
      </c>
      <c r="B23" s="865" t="s">
        <v>165</v>
      </c>
      <c r="C23" s="531">
        <f>' Enrol &amp; Rev'!G130</f>
        <v>0</v>
      </c>
      <c r="D23" s="531">
        <f t="shared" si="6"/>
        <v>0</v>
      </c>
      <c r="E23" s="531">
        <f t="shared" si="10"/>
        <v>0</v>
      </c>
      <c r="F23" s="533"/>
      <c r="G23" s="532">
        <v>0</v>
      </c>
      <c r="H23" s="532">
        <v>0</v>
      </c>
      <c r="I23" s="532">
        <v>0</v>
      </c>
      <c r="J23" s="532">
        <v>0</v>
      </c>
      <c r="K23" s="532">
        <v>0</v>
      </c>
      <c r="L23" s="532">
        <v>0</v>
      </c>
      <c r="M23" s="532">
        <v>0</v>
      </c>
      <c r="N23" s="532"/>
      <c r="O23" s="532"/>
      <c r="P23" s="532"/>
      <c r="Q23" s="532"/>
      <c r="R23" s="1551">
        <v>0</v>
      </c>
      <c r="S23" s="307"/>
      <c r="T23" s="307"/>
      <c r="U23" s="343"/>
      <c r="W23" s="50"/>
      <c r="X23" s="50"/>
      <c r="Y23" s="50"/>
      <c r="Z23" s="50"/>
      <c r="AA23" s="50"/>
      <c r="AB23" s="50"/>
      <c r="AC23" s="50"/>
      <c r="AD23" s="50"/>
      <c r="AE23" s="50"/>
      <c r="AF23" s="50"/>
      <c r="AG23" s="50"/>
      <c r="AH23" s="50"/>
      <c r="AI23" s="50"/>
      <c r="AJ23" s="50"/>
      <c r="AK23" s="50"/>
      <c r="AL23" s="50"/>
      <c r="AM23" s="50"/>
      <c r="AN23" s="50"/>
      <c r="AO23" s="50"/>
    </row>
    <row r="24" spans="1:41">
      <c r="A24" s="346">
        <f>ROW()</f>
        <v>24</v>
      </c>
      <c r="B24" s="865" t="s">
        <v>166</v>
      </c>
      <c r="C24" s="531">
        <f>' Enrol &amp; Rev'!G131</f>
        <v>0</v>
      </c>
      <c r="D24" s="531">
        <f t="shared" si="6"/>
        <v>-42466.34</v>
      </c>
      <c r="E24" s="531">
        <f t="shared" si="10"/>
        <v>42466.34</v>
      </c>
      <c r="F24" s="533"/>
      <c r="G24" s="532">
        <v>0</v>
      </c>
      <c r="H24" s="532">
        <v>1525.34</v>
      </c>
      <c r="I24" s="532">
        <v>6757</v>
      </c>
      <c r="J24" s="532">
        <v>0</v>
      </c>
      <c r="K24" s="532">
        <v>4789</v>
      </c>
      <c r="L24" s="532">
        <v>7438</v>
      </c>
      <c r="M24" s="532">
        <v>4436</v>
      </c>
      <c r="N24" s="532">
        <v>6572</v>
      </c>
      <c r="O24" s="532">
        <v>3653</v>
      </c>
      <c r="P24" s="532">
        <v>6246</v>
      </c>
      <c r="Q24" s="532">
        <v>1050</v>
      </c>
      <c r="R24" s="1551">
        <v>0</v>
      </c>
      <c r="S24" s="307"/>
      <c r="T24" s="307"/>
      <c r="U24" s="1552" t="s">
        <v>500</v>
      </c>
      <c r="W24" s="50"/>
      <c r="X24" s="50"/>
      <c r="Y24" s="50"/>
      <c r="Z24" s="50"/>
      <c r="AA24" s="50"/>
      <c r="AB24" s="50"/>
      <c r="AC24" s="50"/>
      <c r="AD24" s="50"/>
      <c r="AE24" s="50"/>
      <c r="AF24" s="50"/>
      <c r="AG24" s="50"/>
      <c r="AH24" s="50"/>
      <c r="AI24" s="50"/>
      <c r="AJ24" s="50"/>
      <c r="AK24" s="50"/>
      <c r="AL24" s="50"/>
      <c r="AM24" s="50"/>
      <c r="AN24" s="50"/>
      <c r="AO24" s="50"/>
    </row>
    <row r="25" spans="1:41">
      <c r="A25" s="346">
        <f>ROW()</f>
        <v>25</v>
      </c>
      <c r="B25" s="865" t="s">
        <v>167</v>
      </c>
      <c r="C25" s="531">
        <f>' Enrol &amp; Rev'!G132</f>
        <v>176327.25</v>
      </c>
      <c r="D25" s="531">
        <f t="shared" si="6"/>
        <v>-716500.75</v>
      </c>
      <c r="E25" s="531">
        <f t="shared" si="10"/>
        <v>892828</v>
      </c>
      <c r="F25" s="533"/>
      <c r="G25" s="532"/>
      <c r="H25" s="532">
        <v>0</v>
      </c>
      <c r="I25" s="532"/>
      <c r="J25" s="533"/>
      <c r="K25" s="532">
        <v>446414</v>
      </c>
      <c r="L25" s="532"/>
      <c r="M25" s="532">
        <v>223207</v>
      </c>
      <c r="N25" s="533"/>
      <c r="O25" s="532"/>
      <c r="P25" s="532">
        <v>223207</v>
      </c>
      <c r="Q25" s="532"/>
      <c r="R25" s="1551">
        <v>0</v>
      </c>
      <c r="S25" s="307"/>
      <c r="T25" s="307"/>
      <c r="U25" s="1552" t="s">
        <v>501</v>
      </c>
      <c r="W25" s="50"/>
      <c r="X25" s="50"/>
      <c r="Y25" s="50"/>
      <c r="Z25" s="50"/>
      <c r="AA25" s="50"/>
      <c r="AB25" s="50"/>
      <c r="AC25" s="50"/>
      <c r="AD25" s="50"/>
      <c r="AE25" s="50"/>
      <c r="AF25" s="50"/>
      <c r="AG25" s="50"/>
      <c r="AH25" s="50"/>
      <c r="AI25" s="50"/>
      <c r="AJ25" s="50"/>
      <c r="AK25" s="50"/>
      <c r="AL25" s="50"/>
      <c r="AM25" s="50"/>
      <c r="AN25" s="50"/>
      <c r="AO25" s="50"/>
    </row>
    <row r="26" spans="1:41">
      <c r="A26" s="346">
        <f>ROW()</f>
        <v>26</v>
      </c>
      <c r="B26" s="865" t="s">
        <v>502</v>
      </c>
      <c r="C26" s="531">
        <f>+' Enrol &amp; Rev'!G115</f>
        <v>272817.72000000003</v>
      </c>
      <c r="D26" s="531">
        <f t="shared" si="6"/>
        <v>272817.72000000003</v>
      </c>
      <c r="E26" s="531">
        <f t="shared" si="10"/>
        <v>0</v>
      </c>
      <c r="F26" s="533"/>
      <c r="G26" s="532"/>
      <c r="H26" s="532"/>
      <c r="I26" s="532"/>
      <c r="J26" s="533"/>
      <c r="K26" s="532"/>
      <c r="L26" s="532"/>
      <c r="M26" s="532"/>
      <c r="N26" s="533"/>
      <c r="O26" s="532"/>
      <c r="P26" s="532"/>
      <c r="Q26" s="532">
        <v>0</v>
      </c>
      <c r="R26" s="1551">
        <v>0</v>
      </c>
      <c r="S26" s="307"/>
      <c r="T26" s="307"/>
      <c r="U26" s="1552" t="s">
        <v>503</v>
      </c>
      <c r="W26" s="50"/>
      <c r="X26" s="50"/>
      <c r="Y26" s="50"/>
      <c r="Z26" s="50"/>
      <c r="AA26" s="50"/>
      <c r="AB26" s="50"/>
      <c r="AC26" s="50"/>
      <c r="AD26" s="50"/>
      <c r="AE26" s="50"/>
      <c r="AF26" s="50"/>
      <c r="AG26" s="50"/>
      <c r="AH26" s="50"/>
      <c r="AI26" s="50"/>
      <c r="AJ26" s="50"/>
      <c r="AK26" s="50"/>
      <c r="AL26" s="50"/>
      <c r="AM26" s="50"/>
      <c r="AN26" s="50"/>
      <c r="AO26" s="50"/>
    </row>
    <row r="27" spans="1:41">
      <c r="A27" s="346">
        <f>ROW()</f>
        <v>27</v>
      </c>
      <c r="B27" s="865" t="s">
        <v>504</v>
      </c>
      <c r="C27" s="531">
        <f>' Enrol &amp; Rev'!G133</f>
        <v>0</v>
      </c>
      <c r="D27" s="531">
        <f t="shared" si="6"/>
        <v>0</v>
      </c>
      <c r="E27" s="531">
        <f>SUM(F27:R27)</f>
        <v>0</v>
      </c>
      <c r="F27" s="533"/>
      <c r="G27" s="532"/>
      <c r="H27" s="532"/>
      <c r="I27" s="532"/>
      <c r="J27" s="533"/>
      <c r="K27" s="532"/>
      <c r="L27" s="532"/>
      <c r="M27" s="532"/>
      <c r="N27" s="533"/>
      <c r="O27" s="532"/>
      <c r="P27" s="532"/>
      <c r="Q27" s="532"/>
      <c r="R27" s="1551">
        <v>0</v>
      </c>
      <c r="S27" s="307"/>
      <c r="T27" s="307"/>
      <c r="U27" s="343"/>
      <c r="W27" s="50"/>
      <c r="X27" s="50"/>
      <c r="Y27" s="50"/>
      <c r="Z27" s="50"/>
      <c r="AA27" s="50"/>
      <c r="AB27" s="50"/>
      <c r="AC27" s="50"/>
      <c r="AD27" s="50"/>
      <c r="AE27" s="50"/>
      <c r="AF27" s="50"/>
      <c r="AG27" s="50"/>
      <c r="AH27" s="50"/>
      <c r="AI27" s="50"/>
      <c r="AJ27" s="50"/>
      <c r="AK27" s="50"/>
      <c r="AL27" s="50"/>
      <c r="AM27" s="50"/>
      <c r="AN27" s="50"/>
      <c r="AO27" s="50"/>
    </row>
    <row r="28" spans="1:41">
      <c r="A28" s="346">
        <f>ROW()</f>
        <v>28</v>
      </c>
      <c r="B28" s="865" t="s">
        <v>505</v>
      </c>
      <c r="C28" s="531">
        <f>' Enrol &amp; Rev'!G135</f>
        <v>0</v>
      </c>
      <c r="D28" s="531">
        <f t="shared" si="6"/>
        <v>0</v>
      </c>
      <c r="E28" s="531">
        <f t="shared" si="10"/>
        <v>0</v>
      </c>
      <c r="F28" s="533"/>
      <c r="G28" s="532"/>
      <c r="H28" s="532"/>
      <c r="I28" s="532"/>
      <c r="J28" s="533"/>
      <c r="K28" s="532"/>
      <c r="L28" s="532"/>
      <c r="M28" s="532"/>
      <c r="N28" s="533"/>
      <c r="O28" s="532"/>
      <c r="P28" s="532"/>
      <c r="Q28" s="532"/>
      <c r="R28" s="1551">
        <v>0</v>
      </c>
      <c r="S28" s="307"/>
      <c r="T28" s="307"/>
      <c r="U28" s="343"/>
      <c r="W28" s="50"/>
      <c r="X28" s="50"/>
      <c r="Y28" s="50"/>
      <c r="Z28" s="50"/>
      <c r="AA28" s="50"/>
      <c r="AB28" s="50"/>
      <c r="AC28" s="50"/>
      <c r="AD28" s="50"/>
      <c r="AE28" s="50"/>
      <c r="AF28" s="50"/>
      <c r="AG28" s="50"/>
      <c r="AH28" s="50"/>
      <c r="AI28" s="50"/>
      <c r="AJ28" s="50"/>
      <c r="AK28" s="50"/>
      <c r="AL28" s="50"/>
      <c r="AM28" s="50"/>
      <c r="AN28" s="50"/>
      <c r="AO28" s="50"/>
    </row>
    <row r="29" spans="1:41">
      <c r="A29" s="346">
        <f>ROW()</f>
        <v>29</v>
      </c>
      <c r="B29" s="865" t="s">
        <v>176</v>
      </c>
      <c r="C29" s="531">
        <f>' Enrol &amp; Rev'!G136</f>
        <v>0</v>
      </c>
      <c r="D29" s="531">
        <f t="shared" si="6"/>
        <v>0</v>
      </c>
      <c r="E29" s="531">
        <f t="shared" si="10"/>
        <v>0</v>
      </c>
      <c r="F29" s="533"/>
      <c r="G29" s="532"/>
      <c r="H29" s="532"/>
      <c r="I29" s="532"/>
      <c r="J29" s="533"/>
      <c r="K29" s="532"/>
      <c r="L29" s="532"/>
      <c r="M29" s="532"/>
      <c r="N29" s="533"/>
      <c r="O29" s="532"/>
      <c r="P29" s="532"/>
      <c r="Q29" s="532"/>
      <c r="R29" s="1551">
        <v>0</v>
      </c>
      <c r="S29" s="307"/>
      <c r="T29" s="307"/>
      <c r="U29" s="343"/>
      <c r="W29" s="50"/>
      <c r="X29" s="50"/>
      <c r="Y29" s="50"/>
      <c r="Z29" s="50"/>
      <c r="AA29" s="50"/>
      <c r="AB29" s="50"/>
      <c r="AC29" s="50"/>
      <c r="AD29" s="50"/>
      <c r="AE29" s="50"/>
      <c r="AF29" s="50"/>
      <c r="AG29" s="50"/>
      <c r="AH29" s="50"/>
      <c r="AI29" s="50"/>
      <c r="AJ29" s="50"/>
      <c r="AK29" s="50"/>
      <c r="AL29" s="50"/>
      <c r="AM29" s="50"/>
      <c r="AN29" s="50"/>
      <c r="AO29" s="50"/>
    </row>
    <row r="30" spans="1:41">
      <c r="A30" s="346">
        <f>ROW()</f>
        <v>30</v>
      </c>
      <c r="B30" s="865" t="s">
        <v>506</v>
      </c>
      <c r="C30" s="531">
        <f>' Enrol &amp; Rev'!G137</f>
        <v>278880</v>
      </c>
      <c r="D30" s="531">
        <f t="shared" si="6"/>
        <v>-51295.739999999991</v>
      </c>
      <c r="E30" s="531">
        <f t="shared" si="10"/>
        <v>330175.74</v>
      </c>
      <c r="F30" s="533">
        <v>38340.74</v>
      </c>
      <c r="G30" s="532">
        <v>3300</v>
      </c>
      <c r="H30" s="532">
        <v>19500</v>
      </c>
      <c r="I30" s="532">
        <v>0</v>
      </c>
      <c r="J30" s="532">
        <v>1420</v>
      </c>
      <c r="K30" s="532">
        <v>13850</v>
      </c>
      <c r="L30" s="532">
        <v>11215</v>
      </c>
      <c r="M30" s="532">
        <v>14550</v>
      </c>
      <c r="N30" s="532">
        <v>5000</v>
      </c>
      <c r="O30" s="532">
        <v>3000</v>
      </c>
      <c r="P30" s="532">
        <v>80000</v>
      </c>
      <c r="Q30" s="532">
        <v>140000</v>
      </c>
      <c r="R30" s="1551">
        <v>0</v>
      </c>
      <c r="S30" s="307"/>
      <c r="T30" s="307"/>
      <c r="U30" s="343" t="s">
        <v>1559</v>
      </c>
      <c r="W30" s="50"/>
      <c r="X30" s="50"/>
      <c r="Y30" s="50"/>
      <c r="Z30" s="50"/>
      <c r="AA30" s="50"/>
      <c r="AB30" s="50"/>
      <c r="AC30" s="50"/>
      <c r="AD30" s="50"/>
      <c r="AE30" s="50"/>
      <c r="AF30" s="50"/>
      <c r="AG30" s="50"/>
      <c r="AH30" s="50"/>
      <c r="AI30" s="50"/>
      <c r="AJ30" s="50"/>
      <c r="AK30" s="50"/>
      <c r="AL30" s="50"/>
      <c r="AM30" s="50"/>
      <c r="AN30" s="50"/>
      <c r="AO30" s="50"/>
    </row>
    <row r="31" spans="1:41">
      <c r="A31" s="346">
        <f>ROW()</f>
        <v>31</v>
      </c>
      <c r="B31" s="865" t="s">
        <v>175</v>
      </c>
      <c r="C31" s="531">
        <f>' Enrol &amp; Rev'!G140</f>
        <v>0</v>
      </c>
      <c r="D31" s="531">
        <f t="shared" si="6"/>
        <v>0</v>
      </c>
      <c r="E31" s="531">
        <f t="shared" si="10"/>
        <v>0</v>
      </c>
      <c r="F31" s="533"/>
      <c r="G31" s="532"/>
      <c r="H31" s="532"/>
      <c r="I31" s="532"/>
      <c r="J31" s="533"/>
      <c r="K31" s="532"/>
      <c r="L31" s="532"/>
      <c r="M31" s="532"/>
      <c r="N31" s="533"/>
      <c r="O31" s="532"/>
      <c r="P31" s="532"/>
      <c r="Q31" s="532"/>
      <c r="R31" s="1551">
        <v>0</v>
      </c>
      <c r="S31" s="307"/>
      <c r="T31" s="307"/>
      <c r="U31" s="343"/>
      <c r="W31" s="50"/>
      <c r="X31" s="50"/>
      <c r="Y31" s="50"/>
      <c r="Z31" s="50"/>
      <c r="AA31" s="50"/>
      <c r="AB31" s="50"/>
      <c r="AC31" s="50"/>
      <c r="AD31" s="50"/>
      <c r="AE31" s="50"/>
      <c r="AF31" s="50"/>
      <c r="AG31" s="50"/>
      <c r="AH31" s="50"/>
      <c r="AI31" s="50"/>
      <c r="AJ31" s="50"/>
      <c r="AK31" s="50"/>
      <c r="AL31" s="50"/>
      <c r="AM31" s="50"/>
      <c r="AN31" s="50"/>
      <c r="AO31" s="50"/>
    </row>
    <row r="32" spans="1:41">
      <c r="A32" s="346">
        <f>ROW()</f>
        <v>32</v>
      </c>
      <c r="B32" s="865" t="s">
        <v>507</v>
      </c>
      <c r="C32" s="531">
        <f>' Enrol &amp; Rev'!G141</f>
        <v>45000</v>
      </c>
      <c r="D32" s="531">
        <f t="shared" si="6"/>
        <v>0</v>
      </c>
      <c r="E32" s="531">
        <f t="shared" si="10"/>
        <v>45000</v>
      </c>
      <c r="F32" s="533"/>
      <c r="G32" s="532">
        <v>1000</v>
      </c>
      <c r="H32" s="532">
        <v>0</v>
      </c>
      <c r="I32" s="532">
        <v>20000</v>
      </c>
      <c r="J32" s="533">
        <v>3000</v>
      </c>
      <c r="K32" s="532"/>
      <c r="L32" s="532"/>
      <c r="M32" s="532"/>
      <c r="N32" s="533">
        <v>16000</v>
      </c>
      <c r="O32" s="532">
        <v>2000</v>
      </c>
      <c r="P32" s="532"/>
      <c r="Q32" s="532">
        <v>3000</v>
      </c>
      <c r="R32" s="1551">
        <v>0</v>
      </c>
      <c r="S32" s="307"/>
      <c r="T32" s="307"/>
      <c r="U32" s="343" t="s">
        <v>1560</v>
      </c>
      <c r="W32" s="50"/>
      <c r="X32" s="50"/>
      <c r="Y32" s="50"/>
      <c r="Z32" s="50"/>
      <c r="AA32" s="50"/>
      <c r="AB32" s="50"/>
      <c r="AC32" s="50"/>
      <c r="AD32" s="50"/>
      <c r="AE32" s="50"/>
      <c r="AF32" s="50"/>
      <c r="AG32" s="50"/>
      <c r="AH32" s="50"/>
      <c r="AI32" s="50"/>
      <c r="AJ32" s="50"/>
      <c r="AK32" s="50"/>
      <c r="AL32" s="50"/>
      <c r="AM32" s="50"/>
      <c r="AN32" s="50"/>
      <c r="AO32" s="50"/>
    </row>
    <row r="33" spans="1:41">
      <c r="A33" s="346">
        <f>ROW()</f>
        <v>33</v>
      </c>
      <c r="B33" s="866" t="s">
        <v>508</v>
      </c>
      <c r="C33" s="534">
        <f>+' Enrol &amp; Rev'!G142</f>
        <v>0</v>
      </c>
      <c r="D33" s="547">
        <f t="shared" si="6"/>
        <v>0</v>
      </c>
      <c r="E33" s="547">
        <f t="shared" si="10"/>
        <v>0</v>
      </c>
      <c r="F33" s="825">
        <v>0</v>
      </c>
      <c r="G33" s="548"/>
      <c r="H33" s="548"/>
      <c r="I33" s="548"/>
      <c r="J33" s="548"/>
      <c r="K33" s="548"/>
      <c r="L33" s="548">
        <v>0</v>
      </c>
      <c r="M33" s="548"/>
      <c r="N33" s="548"/>
      <c r="O33" s="548"/>
      <c r="P33" s="548"/>
      <c r="Q33" s="548"/>
      <c r="R33" s="1597">
        <v>0</v>
      </c>
      <c r="S33" s="307"/>
      <c r="T33" s="307"/>
      <c r="U33" s="343"/>
      <c r="W33" s="50"/>
      <c r="X33" s="50"/>
      <c r="Y33" s="50"/>
      <c r="Z33" s="50"/>
      <c r="AA33" s="50"/>
      <c r="AB33" s="50"/>
      <c r="AC33" s="50"/>
      <c r="AD33" s="50"/>
      <c r="AE33" s="50"/>
      <c r="AF33" s="50"/>
      <c r="AG33" s="50"/>
      <c r="AH33" s="50"/>
      <c r="AI33" s="50"/>
      <c r="AJ33" s="50"/>
      <c r="AK33" s="50"/>
      <c r="AL33" s="50"/>
      <c r="AM33" s="50"/>
      <c r="AN33" s="50"/>
      <c r="AO33" s="50"/>
    </row>
    <row r="34" spans="1:41">
      <c r="A34" s="346">
        <f>ROW()</f>
        <v>34</v>
      </c>
      <c r="B34" s="867" t="s">
        <v>509</v>
      </c>
      <c r="C34" s="544">
        <f>+' Enrol &amp; Rev'!G145</f>
        <v>15606245.845000001</v>
      </c>
      <c r="D34" s="544">
        <f t="shared" si="6"/>
        <v>-4137568.6225000005</v>
      </c>
      <c r="E34" s="545">
        <f t="shared" ref="E34:R34" si="11">SUM(E17:E33)</f>
        <v>19743814.467500001</v>
      </c>
      <c r="F34" s="544">
        <f t="shared" si="11"/>
        <v>1410322.8774999999</v>
      </c>
      <c r="G34" s="544">
        <f t="shared" si="11"/>
        <v>1973858.7374999998</v>
      </c>
      <c r="H34" s="544">
        <f t="shared" si="11"/>
        <v>1393007.4775</v>
      </c>
      <c r="I34" s="544">
        <f t="shared" si="11"/>
        <v>1398739.1375</v>
      </c>
      <c r="J34" s="544">
        <f t="shared" si="11"/>
        <v>1376402.1375</v>
      </c>
      <c r="K34" s="544">
        <f t="shared" si="11"/>
        <v>1837035.1375</v>
      </c>
      <c r="L34" s="544">
        <f t="shared" si="11"/>
        <v>1390635.1375</v>
      </c>
      <c r="M34" s="544">
        <f t="shared" si="11"/>
        <v>1614175.1375</v>
      </c>
      <c r="N34" s="544">
        <f t="shared" si="11"/>
        <v>1399554.1375</v>
      </c>
      <c r="O34" s="544">
        <f t="shared" si="11"/>
        <v>1380635.1375</v>
      </c>
      <c r="P34" s="544">
        <f t="shared" si="11"/>
        <v>1681435.1375</v>
      </c>
      <c r="Q34" s="546">
        <f t="shared" ref="Q34" si="12">SUM(Q17:Q33)</f>
        <v>1516032.1375</v>
      </c>
      <c r="R34" s="546">
        <f t="shared" si="11"/>
        <v>1371982.1375</v>
      </c>
      <c r="U34" s="343"/>
      <c r="W34" s="50"/>
      <c r="X34" s="50"/>
      <c r="Y34" s="50"/>
      <c r="Z34" s="50"/>
      <c r="AA34" s="50"/>
      <c r="AB34" s="50"/>
      <c r="AC34" s="50"/>
      <c r="AD34" s="50"/>
      <c r="AE34" s="50"/>
      <c r="AF34" s="50"/>
      <c r="AG34" s="50"/>
      <c r="AH34" s="50"/>
      <c r="AI34" s="50"/>
      <c r="AJ34" s="50"/>
      <c r="AK34" s="50"/>
      <c r="AL34" s="50"/>
      <c r="AM34" s="50"/>
      <c r="AN34" s="50"/>
      <c r="AO34" s="50"/>
    </row>
    <row r="35" spans="1:41" ht="14.4">
      <c r="A35" s="346">
        <f>ROW()</f>
        <v>35</v>
      </c>
      <c r="B35" s="13" t="s">
        <v>510</v>
      </c>
      <c r="C35" s="1325"/>
      <c r="D35" s="536" t="str">
        <f>IF(ABS(D34)&gt;(0.0025*E34),"*** Out of Balance *** sb 0",0)</f>
        <v>*** Out of Balance *** sb 0</v>
      </c>
      <c r="E35" s="537"/>
      <c r="F35" s="537">
        <f>F34</f>
        <v>1410322.8774999999</v>
      </c>
      <c r="G35" s="538">
        <f t="shared" ref="G35:P35" si="13">F35+G34</f>
        <v>3384181.6149999998</v>
      </c>
      <c r="H35" s="538">
        <f t="shared" si="13"/>
        <v>4777189.0924999993</v>
      </c>
      <c r="I35" s="538">
        <f t="shared" si="13"/>
        <v>6175928.2299999995</v>
      </c>
      <c r="J35" s="538">
        <f t="shared" si="13"/>
        <v>7552330.3674999997</v>
      </c>
      <c r="K35" s="538">
        <f t="shared" si="13"/>
        <v>9389365.504999999</v>
      </c>
      <c r="L35" s="538">
        <f t="shared" si="13"/>
        <v>10780000.642499998</v>
      </c>
      <c r="M35" s="538">
        <f t="shared" si="13"/>
        <v>12394175.779999997</v>
      </c>
      <c r="N35" s="538">
        <f t="shared" si="13"/>
        <v>13793729.917499997</v>
      </c>
      <c r="O35" s="538">
        <f t="shared" si="13"/>
        <v>15174365.054999996</v>
      </c>
      <c r="P35" s="538">
        <f t="shared" si="13"/>
        <v>16855800.192499995</v>
      </c>
      <c r="Q35" s="538">
        <f>O35+Q34</f>
        <v>16690397.192499995</v>
      </c>
      <c r="R35" s="538">
        <f>P35+R34</f>
        <v>18227782.329999994</v>
      </c>
      <c r="U35" s="343"/>
      <c r="W35" s="50"/>
      <c r="X35" s="50"/>
      <c r="Y35" s="50"/>
      <c r="Z35" s="50"/>
      <c r="AA35" s="50"/>
      <c r="AB35" s="50"/>
      <c r="AC35" s="50"/>
      <c r="AD35" s="50"/>
      <c r="AE35" s="50"/>
      <c r="AF35" s="50"/>
      <c r="AG35" s="50"/>
      <c r="AH35" s="50"/>
      <c r="AI35" s="50"/>
      <c r="AJ35" s="50"/>
      <c r="AK35" s="50"/>
      <c r="AL35" s="50"/>
      <c r="AM35" s="50"/>
      <c r="AN35" s="50"/>
      <c r="AO35" s="50"/>
    </row>
    <row r="36" spans="1:41">
      <c r="A36" s="346">
        <f>ROW()</f>
        <v>36</v>
      </c>
      <c r="B36" s="14" t="s">
        <v>511</v>
      </c>
      <c r="C36" s="1326"/>
      <c r="D36" s="539"/>
      <c r="E36" s="12"/>
      <c r="F36" s="540">
        <f>IFERROR(F35/$E34,0)</f>
        <v>7.1431124913653915E-2</v>
      </c>
      <c r="G36" s="540">
        <f t="shared" ref="G36:R36" si="14">IFERROR(G35/$E34,0)</f>
        <v>0.17140465033089988</v>
      </c>
      <c r="H36" s="540">
        <f t="shared" si="14"/>
        <v>0.24195877146048242</v>
      </c>
      <c r="I36" s="540">
        <f t="shared" si="14"/>
        <v>0.31280319414296071</v>
      </c>
      <c r="J36" s="540">
        <f t="shared" si="14"/>
        <v>0.38251627515705122</v>
      </c>
      <c r="K36" s="540">
        <f t="shared" si="14"/>
        <v>0.47555985295828695</v>
      </c>
      <c r="L36" s="540">
        <f t="shared" si="14"/>
        <v>0.54599381797498137</v>
      </c>
      <c r="M36" s="540">
        <f t="shared" si="14"/>
        <v>0.62774980996716034</v>
      </c>
      <c r="N36" s="540">
        <f t="shared" si="14"/>
        <v>0.69863551140057811</v>
      </c>
      <c r="O36" s="540">
        <f t="shared" si="14"/>
        <v>0.76856298867568329</v>
      </c>
      <c r="P36" s="540">
        <f t="shared" si="14"/>
        <v>0.85372561721779128</v>
      </c>
      <c r="Q36" s="540">
        <f t="shared" ref="Q36" si="15">IFERROR(Q35/$E34,0)</f>
        <v>0.84534815802558361</v>
      </c>
      <c r="R36" s="540">
        <f t="shared" si="14"/>
        <v>0.92321483065009935</v>
      </c>
      <c r="U36" s="343"/>
      <c r="W36" s="50"/>
      <c r="X36" s="50"/>
      <c r="Y36" s="50"/>
      <c r="Z36" s="50"/>
      <c r="AA36" s="50"/>
      <c r="AB36" s="50"/>
      <c r="AC36" s="50"/>
      <c r="AD36" s="50"/>
      <c r="AE36" s="50"/>
      <c r="AF36" s="50"/>
      <c r="AG36" s="50"/>
      <c r="AH36" s="50"/>
      <c r="AI36" s="50"/>
      <c r="AJ36" s="50"/>
      <c r="AK36" s="50"/>
      <c r="AL36" s="50"/>
      <c r="AM36" s="50"/>
      <c r="AN36" s="50"/>
      <c r="AO36" s="50"/>
    </row>
    <row r="37" spans="1:41">
      <c r="A37" s="346">
        <f>ROW()</f>
        <v>37</v>
      </c>
      <c r="B37" s="12"/>
      <c r="C37" s="220" t="s">
        <v>512</v>
      </c>
      <c r="D37" s="12"/>
      <c r="E37" s="12"/>
      <c r="F37" s="541"/>
      <c r="G37" s="542"/>
      <c r="H37" s="542"/>
      <c r="I37" s="542"/>
      <c r="J37" s="541"/>
      <c r="K37" s="542"/>
      <c r="L37" s="542"/>
      <c r="M37" s="542"/>
      <c r="N37" s="541"/>
      <c r="O37" s="542"/>
      <c r="P37" s="542"/>
      <c r="Q37" s="542"/>
      <c r="R37" s="542"/>
      <c r="U37" s="343"/>
      <c r="W37" s="50"/>
      <c r="X37" s="50"/>
      <c r="Y37" s="50"/>
      <c r="Z37" s="50"/>
      <c r="AA37" s="50"/>
      <c r="AB37" s="50"/>
      <c r="AC37" s="50"/>
      <c r="AD37" s="50"/>
      <c r="AE37" s="50"/>
      <c r="AF37" s="50"/>
      <c r="AG37" s="50"/>
      <c r="AH37" s="50"/>
      <c r="AI37" s="50"/>
      <c r="AJ37" s="50"/>
      <c r="AK37" s="50"/>
      <c r="AL37" s="50"/>
      <c r="AM37" s="50"/>
      <c r="AN37" s="50"/>
      <c r="AO37" s="50"/>
    </row>
    <row r="38" spans="1:41" ht="14.25" customHeight="1">
      <c r="A38" s="346">
        <f>ROW()</f>
        <v>38</v>
      </c>
      <c r="B38" s="832" t="s">
        <v>513</v>
      </c>
      <c r="C38" s="832"/>
      <c r="D38" s="832"/>
      <c r="E38" s="833"/>
      <c r="F38" s="834"/>
      <c r="G38" s="834"/>
      <c r="H38" s="834"/>
      <c r="I38" s="834"/>
      <c r="J38" s="834"/>
      <c r="K38" s="834"/>
      <c r="L38" s="834"/>
      <c r="M38" s="834"/>
      <c r="N38" s="834"/>
      <c r="O38" s="834"/>
      <c r="P38" s="834"/>
      <c r="Q38" s="834"/>
      <c r="R38" s="834"/>
      <c r="U38" s="343"/>
      <c r="W38" s="50"/>
      <c r="X38" s="50"/>
      <c r="Y38" s="50"/>
      <c r="Z38" s="50"/>
      <c r="AA38" s="50"/>
      <c r="AB38" s="50"/>
      <c r="AC38" s="50"/>
      <c r="AD38" s="50"/>
      <c r="AE38" s="50"/>
      <c r="AF38" s="50"/>
      <c r="AG38" s="50"/>
      <c r="AH38" s="50"/>
      <c r="AI38" s="50"/>
      <c r="AJ38" s="50"/>
      <c r="AK38" s="50"/>
      <c r="AL38" s="50"/>
      <c r="AM38" s="50"/>
      <c r="AN38" s="50"/>
      <c r="AO38" s="50"/>
    </row>
    <row r="39" spans="1:41">
      <c r="A39" s="346">
        <f>ROW()</f>
        <v>39</v>
      </c>
      <c r="B39" s="822" t="s">
        <v>514</v>
      </c>
      <c r="C39" s="823">
        <f>+Staff!H461</f>
        <v>7710594.4629328558</v>
      </c>
      <c r="D39" s="823">
        <f t="shared" ref="D39:D50" si="16">+C39-E39</f>
        <v>-5.0756448823958635</v>
      </c>
      <c r="E39" s="823">
        <f t="shared" ref="E39:E49" si="17">SUM(F39:R39)</f>
        <v>7710599.5385777382</v>
      </c>
      <c r="F39" s="824">
        <f>C39/12</f>
        <v>642549.53857773799</v>
      </c>
      <c r="G39" s="824">
        <v>642550</v>
      </c>
      <c r="H39" s="824">
        <v>642550</v>
      </c>
      <c r="I39" s="824">
        <v>642550</v>
      </c>
      <c r="J39" s="824">
        <v>642550</v>
      </c>
      <c r="K39" s="824">
        <v>642550</v>
      </c>
      <c r="L39" s="824">
        <v>642550</v>
      </c>
      <c r="M39" s="824">
        <v>642550</v>
      </c>
      <c r="N39" s="824">
        <v>642550</v>
      </c>
      <c r="O39" s="824">
        <v>642550</v>
      </c>
      <c r="P39" s="824">
        <v>642550</v>
      </c>
      <c r="Q39" s="824">
        <v>642550</v>
      </c>
      <c r="R39" s="1599">
        <v>0</v>
      </c>
      <c r="S39" s="307"/>
      <c r="T39" s="307"/>
      <c r="U39" s="1552" t="s">
        <v>515</v>
      </c>
      <c r="W39" s="50"/>
      <c r="X39" s="50"/>
      <c r="Y39" s="50"/>
      <c r="Z39" s="50"/>
      <c r="AA39" s="50"/>
      <c r="AB39" s="50"/>
      <c r="AC39" s="50"/>
      <c r="AD39" s="50"/>
      <c r="AE39" s="50"/>
      <c r="AF39" s="50"/>
      <c r="AG39" s="50"/>
      <c r="AH39" s="50"/>
      <c r="AI39" s="50"/>
      <c r="AJ39" s="50"/>
      <c r="AK39" s="50"/>
      <c r="AL39" s="50"/>
      <c r="AM39" s="50"/>
      <c r="AN39" s="50"/>
      <c r="AO39" s="50"/>
    </row>
    <row r="40" spans="1:41">
      <c r="A40" s="346">
        <f>ROW()</f>
        <v>40</v>
      </c>
      <c r="B40" s="819" t="s">
        <v>516</v>
      </c>
      <c r="C40" s="531">
        <f>'Gen Optg'!G105</f>
        <v>977063.09963399987</v>
      </c>
      <c r="D40" s="531">
        <f t="shared" si="16"/>
        <v>-5720.8253355000634</v>
      </c>
      <c r="E40" s="531">
        <f>SUM(F40:R40)</f>
        <v>982783.92496949993</v>
      </c>
      <c r="F40" s="532">
        <f>C40/12</f>
        <v>81421.924969499989</v>
      </c>
      <c r="G40" s="532">
        <v>81942</v>
      </c>
      <c r="H40" s="532">
        <v>81942</v>
      </c>
      <c r="I40" s="532">
        <v>81942</v>
      </c>
      <c r="J40" s="532">
        <v>81942</v>
      </c>
      <c r="K40" s="532">
        <v>81942</v>
      </c>
      <c r="L40" s="532">
        <v>81942</v>
      </c>
      <c r="M40" s="532">
        <v>81942</v>
      </c>
      <c r="N40" s="532">
        <v>81942</v>
      </c>
      <c r="O40" s="532">
        <v>81942</v>
      </c>
      <c r="P40" s="532">
        <v>81942</v>
      </c>
      <c r="Q40" s="532">
        <v>81942</v>
      </c>
      <c r="R40" s="1598">
        <v>0</v>
      </c>
      <c r="S40" s="307"/>
      <c r="T40" s="307"/>
      <c r="U40" s="1552" t="s">
        <v>517</v>
      </c>
      <c r="W40" s="50"/>
      <c r="X40" s="50"/>
      <c r="Y40" s="50"/>
      <c r="Z40" s="50"/>
      <c r="AA40" s="50"/>
      <c r="AB40" s="50"/>
      <c r="AC40" s="50"/>
      <c r="AD40" s="50"/>
      <c r="AE40" s="50"/>
      <c r="AF40" s="50"/>
      <c r="AG40" s="50"/>
      <c r="AH40" s="50"/>
      <c r="AI40" s="50"/>
      <c r="AJ40" s="50"/>
      <c r="AK40" s="50"/>
      <c r="AL40" s="50"/>
      <c r="AM40" s="50"/>
      <c r="AN40" s="50"/>
      <c r="AO40" s="50"/>
    </row>
    <row r="41" spans="1:41">
      <c r="A41" s="346">
        <f>ROW()</f>
        <v>41</v>
      </c>
      <c r="B41" s="819" t="s">
        <v>518</v>
      </c>
      <c r="C41" s="531">
        <f>+'Gen Optg'!G143</f>
        <v>5837862.2784449998</v>
      </c>
      <c r="D41" s="531">
        <f t="shared" si="16"/>
        <v>0</v>
      </c>
      <c r="E41" s="531">
        <f t="shared" si="17"/>
        <v>5837862.2784450008</v>
      </c>
      <c r="F41" s="532">
        <f>C41/12</f>
        <v>486488.52320374997</v>
      </c>
      <c r="G41" s="532">
        <v>486488.52320374997</v>
      </c>
      <c r="H41" s="532">
        <v>486488.52320374997</v>
      </c>
      <c r="I41" s="532">
        <v>486488.52320374997</v>
      </c>
      <c r="J41" s="532">
        <v>486488.52320374997</v>
      </c>
      <c r="K41" s="532">
        <v>486488.52320374997</v>
      </c>
      <c r="L41" s="532">
        <v>486488.52320374997</v>
      </c>
      <c r="M41" s="532">
        <v>486488.52320374997</v>
      </c>
      <c r="N41" s="532">
        <v>486488.52320374997</v>
      </c>
      <c r="O41" s="532">
        <v>486488.52320374997</v>
      </c>
      <c r="P41" s="532">
        <v>486488.52320374997</v>
      </c>
      <c r="Q41" s="532">
        <v>486488.52320374997</v>
      </c>
      <c r="R41" s="1598">
        <v>0</v>
      </c>
      <c r="S41" s="307"/>
      <c r="T41" s="307"/>
      <c r="U41" s="1552" t="s">
        <v>519</v>
      </c>
      <c r="W41" s="50"/>
      <c r="X41" s="50"/>
      <c r="Y41" s="50"/>
      <c r="Z41" s="50"/>
      <c r="AA41" s="50"/>
      <c r="AB41" s="50"/>
      <c r="AC41" s="50"/>
      <c r="AD41" s="50"/>
      <c r="AE41" s="50"/>
      <c r="AF41" s="50"/>
      <c r="AG41" s="50"/>
      <c r="AH41" s="50"/>
      <c r="AI41" s="50"/>
      <c r="AJ41" s="50"/>
      <c r="AK41" s="50"/>
      <c r="AL41" s="50"/>
      <c r="AM41" s="50"/>
      <c r="AN41" s="50"/>
      <c r="AO41" s="50"/>
    </row>
    <row r="42" spans="1:41">
      <c r="A42" s="346">
        <f>ROW()</f>
        <v>42</v>
      </c>
      <c r="B42" s="819" t="s">
        <v>520</v>
      </c>
      <c r="C42" s="531">
        <f>'Gen Optg'!G180+'Gen Optg'!G151</f>
        <v>0</v>
      </c>
      <c r="D42" s="531">
        <f t="shared" si="16"/>
        <v>0</v>
      </c>
      <c r="E42" s="531">
        <f t="shared" si="17"/>
        <v>0</v>
      </c>
      <c r="F42" s="532"/>
      <c r="G42" s="532"/>
      <c r="H42" s="532"/>
      <c r="I42" s="532"/>
      <c r="J42" s="532"/>
      <c r="K42" s="532"/>
      <c r="L42" s="532"/>
      <c r="M42" s="532"/>
      <c r="N42" s="532"/>
      <c r="O42" s="532"/>
      <c r="P42" s="532"/>
      <c r="Q42" s="532"/>
      <c r="R42" s="1598">
        <v>0</v>
      </c>
      <c r="S42" s="307"/>
      <c r="T42" s="307"/>
      <c r="U42" s="343" t="s">
        <v>498</v>
      </c>
      <c r="W42" s="50"/>
      <c r="X42" s="50"/>
      <c r="Y42" s="50"/>
      <c r="Z42" s="50"/>
      <c r="AA42" s="50"/>
      <c r="AB42" s="50"/>
      <c r="AC42" s="50"/>
      <c r="AD42" s="50"/>
      <c r="AE42" s="50"/>
      <c r="AF42" s="50"/>
      <c r="AG42" s="50"/>
      <c r="AH42" s="50"/>
      <c r="AI42" s="50"/>
      <c r="AJ42" s="50"/>
      <c r="AK42" s="50"/>
      <c r="AL42" s="50"/>
      <c r="AM42" s="50"/>
      <c r="AN42" s="50"/>
      <c r="AO42" s="50"/>
    </row>
    <row r="43" spans="1:41">
      <c r="A43" s="346">
        <f>ROW()</f>
        <v>43</v>
      </c>
      <c r="B43" s="820" t="s">
        <v>521</v>
      </c>
      <c r="C43" s="531">
        <f>'Gen Optg'!G193</f>
        <v>0</v>
      </c>
      <c r="D43" s="531">
        <f t="shared" si="16"/>
        <v>0</v>
      </c>
      <c r="E43" s="531">
        <f t="shared" si="17"/>
        <v>0</v>
      </c>
      <c r="F43" s="532">
        <v>0</v>
      </c>
      <c r="G43" s="532"/>
      <c r="H43" s="532"/>
      <c r="I43" s="532"/>
      <c r="J43" s="532"/>
      <c r="K43" s="532"/>
      <c r="L43" s="532"/>
      <c r="M43" s="532"/>
      <c r="N43" s="532"/>
      <c r="O43" s="532"/>
      <c r="P43" s="532"/>
      <c r="Q43" s="532">
        <v>0</v>
      </c>
      <c r="R43" s="1598">
        <v>0</v>
      </c>
      <c r="S43" s="307"/>
      <c r="T43" s="307"/>
      <c r="U43" s="343" t="s">
        <v>499</v>
      </c>
      <c r="W43" s="50"/>
      <c r="X43" s="50"/>
      <c r="Y43" s="50"/>
      <c r="Z43" s="50"/>
      <c r="AA43" s="50"/>
      <c r="AB43" s="50"/>
      <c r="AC43" s="50"/>
      <c r="AD43" s="50"/>
      <c r="AE43" s="50"/>
      <c r="AF43" s="50"/>
      <c r="AG43" s="50"/>
      <c r="AH43" s="50"/>
      <c r="AI43" s="50"/>
      <c r="AJ43" s="50"/>
      <c r="AK43" s="50"/>
      <c r="AL43" s="50"/>
      <c r="AM43" s="50"/>
      <c r="AN43" s="50"/>
      <c r="AO43" s="50"/>
    </row>
    <row r="44" spans="1:41">
      <c r="A44" s="346">
        <f>ROW()</f>
        <v>44</v>
      </c>
      <c r="B44" s="820" t="s">
        <v>522</v>
      </c>
      <c r="C44" s="531">
        <f>+'Gen Optg'!G195</f>
        <v>204447.76134237018</v>
      </c>
      <c r="D44" s="531">
        <f t="shared" si="16"/>
        <v>205.13818693504436</v>
      </c>
      <c r="E44" s="531">
        <f t="shared" si="17"/>
        <v>204242.62315543514</v>
      </c>
      <c r="F44" s="532">
        <f>C44/12</f>
        <v>17037.313445197517</v>
      </c>
      <c r="G44" s="532">
        <v>17018.664519112514</v>
      </c>
      <c r="H44" s="532">
        <v>17018.664519112514</v>
      </c>
      <c r="I44" s="532">
        <v>17018.664519112514</v>
      </c>
      <c r="J44" s="532">
        <v>17018.664519112514</v>
      </c>
      <c r="K44" s="532">
        <v>17018.664519112514</v>
      </c>
      <c r="L44" s="532">
        <v>17018.664519112514</v>
      </c>
      <c r="M44" s="532">
        <v>17018.664519112514</v>
      </c>
      <c r="N44" s="532">
        <v>17018.664519112514</v>
      </c>
      <c r="O44" s="532">
        <v>17018.664519112514</v>
      </c>
      <c r="P44" s="532">
        <v>17018.664519112514</v>
      </c>
      <c r="Q44" s="532">
        <v>17018.664519112514</v>
      </c>
      <c r="R44" s="1598">
        <v>0</v>
      </c>
      <c r="S44" s="307"/>
      <c r="T44" s="307"/>
      <c r="U44" s="343" t="s">
        <v>1582</v>
      </c>
      <c r="W44" s="50"/>
      <c r="X44" s="50"/>
      <c r="Y44" s="50"/>
      <c r="Z44" s="50"/>
      <c r="AA44" s="50"/>
      <c r="AB44" s="50"/>
      <c r="AC44" s="50"/>
      <c r="AD44" s="50"/>
      <c r="AE44" s="50"/>
      <c r="AF44" s="50"/>
      <c r="AG44" s="50"/>
      <c r="AH44" s="50"/>
      <c r="AI44" s="50"/>
      <c r="AJ44" s="50"/>
      <c r="AK44" s="50"/>
      <c r="AL44" s="50"/>
      <c r="AM44" s="50"/>
      <c r="AN44" s="50"/>
      <c r="AO44" s="50"/>
    </row>
    <row r="45" spans="1:41">
      <c r="A45" s="346">
        <f>ROW()</f>
        <v>45</v>
      </c>
      <c r="B45" s="821" t="s">
        <v>130</v>
      </c>
      <c r="C45" s="531">
        <f>Marketing!I44</f>
        <v>90717.32</v>
      </c>
      <c r="D45" s="531">
        <f t="shared" si="16"/>
        <v>0</v>
      </c>
      <c r="E45" s="531">
        <f t="shared" si="17"/>
        <v>90717.320000000022</v>
      </c>
      <c r="F45" s="532">
        <v>7559.7766666666676</v>
      </c>
      <c r="G45" s="532">
        <v>7559.7766666666676</v>
      </c>
      <c r="H45" s="532">
        <v>7559.7766666666676</v>
      </c>
      <c r="I45" s="532">
        <v>7559.7766666666676</v>
      </c>
      <c r="J45" s="532">
        <v>7559.7766666666676</v>
      </c>
      <c r="K45" s="532">
        <v>7559.7766666666676</v>
      </c>
      <c r="L45" s="532">
        <v>7559.7766666666676</v>
      </c>
      <c r="M45" s="532">
        <v>7559.7766666666676</v>
      </c>
      <c r="N45" s="532">
        <v>7559.7766666666676</v>
      </c>
      <c r="O45" s="532">
        <v>7559.7766666666676</v>
      </c>
      <c r="P45" s="532">
        <v>7559.7766666666676</v>
      </c>
      <c r="Q45" s="532">
        <v>7559.7766666666676</v>
      </c>
      <c r="R45" s="1598">
        <v>0</v>
      </c>
      <c r="S45" s="307"/>
      <c r="T45" s="307"/>
      <c r="U45" s="343"/>
      <c r="W45" s="50"/>
      <c r="X45" s="50"/>
      <c r="Y45" s="50"/>
      <c r="Z45" s="50"/>
      <c r="AA45" s="50"/>
      <c r="AB45" s="50"/>
      <c r="AC45" s="50"/>
      <c r="AD45" s="50"/>
      <c r="AE45" s="50"/>
      <c r="AF45" s="50"/>
      <c r="AG45" s="50"/>
      <c r="AH45" s="50"/>
      <c r="AI45" s="50"/>
      <c r="AJ45" s="50"/>
      <c r="AK45" s="50"/>
      <c r="AL45" s="50"/>
      <c r="AM45" s="50"/>
      <c r="AN45" s="50"/>
      <c r="AO45" s="50"/>
    </row>
    <row r="46" spans="1:41">
      <c r="A46" s="346">
        <f>ROW()</f>
        <v>46</v>
      </c>
      <c r="B46" s="819" t="s">
        <v>523</v>
      </c>
      <c r="C46" s="531">
        <f>Facilities!G74</f>
        <v>1237373.2320000001</v>
      </c>
      <c r="D46" s="531">
        <f t="shared" si="16"/>
        <v>0</v>
      </c>
      <c r="E46" s="531">
        <f t="shared" si="17"/>
        <v>1237373.2320000001</v>
      </c>
      <c r="F46" s="532">
        <f>C46/12</f>
        <v>103114.436</v>
      </c>
      <c r="G46" s="532">
        <v>103114.436</v>
      </c>
      <c r="H46" s="532">
        <v>103114.436</v>
      </c>
      <c r="I46" s="532">
        <v>103114.436</v>
      </c>
      <c r="J46" s="532">
        <v>103114.436</v>
      </c>
      <c r="K46" s="532">
        <v>103114.436</v>
      </c>
      <c r="L46" s="532">
        <v>103114.436</v>
      </c>
      <c r="M46" s="532">
        <v>103114.436</v>
      </c>
      <c r="N46" s="532">
        <v>103114.436</v>
      </c>
      <c r="O46" s="532">
        <v>103114.436</v>
      </c>
      <c r="P46" s="532">
        <v>103114.436</v>
      </c>
      <c r="Q46" s="532">
        <v>103114.436</v>
      </c>
      <c r="R46" s="1598">
        <v>0</v>
      </c>
      <c r="S46" s="307"/>
      <c r="T46" s="307"/>
      <c r="U46" s="343"/>
      <c r="W46" s="50"/>
      <c r="X46" s="50"/>
      <c r="Y46" s="50"/>
      <c r="Z46" s="50"/>
      <c r="AA46" s="50"/>
      <c r="AB46" s="50"/>
      <c r="AC46" s="50"/>
      <c r="AD46" s="50"/>
      <c r="AE46" s="50"/>
      <c r="AF46" s="50"/>
      <c r="AG46" s="50"/>
      <c r="AH46" s="50"/>
      <c r="AI46" s="50"/>
      <c r="AJ46" s="50"/>
      <c r="AK46" s="50"/>
      <c r="AL46" s="50"/>
      <c r="AM46" s="50"/>
      <c r="AN46" s="50"/>
      <c r="AO46" s="50"/>
    </row>
    <row r="47" spans="1:41">
      <c r="A47" s="346">
        <f>ROW()</f>
        <v>47</v>
      </c>
      <c r="B47" s="820" t="s">
        <v>524</v>
      </c>
      <c r="C47" s="531">
        <f>Facilities!G100</f>
        <v>0</v>
      </c>
      <c r="D47" s="531"/>
      <c r="E47" s="531">
        <f>SUM(F47:R47)</f>
        <v>0</v>
      </c>
      <c r="F47" s="532">
        <v>0</v>
      </c>
      <c r="G47" s="532">
        <v>0</v>
      </c>
      <c r="H47" s="532">
        <v>0</v>
      </c>
      <c r="I47" s="532">
        <v>0</v>
      </c>
      <c r="J47" s="532">
        <v>0</v>
      </c>
      <c r="K47" s="532">
        <v>0</v>
      </c>
      <c r="L47" s="532">
        <v>0</v>
      </c>
      <c r="M47" s="532">
        <v>0</v>
      </c>
      <c r="N47" s="532">
        <v>0</v>
      </c>
      <c r="O47" s="532">
        <v>0</v>
      </c>
      <c r="P47" s="532">
        <v>0</v>
      </c>
      <c r="Q47" s="532">
        <v>0</v>
      </c>
      <c r="R47" s="1598">
        <v>0</v>
      </c>
      <c r="S47" s="307"/>
      <c r="T47" s="307"/>
      <c r="U47" s="343"/>
      <c r="W47" s="50"/>
      <c r="X47" s="50"/>
      <c r="Y47" s="50"/>
      <c r="Z47" s="50"/>
      <c r="AA47" s="50"/>
      <c r="AB47" s="50"/>
      <c r="AC47" s="50"/>
      <c r="AD47" s="50"/>
      <c r="AE47" s="50"/>
      <c r="AF47" s="50"/>
      <c r="AG47" s="50"/>
      <c r="AH47" s="50"/>
      <c r="AI47" s="50"/>
      <c r="AJ47" s="50"/>
      <c r="AK47" s="50"/>
      <c r="AL47" s="50"/>
      <c r="AM47" s="50"/>
      <c r="AN47" s="50"/>
      <c r="AO47" s="50"/>
    </row>
    <row r="48" spans="1:41">
      <c r="A48" s="346">
        <f>ROW()</f>
        <v>48</v>
      </c>
      <c r="B48" s="820" t="s">
        <v>191</v>
      </c>
      <c r="C48" s="531">
        <f>+'FFE&amp;T'!G43</f>
        <v>948297.92890000006</v>
      </c>
      <c r="D48" s="531">
        <f t="shared" si="16"/>
        <v>-14114.898508333252</v>
      </c>
      <c r="E48" s="531">
        <f t="shared" si="17"/>
        <v>962412.82740833331</v>
      </c>
      <c r="F48" s="532">
        <f>C48/12</f>
        <v>79024.827408333338</v>
      </c>
      <c r="G48" s="532">
        <v>80308</v>
      </c>
      <c r="H48" s="532">
        <v>80308</v>
      </c>
      <c r="I48" s="532">
        <v>80308</v>
      </c>
      <c r="J48" s="532">
        <v>80308</v>
      </c>
      <c r="K48" s="532">
        <v>80308</v>
      </c>
      <c r="L48" s="532">
        <v>80308</v>
      </c>
      <c r="M48" s="532">
        <v>80308</v>
      </c>
      <c r="N48" s="532">
        <v>80308</v>
      </c>
      <c r="O48" s="532">
        <v>80308</v>
      </c>
      <c r="P48" s="532">
        <v>80308</v>
      </c>
      <c r="Q48" s="532">
        <v>80308</v>
      </c>
      <c r="R48" s="1598">
        <v>0</v>
      </c>
      <c r="S48" s="307"/>
      <c r="T48" s="307"/>
      <c r="U48" s="343"/>
      <c r="W48" s="50"/>
      <c r="X48" s="50"/>
      <c r="Y48" s="50"/>
      <c r="Z48" s="50"/>
      <c r="AA48" s="50"/>
      <c r="AB48" s="50"/>
      <c r="AC48" s="50"/>
      <c r="AD48" s="50"/>
      <c r="AE48" s="50"/>
      <c r="AF48" s="50"/>
      <c r="AG48" s="50"/>
      <c r="AH48" s="50"/>
      <c r="AI48" s="50"/>
      <c r="AJ48" s="50"/>
      <c r="AK48" s="50"/>
      <c r="AL48" s="50"/>
      <c r="AM48" s="50"/>
      <c r="AN48" s="50"/>
      <c r="AO48" s="50"/>
    </row>
    <row r="49" spans="1:41">
      <c r="A49" s="346">
        <f>ROW()</f>
        <v>49</v>
      </c>
      <c r="B49" s="820" t="s">
        <v>525</v>
      </c>
      <c r="C49" s="531">
        <f>'EMO-CMO-BOSP'!F39</f>
        <v>0</v>
      </c>
      <c r="D49" s="531">
        <f t="shared" si="16"/>
        <v>0</v>
      </c>
      <c r="E49" s="531">
        <f t="shared" si="17"/>
        <v>0</v>
      </c>
      <c r="F49" s="532">
        <v>0</v>
      </c>
      <c r="G49" s="532"/>
      <c r="H49" s="532"/>
      <c r="I49" s="532"/>
      <c r="J49" s="532"/>
      <c r="K49" s="532"/>
      <c r="L49" s="532"/>
      <c r="M49" s="532"/>
      <c r="N49" s="532"/>
      <c r="O49" s="532"/>
      <c r="P49" s="532"/>
      <c r="Q49" s="532">
        <v>0</v>
      </c>
      <c r="R49" s="1598">
        <v>0</v>
      </c>
      <c r="S49" s="307"/>
      <c r="T49" s="307"/>
      <c r="U49" s="343"/>
      <c r="W49" s="50"/>
      <c r="X49" s="50"/>
      <c r="Y49" s="50"/>
      <c r="Z49" s="50"/>
      <c r="AA49" s="50"/>
      <c r="AB49" s="50"/>
      <c r="AC49" s="50"/>
      <c r="AD49" s="50"/>
      <c r="AE49" s="50"/>
      <c r="AF49" s="50"/>
      <c r="AG49" s="50"/>
      <c r="AH49" s="50"/>
      <c r="AI49" s="50"/>
      <c r="AJ49" s="50"/>
      <c r="AK49" s="50"/>
      <c r="AL49" s="50"/>
      <c r="AM49" s="50"/>
      <c r="AN49" s="50"/>
      <c r="AO49" s="50"/>
    </row>
    <row r="50" spans="1:41">
      <c r="A50" s="346">
        <f>ROW()</f>
        <v>50</v>
      </c>
      <c r="B50" s="818" t="s">
        <v>128</v>
      </c>
      <c r="C50" s="534">
        <f>+Ins!G51</f>
        <v>100413.258</v>
      </c>
      <c r="D50" s="534">
        <f t="shared" si="16"/>
        <v>-2.5135000000009313</v>
      </c>
      <c r="E50" s="534">
        <f>SUM(F50:R50)</f>
        <v>100415.7715</v>
      </c>
      <c r="F50" s="535">
        <f>C50/12</f>
        <v>8367.7715000000007</v>
      </c>
      <c r="G50" s="535">
        <v>8368</v>
      </c>
      <c r="H50" s="535">
        <v>8368</v>
      </c>
      <c r="I50" s="535">
        <v>8368</v>
      </c>
      <c r="J50" s="535">
        <v>8368</v>
      </c>
      <c r="K50" s="535">
        <v>8368</v>
      </c>
      <c r="L50" s="535">
        <v>8368</v>
      </c>
      <c r="M50" s="535">
        <v>8368</v>
      </c>
      <c r="N50" s="535">
        <v>8368</v>
      </c>
      <c r="O50" s="535">
        <v>8368</v>
      </c>
      <c r="P50" s="535">
        <v>8368</v>
      </c>
      <c r="Q50" s="535">
        <v>8368</v>
      </c>
      <c r="R50" s="1600">
        <v>0</v>
      </c>
      <c r="S50" s="307"/>
      <c r="T50" s="307"/>
      <c r="U50" s="343"/>
      <c r="W50" s="50"/>
      <c r="X50" s="50"/>
      <c r="Y50" s="50"/>
      <c r="Z50" s="50"/>
      <c r="AA50" s="50"/>
      <c r="AB50" s="50"/>
      <c r="AC50" s="50"/>
      <c r="AD50" s="50"/>
      <c r="AE50" s="50"/>
      <c r="AF50" s="50"/>
      <c r="AG50" s="50"/>
      <c r="AH50" s="50"/>
      <c r="AI50" s="50"/>
      <c r="AJ50" s="50"/>
      <c r="AK50" s="50"/>
      <c r="AL50" s="50"/>
      <c r="AM50" s="50"/>
      <c r="AN50" s="50"/>
      <c r="AO50" s="50"/>
    </row>
    <row r="51" spans="1:41">
      <c r="A51" s="346">
        <f>ROW()</f>
        <v>51</v>
      </c>
      <c r="B51" s="867" t="s">
        <v>526</v>
      </c>
      <c r="C51" s="868">
        <f t="shared" ref="C51:R51" si="18">SUM(C39:C50)</f>
        <v>17106769.341254231</v>
      </c>
      <c r="D51" s="869">
        <f t="shared" si="18"/>
        <v>-19638.174801780668</v>
      </c>
      <c r="E51" s="869">
        <f t="shared" si="18"/>
        <v>17126407.516056009</v>
      </c>
      <c r="F51" s="869">
        <f t="shared" si="18"/>
        <v>1425564.1117711852</v>
      </c>
      <c r="G51" s="869">
        <f t="shared" si="18"/>
        <v>1427349.4003895291</v>
      </c>
      <c r="H51" s="869">
        <f t="shared" si="18"/>
        <v>1427349.4003895291</v>
      </c>
      <c r="I51" s="869">
        <f t="shared" si="18"/>
        <v>1427349.4003895291</v>
      </c>
      <c r="J51" s="869">
        <f t="shared" si="18"/>
        <v>1427349.4003895291</v>
      </c>
      <c r="K51" s="869">
        <f t="shared" si="18"/>
        <v>1427349.4003895291</v>
      </c>
      <c r="L51" s="869">
        <f t="shared" si="18"/>
        <v>1427349.4003895291</v>
      </c>
      <c r="M51" s="869">
        <f t="shared" si="18"/>
        <v>1427349.4003895291</v>
      </c>
      <c r="N51" s="869">
        <f t="shared" si="18"/>
        <v>1427349.4003895291</v>
      </c>
      <c r="O51" s="869">
        <f t="shared" si="18"/>
        <v>1427349.4003895291</v>
      </c>
      <c r="P51" s="869">
        <f t="shared" si="18"/>
        <v>1427349.4003895291</v>
      </c>
      <c r="Q51" s="869">
        <f t="shared" ref="Q51" si="19">SUM(Q39:Q50)</f>
        <v>1427349.4003895291</v>
      </c>
      <c r="R51" s="869">
        <f t="shared" si="18"/>
        <v>0</v>
      </c>
      <c r="U51" s="343"/>
      <c r="W51" s="50"/>
      <c r="X51" s="50"/>
      <c r="Y51" s="50"/>
      <c r="Z51" s="50"/>
      <c r="AA51" s="50"/>
      <c r="AB51" s="50"/>
      <c r="AC51" s="50"/>
      <c r="AD51" s="50"/>
      <c r="AE51" s="50"/>
      <c r="AF51" s="50"/>
      <c r="AG51" s="50"/>
      <c r="AH51" s="50"/>
      <c r="AI51" s="50"/>
      <c r="AJ51" s="50"/>
      <c r="AK51" s="50"/>
      <c r="AL51" s="50"/>
      <c r="AM51" s="50"/>
      <c r="AN51" s="50"/>
      <c r="AO51" s="50"/>
    </row>
    <row r="52" spans="1:41">
      <c r="A52" s="346">
        <f>ROW()</f>
        <v>52</v>
      </c>
      <c r="B52" s="870" t="s">
        <v>527</v>
      </c>
      <c r="C52" s="992">
        <f>+Summary!G52-C51</f>
        <v>0</v>
      </c>
      <c r="D52" s="1229"/>
      <c r="E52" s="1237">
        <f>SUM(F52:R52)</f>
        <v>2617406.9514439944</v>
      </c>
      <c r="F52" s="1237">
        <f t="shared" ref="F52:R52" si="20">F34-F51</f>
        <v>-15241.23427118524</v>
      </c>
      <c r="G52" s="1237">
        <f t="shared" si="20"/>
        <v>546509.33711047075</v>
      </c>
      <c r="H52" s="1237">
        <f t="shared" si="20"/>
        <v>-34341.922889529029</v>
      </c>
      <c r="I52" s="1237">
        <f t="shared" si="20"/>
        <v>-28610.262889529113</v>
      </c>
      <c r="J52" s="1237">
        <f t="shared" si="20"/>
        <v>-50947.262889529113</v>
      </c>
      <c r="K52" s="1237">
        <f t="shared" si="20"/>
        <v>409685.73711047089</v>
      </c>
      <c r="L52" s="1237">
        <f t="shared" si="20"/>
        <v>-36714.262889529113</v>
      </c>
      <c r="M52" s="1237">
        <f t="shared" si="20"/>
        <v>186825.73711047089</v>
      </c>
      <c r="N52" s="1237">
        <f t="shared" si="20"/>
        <v>-27795.262889529113</v>
      </c>
      <c r="O52" s="1237">
        <f t="shared" si="20"/>
        <v>-46714.262889529113</v>
      </c>
      <c r="P52" s="1237">
        <f t="shared" si="20"/>
        <v>254085.73711047089</v>
      </c>
      <c r="Q52" s="1237">
        <f t="shared" ref="Q52" si="21">Q34-Q51</f>
        <v>88682.737110470887</v>
      </c>
      <c r="R52" s="1237">
        <f t="shared" si="20"/>
        <v>1371982.1375</v>
      </c>
      <c r="U52" s="343"/>
      <c r="W52" s="50"/>
      <c r="X52" s="50"/>
      <c r="Y52" s="50"/>
      <c r="Z52" s="50"/>
      <c r="AA52" s="50"/>
      <c r="AB52" s="50"/>
      <c r="AC52" s="50"/>
      <c r="AD52" s="50"/>
      <c r="AE52" s="50"/>
      <c r="AF52" s="50"/>
      <c r="AG52" s="50"/>
      <c r="AH52" s="50"/>
      <c r="AI52" s="50"/>
      <c r="AJ52" s="50"/>
      <c r="AK52" s="50"/>
      <c r="AL52" s="50"/>
      <c r="AM52" s="50"/>
      <c r="AN52" s="50"/>
      <c r="AO52" s="50"/>
    </row>
    <row r="53" spans="1:41">
      <c r="A53" s="346">
        <f>ROW()</f>
        <v>53</v>
      </c>
      <c r="B53" s="1231" t="s">
        <v>528</v>
      </c>
      <c r="C53" s="133">
        <f>+C34-C51</f>
        <v>-1500523.4962542299</v>
      </c>
      <c r="D53" s="138">
        <f>+D34-D51</f>
        <v>-4117930.4476982197</v>
      </c>
      <c r="E53" s="1232">
        <f>+E34-(E51+D51)</f>
        <v>2637045.1262457743</v>
      </c>
      <c r="F53" s="1232">
        <f t="shared" ref="F53:R53" si="22">+F34-F51</f>
        <v>-15241.23427118524</v>
      </c>
      <c r="G53" s="1232">
        <f t="shared" si="22"/>
        <v>546509.33711047075</v>
      </c>
      <c r="H53" s="1232">
        <f t="shared" si="22"/>
        <v>-34341.922889529029</v>
      </c>
      <c r="I53" s="1232">
        <f t="shared" si="22"/>
        <v>-28610.262889529113</v>
      </c>
      <c r="J53" s="1232">
        <f t="shared" si="22"/>
        <v>-50947.262889529113</v>
      </c>
      <c r="K53" s="1232">
        <f t="shared" si="22"/>
        <v>409685.73711047089</v>
      </c>
      <c r="L53" s="1232">
        <f t="shared" si="22"/>
        <v>-36714.262889529113</v>
      </c>
      <c r="M53" s="1232">
        <f t="shared" si="22"/>
        <v>186825.73711047089</v>
      </c>
      <c r="N53" s="1232">
        <f t="shared" si="22"/>
        <v>-27795.262889529113</v>
      </c>
      <c r="O53" s="1232">
        <f t="shared" si="22"/>
        <v>-46714.262889529113</v>
      </c>
      <c r="P53" s="1232">
        <f t="shared" si="22"/>
        <v>254085.73711047089</v>
      </c>
      <c r="Q53" s="1232">
        <f t="shared" ref="Q53" si="23">+Q34-Q51</f>
        <v>88682.737110470887</v>
      </c>
      <c r="R53" s="1232">
        <f t="shared" si="22"/>
        <v>1371982.1375</v>
      </c>
      <c r="U53" s="343"/>
      <c r="W53" s="50"/>
      <c r="X53" s="50"/>
      <c r="Y53" s="50"/>
      <c r="Z53" s="50"/>
      <c r="AA53" s="50"/>
      <c r="AB53" s="50"/>
      <c r="AC53" s="50"/>
      <c r="AD53" s="50"/>
      <c r="AE53" s="50"/>
      <c r="AF53" s="50"/>
      <c r="AG53" s="50"/>
      <c r="AH53" s="50"/>
      <c r="AI53" s="50"/>
      <c r="AJ53" s="50"/>
      <c r="AK53" s="50"/>
      <c r="AL53" s="50"/>
      <c r="AM53" s="50"/>
      <c r="AN53" s="50"/>
      <c r="AO53" s="50"/>
    </row>
    <row r="54" spans="1:41" ht="16.2">
      <c r="A54" s="346">
        <f>ROW()</f>
        <v>54</v>
      </c>
      <c r="B54" s="1550" t="s">
        <v>529</v>
      </c>
      <c r="C54" s="1234"/>
      <c r="D54" s="1235"/>
      <c r="E54" s="1236"/>
      <c r="F54" s="1236">
        <f>+F53</f>
        <v>-15241.23427118524</v>
      </c>
      <c r="G54" s="1236">
        <f>+F54+G53</f>
        <v>531268.10283928551</v>
      </c>
      <c r="H54" s="1236">
        <f t="shared" ref="H54:R54" si="24">+G54+H53</f>
        <v>496926.17994975648</v>
      </c>
      <c r="I54" s="1236">
        <f t="shared" si="24"/>
        <v>468315.91706022737</v>
      </c>
      <c r="J54" s="1236">
        <f t="shared" si="24"/>
        <v>417368.65417069825</v>
      </c>
      <c r="K54" s="1236">
        <f t="shared" si="24"/>
        <v>827054.39128116914</v>
      </c>
      <c r="L54" s="1236">
        <f t="shared" si="24"/>
        <v>790340.12839164003</v>
      </c>
      <c r="M54" s="1236">
        <f t="shared" si="24"/>
        <v>977165.86550211092</v>
      </c>
      <c r="N54" s="1236">
        <f t="shared" si="24"/>
        <v>949370.6026125818</v>
      </c>
      <c r="O54" s="1236">
        <f t="shared" si="24"/>
        <v>902656.33972305269</v>
      </c>
      <c r="P54" s="1236">
        <f t="shared" si="24"/>
        <v>1156742.0768335236</v>
      </c>
      <c r="Q54" s="1236">
        <f t="shared" si="24"/>
        <v>1245424.8139439945</v>
      </c>
      <c r="R54" s="1236">
        <f t="shared" si="24"/>
        <v>2617406.9514439944</v>
      </c>
      <c r="U54" s="343"/>
      <c r="W54" s="50"/>
      <c r="X54" s="50"/>
      <c r="Y54" s="50"/>
      <c r="Z54" s="50"/>
      <c r="AA54" s="50"/>
      <c r="AB54" s="50"/>
      <c r="AC54" s="50"/>
      <c r="AD54" s="50"/>
      <c r="AE54" s="50"/>
      <c r="AF54" s="50"/>
      <c r="AG54" s="50"/>
      <c r="AH54" s="50"/>
      <c r="AI54" s="50"/>
      <c r="AJ54" s="50"/>
      <c r="AK54" s="50"/>
      <c r="AL54" s="50"/>
      <c r="AM54" s="50"/>
      <c r="AN54" s="50"/>
      <c r="AO54" s="50"/>
    </row>
    <row r="55" spans="1:41" ht="16.2">
      <c r="A55" s="346">
        <f>ROW()</f>
        <v>55</v>
      </c>
      <c r="B55" s="1270"/>
      <c r="C55" s="1271"/>
      <c r="D55" s="1272"/>
      <c r="E55" s="1273"/>
      <c r="F55" s="1273"/>
      <c r="G55" s="1273"/>
      <c r="H55" s="1273"/>
      <c r="I55" s="1273"/>
      <c r="J55" s="1273"/>
      <c r="K55" s="1273"/>
      <c r="L55" s="1273"/>
      <c r="M55" s="1273"/>
      <c r="N55" s="1273"/>
      <c r="O55" s="1273"/>
      <c r="P55" s="1273"/>
      <c r="Q55" s="1273"/>
      <c r="R55" s="1273"/>
      <c r="U55" s="343"/>
      <c r="W55" s="50"/>
      <c r="X55" s="50"/>
      <c r="Y55" s="50"/>
      <c r="Z55" s="50"/>
      <c r="AA55" s="50"/>
      <c r="AB55" s="50"/>
      <c r="AC55" s="50"/>
      <c r="AD55" s="50"/>
      <c r="AE55" s="50"/>
      <c r="AF55" s="50"/>
      <c r="AG55" s="50"/>
      <c r="AH55" s="50"/>
      <c r="AI55" s="50"/>
      <c r="AJ55" s="50"/>
      <c r="AK55" s="50"/>
      <c r="AL55" s="50"/>
      <c r="AM55" s="50"/>
      <c r="AN55" s="50"/>
      <c r="AO55" s="50"/>
    </row>
    <row r="56" spans="1:41">
      <c r="A56" s="346">
        <f>ROW()</f>
        <v>56</v>
      </c>
      <c r="B56" s="13" t="s">
        <v>530</v>
      </c>
      <c r="C56" s="13"/>
      <c r="D56" s="1230"/>
      <c r="E56" s="1230"/>
      <c r="F56" s="538">
        <f>F51</f>
        <v>1425564.1117711852</v>
      </c>
      <c r="G56" s="538">
        <f t="shared" ref="G56:R56" si="25">F56+G51</f>
        <v>2852913.5121607143</v>
      </c>
      <c r="H56" s="538">
        <f t="shared" si="25"/>
        <v>4280262.9125502435</v>
      </c>
      <c r="I56" s="538">
        <f t="shared" si="25"/>
        <v>5707612.3129397724</v>
      </c>
      <c r="J56" s="538">
        <f t="shared" si="25"/>
        <v>7134961.7133293012</v>
      </c>
      <c r="K56" s="538">
        <f t="shared" si="25"/>
        <v>8562311.11371883</v>
      </c>
      <c r="L56" s="538">
        <f t="shared" si="25"/>
        <v>9989660.5141083598</v>
      </c>
      <c r="M56" s="538">
        <f t="shared" si="25"/>
        <v>11417009.91449789</v>
      </c>
      <c r="N56" s="538">
        <f t="shared" si="25"/>
        <v>12844359.314887419</v>
      </c>
      <c r="O56" s="538">
        <f t="shared" si="25"/>
        <v>14271708.715276949</v>
      </c>
      <c r="P56" s="538">
        <f t="shared" si="25"/>
        <v>15699058.115666479</v>
      </c>
      <c r="Q56" s="538">
        <f t="shared" si="25"/>
        <v>17126407.516056009</v>
      </c>
      <c r="R56" s="538">
        <f t="shared" si="25"/>
        <v>17126407.516056009</v>
      </c>
      <c r="U56" s="343"/>
      <c r="W56" s="50"/>
      <c r="X56" s="50"/>
      <c r="Y56" s="50"/>
      <c r="Z56" s="50"/>
      <c r="AA56" s="50"/>
      <c r="AB56" s="50"/>
      <c r="AC56" s="50"/>
      <c r="AD56" s="50"/>
      <c r="AE56" s="50"/>
      <c r="AF56" s="50"/>
      <c r="AG56" s="50"/>
      <c r="AH56" s="50"/>
      <c r="AI56" s="50"/>
      <c r="AJ56" s="50"/>
      <c r="AK56" s="50"/>
      <c r="AL56" s="50"/>
      <c r="AM56" s="50"/>
      <c r="AN56" s="50"/>
      <c r="AO56" s="50"/>
    </row>
    <row r="57" spans="1:41">
      <c r="A57" s="346">
        <f>ROW()</f>
        <v>57</v>
      </c>
      <c r="B57" s="14" t="s">
        <v>531</v>
      </c>
      <c r="C57" s="14"/>
      <c r="D57" s="14"/>
      <c r="E57" s="550"/>
      <c r="F57" s="540">
        <f t="shared" ref="F57:R57" si="26">IFERROR(F56/$E51,0)</f>
        <v>8.3237778292658202E-2</v>
      </c>
      <c r="G57" s="540">
        <f t="shared" si="26"/>
        <v>0.16657979844787107</v>
      </c>
      <c r="H57" s="540">
        <f t="shared" si="26"/>
        <v>0.24992181860308396</v>
      </c>
      <c r="I57" s="540">
        <f t="shared" si="26"/>
        <v>0.33326383875829679</v>
      </c>
      <c r="J57" s="540">
        <f t="shared" si="26"/>
        <v>0.41660585891350965</v>
      </c>
      <c r="K57" s="540">
        <f t="shared" si="26"/>
        <v>0.49994787906872251</v>
      </c>
      <c r="L57" s="540">
        <f t="shared" si="26"/>
        <v>0.58328989922393548</v>
      </c>
      <c r="M57" s="540">
        <f t="shared" si="26"/>
        <v>0.66663191937914834</v>
      </c>
      <c r="N57" s="540">
        <f t="shared" si="26"/>
        <v>0.74997393953436131</v>
      </c>
      <c r="O57" s="540">
        <f t="shared" si="26"/>
        <v>0.83331595968957417</v>
      </c>
      <c r="P57" s="540">
        <f t="shared" si="26"/>
        <v>0.91665797984478714</v>
      </c>
      <c r="Q57" s="540">
        <f t="shared" si="26"/>
        <v>1</v>
      </c>
      <c r="R57" s="540">
        <f t="shared" si="26"/>
        <v>1</v>
      </c>
      <c r="U57" s="343"/>
      <c r="W57" s="50"/>
      <c r="X57" s="50"/>
      <c r="Y57" s="50"/>
      <c r="Z57" s="50"/>
      <c r="AA57" s="50"/>
      <c r="AB57" s="50"/>
      <c r="AC57" s="50"/>
      <c r="AD57" s="50"/>
      <c r="AE57" s="50"/>
      <c r="AF57" s="50"/>
      <c r="AG57" s="50"/>
      <c r="AH57" s="50"/>
      <c r="AI57" s="50"/>
      <c r="AJ57" s="50"/>
      <c r="AK57" s="50"/>
      <c r="AL57" s="50"/>
      <c r="AM57" s="50"/>
      <c r="AN57" s="50"/>
      <c r="AO57" s="50"/>
    </row>
    <row r="58" spans="1:41">
      <c r="A58" s="346">
        <f>ROW()</f>
        <v>58</v>
      </c>
      <c r="B58" s="13" t="s">
        <v>532</v>
      </c>
      <c r="C58" s="13"/>
      <c r="D58" s="13"/>
      <c r="E58" s="28"/>
      <c r="F58" s="1233">
        <f t="shared" ref="F58:R58" si="27">IFERROR((F36-F57)/F36,0)</f>
        <v>-0.16528723848709079</v>
      </c>
      <c r="G58" s="1233">
        <f t="shared" si="27"/>
        <v>2.8148897207364802E-2</v>
      </c>
      <c r="H58" s="1233">
        <f t="shared" si="27"/>
        <v>-3.2910760352005242E-2</v>
      </c>
      <c r="I58" s="1233">
        <f t="shared" si="27"/>
        <v>-6.5410600014477294E-2</v>
      </c>
      <c r="J58" s="1233">
        <f t="shared" si="27"/>
        <v>-8.9119302812572188E-2</v>
      </c>
      <c r="K58" s="1233">
        <f t="shared" si="27"/>
        <v>-5.1282769053624715E-2</v>
      </c>
      <c r="L58" s="1233">
        <f t="shared" si="27"/>
        <v>-6.8308614532084505E-2</v>
      </c>
      <c r="M58" s="1233">
        <f t="shared" si="27"/>
        <v>-6.1938862895111108E-2</v>
      </c>
      <c r="N58" s="1233">
        <f t="shared" si="27"/>
        <v>-7.3483851444744522E-2</v>
      </c>
      <c r="O58" s="1233">
        <f t="shared" si="27"/>
        <v>-8.4252002721946342E-2</v>
      </c>
      <c r="P58" s="1233">
        <f t="shared" si="27"/>
        <v>-7.3714975113533907E-2</v>
      </c>
      <c r="Q58" s="1233">
        <f t="shared" si="27"/>
        <v>-0.18294455427172765</v>
      </c>
      <c r="R58" s="1233">
        <f t="shared" si="27"/>
        <v>-8.3171507649883514E-2</v>
      </c>
      <c r="U58" s="343"/>
      <c r="W58" s="50"/>
      <c r="X58" s="50"/>
      <c r="Y58" s="50"/>
      <c r="Z58" s="50"/>
      <c r="AA58" s="50"/>
      <c r="AB58" s="50"/>
      <c r="AC58" s="50"/>
      <c r="AD58" s="50"/>
      <c r="AE58" s="50"/>
      <c r="AF58" s="50"/>
      <c r="AG58" s="50"/>
      <c r="AH58" s="50"/>
      <c r="AI58" s="50"/>
      <c r="AJ58" s="50"/>
      <c r="AK58" s="50"/>
      <c r="AL58" s="50"/>
      <c r="AM58" s="50"/>
      <c r="AN58" s="50"/>
      <c r="AO58" s="50"/>
    </row>
    <row r="59" spans="1:41">
      <c r="A59" s="346">
        <f>ROW()</f>
        <v>59</v>
      </c>
      <c r="B59" s="13" t="s">
        <v>533</v>
      </c>
      <c r="C59" s="13"/>
      <c r="D59" s="13"/>
      <c r="E59" s="28"/>
      <c r="F59" s="1239">
        <f>+F15</f>
        <v>31</v>
      </c>
      <c r="G59" s="1239">
        <f t="shared" ref="G59:R59" si="28">+F59+G15</f>
        <v>62</v>
      </c>
      <c r="H59" s="1239">
        <f t="shared" si="28"/>
        <v>92</v>
      </c>
      <c r="I59" s="1239">
        <f t="shared" si="28"/>
        <v>123</v>
      </c>
      <c r="J59" s="1239">
        <f t="shared" si="28"/>
        <v>153</v>
      </c>
      <c r="K59" s="1239">
        <f t="shared" si="28"/>
        <v>184</v>
      </c>
      <c r="L59" s="1239">
        <f t="shared" si="28"/>
        <v>215</v>
      </c>
      <c r="M59" s="1239">
        <f t="shared" si="28"/>
        <v>243</v>
      </c>
      <c r="N59" s="1239">
        <f t="shared" si="28"/>
        <v>274</v>
      </c>
      <c r="O59" s="1239">
        <f t="shared" si="28"/>
        <v>304</v>
      </c>
      <c r="P59" s="1239">
        <f t="shared" si="28"/>
        <v>335</v>
      </c>
      <c r="Q59" s="1239">
        <f t="shared" si="28"/>
        <v>365</v>
      </c>
      <c r="R59" s="1239">
        <f t="shared" si="28"/>
        <v>365</v>
      </c>
      <c r="U59" s="343"/>
      <c r="W59" s="50"/>
      <c r="X59" s="50"/>
      <c r="Y59" s="50"/>
      <c r="Z59" s="50"/>
      <c r="AA59" s="50"/>
      <c r="AB59" s="50"/>
      <c r="AC59" s="50"/>
      <c r="AD59" s="50"/>
      <c r="AE59" s="50"/>
      <c r="AF59" s="50"/>
      <c r="AG59" s="50"/>
      <c r="AH59" s="50"/>
      <c r="AI59" s="50"/>
      <c r="AJ59" s="50"/>
      <c r="AK59" s="50"/>
      <c r="AL59" s="50"/>
      <c r="AM59" s="50"/>
      <c r="AN59" s="50"/>
      <c r="AO59" s="50"/>
    </row>
    <row r="60" spans="1:41">
      <c r="A60" s="346">
        <f>ROW()</f>
        <v>60</v>
      </c>
      <c r="B60" s="13"/>
      <c r="C60" s="13"/>
      <c r="D60" s="13"/>
      <c r="E60" s="28"/>
      <c r="F60" s="29"/>
      <c r="G60" s="29"/>
      <c r="H60" s="29"/>
      <c r="I60" s="29"/>
      <c r="J60" s="29"/>
      <c r="K60" s="29"/>
      <c r="L60" s="29"/>
      <c r="M60" s="29"/>
      <c r="N60" s="29"/>
      <c r="O60" s="29"/>
      <c r="P60" s="29"/>
      <c r="Q60" s="29"/>
      <c r="R60" s="29"/>
      <c r="U60" s="343"/>
      <c r="W60" s="50"/>
      <c r="X60" s="50"/>
      <c r="Y60" s="50"/>
      <c r="Z60" s="50"/>
      <c r="AA60" s="50"/>
      <c r="AB60" s="50"/>
      <c r="AC60" s="50"/>
      <c r="AD60" s="50"/>
      <c r="AE60" s="50"/>
      <c r="AF60" s="50"/>
      <c r="AG60" s="50"/>
      <c r="AH60" s="50"/>
      <c r="AI60" s="50"/>
      <c r="AJ60" s="50"/>
      <c r="AK60" s="50"/>
      <c r="AL60" s="50"/>
      <c r="AM60" s="50"/>
      <c r="AN60" s="50"/>
      <c r="AO60" s="50"/>
    </row>
    <row r="61" spans="1:41">
      <c r="A61" s="346">
        <f>ROW()</f>
        <v>61</v>
      </c>
      <c r="B61" s="82" t="s">
        <v>534</v>
      </c>
      <c r="C61" s="82"/>
      <c r="D61" s="82"/>
      <c r="E61" s="766"/>
      <c r="F61" s="767"/>
      <c r="G61" s="767"/>
      <c r="H61" s="767"/>
      <c r="I61" s="767"/>
      <c r="J61" s="767"/>
      <c r="K61" s="767"/>
      <c r="L61" s="767"/>
      <c r="M61" s="767"/>
      <c r="N61" s="767"/>
      <c r="O61" s="767"/>
      <c r="P61" s="767"/>
      <c r="Q61" s="767"/>
      <c r="R61" s="767"/>
      <c r="U61" s="343"/>
      <c r="W61" s="50"/>
      <c r="X61" s="50"/>
      <c r="Y61" s="50"/>
      <c r="Z61" s="50"/>
      <c r="AA61" s="50"/>
      <c r="AB61" s="50"/>
      <c r="AC61" s="50"/>
      <c r="AD61" s="50"/>
      <c r="AE61" s="50"/>
      <c r="AF61" s="50"/>
      <c r="AG61" s="50"/>
      <c r="AH61" s="50"/>
      <c r="AI61" s="50"/>
      <c r="AJ61" s="50"/>
      <c r="AK61" s="50"/>
      <c r="AL61" s="50"/>
      <c r="AM61" s="50"/>
      <c r="AN61" s="50"/>
      <c r="AO61" s="50"/>
    </row>
    <row r="62" spans="1:41">
      <c r="A62" s="346">
        <f>ROW()</f>
        <v>62</v>
      </c>
      <c r="B62" s="31" t="s">
        <v>535</v>
      </c>
      <c r="F62" s="563"/>
      <c r="G62" s="1753">
        <f>+F67</f>
        <v>0</v>
      </c>
      <c r="H62" s="1753">
        <f t="shared" ref="H62:R62" si="29">+G67</f>
        <v>0</v>
      </c>
      <c r="I62" s="1753">
        <f t="shared" si="29"/>
        <v>0</v>
      </c>
      <c r="J62" s="1753">
        <f t="shared" si="29"/>
        <v>0</v>
      </c>
      <c r="K62" s="1753">
        <f t="shared" si="29"/>
        <v>0</v>
      </c>
      <c r="L62" s="1753">
        <f t="shared" si="29"/>
        <v>0</v>
      </c>
      <c r="M62" s="1753">
        <f t="shared" si="29"/>
        <v>0</v>
      </c>
      <c r="N62" s="1753">
        <f t="shared" si="29"/>
        <v>0</v>
      </c>
      <c r="O62" s="1753">
        <f t="shared" si="29"/>
        <v>0</v>
      </c>
      <c r="P62" s="1753">
        <f t="shared" si="29"/>
        <v>0</v>
      </c>
      <c r="Q62" s="1753">
        <f t="shared" si="29"/>
        <v>0</v>
      </c>
      <c r="R62" s="1753">
        <f t="shared" si="29"/>
        <v>0</v>
      </c>
      <c r="U62" s="343"/>
      <c r="W62" s="50"/>
      <c r="X62" s="50"/>
      <c r="Y62" s="50"/>
      <c r="Z62" s="50"/>
      <c r="AA62" s="50"/>
      <c r="AB62" s="50"/>
      <c r="AC62" s="50"/>
      <c r="AD62" s="50"/>
      <c r="AE62" s="50"/>
      <c r="AF62" s="50"/>
      <c r="AG62" s="50"/>
      <c r="AH62" s="50"/>
      <c r="AI62" s="50"/>
      <c r="AJ62" s="50"/>
      <c r="AK62" s="50"/>
      <c r="AL62" s="50"/>
      <c r="AM62" s="50"/>
      <c r="AN62" s="50"/>
      <c r="AO62" s="50"/>
    </row>
    <row r="63" spans="1:41">
      <c r="A63" s="346">
        <f>ROW()</f>
        <v>63</v>
      </c>
      <c r="B63" s="12" t="s">
        <v>536</v>
      </c>
      <c r="C63" s="13"/>
      <c r="D63" s="13"/>
      <c r="E63" s="549">
        <f>SUM(F63:R63)</f>
        <v>0</v>
      </c>
      <c r="F63" s="1238"/>
      <c r="G63" s="1238"/>
      <c r="H63" s="1238"/>
      <c r="I63" s="1238"/>
      <c r="J63" s="1238"/>
      <c r="K63" s="1238"/>
      <c r="L63" s="1238"/>
      <c r="M63" s="1238"/>
      <c r="N63" s="1238"/>
      <c r="O63" s="1238"/>
      <c r="P63" s="1238"/>
      <c r="Q63" s="1238"/>
      <c r="R63" s="1238"/>
      <c r="U63" s="343"/>
      <c r="W63" s="50"/>
      <c r="X63" s="50"/>
      <c r="Y63" s="50"/>
      <c r="Z63" s="50"/>
      <c r="AA63" s="50"/>
      <c r="AB63" s="50"/>
      <c r="AC63" s="50"/>
      <c r="AD63" s="50"/>
      <c r="AE63" s="50"/>
      <c r="AF63" s="50"/>
      <c r="AG63" s="50"/>
      <c r="AH63" s="50"/>
      <c r="AI63" s="50"/>
      <c r="AJ63" s="50"/>
      <c r="AK63" s="50"/>
      <c r="AL63" s="50"/>
      <c r="AM63" s="50"/>
      <c r="AN63" s="50"/>
      <c r="AO63" s="50"/>
    </row>
    <row r="64" spans="1:41">
      <c r="A64" s="346">
        <f>ROW()</f>
        <v>64</v>
      </c>
      <c r="B64" s="12" t="s">
        <v>537</v>
      </c>
      <c r="C64" s="13"/>
      <c r="D64" s="13"/>
      <c r="E64" s="549"/>
      <c r="F64" s="1754">
        <f>SUM(F62:F63)</f>
        <v>0</v>
      </c>
      <c r="G64" s="1754">
        <f>SUM(G62:G63)</f>
        <v>0</v>
      </c>
      <c r="H64" s="1754">
        <f t="shared" ref="H64:R64" si="30">SUM(H62:H63)</f>
        <v>0</v>
      </c>
      <c r="I64" s="1754">
        <f t="shared" si="30"/>
        <v>0</v>
      </c>
      <c r="J64" s="1754">
        <f t="shared" si="30"/>
        <v>0</v>
      </c>
      <c r="K64" s="1754">
        <f t="shared" si="30"/>
        <v>0</v>
      </c>
      <c r="L64" s="1754">
        <f t="shared" si="30"/>
        <v>0</v>
      </c>
      <c r="M64" s="1754">
        <f t="shared" si="30"/>
        <v>0</v>
      </c>
      <c r="N64" s="1754">
        <f t="shared" si="30"/>
        <v>0</v>
      </c>
      <c r="O64" s="1754">
        <f t="shared" si="30"/>
        <v>0</v>
      </c>
      <c r="P64" s="1754">
        <f t="shared" si="30"/>
        <v>0</v>
      </c>
      <c r="Q64" s="1754">
        <f t="shared" ref="Q64" si="31">SUM(Q62:Q63)</f>
        <v>0</v>
      </c>
      <c r="R64" s="1754">
        <f t="shared" si="30"/>
        <v>0</v>
      </c>
      <c r="U64" s="343"/>
      <c r="W64" s="50"/>
      <c r="X64" s="50"/>
      <c r="Y64" s="50"/>
      <c r="Z64" s="50"/>
      <c r="AA64" s="50"/>
      <c r="AB64" s="50"/>
      <c r="AC64" s="50"/>
      <c r="AD64" s="50"/>
      <c r="AE64" s="50"/>
      <c r="AF64" s="50"/>
      <c r="AG64" s="50"/>
      <c r="AH64" s="50"/>
      <c r="AI64" s="50"/>
      <c r="AJ64" s="50"/>
      <c r="AK64" s="50"/>
      <c r="AL64" s="50"/>
      <c r="AM64" s="50"/>
      <c r="AN64" s="50"/>
      <c r="AO64" s="50"/>
    </row>
    <row r="65" spans="1:41">
      <c r="A65" s="346">
        <f>ROW()</f>
        <v>65</v>
      </c>
      <c r="B65" s="12" t="s">
        <v>538</v>
      </c>
      <c r="C65" s="1386">
        <v>7.0000000000000007E-2</v>
      </c>
      <c r="D65" s="13"/>
      <c r="E65" s="1755">
        <f>SUM(F65:R65)</f>
        <v>0</v>
      </c>
      <c r="F65" s="534">
        <f>F62*($C$65/12)</f>
        <v>0</v>
      </c>
      <c r="G65" s="534">
        <f>G62*($C$65/12)</f>
        <v>0</v>
      </c>
      <c r="H65" s="534">
        <f t="shared" ref="H65:R65" si="32">H62*($C$65/12)</f>
        <v>0</v>
      </c>
      <c r="I65" s="534">
        <f t="shared" si="32"/>
        <v>0</v>
      </c>
      <c r="J65" s="534">
        <f t="shared" si="32"/>
        <v>0</v>
      </c>
      <c r="K65" s="534">
        <f t="shared" si="32"/>
        <v>0</v>
      </c>
      <c r="L65" s="534">
        <f t="shared" si="32"/>
        <v>0</v>
      </c>
      <c r="M65" s="534">
        <f t="shared" si="32"/>
        <v>0</v>
      </c>
      <c r="N65" s="534">
        <f t="shared" si="32"/>
        <v>0</v>
      </c>
      <c r="O65" s="534">
        <f t="shared" si="32"/>
        <v>0</v>
      </c>
      <c r="P65" s="534">
        <f t="shared" si="32"/>
        <v>0</v>
      </c>
      <c r="Q65" s="534">
        <f t="shared" si="32"/>
        <v>0</v>
      </c>
      <c r="R65" s="534">
        <f t="shared" si="32"/>
        <v>0</v>
      </c>
      <c r="U65" s="343"/>
      <c r="W65" s="50"/>
      <c r="X65" s="50"/>
      <c r="Y65" s="50"/>
      <c r="Z65" s="50"/>
      <c r="AA65" s="50"/>
      <c r="AB65" s="50"/>
      <c r="AC65" s="50"/>
      <c r="AD65" s="50"/>
      <c r="AE65" s="50"/>
      <c r="AF65" s="50"/>
      <c r="AG65" s="50"/>
      <c r="AH65" s="50"/>
      <c r="AI65" s="50"/>
      <c r="AJ65" s="50"/>
      <c r="AK65" s="50"/>
      <c r="AL65" s="50"/>
      <c r="AM65" s="50"/>
      <c r="AN65" s="50"/>
      <c r="AO65" s="50"/>
    </row>
    <row r="66" spans="1:41">
      <c r="A66" s="346">
        <f>ROW()</f>
        <v>66</v>
      </c>
      <c r="B66" s="12" t="s">
        <v>539</v>
      </c>
      <c r="C66" s="13"/>
      <c r="D66" s="13"/>
      <c r="E66" s="549">
        <f>SUM(F66:R66)</f>
        <v>0</v>
      </c>
      <c r="F66" s="1238">
        <f>IF(F52&gt;0,MIN(F52,(F64+F65)),0)</f>
        <v>0</v>
      </c>
      <c r="G66" s="1238">
        <f>IF(G52&gt;0,MIN(G52,(G64+G65)),0)</f>
        <v>0</v>
      </c>
      <c r="H66" s="1238">
        <f t="shared" ref="H66:R66" si="33">IF(H52&gt;0,MIN(H52,(H64+H65)),0)</f>
        <v>0</v>
      </c>
      <c r="I66" s="1238">
        <f t="shared" si="33"/>
        <v>0</v>
      </c>
      <c r="J66" s="1238">
        <f t="shared" si="33"/>
        <v>0</v>
      </c>
      <c r="K66" s="1238">
        <f t="shared" si="33"/>
        <v>0</v>
      </c>
      <c r="L66" s="1238">
        <f t="shared" si="33"/>
        <v>0</v>
      </c>
      <c r="M66" s="1238">
        <f t="shared" si="33"/>
        <v>0</v>
      </c>
      <c r="N66" s="1238">
        <f t="shared" si="33"/>
        <v>0</v>
      </c>
      <c r="O66" s="1238">
        <f>IF(O52&gt;0,MIN(O52,(O64+O65)),0)</f>
        <v>0</v>
      </c>
      <c r="P66" s="1238">
        <f t="shared" si="33"/>
        <v>0</v>
      </c>
      <c r="Q66" s="1238">
        <f t="shared" si="33"/>
        <v>0</v>
      </c>
      <c r="R66" s="1238">
        <f t="shared" si="33"/>
        <v>0</v>
      </c>
      <c r="U66" s="343"/>
      <c r="W66" s="50"/>
      <c r="X66" s="50"/>
      <c r="Y66" s="50"/>
      <c r="Z66" s="50"/>
      <c r="AA66" s="50"/>
      <c r="AB66" s="50"/>
      <c r="AC66" s="50"/>
      <c r="AD66" s="50"/>
      <c r="AE66" s="50"/>
      <c r="AF66" s="50"/>
      <c r="AG66" s="50"/>
      <c r="AH66" s="50"/>
      <c r="AI66" s="50"/>
      <c r="AJ66" s="50"/>
      <c r="AK66" s="50"/>
      <c r="AL66" s="50"/>
      <c r="AM66" s="50"/>
      <c r="AN66" s="50"/>
      <c r="AO66" s="50"/>
    </row>
    <row r="67" spans="1:41">
      <c r="A67" s="346">
        <f>ROW()</f>
        <v>67</v>
      </c>
      <c r="B67" s="13" t="s">
        <v>540</v>
      </c>
      <c r="C67" s="13"/>
      <c r="D67" s="13"/>
      <c r="E67" s="549"/>
      <c r="F67" s="1756">
        <f t="shared" ref="F67:R67" si="34">F64+F65-F66</f>
        <v>0</v>
      </c>
      <c r="G67" s="1756">
        <f t="shared" si="34"/>
        <v>0</v>
      </c>
      <c r="H67" s="1756">
        <f t="shared" si="34"/>
        <v>0</v>
      </c>
      <c r="I67" s="1756">
        <f t="shared" si="34"/>
        <v>0</v>
      </c>
      <c r="J67" s="1756">
        <f t="shared" si="34"/>
        <v>0</v>
      </c>
      <c r="K67" s="1756">
        <f t="shared" si="34"/>
        <v>0</v>
      </c>
      <c r="L67" s="1756">
        <f t="shared" si="34"/>
        <v>0</v>
      </c>
      <c r="M67" s="1756">
        <f>M64+M65-M66</f>
        <v>0</v>
      </c>
      <c r="N67" s="1756">
        <f t="shared" si="34"/>
        <v>0</v>
      </c>
      <c r="O67" s="1756">
        <f t="shared" si="34"/>
        <v>0</v>
      </c>
      <c r="P67" s="1756">
        <f t="shared" si="34"/>
        <v>0</v>
      </c>
      <c r="Q67" s="1756">
        <f t="shared" ref="Q67" si="35">Q64+Q65-Q66</f>
        <v>0</v>
      </c>
      <c r="R67" s="1756">
        <f t="shared" si="34"/>
        <v>0</v>
      </c>
      <c r="U67" s="343"/>
      <c r="W67" s="50"/>
      <c r="X67" s="50"/>
      <c r="Y67" s="50"/>
      <c r="Z67" s="50"/>
      <c r="AA67" s="50"/>
      <c r="AB67" s="50"/>
      <c r="AC67" s="50"/>
      <c r="AD67" s="50"/>
      <c r="AE67" s="50"/>
      <c r="AF67" s="50"/>
      <c r="AG67" s="50"/>
      <c r="AH67" s="50"/>
      <c r="AI67" s="50"/>
      <c r="AJ67" s="50"/>
      <c r="AK67" s="50"/>
      <c r="AL67" s="50"/>
      <c r="AM67" s="50"/>
      <c r="AN67" s="50"/>
      <c r="AO67" s="50"/>
    </row>
    <row r="68" spans="1:41">
      <c r="A68" s="346">
        <f>ROW()</f>
        <v>68</v>
      </c>
      <c r="B68" s="13" t="s">
        <v>541</v>
      </c>
      <c r="C68" s="13"/>
      <c r="D68" s="13"/>
      <c r="E68" s="1757"/>
      <c r="F68" s="1758">
        <f t="shared" ref="F68:N68" si="36">IF(F63=-F52,MAX(0,E68),F52-F66+E68)</f>
        <v>-15241.23427118524</v>
      </c>
      <c r="G68" s="1758">
        <f t="shared" si="36"/>
        <v>531268.10283928551</v>
      </c>
      <c r="H68" s="1758">
        <f t="shared" si="36"/>
        <v>496926.17994975648</v>
      </c>
      <c r="I68" s="1758">
        <f t="shared" si="36"/>
        <v>468315.91706022737</v>
      </c>
      <c r="J68" s="1758">
        <f t="shared" si="36"/>
        <v>417368.65417069825</v>
      </c>
      <c r="K68" s="1758">
        <f t="shared" si="36"/>
        <v>827054.39128116914</v>
      </c>
      <c r="L68" s="1758">
        <f t="shared" si="36"/>
        <v>790340.12839164003</v>
      </c>
      <c r="M68" s="1758">
        <f t="shared" si="36"/>
        <v>977165.86550211092</v>
      </c>
      <c r="N68" s="1758">
        <f t="shared" si="36"/>
        <v>949370.6026125818</v>
      </c>
      <c r="O68" s="1758">
        <f>IF(O63=-O52,MAX(0,N68),O52-O66+N68)</f>
        <v>902656.33972305269</v>
      </c>
      <c r="P68" s="1758">
        <f t="shared" ref="P68:R68" si="37">IF(P63=-P52,MAX(0,O68),P52-P66+O68)</f>
        <v>1156742.0768335236</v>
      </c>
      <c r="Q68" s="1758">
        <f t="shared" si="37"/>
        <v>1245424.8139439945</v>
      </c>
      <c r="R68" s="1759">
        <f t="shared" si="37"/>
        <v>2617406.9514439944</v>
      </c>
      <c r="U68" s="1378"/>
      <c r="W68" s="50"/>
      <c r="X68" s="50"/>
      <c r="Y68" s="50"/>
      <c r="Z68" s="50"/>
      <c r="AA68" s="50"/>
      <c r="AB68" s="50"/>
      <c r="AC68" s="50"/>
      <c r="AD68" s="50"/>
      <c r="AE68" s="50"/>
      <c r="AF68" s="50"/>
      <c r="AG68" s="50"/>
      <c r="AH68" s="50"/>
      <c r="AI68" s="50"/>
      <c r="AJ68" s="50"/>
      <c r="AK68" s="50"/>
      <c r="AL68" s="50"/>
      <c r="AM68" s="50"/>
      <c r="AN68" s="50"/>
      <c r="AO68" s="50"/>
    </row>
    <row r="69" spans="1:41">
      <c r="A69" s="346">
        <f>ROW()</f>
        <v>69</v>
      </c>
      <c r="B69" s="12"/>
      <c r="C69" s="12"/>
      <c r="D69" s="12"/>
      <c r="E69" s="1760"/>
      <c r="F69" s="1637"/>
      <c r="G69" s="1637"/>
      <c r="H69" s="1637"/>
      <c r="I69" s="1637"/>
      <c r="J69" s="1637"/>
      <c r="K69" s="1637"/>
      <c r="L69" s="1637"/>
      <c r="M69" s="1637"/>
      <c r="N69" s="1637"/>
      <c r="O69" s="1637"/>
      <c r="P69" s="1637"/>
      <c r="Q69" s="1637"/>
      <c r="R69" s="1637"/>
      <c r="U69" s="343"/>
      <c r="W69" s="50"/>
      <c r="X69" s="50"/>
      <c r="Y69" s="50"/>
      <c r="Z69" s="50"/>
      <c r="AA69" s="50"/>
      <c r="AB69" s="50"/>
      <c r="AC69" s="50"/>
      <c r="AD69" s="50"/>
      <c r="AE69" s="50"/>
      <c r="AF69" s="50"/>
      <c r="AG69" s="50"/>
      <c r="AH69" s="50"/>
      <c r="AI69" s="50"/>
      <c r="AJ69" s="50"/>
      <c r="AK69" s="50"/>
      <c r="AL69" s="50"/>
      <c r="AM69" s="50"/>
      <c r="AN69" s="50"/>
      <c r="AO69" s="50"/>
    </row>
    <row r="70" spans="1:41">
      <c r="A70" s="346">
        <f>ROW()</f>
        <v>70</v>
      </c>
      <c r="B70" s="86" t="s">
        <v>542</v>
      </c>
      <c r="C70" s="86"/>
      <c r="D70" s="86"/>
      <c r="E70" s="86"/>
      <c r="F70" s="87"/>
      <c r="G70" s="1644">
        <f t="shared" ref="G70:R70" si="38">IFERROR(MAX(G62,G68)/G51,0)</f>
        <v>0.37220606439761733</v>
      </c>
      <c r="H70" s="1644">
        <f t="shared" si="38"/>
        <v>0.34814613703844582</v>
      </c>
      <c r="I70" s="1644">
        <f t="shared" si="38"/>
        <v>0.32810180670018302</v>
      </c>
      <c r="J70" s="1644">
        <f t="shared" si="38"/>
        <v>0.29240818965335102</v>
      </c>
      <c r="K70" s="1644">
        <f t="shared" si="38"/>
        <v>0.57943373294265776</v>
      </c>
      <c r="L70" s="1644">
        <f t="shared" si="38"/>
        <v>0.55371174582478067</v>
      </c>
      <c r="M70" s="1644">
        <f t="shared" si="38"/>
        <v>0.68460172767469452</v>
      </c>
      <c r="N70" s="1644">
        <f t="shared" si="38"/>
        <v>0.66512838577120292</v>
      </c>
      <c r="O70" s="1644">
        <f t="shared" si="38"/>
        <v>0.63240040558864874</v>
      </c>
      <c r="P70" s="1644">
        <f t="shared" si="38"/>
        <v>0.81041269679158046</v>
      </c>
      <c r="Q70" s="1644">
        <f t="shared" si="38"/>
        <v>0.87254376090683428</v>
      </c>
      <c r="R70" s="1645">
        <f t="shared" si="38"/>
        <v>0</v>
      </c>
      <c r="U70" s="343"/>
      <c r="W70" s="50"/>
      <c r="X70" s="50"/>
      <c r="Y70" s="50"/>
      <c r="Z70" s="50"/>
      <c r="AA70" s="50"/>
      <c r="AB70" s="50"/>
      <c r="AC70" s="50"/>
      <c r="AD70" s="50"/>
      <c r="AE70" s="50"/>
      <c r="AF70" s="50"/>
      <c r="AG70" s="50"/>
      <c r="AH70" s="50"/>
      <c r="AI70" s="50"/>
      <c r="AJ70" s="50"/>
      <c r="AK70" s="50"/>
      <c r="AL70" s="50"/>
      <c r="AM70" s="50"/>
      <c r="AN70" s="50"/>
      <c r="AO70" s="50"/>
    </row>
    <row r="71" spans="1:41">
      <c r="A71" s="346">
        <f>ROW()</f>
        <v>71</v>
      </c>
      <c r="B71" s="13"/>
      <c r="C71" s="13"/>
      <c r="D71" s="13"/>
      <c r="E71" s="85"/>
      <c r="F71" s="85"/>
      <c r="G71" s="85"/>
      <c r="H71" s="85"/>
      <c r="I71" s="85"/>
      <c r="J71" s="85"/>
      <c r="K71" s="85"/>
      <c r="L71" s="85"/>
      <c r="M71" s="85"/>
      <c r="N71" s="85"/>
      <c r="O71" s="85"/>
      <c r="P71" s="85"/>
      <c r="Q71" s="85"/>
      <c r="R71" s="85"/>
      <c r="U71" s="343"/>
      <c r="W71" s="50"/>
      <c r="X71" s="50"/>
      <c r="Y71" s="50"/>
      <c r="Z71" s="50"/>
      <c r="AA71" s="50"/>
      <c r="AB71" s="50"/>
      <c r="AC71" s="50"/>
      <c r="AD71" s="50"/>
      <c r="AE71" s="50"/>
      <c r="AF71" s="50"/>
      <c r="AG71" s="50"/>
      <c r="AH71" s="50"/>
      <c r="AI71" s="50"/>
      <c r="AJ71" s="50"/>
      <c r="AK71" s="50"/>
      <c r="AL71" s="50"/>
      <c r="AM71" s="50"/>
      <c r="AN71" s="50"/>
      <c r="AO71" s="50"/>
    </row>
    <row r="72" spans="1:41" ht="17.399999999999999">
      <c r="A72" s="346">
        <f>ROW()</f>
        <v>72</v>
      </c>
      <c r="B72" s="792" t="s">
        <v>543</v>
      </c>
      <c r="C72" s="792"/>
      <c r="D72" s="792"/>
      <c r="E72" s="165"/>
      <c r="F72" s="165"/>
      <c r="G72" s="165"/>
      <c r="H72" s="165"/>
      <c r="I72" s="165"/>
      <c r="J72" s="165"/>
      <c r="K72" s="165"/>
      <c r="L72" s="165"/>
      <c r="M72" s="165"/>
      <c r="N72" s="165"/>
      <c r="O72" s="165"/>
      <c r="P72" s="165"/>
      <c r="Q72" s="165"/>
      <c r="R72" s="165"/>
      <c r="U72" s="343"/>
      <c r="W72" s="50"/>
      <c r="X72" s="50"/>
      <c r="Y72" s="50"/>
      <c r="Z72" s="50"/>
      <c r="AA72" s="50"/>
      <c r="AB72" s="50"/>
      <c r="AC72" s="50"/>
      <c r="AD72" s="50"/>
      <c r="AE72" s="50"/>
      <c r="AF72" s="50"/>
      <c r="AG72" s="50"/>
      <c r="AH72" s="50"/>
      <c r="AI72" s="50"/>
      <c r="AJ72" s="50"/>
      <c r="AK72" s="50"/>
      <c r="AL72" s="50"/>
      <c r="AM72" s="50"/>
      <c r="AN72" s="50"/>
      <c r="AO72" s="50"/>
    </row>
    <row r="73" spans="1:41">
      <c r="A73" s="346">
        <f>ROW()</f>
        <v>73</v>
      </c>
      <c r="U73" s="343"/>
      <c r="W73" s="50"/>
      <c r="X73" s="50"/>
      <c r="Y73" s="50"/>
      <c r="Z73" s="50"/>
      <c r="AA73" s="50"/>
      <c r="AB73" s="50"/>
      <c r="AC73" s="50"/>
      <c r="AD73" s="50"/>
      <c r="AE73" s="50"/>
      <c r="AF73" s="50"/>
      <c r="AG73" s="50"/>
      <c r="AH73" s="50"/>
      <c r="AI73" s="50"/>
      <c r="AJ73" s="50"/>
      <c r="AK73" s="50"/>
      <c r="AL73" s="50"/>
      <c r="AM73" s="50"/>
      <c r="AN73" s="50"/>
      <c r="AO73" s="50"/>
    </row>
    <row r="74" spans="1:41">
      <c r="A74" s="346">
        <f>ROW()</f>
        <v>74</v>
      </c>
      <c r="B74" s="82" t="s">
        <v>491</v>
      </c>
      <c r="C74" s="82"/>
      <c r="D74" s="82"/>
      <c r="E74" s="88"/>
      <c r="F74" s="89"/>
      <c r="G74" s="89"/>
      <c r="H74" s="89"/>
      <c r="I74" s="89"/>
      <c r="J74" s="89"/>
      <c r="K74" s="89"/>
      <c r="L74" s="89"/>
      <c r="M74" s="89"/>
      <c r="N74" s="89"/>
      <c r="O74" s="89"/>
      <c r="P74" s="89"/>
      <c r="Q74" s="89"/>
      <c r="R74" s="89"/>
      <c r="U74" s="343"/>
      <c r="W74" s="50"/>
      <c r="X74" s="50"/>
      <c r="Y74" s="50"/>
      <c r="Z74" s="50"/>
      <c r="AA74" s="50"/>
      <c r="AB74" s="50"/>
      <c r="AC74" s="50"/>
      <c r="AD74" s="50"/>
      <c r="AE74" s="50"/>
      <c r="AF74" s="50"/>
      <c r="AG74" s="50"/>
      <c r="AH74" s="50"/>
      <c r="AI74" s="50"/>
      <c r="AJ74" s="50"/>
      <c r="AK74" s="50"/>
      <c r="AL74" s="50"/>
      <c r="AM74" s="50"/>
      <c r="AN74" s="50"/>
      <c r="AO74" s="50"/>
    </row>
    <row r="75" spans="1:41">
      <c r="A75" s="346">
        <f>ROW()</f>
        <v>75</v>
      </c>
      <c r="B75" s="12" t="s">
        <v>492</v>
      </c>
      <c r="C75" s="12"/>
      <c r="D75" s="12"/>
      <c r="E75" s="553">
        <f t="shared" ref="E75:R75" si="39">IF(OR(E17=0,E$34=0),0,E17/E$34)</f>
        <v>0.91479470847595468</v>
      </c>
      <c r="F75" s="553">
        <f t="shared" si="39"/>
        <v>0.98512831505847853</v>
      </c>
      <c r="G75" s="553">
        <f t="shared" si="39"/>
        <v>0.70387458514872581</v>
      </c>
      <c r="H75" s="553">
        <f t="shared" si="39"/>
        <v>0.99737368423422545</v>
      </c>
      <c r="I75" s="553">
        <f t="shared" si="39"/>
        <v>0.99328671283425785</v>
      </c>
      <c r="J75" s="553">
        <f t="shared" si="39"/>
        <v>1.0094063080456384</v>
      </c>
      <c r="K75" s="553">
        <f t="shared" si="39"/>
        <v>0.75629963283704471</v>
      </c>
      <c r="L75" s="553">
        <f t="shared" si="39"/>
        <v>0.99907514382074936</v>
      </c>
      <c r="M75" s="553">
        <f t="shared" si="39"/>
        <v>0.86071763077195829</v>
      </c>
      <c r="N75" s="553">
        <f t="shared" si="39"/>
        <v>0.99270829385833603</v>
      </c>
      <c r="O75" s="553">
        <f t="shared" si="39"/>
        <v>1.0063114882877593</v>
      </c>
      <c r="P75" s="553">
        <f t="shared" si="39"/>
        <v>0.82628759743044211</v>
      </c>
      <c r="Q75" s="553">
        <f t="shared" si="39"/>
        <v>0.91643769655905472</v>
      </c>
      <c r="R75" s="553">
        <f t="shared" si="39"/>
        <v>1.0126582278481013</v>
      </c>
      <c r="U75" s="343"/>
      <c r="W75" s="50"/>
      <c r="X75" s="50"/>
      <c r="Y75" s="50"/>
      <c r="Z75" s="50"/>
      <c r="AA75" s="50"/>
      <c r="AB75" s="50"/>
      <c r="AC75" s="50"/>
      <c r="AD75" s="50"/>
      <c r="AE75" s="50"/>
      <c r="AF75" s="50"/>
      <c r="AG75" s="50"/>
      <c r="AH75" s="50"/>
      <c r="AI75" s="50"/>
      <c r="AJ75" s="50"/>
      <c r="AK75" s="50"/>
      <c r="AL75" s="50"/>
      <c r="AM75" s="50"/>
      <c r="AN75" s="50"/>
      <c r="AO75" s="50"/>
    </row>
    <row r="76" spans="1:41">
      <c r="A76" s="346">
        <f>ROW()</f>
        <v>76</v>
      </c>
      <c r="B76" s="12" t="str">
        <f>+B18</f>
        <v>CS Sponsorship Fee @ 0.0125</v>
      </c>
      <c r="C76" s="12"/>
      <c r="D76" s="12"/>
      <c r="E76" s="553">
        <f t="shared" ref="E76:R76" si="40">IF(OR(E18=0,E$34=0),0,E18/E$34)</f>
        <v>-1.1434933855949431E-2</v>
      </c>
      <c r="F76" s="553">
        <f t="shared" si="40"/>
        <v>-1.2314103938230981E-2</v>
      </c>
      <c r="G76" s="553">
        <f t="shared" si="40"/>
        <v>-8.7984323143590719E-3</v>
      </c>
      <c r="H76" s="553">
        <f t="shared" si="40"/>
        <v>-1.2467171052927817E-2</v>
      </c>
      <c r="I76" s="553">
        <f t="shared" si="40"/>
        <v>-1.2416083910428224E-2</v>
      </c>
      <c r="J76" s="553">
        <f t="shared" si="40"/>
        <v>-1.2617578850570479E-2</v>
      </c>
      <c r="K76" s="553">
        <f t="shared" si="40"/>
        <v>-9.4537454104630589E-3</v>
      </c>
      <c r="L76" s="553">
        <f t="shared" si="40"/>
        <v>-1.2488439297759366E-2</v>
      </c>
      <c r="M76" s="553">
        <f t="shared" si="40"/>
        <v>-1.0758970384649479E-2</v>
      </c>
      <c r="N76" s="553">
        <f t="shared" si="40"/>
        <v>-1.2408853673229201E-2</v>
      </c>
      <c r="O76" s="553">
        <f t="shared" si="40"/>
        <v>-1.2578893603596989E-2</v>
      </c>
      <c r="P76" s="553">
        <f t="shared" si="40"/>
        <v>-1.0328594967880526E-2</v>
      </c>
      <c r="Q76" s="553">
        <f t="shared" si="40"/>
        <v>-1.1455471206988184E-2</v>
      </c>
      <c r="R76" s="553">
        <f t="shared" si="40"/>
        <v>-1.2658227848101266E-2</v>
      </c>
      <c r="U76" s="343"/>
      <c r="W76" s="50"/>
      <c r="X76" s="50"/>
      <c r="Y76" s="50"/>
      <c r="Z76" s="50"/>
      <c r="AA76" s="50"/>
      <c r="AB76" s="50"/>
      <c r="AC76" s="50"/>
      <c r="AD76" s="50"/>
      <c r="AE76" s="50"/>
      <c r="AF76" s="50"/>
      <c r="AG76" s="50"/>
      <c r="AH76" s="50"/>
      <c r="AI76" s="50"/>
      <c r="AJ76" s="50"/>
      <c r="AK76" s="50"/>
      <c r="AL76" s="50"/>
      <c r="AM76" s="50"/>
      <c r="AN76" s="50"/>
      <c r="AO76" s="50"/>
    </row>
    <row r="77" spans="1:41">
      <c r="A77" s="346">
        <f>ROW()</f>
        <v>77</v>
      </c>
      <c r="B77" s="12" t="s">
        <v>161</v>
      </c>
      <c r="C77" s="12"/>
      <c r="D77" s="12"/>
      <c r="E77" s="553">
        <f t="shared" ref="E77:R77" si="41">IF(OR(E19=0,E$34=0),0,E19/E$34)</f>
        <v>3.0266522256054518E-2</v>
      </c>
      <c r="F77" s="553">
        <f t="shared" si="41"/>
        <v>0</v>
      </c>
      <c r="G77" s="553">
        <f t="shared" si="41"/>
        <v>0.30274537313488981</v>
      </c>
      <c r="H77" s="553">
        <f t="shared" si="41"/>
        <v>0</v>
      </c>
      <c r="I77" s="553">
        <f t="shared" si="41"/>
        <v>0</v>
      </c>
      <c r="J77" s="553">
        <f t="shared" si="41"/>
        <v>0</v>
      </c>
      <c r="K77" s="553">
        <f t="shared" si="41"/>
        <v>0</v>
      </c>
      <c r="L77" s="553">
        <f t="shared" si="41"/>
        <v>0</v>
      </c>
      <c r="M77" s="553">
        <f t="shared" si="41"/>
        <v>0</v>
      </c>
      <c r="N77" s="553">
        <f t="shared" si="41"/>
        <v>0</v>
      </c>
      <c r="O77" s="553">
        <f t="shared" si="41"/>
        <v>0</v>
      </c>
      <c r="P77" s="553">
        <f t="shared" si="41"/>
        <v>0</v>
      </c>
      <c r="Q77" s="553">
        <f t="shared" si="41"/>
        <v>0</v>
      </c>
      <c r="R77" s="553">
        <f t="shared" si="41"/>
        <v>0</v>
      </c>
      <c r="U77" s="343"/>
      <c r="W77" s="50"/>
      <c r="X77" s="50"/>
      <c r="Y77" s="50"/>
      <c r="Z77" s="50"/>
      <c r="AA77" s="50"/>
      <c r="AB77" s="50"/>
      <c r="AC77" s="50"/>
      <c r="AD77" s="50"/>
      <c r="AE77" s="50"/>
      <c r="AF77" s="50"/>
      <c r="AG77" s="50"/>
      <c r="AH77" s="50"/>
      <c r="AI77" s="50"/>
      <c r="AJ77" s="50"/>
      <c r="AK77" s="50"/>
      <c r="AL77" s="50"/>
      <c r="AM77" s="50"/>
      <c r="AN77" s="50"/>
      <c r="AO77" s="50"/>
    </row>
    <row r="78" spans="1:41">
      <c r="A78" s="346">
        <f>ROW()</f>
        <v>78</v>
      </c>
      <c r="B78" s="12" t="s">
        <v>162</v>
      </c>
      <c r="C78" s="12"/>
      <c r="D78" s="12"/>
      <c r="E78" s="553">
        <f t="shared" ref="E78:R78" si="42">IF(OR(E20=0,E$34=0),0,E20/E$34)</f>
        <v>0</v>
      </c>
      <c r="F78" s="553">
        <f t="shared" si="42"/>
        <v>0</v>
      </c>
      <c r="G78" s="553">
        <f t="shared" si="42"/>
        <v>0</v>
      </c>
      <c r="H78" s="553">
        <f t="shared" si="42"/>
        <v>0</v>
      </c>
      <c r="I78" s="553">
        <f t="shared" si="42"/>
        <v>0</v>
      </c>
      <c r="J78" s="553">
        <f t="shared" si="42"/>
        <v>0</v>
      </c>
      <c r="K78" s="553">
        <f t="shared" si="42"/>
        <v>0</v>
      </c>
      <c r="L78" s="553">
        <f t="shared" si="42"/>
        <v>0</v>
      </c>
      <c r="M78" s="553">
        <f t="shared" si="42"/>
        <v>0</v>
      </c>
      <c r="N78" s="553">
        <f t="shared" si="42"/>
        <v>0</v>
      </c>
      <c r="O78" s="553">
        <f t="shared" si="42"/>
        <v>0</v>
      </c>
      <c r="P78" s="553">
        <f t="shared" si="42"/>
        <v>0</v>
      </c>
      <c r="Q78" s="553">
        <f t="shared" si="42"/>
        <v>0</v>
      </c>
      <c r="R78" s="553">
        <f t="shared" si="42"/>
        <v>0</v>
      </c>
      <c r="U78" s="343"/>
      <c r="W78" s="50"/>
      <c r="X78" s="50"/>
      <c r="Y78" s="50"/>
      <c r="Z78" s="50"/>
      <c r="AA78" s="50"/>
      <c r="AB78" s="50"/>
      <c r="AC78" s="50"/>
      <c r="AD78" s="50"/>
      <c r="AE78" s="50"/>
      <c r="AF78" s="50"/>
      <c r="AG78" s="50"/>
      <c r="AH78" s="50"/>
      <c r="AI78" s="50"/>
      <c r="AJ78" s="50"/>
      <c r="AK78" s="50"/>
      <c r="AL78" s="50"/>
      <c r="AM78" s="50"/>
      <c r="AN78" s="50"/>
      <c r="AO78" s="50"/>
    </row>
    <row r="79" spans="1:41">
      <c r="A79" s="346">
        <f>ROW()</f>
        <v>79</v>
      </c>
      <c r="B79" s="12" t="s">
        <v>163</v>
      </c>
      <c r="C79" s="12"/>
      <c r="D79" s="12"/>
      <c r="E79" s="553">
        <f t="shared" ref="E79:R79" si="43">IF(OR(E22=0,E$34=0),0,E22/E$34)</f>
        <v>0</v>
      </c>
      <c r="F79" s="553">
        <f t="shared" si="43"/>
        <v>0</v>
      </c>
      <c r="G79" s="553">
        <f t="shared" si="43"/>
        <v>0</v>
      </c>
      <c r="H79" s="553">
        <f t="shared" si="43"/>
        <v>0</v>
      </c>
      <c r="I79" s="553">
        <f t="shared" si="43"/>
        <v>0</v>
      </c>
      <c r="J79" s="553">
        <f t="shared" si="43"/>
        <v>0</v>
      </c>
      <c r="K79" s="553">
        <f t="shared" si="43"/>
        <v>0</v>
      </c>
      <c r="L79" s="553">
        <f t="shared" si="43"/>
        <v>0</v>
      </c>
      <c r="M79" s="553">
        <f t="shared" si="43"/>
        <v>0</v>
      </c>
      <c r="N79" s="553">
        <f t="shared" si="43"/>
        <v>0</v>
      </c>
      <c r="O79" s="553">
        <f t="shared" si="43"/>
        <v>0</v>
      </c>
      <c r="P79" s="553">
        <f t="shared" si="43"/>
        <v>0</v>
      </c>
      <c r="Q79" s="553">
        <f t="shared" si="43"/>
        <v>0</v>
      </c>
      <c r="R79" s="553">
        <f t="shared" si="43"/>
        <v>0</v>
      </c>
      <c r="U79" s="343"/>
      <c r="W79" s="50"/>
      <c r="X79" s="50"/>
      <c r="Y79" s="50"/>
      <c r="Z79" s="50"/>
      <c r="AA79" s="50"/>
      <c r="AB79" s="50"/>
      <c r="AC79" s="50"/>
      <c r="AD79" s="50"/>
      <c r="AE79" s="50"/>
      <c r="AF79" s="50"/>
      <c r="AG79" s="50"/>
      <c r="AH79" s="50"/>
      <c r="AI79" s="50"/>
      <c r="AJ79" s="50"/>
      <c r="AK79" s="50"/>
      <c r="AL79" s="50"/>
      <c r="AM79" s="50"/>
      <c r="AN79" s="50"/>
      <c r="AO79" s="50"/>
    </row>
    <row r="80" spans="1:41">
      <c r="A80" s="346">
        <f>ROW()</f>
        <v>80</v>
      </c>
      <c r="B80" s="12" t="s">
        <v>165</v>
      </c>
      <c r="C80" s="12"/>
      <c r="D80" s="12"/>
      <c r="E80" s="553">
        <f t="shared" ref="E80:R80" si="44">IF(OR(E23=0,E$34=0),0,E23/E$34)</f>
        <v>0</v>
      </c>
      <c r="F80" s="554">
        <f t="shared" si="44"/>
        <v>0</v>
      </c>
      <c r="G80" s="553">
        <f t="shared" si="44"/>
        <v>0</v>
      </c>
      <c r="H80" s="553">
        <f t="shared" si="44"/>
        <v>0</v>
      </c>
      <c r="I80" s="553">
        <f t="shared" si="44"/>
        <v>0</v>
      </c>
      <c r="J80" s="554">
        <f t="shared" si="44"/>
        <v>0</v>
      </c>
      <c r="K80" s="553">
        <f t="shared" si="44"/>
        <v>0</v>
      </c>
      <c r="L80" s="553">
        <f t="shared" si="44"/>
        <v>0</v>
      </c>
      <c r="M80" s="553">
        <f t="shared" si="44"/>
        <v>0</v>
      </c>
      <c r="N80" s="554">
        <f t="shared" si="44"/>
        <v>0</v>
      </c>
      <c r="O80" s="553">
        <f t="shared" si="44"/>
        <v>0</v>
      </c>
      <c r="P80" s="553">
        <f t="shared" si="44"/>
        <v>0</v>
      </c>
      <c r="Q80" s="553">
        <f t="shared" si="44"/>
        <v>0</v>
      </c>
      <c r="R80" s="553">
        <f t="shared" si="44"/>
        <v>0</v>
      </c>
      <c r="U80" s="343"/>
      <c r="W80" s="50"/>
      <c r="X80" s="50"/>
      <c r="Y80" s="50"/>
      <c r="Z80" s="50"/>
      <c r="AA80" s="50"/>
      <c r="AB80" s="50"/>
      <c r="AC80" s="50"/>
      <c r="AD80" s="50"/>
      <c r="AE80" s="50"/>
      <c r="AF80" s="50"/>
      <c r="AG80" s="50"/>
      <c r="AH80" s="50"/>
      <c r="AI80" s="50"/>
      <c r="AJ80" s="50"/>
      <c r="AK80" s="50"/>
      <c r="AL80" s="50"/>
      <c r="AM80" s="50"/>
      <c r="AN80" s="50"/>
      <c r="AO80" s="50"/>
    </row>
    <row r="81" spans="1:41">
      <c r="A81" s="346">
        <f>ROW()</f>
        <v>81</v>
      </c>
      <c r="B81" s="12" t="s">
        <v>166</v>
      </c>
      <c r="C81" s="12"/>
      <c r="D81" s="12"/>
      <c r="E81" s="553">
        <f t="shared" ref="E81:R81" si="45">IF(OR(E24=0,E$34=0),0,E24/E$34)</f>
        <v>2.1508680640158571E-3</v>
      </c>
      <c r="F81" s="554">
        <f t="shared" si="45"/>
        <v>0</v>
      </c>
      <c r="G81" s="553">
        <f t="shared" si="45"/>
        <v>0</v>
      </c>
      <c r="H81" s="553">
        <f t="shared" si="45"/>
        <v>1.0949977115252061E-3</v>
      </c>
      <c r="I81" s="553">
        <f t="shared" si="45"/>
        <v>4.8307792488576163E-3</v>
      </c>
      <c r="J81" s="554">
        <f t="shared" si="45"/>
        <v>0</v>
      </c>
      <c r="K81" s="553">
        <f t="shared" si="45"/>
        <v>2.6069180181916909E-3</v>
      </c>
      <c r="L81" s="553">
        <f t="shared" si="45"/>
        <v>5.3486351663539784E-3</v>
      </c>
      <c r="M81" s="553">
        <f t="shared" si="45"/>
        <v>2.7481528471999528E-3</v>
      </c>
      <c r="N81" s="553">
        <f t="shared" si="45"/>
        <v>4.69578119481641E-3</v>
      </c>
      <c r="O81" s="553">
        <f t="shared" si="45"/>
        <v>2.6458836956842263E-3</v>
      </c>
      <c r="P81" s="553">
        <f t="shared" si="45"/>
        <v>3.7146838796807292E-3</v>
      </c>
      <c r="Q81" s="553">
        <f t="shared" si="45"/>
        <v>6.9259745491378154E-4</v>
      </c>
      <c r="R81" s="553">
        <f t="shared" si="45"/>
        <v>0</v>
      </c>
      <c r="U81" s="343"/>
      <c r="W81" s="50"/>
      <c r="X81" s="50"/>
      <c r="Y81" s="50"/>
      <c r="Z81" s="50"/>
      <c r="AA81" s="50"/>
      <c r="AB81" s="50"/>
      <c r="AC81" s="50"/>
      <c r="AD81" s="50"/>
      <c r="AE81" s="50"/>
      <c r="AF81" s="50"/>
      <c r="AG81" s="50"/>
      <c r="AH81" s="50"/>
      <c r="AI81" s="50"/>
      <c r="AJ81" s="50"/>
      <c r="AK81" s="50"/>
      <c r="AL81" s="50"/>
      <c r="AM81" s="50"/>
      <c r="AN81" s="50"/>
      <c r="AO81" s="50"/>
    </row>
    <row r="82" spans="1:41">
      <c r="A82" s="346">
        <f>ROW()</f>
        <v>82</v>
      </c>
      <c r="B82" s="12" t="s">
        <v>167</v>
      </c>
      <c r="C82" s="12"/>
      <c r="D82" s="12"/>
      <c r="E82" s="553">
        <f t="shared" ref="E82:R82" si="46">IF(OR(E25=0,E$34=0),0,E25/E$34)</f>
        <v>4.5220643734759099E-2</v>
      </c>
      <c r="F82" s="554">
        <f t="shared" si="46"/>
        <v>0</v>
      </c>
      <c r="G82" s="553">
        <f t="shared" si="46"/>
        <v>0</v>
      </c>
      <c r="H82" s="553">
        <f t="shared" si="46"/>
        <v>0</v>
      </c>
      <c r="I82" s="553">
        <f t="shared" si="46"/>
        <v>0</v>
      </c>
      <c r="J82" s="554">
        <f t="shared" si="46"/>
        <v>0</v>
      </c>
      <c r="K82" s="553">
        <f t="shared" si="46"/>
        <v>0.24300787224327114</v>
      </c>
      <c r="L82" s="553">
        <f t="shared" si="46"/>
        <v>0</v>
      </c>
      <c r="M82" s="553">
        <f t="shared" si="46"/>
        <v>0.13827929498759239</v>
      </c>
      <c r="N82" s="554">
        <f t="shared" si="46"/>
        <v>0</v>
      </c>
      <c r="O82" s="553">
        <f t="shared" si="46"/>
        <v>0</v>
      </c>
      <c r="P82" s="553">
        <f t="shared" si="46"/>
        <v>0.13274790981938786</v>
      </c>
      <c r="Q82" s="553">
        <f t="shared" si="46"/>
        <v>0</v>
      </c>
      <c r="R82" s="553">
        <f t="shared" si="46"/>
        <v>0</v>
      </c>
      <c r="U82" s="343"/>
      <c r="W82" s="50"/>
      <c r="X82" s="50"/>
      <c r="Y82" s="50"/>
      <c r="Z82" s="50"/>
      <c r="AA82" s="50"/>
      <c r="AB82" s="50"/>
      <c r="AC82" s="50"/>
      <c r="AD82" s="50"/>
      <c r="AE82" s="50"/>
      <c r="AF82" s="50"/>
      <c r="AG82" s="50"/>
      <c r="AH82" s="50"/>
      <c r="AI82" s="50"/>
      <c r="AJ82" s="50"/>
      <c r="AK82" s="50"/>
      <c r="AL82" s="50"/>
      <c r="AM82" s="50"/>
      <c r="AN82" s="50"/>
      <c r="AO82" s="50"/>
    </row>
    <row r="83" spans="1:41">
      <c r="A83" s="346">
        <f>ROW()</f>
        <v>83</v>
      </c>
      <c r="B83" s="12" t="s">
        <v>421</v>
      </c>
      <c r="C83" s="12"/>
      <c r="D83" s="12"/>
      <c r="E83" s="553">
        <f t="shared" ref="E83:R83" si="47">IF(OR(E26=0,E$34=0),0,E26/E$34)</f>
        <v>0</v>
      </c>
      <c r="F83" s="554">
        <f t="shared" si="47"/>
        <v>0</v>
      </c>
      <c r="G83" s="553">
        <f t="shared" si="47"/>
        <v>0</v>
      </c>
      <c r="H83" s="553">
        <f t="shared" si="47"/>
        <v>0</v>
      </c>
      <c r="I83" s="553">
        <f t="shared" si="47"/>
        <v>0</v>
      </c>
      <c r="J83" s="554">
        <f t="shared" si="47"/>
        <v>0</v>
      </c>
      <c r="K83" s="553">
        <f t="shared" si="47"/>
        <v>0</v>
      </c>
      <c r="L83" s="553">
        <f t="shared" si="47"/>
        <v>0</v>
      </c>
      <c r="M83" s="553">
        <f t="shared" si="47"/>
        <v>0</v>
      </c>
      <c r="N83" s="554">
        <f t="shared" si="47"/>
        <v>0</v>
      </c>
      <c r="O83" s="553">
        <f t="shared" si="47"/>
        <v>0</v>
      </c>
      <c r="P83" s="553">
        <f t="shared" si="47"/>
        <v>0</v>
      </c>
      <c r="Q83" s="553">
        <f t="shared" si="47"/>
        <v>0</v>
      </c>
      <c r="R83" s="553">
        <f t="shared" si="47"/>
        <v>0</v>
      </c>
      <c r="U83" s="343"/>
      <c r="W83" s="50"/>
      <c r="X83" s="50"/>
      <c r="Y83" s="50"/>
      <c r="Z83" s="50"/>
      <c r="AA83" s="50"/>
      <c r="AB83" s="50"/>
      <c r="AC83" s="50"/>
      <c r="AD83" s="50"/>
      <c r="AE83" s="50"/>
      <c r="AF83" s="50"/>
      <c r="AG83" s="50"/>
      <c r="AH83" s="50"/>
      <c r="AI83" s="50"/>
      <c r="AJ83" s="50"/>
      <c r="AK83" s="50"/>
      <c r="AL83" s="50"/>
      <c r="AM83" s="50"/>
      <c r="AN83" s="50"/>
      <c r="AO83" s="50"/>
    </row>
    <row r="84" spans="1:41">
      <c r="A84" s="346">
        <f>ROW()</f>
        <v>84</v>
      </c>
      <c r="B84" s="12" t="s">
        <v>504</v>
      </c>
      <c r="C84" s="12"/>
      <c r="D84" s="12"/>
      <c r="E84" s="553">
        <f t="shared" ref="E84:R84" si="48">IF(OR(E27=0,E$34=0),0,E27/E$34)</f>
        <v>0</v>
      </c>
      <c r="F84" s="554">
        <f>IF(OR(F27=0,F$34=0),0,F27/F$34)</f>
        <v>0</v>
      </c>
      <c r="G84" s="553">
        <f t="shared" si="48"/>
        <v>0</v>
      </c>
      <c r="H84" s="553">
        <f t="shared" si="48"/>
        <v>0</v>
      </c>
      <c r="I84" s="553">
        <f>IF(OR(I27=0,I$34=0),0,I27/I$34)</f>
        <v>0</v>
      </c>
      <c r="J84" s="554">
        <f>IF(OR(J27=0,J$34=0),0,J27/J$34)</f>
        <v>0</v>
      </c>
      <c r="K84" s="553">
        <f t="shared" si="48"/>
        <v>0</v>
      </c>
      <c r="L84" s="553">
        <f t="shared" si="48"/>
        <v>0</v>
      </c>
      <c r="M84" s="553">
        <f t="shared" si="48"/>
        <v>0</v>
      </c>
      <c r="N84" s="554">
        <f t="shared" si="48"/>
        <v>0</v>
      </c>
      <c r="O84" s="553">
        <f t="shared" si="48"/>
        <v>0</v>
      </c>
      <c r="P84" s="553">
        <f t="shared" si="48"/>
        <v>0</v>
      </c>
      <c r="Q84" s="553">
        <f t="shared" si="48"/>
        <v>0</v>
      </c>
      <c r="R84" s="553">
        <f t="shared" si="48"/>
        <v>0</v>
      </c>
      <c r="U84" s="343"/>
      <c r="W84" s="50"/>
      <c r="X84" s="50"/>
      <c r="Y84" s="50"/>
      <c r="Z84" s="50"/>
      <c r="AA84" s="50"/>
      <c r="AB84" s="50"/>
      <c r="AC84" s="50"/>
      <c r="AD84" s="50"/>
      <c r="AE84" s="50"/>
      <c r="AF84" s="50"/>
      <c r="AG84" s="50"/>
      <c r="AH84" s="50"/>
      <c r="AI84" s="50"/>
      <c r="AJ84" s="50"/>
      <c r="AK84" s="50"/>
      <c r="AL84" s="50"/>
      <c r="AM84" s="50"/>
      <c r="AN84" s="50"/>
      <c r="AO84" s="50"/>
    </row>
    <row r="85" spans="1:41">
      <c r="A85" s="346">
        <f>ROW()</f>
        <v>85</v>
      </c>
      <c r="B85" s="12" t="s">
        <v>505</v>
      </c>
      <c r="C85" s="12"/>
      <c r="D85" s="12"/>
      <c r="E85" s="553">
        <f t="shared" ref="E85:R85" si="49">IF(OR(E28=0,E$34=0),0,E28/E$34)</f>
        <v>0</v>
      </c>
      <c r="F85" s="554">
        <f>IF(OR(F28=0,F$34=0),0,F28/F$34)</f>
        <v>0</v>
      </c>
      <c r="G85" s="553">
        <f t="shared" si="49"/>
        <v>0</v>
      </c>
      <c r="H85" s="553">
        <f t="shared" si="49"/>
        <v>0</v>
      </c>
      <c r="I85" s="553">
        <f>IF(OR(I28=0,I$34=0),0,I28/I$34)</f>
        <v>0</v>
      </c>
      <c r="J85" s="554">
        <f>IF(OR(J28=0,J$34=0),0,J28/J$34)</f>
        <v>0</v>
      </c>
      <c r="K85" s="553">
        <f t="shared" si="49"/>
        <v>0</v>
      </c>
      <c r="L85" s="553">
        <f t="shared" si="49"/>
        <v>0</v>
      </c>
      <c r="M85" s="553">
        <f t="shared" si="49"/>
        <v>0</v>
      </c>
      <c r="N85" s="554">
        <f t="shared" si="49"/>
        <v>0</v>
      </c>
      <c r="O85" s="553">
        <f t="shared" si="49"/>
        <v>0</v>
      </c>
      <c r="P85" s="553">
        <f t="shared" si="49"/>
        <v>0</v>
      </c>
      <c r="Q85" s="553">
        <f t="shared" si="49"/>
        <v>0</v>
      </c>
      <c r="R85" s="553">
        <f t="shared" si="49"/>
        <v>0</v>
      </c>
      <c r="U85" s="343"/>
      <c r="W85" s="50"/>
      <c r="X85" s="50"/>
      <c r="Y85" s="50"/>
      <c r="Z85" s="50"/>
      <c r="AA85" s="50"/>
      <c r="AB85" s="50"/>
      <c r="AC85" s="50"/>
      <c r="AD85" s="50"/>
      <c r="AE85" s="50"/>
      <c r="AF85" s="50"/>
      <c r="AG85" s="50"/>
      <c r="AH85" s="50"/>
      <c r="AI85" s="50"/>
      <c r="AJ85" s="50"/>
      <c r="AK85" s="50"/>
      <c r="AL85" s="50"/>
      <c r="AM85" s="50"/>
      <c r="AN85" s="50"/>
      <c r="AO85" s="50"/>
    </row>
    <row r="86" spans="1:41">
      <c r="A86" s="346">
        <f>ROW()</f>
        <v>86</v>
      </c>
      <c r="B86" s="12" t="s">
        <v>176</v>
      </c>
      <c r="C86" s="12"/>
      <c r="D86" s="12"/>
      <c r="E86" s="553">
        <f t="shared" ref="E86:R86" si="50">IF(OR(E29=0,E$34=0),0,E29/E$34)</f>
        <v>0</v>
      </c>
      <c r="F86" s="554">
        <f t="shared" si="50"/>
        <v>0</v>
      </c>
      <c r="G86" s="553">
        <f t="shared" si="50"/>
        <v>0</v>
      </c>
      <c r="H86" s="553">
        <f t="shared" si="50"/>
        <v>0</v>
      </c>
      <c r="I86" s="553">
        <f t="shared" si="50"/>
        <v>0</v>
      </c>
      <c r="J86" s="554">
        <f t="shared" si="50"/>
        <v>0</v>
      </c>
      <c r="K86" s="553">
        <f t="shared" si="50"/>
        <v>0</v>
      </c>
      <c r="L86" s="553">
        <f t="shared" si="50"/>
        <v>0</v>
      </c>
      <c r="M86" s="553">
        <f t="shared" si="50"/>
        <v>0</v>
      </c>
      <c r="N86" s="554">
        <f t="shared" si="50"/>
        <v>0</v>
      </c>
      <c r="O86" s="553">
        <f t="shared" si="50"/>
        <v>0</v>
      </c>
      <c r="P86" s="553">
        <f t="shared" si="50"/>
        <v>0</v>
      </c>
      <c r="Q86" s="553">
        <f t="shared" si="50"/>
        <v>0</v>
      </c>
      <c r="R86" s="553">
        <f t="shared" si="50"/>
        <v>0</v>
      </c>
      <c r="U86" s="343"/>
      <c r="W86" s="50"/>
      <c r="X86" s="50"/>
      <c r="Y86" s="50"/>
      <c r="Z86" s="50"/>
      <c r="AA86" s="50"/>
      <c r="AB86" s="50"/>
      <c r="AC86" s="50"/>
      <c r="AD86" s="50"/>
      <c r="AE86" s="50"/>
      <c r="AF86" s="50"/>
      <c r="AG86" s="50"/>
      <c r="AH86" s="50"/>
      <c r="AI86" s="50"/>
      <c r="AJ86" s="50"/>
      <c r="AK86" s="50"/>
      <c r="AL86" s="50"/>
      <c r="AM86" s="50"/>
      <c r="AN86" s="50"/>
      <c r="AO86" s="50"/>
    </row>
    <row r="87" spans="1:41">
      <c r="A87" s="346">
        <f>ROW()</f>
        <v>87</v>
      </c>
      <c r="B87" s="12" t="s">
        <v>506</v>
      </c>
      <c r="C87" s="12"/>
      <c r="D87" s="12"/>
      <c r="E87" s="553">
        <f t="shared" ref="E87:R87" si="51">IF(OR(E30=0,E$34=0),0,E30/E$34)</f>
        <v>1.6722996488013873E-2</v>
      </c>
      <c r="F87" s="554">
        <f t="shared" si="51"/>
        <v>2.7185788879752468E-2</v>
      </c>
      <c r="G87" s="553">
        <f t="shared" si="51"/>
        <v>1.6718521631287713E-3</v>
      </c>
      <c r="H87" s="553">
        <f t="shared" si="51"/>
        <v>1.39984891071771E-2</v>
      </c>
      <c r="I87" s="553">
        <f t="shared" si="51"/>
        <v>0</v>
      </c>
      <c r="J87" s="554">
        <f t="shared" si="51"/>
        <v>1.0316752359736873E-3</v>
      </c>
      <c r="K87" s="553">
        <f t="shared" si="51"/>
        <v>7.5393223119555059E-3</v>
      </c>
      <c r="L87" s="553">
        <f t="shared" si="51"/>
        <v>8.0646603106560733E-3</v>
      </c>
      <c r="M87" s="553">
        <f t="shared" si="51"/>
        <v>9.0138917778988525E-3</v>
      </c>
      <c r="N87" s="554">
        <f t="shared" si="51"/>
        <v>3.5725663381135195E-3</v>
      </c>
      <c r="O87" s="553">
        <f t="shared" si="51"/>
        <v>2.1729129720921649E-3</v>
      </c>
      <c r="P87" s="553">
        <f t="shared" si="51"/>
        <v>4.7578403838369886E-2</v>
      </c>
      <c r="Q87" s="553">
        <f t="shared" si="51"/>
        <v>9.2346327321837535E-2</v>
      </c>
      <c r="R87" s="553">
        <f t="shared" si="51"/>
        <v>0</v>
      </c>
      <c r="U87" s="343"/>
      <c r="W87" s="50"/>
      <c r="X87" s="50"/>
      <c r="Y87" s="50"/>
      <c r="Z87" s="50"/>
      <c r="AA87" s="50"/>
      <c r="AB87" s="50"/>
      <c r="AC87" s="50"/>
      <c r="AD87" s="50"/>
      <c r="AE87" s="50"/>
      <c r="AF87" s="50"/>
      <c r="AG87" s="50"/>
      <c r="AH87" s="50"/>
      <c r="AI87" s="50"/>
      <c r="AJ87" s="50"/>
      <c r="AK87" s="50"/>
      <c r="AL87" s="50"/>
      <c r="AM87" s="50"/>
      <c r="AN87" s="50"/>
      <c r="AO87" s="50"/>
    </row>
    <row r="88" spans="1:41">
      <c r="A88" s="346">
        <f>ROW()</f>
        <v>88</v>
      </c>
      <c r="B88" s="12" t="s">
        <v>175</v>
      </c>
      <c r="C88" s="12"/>
      <c r="D88" s="12"/>
      <c r="E88" s="553">
        <f t="shared" ref="E88:R88" si="52">IF(OR(E31=0,E$34=0),0,E31/E$34)</f>
        <v>0</v>
      </c>
      <c r="F88" s="554">
        <f t="shared" si="52"/>
        <v>0</v>
      </c>
      <c r="G88" s="553">
        <f t="shared" si="52"/>
        <v>0</v>
      </c>
      <c r="H88" s="553">
        <f t="shared" si="52"/>
        <v>0</v>
      </c>
      <c r="I88" s="553">
        <f t="shared" si="52"/>
        <v>0</v>
      </c>
      <c r="J88" s="554">
        <f t="shared" si="52"/>
        <v>0</v>
      </c>
      <c r="K88" s="553">
        <f t="shared" si="52"/>
        <v>0</v>
      </c>
      <c r="L88" s="553">
        <f t="shared" si="52"/>
        <v>0</v>
      </c>
      <c r="M88" s="553">
        <f t="shared" si="52"/>
        <v>0</v>
      </c>
      <c r="N88" s="554">
        <f t="shared" si="52"/>
        <v>0</v>
      </c>
      <c r="O88" s="553">
        <f t="shared" si="52"/>
        <v>0</v>
      </c>
      <c r="P88" s="553">
        <f t="shared" si="52"/>
        <v>0</v>
      </c>
      <c r="Q88" s="553">
        <f t="shared" si="52"/>
        <v>0</v>
      </c>
      <c r="R88" s="553">
        <f t="shared" si="52"/>
        <v>0</v>
      </c>
      <c r="U88" s="343"/>
      <c r="W88" s="50"/>
      <c r="X88" s="50"/>
      <c r="Y88" s="50"/>
      <c r="Z88" s="50"/>
      <c r="AA88" s="50"/>
      <c r="AB88" s="50"/>
      <c r="AC88" s="50"/>
      <c r="AD88" s="50"/>
      <c r="AE88" s="50"/>
      <c r="AF88" s="50"/>
      <c r="AG88" s="50"/>
      <c r="AH88" s="50"/>
      <c r="AI88" s="50"/>
      <c r="AJ88" s="50"/>
      <c r="AK88" s="50"/>
      <c r="AL88" s="50"/>
      <c r="AM88" s="50"/>
      <c r="AN88" s="50"/>
      <c r="AO88" s="50"/>
    </row>
    <row r="89" spans="1:41">
      <c r="A89" s="346">
        <f>ROW()</f>
        <v>89</v>
      </c>
      <c r="B89" s="12" t="s">
        <v>544</v>
      </c>
      <c r="C89" s="12"/>
      <c r="D89" s="12"/>
      <c r="E89" s="553">
        <f t="shared" ref="E89:R89" si="53">IF(OR(E32=0,E$34=0),0,E32/E$34)</f>
        <v>2.2791948371513431E-3</v>
      </c>
      <c r="F89" s="554">
        <f t="shared" si="53"/>
        <v>0</v>
      </c>
      <c r="G89" s="553">
        <f t="shared" si="53"/>
        <v>5.0662186761477913E-4</v>
      </c>
      <c r="H89" s="553">
        <f t="shared" si="53"/>
        <v>0</v>
      </c>
      <c r="I89" s="553">
        <f t="shared" si="53"/>
        <v>1.4298591827312761E-2</v>
      </c>
      <c r="J89" s="554">
        <f t="shared" si="53"/>
        <v>2.1795955689584944E-3</v>
      </c>
      <c r="K89" s="553">
        <f t="shared" si="53"/>
        <v>0</v>
      </c>
      <c r="L89" s="553">
        <f t="shared" si="53"/>
        <v>0</v>
      </c>
      <c r="M89" s="553">
        <f t="shared" si="53"/>
        <v>0</v>
      </c>
      <c r="N89" s="554">
        <f t="shared" si="53"/>
        <v>1.1432212281963262E-2</v>
      </c>
      <c r="O89" s="553">
        <f t="shared" si="53"/>
        <v>1.4486086480614434E-3</v>
      </c>
      <c r="P89" s="553">
        <f t="shared" si="53"/>
        <v>0</v>
      </c>
      <c r="Q89" s="553">
        <f t="shared" si="53"/>
        <v>1.9788498711822327E-3</v>
      </c>
      <c r="R89" s="553">
        <f t="shared" si="53"/>
        <v>0</v>
      </c>
      <c r="U89" s="343"/>
      <c r="W89" s="50"/>
      <c r="X89" s="50"/>
      <c r="Y89" s="50"/>
      <c r="Z89" s="50"/>
      <c r="AA89" s="50"/>
      <c r="AB89" s="50"/>
      <c r="AC89" s="50"/>
      <c r="AD89" s="50"/>
      <c r="AE89" s="50"/>
      <c r="AF89" s="50"/>
      <c r="AG89" s="50"/>
      <c r="AH89" s="50"/>
      <c r="AI89" s="50"/>
      <c r="AJ89" s="50"/>
      <c r="AK89" s="50"/>
      <c r="AL89" s="50"/>
      <c r="AM89" s="50"/>
      <c r="AN89" s="50"/>
      <c r="AO89" s="50"/>
    </row>
    <row r="90" spans="1:41">
      <c r="A90" s="346">
        <f>ROW()</f>
        <v>90</v>
      </c>
      <c r="B90" s="12" t="s">
        <v>545</v>
      </c>
      <c r="C90" s="13"/>
      <c r="D90" s="13"/>
      <c r="E90" s="551">
        <f t="shared" ref="E90:R90" si="54">IF(OR(E33=0,E$34=0),0,E33/E$34)</f>
        <v>0</v>
      </c>
      <c r="F90" s="552">
        <f t="shared" si="54"/>
        <v>0</v>
      </c>
      <c r="G90" s="551">
        <f t="shared" si="54"/>
        <v>0</v>
      </c>
      <c r="H90" s="551">
        <f t="shared" si="54"/>
        <v>0</v>
      </c>
      <c r="I90" s="551">
        <f t="shared" si="54"/>
        <v>0</v>
      </c>
      <c r="J90" s="552">
        <f t="shared" si="54"/>
        <v>0</v>
      </c>
      <c r="K90" s="551">
        <f t="shared" si="54"/>
        <v>0</v>
      </c>
      <c r="L90" s="551">
        <f t="shared" si="54"/>
        <v>0</v>
      </c>
      <c r="M90" s="551">
        <f t="shared" si="54"/>
        <v>0</v>
      </c>
      <c r="N90" s="552">
        <f t="shared" si="54"/>
        <v>0</v>
      </c>
      <c r="O90" s="551">
        <f t="shared" si="54"/>
        <v>0</v>
      </c>
      <c r="P90" s="551">
        <f t="shared" si="54"/>
        <v>0</v>
      </c>
      <c r="Q90" s="551">
        <f t="shared" si="54"/>
        <v>0</v>
      </c>
      <c r="R90" s="551">
        <f t="shared" si="54"/>
        <v>0</v>
      </c>
      <c r="U90" s="343"/>
      <c r="W90" s="50"/>
      <c r="X90" s="50"/>
      <c r="Y90" s="50"/>
      <c r="Z90" s="50"/>
      <c r="AA90" s="50"/>
      <c r="AB90" s="50"/>
      <c r="AC90" s="50"/>
      <c r="AD90" s="50"/>
      <c r="AE90" s="50"/>
      <c r="AF90" s="50"/>
      <c r="AG90" s="50"/>
      <c r="AH90" s="50"/>
      <c r="AI90" s="50"/>
      <c r="AJ90" s="50"/>
      <c r="AK90" s="50"/>
      <c r="AL90" s="50"/>
      <c r="AM90" s="50"/>
      <c r="AN90" s="50"/>
      <c r="AO90" s="50"/>
    </row>
    <row r="91" spans="1:41">
      <c r="A91" s="346">
        <f>ROW()</f>
        <v>91</v>
      </c>
      <c r="B91" s="12" t="s">
        <v>546</v>
      </c>
      <c r="C91" s="13"/>
      <c r="D91" s="13"/>
      <c r="E91" s="567">
        <f>SUM(E75:E90)</f>
        <v>1</v>
      </c>
      <c r="F91" s="567">
        <f t="shared" ref="F91:R91" si="55">SUM(F75:F90)</f>
        <v>1</v>
      </c>
      <c r="G91" s="567">
        <f t="shared" si="55"/>
        <v>1.0000000000000002</v>
      </c>
      <c r="H91" s="567">
        <f t="shared" si="55"/>
        <v>0.99999999999999989</v>
      </c>
      <c r="I91" s="567">
        <f t="shared" si="55"/>
        <v>1</v>
      </c>
      <c r="J91" s="567">
        <f t="shared" si="55"/>
        <v>1</v>
      </c>
      <c r="K91" s="567">
        <f t="shared" si="55"/>
        <v>1</v>
      </c>
      <c r="L91" s="567">
        <f t="shared" si="55"/>
        <v>1</v>
      </c>
      <c r="M91" s="567">
        <f t="shared" si="55"/>
        <v>1</v>
      </c>
      <c r="N91" s="567">
        <f t="shared" si="55"/>
        <v>1</v>
      </c>
      <c r="O91" s="567">
        <f t="shared" si="55"/>
        <v>1.0000000000000002</v>
      </c>
      <c r="P91" s="567">
        <f t="shared" si="55"/>
        <v>1.0000000000000002</v>
      </c>
      <c r="Q91" s="567">
        <f t="shared" ref="Q91" si="56">SUM(Q75:Q90)</f>
        <v>1</v>
      </c>
      <c r="R91" s="567">
        <f t="shared" si="55"/>
        <v>1</v>
      </c>
      <c r="U91" s="343"/>
      <c r="W91" s="50"/>
      <c r="X91" s="50"/>
      <c r="Y91" s="50"/>
      <c r="Z91" s="50"/>
      <c r="AA91" s="50"/>
      <c r="AB91" s="50"/>
      <c r="AC91" s="50"/>
      <c r="AD91" s="50"/>
      <c r="AE91" s="50"/>
      <c r="AF91" s="50"/>
      <c r="AG91" s="50"/>
      <c r="AH91" s="50"/>
      <c r="AI91" s="50"/>
      <c r="AJ91" s="50"/>
      <c r="AK91" s="50"/>
      <c r="AL91" s="50"/>
      <c r="AM91" s="50"/>
      <c r="AN91" s="50"/>
      <c r="AO91" s="50"/>
    </row>
    <row r="92" spans="1:41">
      <c r="A92" s="346">
        <f>ROW()</f>
        <v>92</v>
      </c>
      <c r="B92" s="13" t="s">
        <v>510</v>
      </c>
      <c r="C92" s="13"/>
      <c r="D92" s="13"/>
      <c r="E92" s="556"/>
      <c r="F92" s="557">
        <f t="shared" ref="F92:R92" si="57">IFERROR(F35/$E$34,0)</f>
        <v>7.1431124913653915E-2</v>
      </c>
      <c r="G92" s="557">
        <f t="shared" si="57"/>
        <v>0.17140465033089988</v>
      </c>
      <c r="H92" s="557">
        <f t="shared" si="57"/>
        <v>0.24195877146048242</v>
      </c>
      <c r="I92" s="557">
        <f t="shared" si="57"/>
        <v>0.31280319414296071</v>
      </c>
      <c r="J92" s="557">
        <f t="shared" si="57"/>
        <v>0.38251627515705122</v>
      </c>
      <c r="K92" s="557">
        <f t="shared" si="57"/>
        <v>0.47555985295828695</v>
      </c>
      <c r="L92" s="557">
        <f t="shared" si="57"/>
        <v>0.54599381797498137</v>
      </c>
      <c r="M92" s="557">
        <f t="shared" si="57"/>
        <v>0.62774980996716034</v>
      </c>
      <c r="N92" s="557">
        <f t="shared" si="57"/>
        <v>0.69863551140057811</v>
      </c>
      <c r="O92" s="557">
        <f t="shared" si="57"/>
        <v>0.76856298867568329</v>
      </c>
      <c r="P92" s="557">
        <f t="shared" si="57"/>
        <v>0.85372561721779128</v>
      </c>
      <c r="Q92" s="557">
        <f t="shared" si="57"/>
        <v>0.84534815802558361</v>
      </c>
      <c r="R92" s="557">
        <f t="shared" si="57"/>
        <v>0.92321483065009935</v>
      </c>
      <c r="U92" s="343"/>
      <c r="W92" s="50"/>
      <c r="X92" s="50"/>
      <c r="Y92" s="50"/>
      <c r="Z92" s="50"/>
      <c r="AA92" s="50"/>
      <c r="AB92" s="50"/>
      <c r="AC92" s="50"/>
      <c r="AD92" s="50"/>
      <c r="AE92" s="50"/>
      <c r="AF92" s="50"/>
      <c r="AG92" s="50"/>
      <c r="AH92" s="50"/>
      <c r="AI92" s="50"/>
      <c r="AJ92" s="50"/>
      <c r="AK92" s="50"/>
      <c r="AL92" s="50"/>
      <c r="AM92" s="50"/>
      <c r="AN92" s="50"/>
      <c r="AO92" s="50"/>
    </row>
    <row r="93" spans="1:41">
      <c r="A93" s="346">
        <f>ROW()</f>
        <v>93</v>
      </c>
      <c r="B93" s="13"/>
      <c r="C93" s="13"/>
      <c r="D93" s="13"/>
      <c r="E93" s="556"/>
      <c r="F93" s="557"/>
      <c r="G93" s="557"/>
      <c r="H93" s="557"/>
      <c r="I93" s="557"/>
      <c r="J93" s="557"/>
      <c r="K93" s="557"/>
      <c r="L93" s="557"/>
      <c r="M93" s="557"/>
      <c r="N93" s="557"/>
      <c r="O93" s="557"/>
      <c r="P93" s="557"/>
      <c r="Q93" s="557"/>
      <c r="R93" s="557"/>
      <c r="U93" s="343"/>
      <c r="W93" s="50"/>
      <c r="X93" s="50"/>
      <c r="Y93" s="50"/>
      <c r="Z93" s="50"/>
      <c r="AA93" s="50"/>
      <c r="AB93" s="50"/>
      <c r="AC93" s="50"/>
      <c r="AD93" s="50"/>
      <c r="AE93" s="50"/>
      <c r="AF93" s="50"/>
      <c r="AG93" s="50"/>
      <c r="AH93" s="50"/>
      <c r="AI93" s="50"/>
      <c r="AJ93" s="50"/>
      <c r="AK93" s="50"/>
      <c r="AL93" s="50"/>
      <c r="AM93" s="50"/>
      <c r="AN93" s="50"/>
      <c r="AO93" s="50"/>
    </row>
    <row r="94" spans="1:41" ht="17.399999999999999">
      <c r="A94" s="346">
        <f>ROW()</f>
        <v>94</v>
      </c>
      <c r="B94" s="78" t="s">
        <v>547</v>
      </c>
      <c r="C94" s="13"/>
      <c r="D94" s="13"/>
      <c r="E94" s="556"/>
      <c r="F94" s="557"/>
      <c r="G94" s="557"/>
      <c r="H94" s="557"/>
      <c r="I94" s="557"/>
      <c r="J94" s="557"/>
      <c r="K94" s="557"/>
      <c r="L94" s="557"/>
      <c r="M94" s="557"/>
      <c r="N94" s="557"/>
      <c r="O94" s="557"/>
      <c r="P94" s="557"/>
      <c r="Q94" s="557"/>
      <c r="R94" s="557"/>
      <c r="U94" s="343"/>
      <c r="W94" s="50"/>
      <c r="X94" s="50"/>
      <c r="Y94" s="50"/>
      <c r="Z94" s="50"/>
      <c r="AA94" s="50"/>
      <c r="AB94" s="50"/>
      <c r="AC94" s="50"/>
      <c r="AD94" s="50"/>
      <c r="AE94" s="50"/>
      <c r="AF94" s="50"/>
      <c r="AG94" s="50"/>
      <c r="AH94" s="50"/>
      <c r="AI94" s="50"/>
      <c r="AJ94" s="50"/>
      <c r="AK94" s="50"/>
      <c r="AL94" s="50"/>
      <c r="AM94" s="50"/>
      <c r="AN94" s="50"/>
      <c r="AO94" s="50"/>
    </row>
    <row r="95" spans="1:41">
      <c r="A95" s="346">
        <f>ROW()</f>
        <v>95</v>
      </c>
      <c r="B95" s="12"/>
      <c r="C95" s="12"/>
      <c r="D95" s="12"/>
      <c r="E95" s="558"/>
      <c r="F95" s="559"/>
      <c r="G95" s="558"/>
      <c r="H95" s="558"/>
      <c r="I95" s="558"/>
      <c r="J95" s="559"/>
      <c r="K95" s="558"/>
      <c r="L95" s="558"/>
      <c r="M95" s="558"/>
      <c r="N95" s="559"/>
      <c r="O95" s="558"/>
      <c r="P95" s="558"/>
      <c r="Q95" s="558"/>
      <c r="R95" s="558"/>
      <c r="U95" s="343"/>
      <c r="W95" s="50"/>
      <c r="X95" s="50"/>
      <c r="Y95" s="50"/>
      <c r="Z95" s="50"/>
      <c r="AA95" s="50"/>
      <c r="AB95" s="50"/>
      <c r="AC95" s="50"/>
      <c r="AD95" s="50"/>
      <c r="AE95" s="50"/>
      <c r="AF95" s="50"/>
      <c r="AG95" s="50"/>
      <c r="AH95" s="50"/>
      <c r="AI95" s="50"/>
      <c r="AJ95" s="50"/>
      <c r="AK95" s="50"/>
      <c r="AL95" s="50"/>
      <c r="AM95" s="50"/>
      <c r="AN95" s="50"/>
      <c r="AO95" s="50"/>
    </row>
    <row r="96" spans="1:41">
      <c r="A96" s="346">
        <f>ROW()</f>
        <v>96</v>
      </c>
      <c r="B96" s="83" t="s">
        <v>187</v>
      </c>
      <c r="C96" s="83"/>
      <c r="D96" s="83"/>
      <c r="E96" s="543"/>
      <c r="F96" s="543"/>
      <c r="G96" s="543"/>
      <c r="H96" s="543"/>
      <c r="I96" s="543"/>
      <c r="J96" s="543"/>
      <c r="K96" s="543"/>
      <c r="L96" s="543"/>
      <c r="M96" s="543"/>
      <c r="N96" s="543"/>
      <c r="O96" s="543"/>
      <c r="P96" s="543"/>
      <c r="Q96" s="543"/>
      <c r="R96" s="543"/>
      <c r="U96" s="343"/>
      <c r="W96" s="50"/>
      <c r="X96" s="50"/>
      <c r="Y96" s="50"/>
      <c r="Z96" s="50"/>
      <c r="AA96" s="50"/>
      <c r="AB96" s="50"/>
      <c r="AC96" s="50"/>
      <c r="AD96" s="50"/>
      <c r="AE96" s="50"/>
      <c r="AF96" s="50"/>
      <c r="AG96" s="50"/>
      <c r="AH96" s="50"/>
      <c r="AI96" s="50"/>
      <c r="AJ96" s="50"/>
      <c r="AK96" s="50"/>
      <c r="AL96" s="50"/>
      <c r="AM96" s="50"/>
      <c r="AN96" s="50"/>
      <c r="AO96" s="50"/>
    </row>
    <row r="97" spans="1:41">
      <c r="A97" s="346">
        <f>ROW()</f>
        <v>97</v>
      </c>
      <c r="B97" s="12" t="s">
        <v>548</v>
      </c>
      <c r="C97" s="12"/>
      <c r="D97" s="12"/>
      <c r="E97" s="871">
        <f t="shared" ref="E97:R97" si="58">IFERROR(E39/E$34,0)</f>
        <v>0.3905324146592869</v>
      </c>
      <c r="F97" s="871">
        <f t="shared" si="58"/>
        <v>0.455604563202399</v>
      </c>
      <c r="G97" s="871">
        <f t="shared" si="58"/>
        <v>0.32552988103587632</v>
      </c>
      <c r="H97" s="871">
        <f t="shared" si="58"/>
        <v>0.46126816286239208</v>
      </c>
      <c r="I97" s="871">
        <f t="shared" si="58"/>
        <v>0.45937800893199071</v>
      </c>
      <c r="J97" s="871">
        <f t="shared" si="58"/>
        <v>0.46683304427809347</v>
      </c>
      <c r="K97" s="871">
        <f t="shared" si="58"/>
        <v>0.34977556328859277</v>
      </c>
      <c r="L97" s="871">
        <f t="shared" si="58"/>
        <v>0.462055058636831</v>
      </c>
      <c r="M97" s="871">
        <f t="shared" si="58"/>
        <v>0.39806709016418612</v>
      </c>
      <c r="N97" s="871">
        <f t="shared" si="58"/>
        <v>0.45911050011096838</v>
      </c>
      <c r="O97" s="871">
        <f t="shared" si="58"/>
        <v>0.46540174340594026</v>
      </c>
      <c r="P97" s="871">
        <f t="shared" si="58"/>
        <v>0.38214379232930717</v>
      </c>
      <c r="Q97" s="871">
        <f t="shared" si="58"/>
        <v>0.42383666157604788</v>
      </c>
      <c r="R97" s="871">
        <f t="shared" si="58"/>
        <v>0</v>
      </c>
      <c r="U97" s="343"/>
      <c r="W97" s="50"/>
      <c r="X97" s="50"/>
      <c r="Y97" s="50"/>
      <c r="Z97" s="50"/>
      <c r="AA97" s="50"/>
      <c r="AB97" s="50"/>
      <c r="AC97" s="50"/>
      <c r="AD97" s="50"/>
      <c r="AE97" s="50"/>
      <c r="AF97" s="50"/>
      <c r="AG97" s="50"/>
      <c r="AH97" s="50"/>
      <c r="AI97" s="50"/>
      <c r="AJ97" s="50"/>
      <c r="AK97" s="50"/>
      <c r="AL97" s="50"/>
      <c r="AM97" s="50"/>
      <c r="AN97" s="50"/>
      <c r="AO97" s="50"/>
    </row>
    <row r="98" spans="1:41">
      <c r="A98" s="346">
        <f>ROW()</f>
        <v>98</v>
      </c>
      <c r="B98" s="12" t="s">
        <v>549</v>
      </c>
      <c r="C98" s="12"/>
      <c r="D98" s="12"/>
      <c r="E98" s="553">
        <f>IFERROR(#REF!/E$34,0)</f>
        <v>0</v>
      </c>
      <c r="F98" s="553">
        <f>IFERROR(#REF!/F$34,0)</f>
        <v>0</v>
      </c>
      <c r="G98" s="553">
        <f>IFERROR(#REF!/G$34,0)</f>
        <v>0</v>
      </c>
      <c r="H98" s="553">
        <f>IFERROR(#REF!/H$34,0)</f>
        <v>0</v>
      </c>
      <c r="I98" s="553">
        <f>IFERROR(#REF!/I$34,0)</f>
        <v>0</v>
      </c>
      <c r="J98" s="553">
        <f>IFERROR(#REF!/J$34,0)</f>
        <v>0</v>
      </c>
      <c r="K98" s="553">
        <f>IFERROR(#REF!/K$34,0)</f>
        <v>0</v>
      </c>
      <c r="L98" s="553">
        <f>IFERROR(#REF!/L$34,0)</f>
        <v>0</v>
      </c>
      <c r="M98" s="553">
        <f>IFERROR(#REF!/M$34,0)</f>
        <v>0</v>
      </c>
      <c r="N98" s="553">
        <f>IFERROR(#REF!/N$34,0)</f>
        <v>0</v>
      </c>
      <c r="O98" s="553">
        <f>IFERROR(#REF!/O$34,0)</f>
        <v>0</v>
      </c>
      <c r="P98" s="553">
        <f>IFERROR(#REF!/P$34,0)</f>
        <v>0</v>
      </c>
      <c r="Q98" s="553">
        <f>IFERROR(#REF!/Q$34,0)</f>
        <v>0</v>
      </c>
      <c r="R98" s="553">
        <f>IFERROR(#REF!/R$34,0)</f>
        <v>0</v>
      </c>
      <c r="U98" s="343"/>
      <c r="W98" s="50"/>
      <c r="X98" s="50"/>
      <c r="Y98" s="50"/>
      <c r="Z98" s="50"/>
      <c r="AA98" s="50"/>
      <c r="AB98" s="50"/>
      <c r="AC98" s="50"/>
      <c r="AD98" s="50"/>
      <c r="AE98" s="50"/>
      <c r="AF98" s="50"/>
      <c r="AG98" s="50"/>
      <c r="AH98" s="50"/>
      <c r="AI98" s="50"/>
      <c r="AJ98" s="50"/>
      <c r="AK98" s="50"/>
      <c r="AL98" s="50"/>
      <c r="AM98" s="50"/>
      <c r="AN98" s="50"/>
      <c r="AO98" s="50"/>
    </row>
    <row r="99" spans="1:41">
      <c r="A99" s="346">
        <f>ROW()</f>
        <v>99</v>
      </c>
      <c r="B99" s="12" t="s">
        <v>550</v>
      </c>
      <c r="C99" s="12"/>
      <c r="D99" s="12"/>
      <c r="E99" s="553">
        <f>IFERROR(#REF!/E$34,0)</f>
        <v>0</v>
      </c>
      <c r="F99" s="553">
        <f>IFERROR(#REF!/F$34,0)</f>
        <v>0</v>
      </c>
      <c r="G99" s="553">
        <f>IFERROR(#REF!/G$34,0)</f>
        <v>0</v>
      </c>
      <c r="H99" s="553">
        <f>IFERROR(#REF!/H$34,0)</f>
        <v>0</v>
      </c>
      <c r="I99" s="553">
        <f>IFERROR(#REF!/I$34,0)</f>
        <v>0</v>
      </c>
      <c r="J99" s="553">
        <f>IFERROR(#REF!/J$34,0)</f>
        <v>0</v>
      </c>
      <c r="K99" s="553">
        <f>IFERROR(#REF!/K$34,0)</f>
        <v>0</v>
      </c>
      <c r="L99" s="553">
        <f>IFERROR(#REF!/L$34,0)</f>
        <v>0</v>
      </c>
      <c r="M99" s="553">
        <f>IFERROR(#REF!/M$34,0)</f>
        <v>0</v>
      </c>
      <c r="N99" s="553">
        <f>IFERROR(#REF!/N$34,0)</f>
        <v>0</v>
      </c>
      <c r="O99" s="553">
        <f>IFERROR(#REF!/O$34,0)</f>
        <v>0</v>
      </c>
      <c r="P99" s="553">
        <f>IFERROR(#REF!/P$34,0)</f>
        <v>0</v>
      </c>
      <c r="Q99" s="553">
        <f>IFERROR(#REF!/Q$34,0)</f>
        <v>0</v>
      </c>
      <c r="R99" s="553">
        <f>IFERROR(#REF!/R$34,0)</f>
        <v>0</v>
      </c>
      <c r="U99" s="343"/>
      <c r="W99" s="50"/>
      <c r="X99" s="50"/>
      <c r="Y99" s="50"/>
      <c r="Z99" s="50"/>
      <c r="AA99" s="50"/>
      <c r="AB99" s="50"/>
      <c r="AC99" s="50"/>
      <c r="AD99" s="50"/>
      <c r="AE99" s="50"/>
      <c r="AF99" s="50"/>
      <c r="AG99" s="50"/>
      <c r="AH99" s="50"/>
      <c r="AI99" s="50"/>
      <c r="AJ99" s="50"/>
      <c r="AK99" s="50"/>
      <c r="AL99" s="50"/>
      <c r="AM99" s="50"/>
      <c r="AN99" s="50"/>
      <c r="AO99" s="50"/>
    </row>
    <row r="100" spans="1:41">
      <c r="A100" s="346">
        <f>ROW()</f>
        <v>100</v>
      </c>
      <c r="B100" s="12" t="s">
        <v>551</v>
      </c>
      <c r="C100" s="12"/>
      <c r="D100" s="12"/>
      <c r="E100" s="553">
        <f>IFERROR(#REF!/E$34,0)</f>
        <v>0</v>
      </c>
      <c r="F100" s="553">
        <f>IFERROR(#REF!/F$34,0)</f>
        <v>0</v>
      </c>
      <c r="G100" s="553">
        <f>IFERROR(#REF!/G$34,0)</f>
        <v>0</v>
      </c>
      <c r="H100" s="553">
        <f>IFERROR(#REF!/H$34,0)</f>
        <v>0</v>
      </c>
      <c r="I100" s="553">
        <f>IFERROR(#REF!/I$34,0)</f>
        <v>0</v>
      </c>
      <c r="J100" s="553">
        <f>IFERROR(#REF!/J$34,0)</f>
        <v>0</v>
      </c>
      <c r="K100" s="553">
        <f>IFERROR(#REF!/K$34,0)</f>
        <v>0</v>
      </c>
      <c r="L100" s="553">
        <f>IFERROR(#REF!/L$34,0)</f>
        <v>0</v>
      </c>
      <c r="M100" s="553">
        <f>IFERROR(#REF!/M$34,0)</f>
        <v>0</v>
      </c>
      <c r="N100" s="553">
        <f>IFERROR(#REF!/N$34,0)</f>
        <v>0</v>
      </c>
      <c r="O100" s="553">
        <f>IFERROR(#REF!/O$34,0)</f>
        <v>0</v>
      </c>
      <c r="P100" s="553">
        <f>IFERROR(#REF!/P$34,0)</f>
        <v>0</v>
      </c>
      <c r="Q100" s="553">
        <f>IFERROR(#REF!/Q$34,0)</f>
        <v>0</v>
      </c>
      <c r="R100" s="553">
        <f>IFERROR(#REF!/R$34,0)</f>
        <v>0</v>
      </c>
      <c r="U100" s="343"/>
      <c r="W100" s="50"/>
      <c r="X100" s="50"/>
      <c r="Y100" s="50"/>
      <c r="Z100" s="50"/>
      <c r="AA100" s="50"/>
      <c r="AB100" s="50"/>
      <c r="AC100" s="50"/>
      <c r="AD100" s="50"/>
      <c r="AE100" s="50"/>
      <c r="AF100" s="50"/>
      <c r="AG100" s="50"/>
      <c r="AH100" s="50"/>
      <c r="AI100" s="50"/>
      <c r="AJ100" s="50"/>
      <c r="AK100" s="50"/>
      <c r="AL100" s="50"/>
      <c r="AM100" s="50"/>
      <c r="AN100" s="50"/>
      <c r="AO100" s="50"/>
    </row>
    <row r="101" spans="1:41">
      <c r="A101" s="346">
        <f>ROW()</f>
        <v>101</v>
      </c>
      <c r="B101" s="12" t="s">
        <v>552</v>
      </c>
      <c r="C101" s="12"/>
      <c r="D101" s="12"/>
      <c r="E101" s="553">
        <f>IFERROR(#REF!/E$34,0)</f>
        <v>0</v>
      </c>
      <c r="F101" s="553">
        <f>IFERROR(#REF!/F$34,0)</f>
        <v>0</v>
      </c>
      <c r="G101" s="553">
        <f>IFERROR(#REF!/G$34,0)</f>
        <v>0</v>
      </c>
      <c r="H101" s="553">
        <f>IFERROR(#REF!/H$34,0)</f>
        <v>0</v>
      </c>
      <c r="I101" s="553">
        <f>IFERROR(#REF!/I$34,0)</f>
        <v>0</v>
      </c>
      <c r="J101" s="553">
        <f>IFERROR(#REF!/J$34,0)</f>
        <v>0</v>
      </c>
      <c r="K101" s="553">
        <f>IFERROR(#REF!/K$34,0)</f>
        <v>0</v>
      </c>
      <c r="L101" s="553">
        <f>IFERROR(#REF!/L$34,0)</f>
        <v>0</v>
      </c>
      <c r="M101" s="553">
        <f>IFERROR(#REF!/M$34,0)</f>
        <v>0</v>
      </c>
      <c r="N101" s="553">
        <f>IFERROR(#REF!/N$34,0)</f>
        <v>0</v>
      </c>
      <c r="O101" s="553">
        <f>IFERROR(#REF!/O$34,0)</f>
        <v>0</v>
      </c>
      <c r="P101" s="553">
        <f>IFERROR(#REF!/P$34,0)</f>
        <v>0</v>
      </c>
      <c r="Q101" s="553">
        <f>IFERROR(#REF!/Q$34,0)</f>
        <v>0</v>
      </c>
      <c r="R101" s="553">
        <f>IFERROR(#REF!/R$34,0)</f>
        <v>0</v>
      </c>
      <c r="U101" s="343"/>
      <c r="W101" s="50"/>
      <c r="X101" s="50"/>
      <c r="Y101" s="50"/>
      <c r="Z101" s="50"/>
      <c r="AA101" s="50"/>
      <c r="AB101" s="50"/>
      <c r="AC101" s="50"/>
      <c r="AD101" s="50"/>
      <c r="AE101" s="50"/>
      <c r="AF101" s="50"/>
      <c r="AG101" s="50"/>
      <c r="AH101" s="50"/>
      <c r="AI101" s="50"/>
      <c r="AJ101" s="50"/>
      <c r="AK101" s="50"/>
      <c r="AL101" s="50"/>
      <c r="AM101" s="50"/>
      <c r="AN101" s="50"/>
      <c r="AO101" s="50"/>
    </row>
    <row r="102" spans="1:41">
      <c r="A102" s="346">
        <f>ROW()</f>
        <v>102</v>
      </c>
      <c r="B102" s="12" t="s">
        <v>516</v>
      </c>
      <c r="C102" s="12"/>
      <c r="D102" s="12"/>
      <c r="E102" s="553">
        <f t="shared" ref="E102:R102" si="59">IFERROR(E40/E$34,0)</f>
        <v>4.9776801062795938E-2</v>
      </c>
      <c r="F102" s="553">
        <f t="shared" si="59"/>
        <v>5.7732825772373528E-2</v>
      </c>
      <c r="G102" s="553">
        <f t="shared" si="59"/>
        <v>4.1513609076090231E-2</v>
      </c>
      <c r="H102" s="553">
        <f t="shared" si="59"/>
        <v>5.8823804842066972E-2</v>
      </c>
      <c r="I102" s="553">
        <f t="shared" si="59"/>
        <v>5.8582760575683117E-2</v>
      </c>
      <c r="J102" s="553">
        <f t="shared" si="59"/>
        <v>5.953347337053231E-2</v>
      </c>
      <c r="K102" s="553">
        <f t="shared" si="59"/>
        <v>4.4605570316697332E-2</v>
      </c>
      <c r="L102" s="553">
        <f t="shared" si="59"/>
        <v>5.8924154719195709E-2</v>
      </c>
      <c r="M102" s="553">
        <f t="shared" si="59"/>
        <v>5.0764008251861704E-2</v>
      </c>
      <c r="N102" s="553">
        <f t="shared" si="59"/>
        <v>5.8548646175539606E-2</v>
      </c>
      <c r="O102" s="553">
        <f t="shared" si="59"/>
        <v>5.9350944919725396E-2</v>
      </c>
      <c r="P102" s="553">
        <f t="shared" si="59"/>
        <v>4.8733369591546317E-2</v>
      </c>
      <c r="Q102" s="553">
        <f t="shared" si="59"/>
        <v>5.4050305381471507E-2</v>
      </c>
      <c r="R102" s="553">
        <f t="shared" si="59"/>
        <v>0</v>
      </c>
      <c r="U102" s="343"/>
      <c r="W102" s="50"/>
      <c r="X102" s="50"/>
      <c r="Y102" s="50"/>
      <c r="Z102" s="50"/>
      <c r="AA102" s="50"/>
      <c r="AB102" s="50"/>
      <c r="AC102" s="50"/>
      <c r="AD102" s="50"/>
      <c r="AE102" s="50"/>
      <c r="AF102" s="50"/>
      <c r="AG102" s="50"/>
      <c r="AH102" s="50"/>
      <c r="AI102" s="50"/>
      <c r="AJ102" s="50"/>
      <c r="AK102" s="50"/>
      <c r="AL102" s="50"/>
      <c r="AM102" s="50"/>
      <c r="AN102" s="50"/>
      <c r="AO102" s="50"/>
    </row>
    <row r="103" spans="1:41">
      <c r="A103" s="346">
        <f>ROW()</f>
        <v>103</v>
      </c>
      <c r="B103" s="12" t="s">
        <v>553</v>
      </c>
      <c r="C103" s="12"/>
      <c r="D103" s="12"/>
      <c r="E103" s="553">
        <f t="shared" ref="E103:R103" si="60">IFERROR(E41/E$34,0)</f>
        <v>0.29568056811183163</v>
      </c>
      <c r="F103" s="553">
        <f t="shared" si="60"/>
        <v>0.34494833131128155</v>
      </c>
      <c r="G103" s="553">
        <f t="shared" si="60"/>
        <v>0.24646572419863963</v>
      </c>
      <c r="H103" s="553">
        <f t="shared" si="60"/>
        <v>0.34923611758124962</v>
      </c>
      <c r="I103" s="553">
        <f t="shared" si="60"/>
        <v>0.34780504109812971</v>
      </c>
      <c r="J103" s="553">
        <f t="shared" si="60"/>
        <v>0.3534494098413517</v>
      </c>
      <c r="K103" s="553">
        <f t="shared" si="60"/>
        <v>0.26482265541518524</v>
      </c>
      <c r="L103" s="553">
        <f t="shared" si="60"/>
        <v>0.34983189341693877</v>
      </c>
      <c r="M103" s="553">
        <f t="shared" si="60"/>
        <v>0.30138521645006439</v>
      </c>
      <c r="N103" s="553">
        <f t="shared" si="60"/>
        <v>0.34760250437525497</v>
      </c>
      <c r="O103" s="553">
        <f t="shared" si="60"/>
        <v>0.35236574094779621</v>
      </c>
      <c r="P103" s="553">
        <f t="shared" si="60"/>
        <v>0.28932934274650246</v>
      </c>
      <c r="Q103" s="553">
        <f t="shared" si="60"/>
        <v>0.32089591715779175</v>
      </c>
      <c r="R103" s="553">
        <f t="shared" si="60"/>
        <v>0</v>
      </c>
      <c r="U103" s="343"/>
      <c r="W103" s="50"/>
      <c r="X103" s="50"/>
      <c r="Y103" s="50"/>
      <c r="Z103" s="50"/>
      <c r="AA103" s="50"/>
      <c r="AB103" s="50"/>
      <c r="AC103" s="50"/>
      <c r="AD103" s="50"/>
      <c r="AE103" s="50"/>
      <c r="AF103" s="50"/>
      <c r="AG103" s="50"/>
      <c r="AH103" s="50"/>
      <c r="AI103" s="50"/>
      <c r="AJ103" s="50"/>
      <c r="AK103" s="50"/>
      <c r="AL103" s="50"/>
      <c r="AM103" s="50"/>
      <c r="AN103" s="50"/>
      <c r="AO103" s="50"/>
    </row>
    <row r="104" spans="1:41">
      <c r="A104" s="346">
        <f>ROW()</f>
        <v>104</v>
      </c>
      <c r="B104" s="12" t="s">
        <v>554</v>
      </c>
      <c r="C104" s="12"/>
      <c r="D104" s="12"/>
      <c r="E104" s="553">
        <f>IFERROR(#REF!/E$34,0)</f>
        <v>0</v>
      </c>
      <c r="F104" s="553">
        <f>IFERROR(#REF!/F$34,0)</f>
        <v>0</v>
      </c>
      <c r="G104" s="553">
        <f>IFERROR(#REF!/G$34,0)</f>
        <v>0</v>
      </c>
      <c r="H104" s="553">
        <f>IFERROR(#REF!/H$34,0)</f>
        <v>0</v>
      </c>
      <c r="I104" s="553">
        <f>IFERROR(#REF!/I$34,0)</f>
        <v>0</v>
      </c>
      <c r="J104" s="553">
        <f>IFERROR(#REF!/J$34,0)</f>
        <v>0</v>
      </c>
      <c r="K104" s="553">
        <f>IFERROR(#REF!/K$34,0)</f>
        <v>0</v>
      </c>
      <c r="L104" s="553">
        <f>IFERROR(#REF!/L$34,0)</f>
        <v>0</v>
      </c>
      <c r="M104" s="553">
        <f>IFERROR(#REF!/M$34,0)</f>
        <v>0</v>
      </c>
      <c r="N104" s="553">
        <f>IFERROR(#REF!/N$34,0)</f>
        <v>0</v>
      </c>
      <c r="O104" s="553">
        <f>IFERROR(#REF!/O$34,0)</f>
        <v>0</v>
      </c>
      <c r="P104" s="553">
        <f>IFERROR(#REF!/P$34,0)</f>
        <v>0</v>
      </c>
      <c r="Q104" s="553">
        <f>IFERROR(#REF!/Q$34,0)</f>
        <v>0</v>
      </c>
      <c r="R104" s="553">
        <f>IFERROR(#REF!/R$34,0)</f>
        <v>0</v>
      </c>
      <c r="U104" s="343"/>
      <c r="W104" s="50"/>
      <c r="X104" s="50"/>
      <c r="Y104" s="50"/>
      <c r="Z104" s="50"/>
      <c r="AA104" s="50"/>
      <c r="AB104" s="50"/>
      <c r="AC104" s="50"/>
      <c r="AD104" s="50"/>
      <c r="AE104" s="50"/>
      <c r="AF104" s="50"/>
      <c r="AG104" s="50"/>
      <c r="AH104" s="50"/>
      <c r="AI104" s="50"/>
      <c r="AJ104" s="50"/>
      <c r="AK104" s="50"/>
      <c r="AL104" s="50"/>
      <c r="AM104" s="50"/>
      <c r="AN104" s="50"/>
      <c r="AO104" s="50"/>
    </row>
    <row r="105" spans="1:41">
      <c r="A105" s="346">
        <f>ROW()</f>
        <v>105</v>
      </c>
      <c r="B105" s="12" t="s">
        <v>174</v>
      </c>
      <c r="C105" s="12"/>
      <c r="D105" s="12"/>
      <c r="E105" s="553">
        <f t="shared" ref="E105:R105" si="61">IFERROR(E42/E$34,0)</f>
        <v>0</v>
      </c>
      <c r="F105" s="553">
        <f t="shared" si="61"/>
        <v>0</v>
      </c>
      <c r="G105" s="553">
        <f t="shared" si="61"/>
        <v>0</v>
      </c>
      <c r="H105" s="553">
        <f t="shared" si="61"/>
        <v>0</v>
      </c>
      <c r="I105" s="553">
        <f t="shared" si="61"/>
        <v>0</v>
      </c>
      <c r="J105" s="553">
        <f t="shared" si="61"/>
        <v>0</v>
      </c>
      <c r="K105" s="553">
        <f t="shared" si="61"/>
        <v>0</v>
      </c>
      <c r="L105" s="553">
        <f t="shared" si="61"/>
        <v>0</v>
      </c>
      <c r="M105" s="553">
        <f t="shared" si="61"/>
        <v>0</v>
      </c>
      <c r="N105" s="553">
        <f t="shared" si="61"/>
        <v>0</v>
      </c>
      <c r="O105" s="553">
        <f t="shared" si="61"/>
        <v>0</v>
      </c>
      <c r="P105" s="553">
        <f t="shared" si="61"/>
        <v>0</v>
      </c>
      <c r="Q105" s="553">
        <f t="shared" si="61"/>
        <v>0</v>
      </c>
      <c r="R105" s="553">
        <f t="shared" si="61"/>
        <v>0</v>
      </c>
      <c r="U105" s="343"/>
      <c r="W105" s="50"/>
      <c r="X105" s="50"/>
      <c r="Y105" s="50"/>
      <c r="Z105" s="50"/>
      <c r="AA105" s="50"/>
      <c r="AB105" s="50"/>
      <c r="AC105" s="50"/>
      <c r="AD105" s="50"/>
      <c r="AE105" s="50"/>
      <c r="AF105" s="50"/>
      <c r="AG105" s="50"/>
      <c r="AH105" s="50"/>
      <c r="AI105" s="50"/>
      <c r="AJ105" s="50"/>
      <c r="AK105" s="50"/>
      <c r="AL105" s="50"/>
      <c r="AM105" s="50"/>
      <c r="AN105" s="50"/>
      <c r="AO105" s="50"/>
    </row>
    <row r="106" spans="1:41">
      <c r="A106" s="346">
        <f>ROW()</f>
        <v>106</v>
      </c>
      <c r="B106" s="116" t="s">
        <v>521</v>
      </c>
      <c r="C106" s="12"/>
      <c r="D106" s="12"/>
      <c r="E106" s="553">
        <f t="shared" ref="E106:R106" si="62">IFERROR(E43/E$34,0)</f>
        <v>0</v>
      </c>
      <c r="F106" s="553">
        <f t="shared" si="62"/>
        <v>0</v>
      </c>
      <c r="G106" s="553">
        <f t="shared" si="62"/>
        <v>0</v>
      </c>
      <c r="H106" s="553">
        <f t="shared" si="62"/>
        <v>0</v>
      </c>
      <c r="I106" s="553">
        <f t="shared" si="62"/>
        <v>0</v>
      </c>
      <c r="J106" s="553">
        <f t="shared" si="62"/>
        <v>0</v>
      </c>
      <c r="K106" s="553">
        <f t="shared" si="62"/>
        <v>0</v>
      </c>
      <c r="L106" s="553">
        <f t="shared" si="62"/>
        <v>0</v>
      </c>
      <c r="M106" s="553">
        <f t="shared" si="62"/>
        <v>0</v>
      </c>
      <c r="N106" s="553">
        <f t="shared" si="62"/>
        <v>0</v>
      </c>
      <c r="O106" s="553">
        <f t="shared" si="62"/>
        <v>0</v>
      </c>
      <c r="P106" s="553">
        <f t="shared" si="62"/>
        <v>0</v>
      </c>
      <c r="Q106" s="553">
        <f t="shared" si="62"/>
        <v>0</v>
      </c>
      <c r="R106" s="553">
        <f t="shared" si="62"/>
        <v>0</v>
      </c>
      <c r="U106" s="343"/>
      <c r="W106" s="50"/>
      <c r="X106" s="50"/>
      <c r="Y106" s="50"/>
      <c r="Z106" s="50"/>
      <c r="AA106" s="50"/>
      <c r="AB106" s="50"/>
      <c r="AC106" s="50"/>
      <c r="AD106" s="50"/>
      <c r="AE106" s="50"/>
      <c r="AF106" s="50"/>
      <c r="AG106" s="50"/>
      <c r="AH106" s="50"/>
      <c r="AI106" s="50"/>
      <c r="AJ106" s="50"/>
      <c r="AK106" s="50"/>
      <c r="AL106" s="50"/>
      <c r="AM106" s="50"/>
      <c r="AN106" s="50"/>
      <c r="AO106" s="50"/>
    </row>
    <row r="107" spans="1:41">
      <c r="A107" s="346">
        <f>ROW()</f>
        <v>107</v>
      </c>
      <c r="B107" s="33" t="s">
        <v>130</v>
      </c>
      <c r="C107" s="12"/>
      <c r="D107" s="12"/>
      <c r="E107" s="553">
        <f t="shared" ref="E107:R107" si="63">IFERROR(E45/E$34,0)</f>
        <v>4.5947210529823628E-3</v>
      </c>
      <c r="F107" s="553">
        <f t="shared" si="63"/>
        <v>5.3603162703192179E-3</v>
      </c>
      <c r="G107" s="553">
        <f t="shared" si="63"/>
        <v>3.8299481736172969E-3</v>
      </c>
      <c r="H107" s="553">
        <f t="shared" si="63"/>
        <v>5.4269462215910235E-3</v>
      </c>
      <c r="I107" s="553">
        <f t="shared" si="63"/>
        <v>5.4047080431154863E-3</v>
      </c>
      <c r="J107" s="553">
        <f t="shared" si="63"/>
        <v>5.4924185749941614E-3</v>
      </c>
      <c r="K107" s="553">
        <f t="shared" si="63"/>
        <v>4.1152052632780238E-3</v>
      </c>
      <c r="L107" s="553">
        <f t="shared" si="63"/>
        <v>5.4362042658127989E-3</v>
      </c>
      <c r="M107" s="553">
        <f t="shared" si="63"/>
        <v>4.6833682981730768E-3</v>
      </c>
      <c r="N107" s="553">
        <f t="shared" si="63"/>
        <v>5.4015607285978727E-3</v>
      </c>
      <c r="O107" s="553">
        <f t="shared" si="63"/>
        <v>5.475578928373223E-3</v>
      </c>
      <c r="P107" s="553">
        <f t="shared" si="63"/>
        <v>4.4960263396819061E-3</v>
      </c>
      <c r="Q107" s="553">
        <f t="shared" si="63"/>
        <v>4.9865543609999285E-3</v>
      </c>
      <c r="R107" s="553">
        <f t="shared" si="63"/>
        <v>0</v>
      </c>
      <c r="U107" s="343"/>
      <c r="W107" s="50"/>
      <c r="X107" s="50"/>
      <c r="Y107" s="50"/>
      <c r="Z107" s="50"/>
      <c r="AA107" s="50"/>
      <c r="AB107" s="50"/>
      <c r="AC107" s="50"/>
      <c r="AD107" s="50"/>
      <c r="AE107" s="50"/>
      <c r="AF107" s="50"/>
      <c r="AG107" s="50"/>
      <c r="AH107" s="50"/>
      <c r="AI107" s="50"/>
      <c r="AJ107" s="50"/>
      <c r="AK107" s="50"/>
      <c r="AL107" s="50"/>
      <c r="AM107" s="50"/>
      <c r="AN107" s="50"/>
      <c r="AO107" s="50"/>
    </row>
    <row r="108" spans="1:41">
      <c r="A108" s="346">
        <f>ROW()</f>
        <v>108</v>
      </c>
      <c r="B108" s="12" t="s">
        <v>555</v>
      </c>
      <c r="C108" s="12"/>
      <c r="D108" s="12"/>
      <c r="E108" s="553">
        <f t="shared" ref="E108:R108" si="64">IFERROR(E46/E$34,0)</f>
        <v>6.2671437377859365E-2</v>
      </c>
      <c r="F108" s="553">
        <f t="shared" si="64"/>
        <v>7.311406320146005E-2</v>
      </c>
      <c r="G108" s="553">
        <f t="shared" si="64"/>
        <v>5.2240028144364618E-2</v>
      </c>
      <c r="H108" s="553">
        <f t="shared" si="64"/>
        <v>7.4022887648138982E-2</v>
      </c>
      <c r="I108" s="553">
        <f t="shared" si="64"/>
        <v>7.3719561593378238E-2</v>
      </c>
      <c r="J108" s="553">
        <f t="shared" si="64"/>
        <v>7.4915922600418086E-2</v>
      </c>
      <c r="K108" s="553">
        <f t="shared" si="64"/>
        <v>5.613090021801502E-2</v>
      </c>
      <c r="L108" s="553">
        <f t="shared" si="64"/>
        <v>7.4149166247426276E-2</v>
      </c>
      <c r="M108" s="553">
        <f t="shared" si="64"/>
        <v>6.3880575040761334E-2</v>
      </c>
      <c r="N108" s="553">
        <f t="shared" si="64"/>
        <v>7.3676632605432169E-2</v>
      </c>
      <c r="O108" s="553">
        <f t="shared" si="64"/>
        <v>7.4686231864789121E-2</v>
      </c>
      <c r="P108" s="553">
        <f t="shared" si="64"/>
        <v>6.1325253469671832E-2</v>
      </c>
      <c r="Q108" s="553">
        <f t="shared" si="64"/>
        <v>6.80159961318762E-2</v>
      </c>
      <c r="R108" s="553">
        <f t="shared" si="64"/>
        <v>0</v>
      </c>
      <c r="U108" s="343"/>
      <c r="W108" s="50"/>
      <c r="X108" s="50"/>
      <c r="Y108" s="50"/>
      <c r="Z108" s="50"/>
      <c r="AA108" s="50"/>
      <c r="AB108" s="50"/>
      <c r="AC108" s="50"/>
      <c r="AD108" s="50"/>
      <c r="AE108" s="50"/>
      <c r="AF108" s="50"/>
      <c r="AG108" s="50"/>
      <c r="AH108" s="50"/>
      <c r="AI108" s="50"/>
      <c r="AJ108" s="50"/>
      <c r="AK108" s="50"/>
      <c r="AL108" s="50"/>
      <c r="AM108" s="50"/>
      <c r="AN108" s="50"/>
      <c r="AO108" s="50"/>
    </row>
    <row r="109" spans="1:41">
      <c r="A109" s="346">
        <f>ROW()</f>
        <v>109</v>
      </c>
      <c r="B109" s="12" t="s">
        <v>556</v>
      </c>
      <c r="C109" s="12"/>
      <c r="D109" s="12"/>
      <c r="E109" s="553">
        <f>IFERROR(#REF!/E$34,0)</f>
        <v>0</v>
      </c>
      <c r="F109" s="553">
        <f>IFERROR(#REF!/F$34,0)</f>
        <v>0</v>
      </c>
      <c r="G109" s="553">
        <f>IFERROR(#REF!/G$34,0)</f>
        <v>0</v>
      </c>
      <c r="H109" s="553">
        <f>IFERROR(#REF!/H$34,0)</f>
        <v>0</v>
      </c>
      <c r="I109" s="553">
        <f>IFERROR(#REF!/I$34,0)</f>
        <v>0</v>
      </c>
      <c r="J109" s="553">
        <f>IFERROR(#REF!/J$34,0)</f>
        <v>0</v>
      </c>
      <c r="K109" s="553">
        <f>IFERROR(#REF!/K$34,0)</f>
        <v>0</v>
      </c>
      <c r="L109" s="553">
        <f>IFERROR(#REF!/L$34,0)</f>
        <v>0</v>
      </c>
      <c r="M109" s="553">
        <f>IFERROR(#REF!/M$34,0)</f>
        <v>0</v>
      </c>
      <c r="N109" s="553">
        <f>IFERROR(#REF!/N$34,0)</f>
        <v>0</v>
      </c>
      <c r="O109" s="553">
        <f>IFERROR(#REF!/O$34,0)</f>
        <v>0</v>
      </c>
      <c r="P109" s="553">
        <f>IFERROR(#REF!/P$34,0)</f>
        <v>0</v>
      </c>
      <c r="Q109" s="553">
        <f>IFERROR(#REF!/Q$34,0)</f>
        <v>0</v>
      </c>
      <c r="R109" s="553">
        <f>IFERROR(#REF!/R$34,0)</f>
        <v>0</v>
      </c>
      <c r="U109" s="343"/>
      <c r="W109" s="50"/>
      <c r="X109" s="50"/>
      <c r="Y109" s="50"/>
      <c r="Z109" s="50"/>
      <c r="AA109" s="50"/>
      <c r="AB109" s="50"/>
      <c r="AC109" s="50"/>
      <c r="AD109" s="50"/>
      <c r="AE109" s="50"/>
      <c r="AF109" s="50"/>
      <c r="AG109" s="50"/>
      <c r="AH109" s="50"/>
      <c r="AI109" s="50"/>
      <c r="AJ109" s="50"/>
      <c r="AK109" s="50"/>
      <c r="AL109" s="50"/>
      <c r="AM109" s="50"/>
      <c r="AN109" s="50"/>
      <c r="AO109" s="50"/>
    </row>
    <row r="110" spans="1:41">
      <c r="A110" s="346">
        <f>ROW()</f>
        <v>110</v>
      </c>
      <c r="B110" s="12" t="s">
        <v>557</v>
      </c>
      <c r="C110" s="12"/>
      <c r="D110" s="12"/>
      <c r="E110" s="553">
        <f>IFERROR(#REF!/E$34,0)</f>
        <v>0</v>
      </c>
      <c r="F110" s="553">
        <f>IFERROR(#REF!/F$34,0)</f>
        <v>0</v>
      </c>
      <c r="G110" s="553">
        <f>IFERROR(#REF!/G$34,0)</f>
        <v>0</v>
      </c>
      <c r="H110" s="553">
        <f>IFERROR(#REF!/H$34,0)</f>
        <v>0</v>
      </c>
      <c r="I110" s="553">
        <f>IFERROR(#REF!/I$34,0)</f>
        <v>0</v>
      </c>
      <c r="J110" s="553">
        <f>IFERROR(#REF!/J$34,0)</f>
        <v>0</v>
      </c>
      <c r="K110" s="553">
        <f>IFERROR(#REF!/K$34,0)</f>
        <v>0</v>
      </c>
      <c r="L110" s="553">
        <f>IFERROR(#REF!/L$34,0)</f>
        <v>0</v>
      </c>
      <c r="M110" s="553">
        <f>IFERROR(#REF!/M$34,0)</f>
        <v>0</v>
      </c>
      <c r="N110" s="553">
        <f>IFERROR(#REF!/N$34,0)</f>
        <v>0</v>
      </c>
      <c r="O110" s="553">
        <f>IFERROR(#REF!/O$34,0)</f>
        <v>0</v>
      </c>
      <c r="P110" s="553">
        <f>IFERROR(#REF!/P$34,0)</f>
        <v>0</v>
      </c>
      <c r="Q110" s="553">
        <f>IFERROR(#REF!/Q$34,0)</f>
        <v>0</v>
      </c>
      <c r="R110" s="553">
        <f>IFERROR(#REF!/R$34,0)</f>
        <v>0</v>
      </c>
      <c r="U110" s="343"/>
      <c r="W110" s="50"/>
      <c r="X110" s="50"/>
      <c r="Y110" s="50"/>
      <c r="Z110" s="50"/>
      <c r="AA110" s="50"/>
      <c r="AB110" s="50"/>
      <c r="AC110" s="50"/>
      <c r="AD110" s="50"/>
      <c r="AE110" s="50"/>
      <c r="AF110" s="50"/>
      <c r="AG110" s="50"/>
      <c r="AH110" s="50"/>
      <c r="AI110" s="50"/>
      <c r="AJ110" s="50"/>
      <c r="AK110" s="50"/>
      <c r="AL110" s="50"/>
      <c r="AM110" s="50"/>
      <c r="AN110" s="50"/>
      <c r="AO110" s="50"/>
    </row>
    <row r="111" spans="1:41">
      <c r="A111" s="346">
        <f>ROW()</f>
        <v>111</v>
      </c>
      <c r="B111" s="116" t="s">
        <v>558</v>
      </c>
      <c r="C111" s="12"/>
      <c r="D111" s="12"/>
      <c r="E111" s="553">
        <f>IFERROR(#REF!/E$34,0)</f>
        <v>0</v>
      </c>
      <c r="F111" s="553">
        <f>IFERROR(#REF!/F$34,0)</f>
        <v>0</v>
      </c>
      <c r="G111" s="553">
        <f>IFERROR(#REF!/G$34,0)</f>
        <v>0</v>
      </c>
      <c r="H111" s="553">
        <f>IFERROR(#REF!/H$34,0)</f>
        <v>0</v>
      </c>
      <c r="I111" s="553">
        <f>IFERROR(#REF!/I$34,0)</f>
        <v>0</v>
      </c>
      <c r="J111" s="553">
        <f>IFERROR(#REF!/J$34,0)</f>
        <v>0</v>
      </c>
      <c r="K111" s="553">
        <f>IFERROR(#REF!/K$34,0)</f>
        <v>0</v>
      </c>
      <c r="L111" s="553">
        <f>IFERROR(#REF!/L$34,0)</f>
        <v>0</v>
      </c>
      <c r="M111" s="553">
        <f>IFERROR(#REF!/M$34,0)</f>
        <v>0</v>
      </c>
      <c r="N111" s="553">
        <f>IFERROR(#REF!/N$34,0)</f>
        <v>0</v>
      </c>
      <c r="O111" s="553">
        <f>IFERROR(#REF!/O$34,0)</f>
        <v>0</v>
      </c>
      <c r="P111" s="553">
        <f>IFERROR(#REF!/P$34,0)</f>
        <v>0</v>
      </c>
      <c r="Q111" s="553">
        <f>IFERROR(#REF!/Q$34,0)</f>
        <v>0</v>
      </c>
      <c r="R111" s="553">
        <f>IFERROR(#REF!/R$34,0)</f>
        <v>0</v>
      </c>
      <c r="U111" s="343"/>
      <c r="W111" s="50"/>
      <c r="X111" s="50"/>
      <c r="Y111" s="50"/>
      <c r="Z111" s="50"/>
      <c r="AA111" s="50"/>
      <c r="AB111" s="50"/>
      <c r="AC111" s="50"/>
      <c r="AD111" s="50"/>
      <c r="AE111" s="50"/>
      <c r="AF111" s="50"/>
      <c r="AG111" s="50"/>
      <c r="AH111" s="50"/>
      <c r="AI111" s="50"/>
      <c r="AJ111" s="50"/>
      <c r="AK111" s="50"/>
      <c r="AL111" s="50"/>
      <c r="AM111" s="50"/>
      <c r="AN111" s="50"/>
      <c r="AO111" s="50"/>
    </row>
    <row r="112" spans="1:41">
      <c r="A112" s="346">
        <f>ROW()</f>
        <v>112</v>
      </c>
      <c r="B112" s="116" t="s">
        <v>559</v>
      </c>
      <c r="C112" s="12"/>
      <c r="D112" s="12"/>
      <c r="E112" s="553">
        <f>IFERROR(#REF!/E$34,0)</f>
        <v>0</v>
      </c>
      <c r="F112" s="553">
        <f>IFERROR(#REF!/F$34,0)</f>
        <v>0</v>
      </c>
      <c r="G112" s="553">
        <f>IFERROR(#REF!/G$34,0)</f>
        <v>0</v>
      </c>
      <c r="H112" s="553">
        <f>IFERROR(#REF!/H$34,0)</f>
        <v>0</v>
      </c>
      <c r="I112" s="553">
        <f>IFERROR(#REF!/I$34,0)</f>
        <v>0</v>
      </c>
      <c r="J112" s="553">
        <f>IFERROR(#REF!/J$34,0)</f>
        <v>0</v>
      </c>
      <c r="K112" s="553">
        <f>IFERROR(#REF!/K$34,0)</f>
        <v>0</v>
      </c>
      <c r="L112" s="553">
        <f>IFERROR(#REF!/L$34,0)</f>
        <v>0</v>
      </c>
      <c r="M112" s="553">
        <f>IFERROR(#REF!/M$34,0)</f>
        <v>0</v>
      </c>
      <c r="N112" s="553">
        <f>IFERROR(#REF!/N$34,0)</f>
        <v>0</v>
      </c>
      <c r="O112" s="553">
        <f>IFERROR(#REF!/O$34,0)</f>
        <v>0</v>
      </c>
      <c r="P112" s="553">
        <f>IFERROR(#REF!/P$34,0)</f>
        <v>0</v>
      </c>
      <c r="Q112" s="553">
        <f>IFERROR(#REF!/Q$34,0)</f>
        <v>0</v>
      </c>
      <c r="R112" s="553">
        <f>IFERROR(#REF!/R$34,0)</f>
        <v>0</v>
      </c>
      <c r="U112" s="343"/>
      <c r="W112" s="50"/>
      <c r="X112" s="50"/>
      <c r="Y112" s="50"/>
      <c r="Z112" s="50"/>
      <c r="AA112" s="50"/>
      <c r="AB112" s="50"/>
      <c r="AC112" s="50"/>
      <c r="AD112" s="50"/>
      <c r="AE112" s="50"/>
      <c r="AF112" s="50"/>
      <c r="AG112" s="50"/>
      <c r="AH112" s="50"/>
      <c r="AI112" s="50"/>
      <c r="AJ112" s="50"/>
      <c r="AK112" s="50"/>
      <c r="AL112" s="50"/>
      <c r="AM112" s="50"/>
      <c r="AN112" s="50"/>
      <c r="AO112" s="50"/>
    </row>
    <row r="113" spans="1:41">
      <c r="A113" s="346">
        <f>ROW()</f>
        <v>113</v>
      </c>
      <c r="B113" s="116" t="s">
        <v>560</v>
      </c>
      <c r="C113" s="12"/>
      <c r="D113" s="12"/>
      <c r="E113" s="553">
        <f>IFERROR(#REF!/E$34,0)</f>
        <v>0</v>
      </c>
      <c r="F113" s="553">
        <f>IFERROR(#REF!/F$34,0)</f>
        <v>0</v>
      </c>
      <c r="G113" s="553">
        <f>IFERROR(#REF!/G$34,0)</f>
        <v>0</v>
      </c>
      <c r="H113" s="553">
        <f>IFERROR(#REF!/H$34,0)</f>
        <v>0</v>
      </c>
      <c r="I113" s="553">
        <f>IFERROR(#REF!/I$34,0)</f>
        <v>0</v>
      </c>
      <c r="J113" s="553">
        <f>IFERROR(#REF!/J$34,0)</f>
        <v>0</v>
      </c>
      <c r="K113" s="553">
        <f>IFERROR(#REF!/K$34,0)</f>
        <v>0</v>
      </c>
      <c r="L113" s="553">
        <f>IFERROR(#REF!/L$34,0)</f>
        <v>0</v>
      </c>
      <c r="M113" s="553">
        <f>IFERROR(#REF!/M$34,0)</f>
        <v>0</v>
      </c>
      <c r="N113" s="553">
        <f>IFERROR(#REF!/N$34,0)</f>
        <v>0</v>
      </c>
      <c r="O113" s="553">
        <f>IFERROR(#REF!/O$34,0)</f>
        <v>0</v>
      </c>
      <c r="P113" s="553">
        <f>IFERROR(#REF!/P$34,0)</f>
        <v>0</v>
      </c>
      <c r="Q113" s="553">
        <f>IFERROR(#REF!/Q$34,0)</f>
        <v>0</v>
      </c>
      <c r="R113" s="553">
        <f>IFERROR(#REF!/R$34,0)</f>
        <v>0</v>
      </c>
      <c r="U113" s="343"/>
      <c r="W113" s="50"/>
      <c r="X113" s="50"/>
      <c r="Y113" s="50"/>
      <c r="Z113" s="50"/>
      <c r="AA113" s="50"/>
      <c r="AB113" s="50"/>
      <c r="AC113" s="50"/>
      <c r="AD113" s="50"/>
      <c r="AE113" s="50"/>
      <c r="AF113" s="50"/>
      <c r="AG113" s="50"/>
      <c r="AH113" s="50"/>
      <c r="AI113" s="50"/>
      <c r="AJ113" s="50"/>
      <c r="AK113" s="50"/>
      <c r="AL113" s="50"/>
      <c r="AM113" s="50"/>
      <c r="AN113" s="50"/>
      <c r="AO113" s="50"/>
    </row>
    <row r="114" spans="1:41">
      <c r="A114" s="346">
        <f>ROW()</f>
        <v>114</v>
      </c>
      <c r="B114" s="12" t="s">
        <v>524</v>
      </c>
      <c r="C114" s="12"/>
      <c r="D114" s="12"/>
      <c r="E114" s="553">
        <f t="shared" ref="E114:R114" si="65">IFERROR(E47/E$34,0)</f>
        <v>0</v>
      </c>
      <c r="F114" s="553">
        <f t="shared" si="65"/>
        <v>0</v>
      </c>
      <c r="G114" s="553">
        <f t="shared" si="65"/>
        <v>0</v>
      </c>
      <c r="H114" s="553">
        <f t="shared" si="65"/>
        <v>0</v>
      </c>
      <c r="I114" s="553">
        <f t="shared" si="65"/>
        <v>0</v>
      </c>
      <c r="J114" s="553">
        <f t="shared" si="65"/>
        <v>0</v>
      </c>
      <c r="K114" s="553">
        <f t="shared" si="65"/>
        <v>0</v>
      </c>
      <c r="L114" s="553">
        <f t="shared" si="65"/>
        <v>0</v>
      </c>
      <c r="M114" s="553">
        <f t="shared" si="65"/>
        <v>0</v>
      </c>
      <c r="N114" s="553">
        <f t="shared" si="65"/>
        <v>0</v>
      </c>
      <c r="O114" s="553">
        <f t="shared" si="65"/>
        <v>0</v>
      </c>
      <c r="P114" s="553">
        <f t="shared" si="65"/>
        <v>0</v>
      </c>
      <c r="Q114" s="553">
        <f t="shared" si="65"/>
        <v>0</v>
      </c>
      <c r="R114" s="553">
        <f t="shared" si="65"/>
        <v>0</v>
      </c>
      <c r="U114" s="343"/>
      <c r="W114" s="50"/>
      <c r="X114" s="50"/>
      <c r="Y114" s="50"/>
      <c r="Z114" s="50"/>
      <c r="AA114" s="50"/>
      <c r="AB114" s="50"/>
      <c r="AC114" s="50"/>
      <c r="AD114" s="50"/>
      <c r="AE114" s="50"/>
      <c r="AF114" s="50"/>
      <c r="AG114" s="50"/>
      <c r="AH114" s="50"/>
      <c r="AI114" s="50"/>
      <c r="AJ114" s="50"/>
      <c r="AK114" s="50"/>
      <c r="AL114" s="50"/>
      <c r="AM114" s="50"/>
      <c r="AN114" s="50"/>
      <c r="AO114" s="50"/>
    </row>
    <row r="115" spans="1:41">
      <c r="A115" s="346">
        <f>ROW()</f>
        <v>115</v>
      </c>
      <c r="B115" s="116" t="s">
        <v>191</v>
      </c>
      <c r="C115" s="12"/>
      <c r="D115" s="12"/>
      <c r="E115" s="553">
        <f t="shared" ref="E115:R115" si="66">IFERROR(E48/E$34,0)</f>
        <v>4.8745029943051112E-2</v>
      </c>
      <c r="F115" s="553">
        <f t="shared" si="66"/>
        <v>5.6033145791704243E-2</v>
      </c>
      <c r="G115" s="553">
        <f t="shared" si="66"/>
        <v>4.0685788944407685E-2</v>
      </c>
      <c r="H115" s="553">
        <f t="shared" si="66"/>
        <v>5.7650803242009156E-2</v>
      </c>
      <c r="I115" s="553">
        <f t="shared" si="66"/>
        <v>5.7414565623391658E-2</v>
      </c>
      <c r="J115" s="553">
        <f t="shared" si="66"/>
        <v>5.8346320317306251E-2</v>
      </c>
      <c r="K115" s="553">
        <f t="shared" si="66"/>
        <v>4.3716093590507057E-2</v>
      </c>
      <c r="L115" s="553">
        <f t="shared" si="66"/>
        <v>5.7749152048878101E-2</v>
      </c>
      <c r="M115" s="553">
        <f t="shared" si="66"/>
        <v>4.9751726522302482E-2</v>
      </c>
      <c r="N115" s="553">
        <f t="shared" si="66"/>
        <v>5.7381131496244103E-2</v>
      </c>
      <c r="O115" s="553">
        <f t="shared" si="66"/>
        <v>5.8167431654259201E-2</v>
      </c>
      <c r="P115" s="553">
        <f t="shared" si="66"/>
        <v>4.7761580693147614E-2</v>
      </c>
      <c r="Q115" s="553">
        <f t="shared" si="66"/>
        <v>5.2972491818300917E-2</v>
      </c>
      <c r="R115" s="553">
        <f t="shared" si="66"/>
        <v>0</v>
      </c>
      <c r="U115" s="343"/>
      <c r="W115" s="50"/>
      <c r="X115" s="50"/>
      <c r="Y115" s="50"/>
      <c r="Z115" s="50"/>
      <c r="AA115" s="50"/>
      <c r="AB115" s="50"/>
      <c r="AC115" s="50"/>
      <c r="AD115" s="50"/>
      <c r="AE115" s="50"/>
      <c r="AF115" s="50"/>
      <c r="AG115" s="50"/>
      <c r="AH115" s="50"/>
      <c r="AI115" s="50"/>
      <c r="AJ115" s="50"/>
      <c r="AK115" s="50"/>
      <c r="AL115" s="50"/>
      <c r="AM115" s="50"/>
      <c r="AN115" s="50"/>
      <c r="AO115" s="50"/>
    </row>
    <row r="116" spans="1:41">
      <c r="A116" s="346">
        <f>ROW()</f>
        <v>116</v>
      </c>
      <c r="B116" s="116" t="s">
        <v>128</v>
      </c>
      <c r="C116" s="12"/>
      <c r="D116" s="12"/>
      <c r="E116" s="551">
        <f t="shared" ref="E116:R116" si="67">IFERROR(E50/E$34,0)</f>
        <v>5.0859357326970885E-3</v>
      </c>
      <c r="F116" s="551">
        <f t="shared" si="67"/>
        <v>5.9332310589991126E-3</v>
      </c>
      <c r="G116" s="551">
        <f t="shared" si="67"/>
        <v>4.2394117882004721E-3</v>
      </c>
      <c r="H116" s="551">
        <f t="shared" si="67"/>
        <v>6.0071465050696394E-3</v>
      </c>
      <c r="I116" s="551">
        <f t="shared" si="67"/>
        <v>5.9825308205476591E-3</v>
      </c>
      <c r="J116" s="551">
        <f t="shared" si="67"/>
        <v>6.0796185736815599E-3</v>
      </c>
      <c r="K116" s="551">
        <f t="shared" si="67"/>
        <v>4.555166000465247E-3</v>
      </c>
      <c r="L116" s="551">
        <f t="shared" si="67"/>
        <v>6.0173943361185927E-3</v>
      </c>
      <c r="M116" s="551">
        <f t="shared" si="67"/>
        <v>5.1840719173510382E-3</v>
      </c>
      <c r="N116" s="551">
        <f t="shared" si="67"/>
        <v>5.9790470234667862E-3</v>
      </c>
      <c r="O116" s="551">
        <f t="shared" si="67"/>
        <v>6.060978583489079E-3</v>
      </c>
      <c r="P116" s="551">
        <f t="shared" si="67"/>
        <v>4.9767010414934901E-3</v>
      </c>
      <c r="Q116" s="551">
        <f t="shared" si="67"/>
        <v>5.519671907350975E-3</v>
      </c>
      <c r="R116" s="551">
        <f t="shared" si="67"/>
        <v>0</v>
      </c>
      <c r="U116" s="343"/>
      <c r="W116" s="50"/>
      <c r="X116" s="50"/>
      <c r="Y116" s="50"/>
      <c r="Z116" s="50"/>
      <c r="AA116" s="50"/>
      <c r="AB116" s="50"/>
      <c r="AC116" s="50"/>
      <c r="AD116" s="50"/>
      <c r="AE116" s="50"/>
      <c r="AF116" s="50"/>
      <c r="AG116" s="50"/>
      <c r="AH116" s="50"/>
      <c r="AI116" s="50"/>
      <c r="AJ116" s="50"/>
      <c r="AK116" s="50"/>
      <c r="AL116" s="50"/>
      <c r="AM116" s="50"/>
      <c r="AN116" s="50"/>
      <c r="AO116" s="50"/>
    </row>
    <row r="117" spans="1:41">
      <c r="A117" s="346">
        <f>ROW()</f>
        <v>117</v>
      </c>
      <c r="B117" s="13" t="s">
        <v>526</v>
      </c>
      <c r="C117" s="12"/>
      <c r="D117" s="13"/>
      <c r="E117" s="562">
        <f t="shared" ref="E117:R117" si="68">IFERROR(E48/E$34,0)</f>
        <v>4.8745029943051112E-2</v>
      </c>
      <c r="F117" s="562">
        <f t="shared" si="68"/>
        <v>5.6033145791704243E-2</v>
      </c>
      <c r="G117" s="562">
        <f t="shared" si="68"/>
        <v>4.0685788944407685E-2</v>
      </c>
      <c r="H117" s="562">
        <f t="shared" si="68"/>
        <v>5.7650803242009156E-2</v>
      </c>
      <c r="I117" s="562">
        <f t="shared" si="68"/>
        <v>5.7414565623391658E-2</v>
      </c>
      <c r="J117" s="562">
        <f t="shared" si="68"/>
        <v>5.8346320317306251E-2</v>
      </c>
      <c r="K117" s="562">
        <f t="shared" si="68"/>
        <v>4.3716093590507057E-2</v>
      </c>
      <c r="L117" s="562">
        <f t="shared" si="68"/>
        <v>5.7749152048878101E-2</v>
      </c>
      <c r="M117" s="562">
        <f t="shared" si="68"/>
        <v>4.9751726522302482E-2</v>
      </c>
      <c r="N117" s="562">
        <f t="shared" si="68"/>
        <v>5.7381131496244103E-2</v>
      </c>
      <c r="O117" s="562">
        <f t="shared" si="68"/>
        <v>5.8167431654259201E-2</v>
      </c>
      <c r="P117" s="562">
        <f t="shared" si="68"/>
        <v>4.7761580693147614E-2</v>
      </c>
      <c r="Q117" s="562">
        <f t="shared" si="68"/>
        <v>5.2972491818300917E-2</v>
      </c>
      <c r="R117" s="562">
        <f t="shared" si="68"/>
        <v>0</v>
      </c>
      <c r="U117" s="343"/>
      <c r="W117" s="50"/>
      <c r="X117" s="50"/>
      <c r="Y117" s="50"/>
      <c r="Z117" s="50"/>
      <c r="AA117" s="50"/>
      <c r="AB117" s="50"/>
      <c r="AC117" s="50"/>
      <c r="AD117" s="50"/>
      <c r="AE117" s="50"/>
      <c r="AF117" s="50"/>
      <c r="AG117" s="50"/>
      <c r="AH117" s="50"/>
      <c r="AI117" s="50"/>
      <c r="AJ117" s="50"/>
      <c r="AK117" s="50"/>
      <c r="AL117" s="50"/>
      <c r="AM117" s="50"/>
      <c r="AN117" s="50"/>
      <c r="AO117" s="50"/>
    </row>
    <row r="118" spans="1:41">
      <c r="A118" s="346">
        <f>ROW()</f>
        <v>118</v>
      </c>
      <c r="B118" s="13" t="s">
        <v>530</v>
      </c>
      <c r="C118" s="12"/>
      <c r="D118" s="13"/>
      <c r="E118" s="560"/>
      <c r="F118" s="561">
        <f t="shared" ref="F118:R118" si="69">IFERROR(F50/F$34,0)</f>
        <v>5.9332310589991126E-3</v>
      </c>
      <c r="G118" s="561">
        <f t="shared" si="69"/>
        <v>4.2394117882004721E-3</v>
      </c>
      <c r="H118" s="561">
        <f t="shared" si="69"/>
        <v>6.0071465050696394E-3</v>
      </c>
      <c r="I118" s="561">
        <f t="shared" si="69"/>
        <v>5.9825308205476591E-3</v>
      </c>
      <c r="J118" s="561">
        <f t="shared" si="69"/>
        <v>6.0796185736815599E-3</v>
      </c>
      <c r="K118" s="561">
        <f t="shared" si="69"/>
        <v>4.555166000465247E-3</v>
      </c>
      <c r="L118" s="561">
        <f t="shared" si="69"/>
        <v>6.0173943361185927E-3</v>
      </c>
      <c r="M118" s="561">
        <f t="shared" si="69"/>
        <v>5.1840719173510382E-3</v>
      </c>
      <c r="N118" s="561">
        <f t="shared" si="69"/>
        <v>5.9790470234667862E-3</v>
      </c>
      <c r="O118" s="561">
        <f t="shared" si="69"/>
        <v>6.060978583489079E-3</v>
      </c>
      <c r="P118" s="561">
        <f t="shared" si="69"/>
        <v>4.9767010414934901E-3</v>
      </c>
      <c r="Q118" s="561">
        <f t="shared" si="69"/>
        <v>5.519671907350975E-3</v>
      </c>
      <c r="R118" s="561">
        <f t="shared" si="69"/>
        <v>0</v>
      </c>
      <c r="U118" s="343"/>
      <c r="W118" s="50"/>
      <c r="X118" s="50"/>
      <c r="Y118" s="50"/>
      <c r="Z118" s="50"/>
      <c r="AA118" s="50"/>
      <c r="AB118" s="50"/>
      <c r="AC118" s="50"/>
      <c r="AD118" s="50"/>
      <c r="AE118" s="50"/>
      <c r="AF118" s="50"/>
      <c r="AG118" s="50"/>
      <c r="AH118" s="50"/>
      <c r="AI118" s="50"/>
      <c r="AJ118" s="50"/>
      <c r="AK118" s="50"/>
      <c r="AL118" s="50"/>
      <c r="AM118" s="50"/>
      <c r="AN118" s="50"/>
      <c r="AO118" s="50"/>
    </row>
    <row r="119" spans="1:41">
      <c r="A119" s="346">
        <f>ROW()</f>
        <v>119</v>
      </c>
      <c r="B119" s="117" t="s">
        <v>561</v>
      </c>
      <c r="C119" s="84"/>
      <c r="D119" s="84"/>
      <c r="E119" s="84"/>
      <c r="F119" s="84"/>
      <c r="G119" s="84"/>
      <c r="H119" s="84"/>
      <c r="I119" s="84"/>
      <c r="J119" s="84"/>
      <c r="K119" s="84"/>
      <c r="L119" s="84"/>
      <c r="M119" s="84"/>
      <c r="N119" s="84"/>
      <c r="O119" s="84"/>
      <c r="P119" s="84"/>
      <c r="Q119" s="84"/>
      <c r="R119" s="84"/>
      <c r="U119" s="343"/>
      <c r="W119" s="50"/>
      <c r="X119" s="50"/>
      <c r="Y119" s="50"/>
      <c r="Z119" s="50"/>
      <c r="AA119" s="50"/>
      <c r="AB119" s="50"/>
      <c r="AC119" s="50"/>
      <c r="AD119" s="50"/>
      <c r="AE119" s="50"/>
      <c r="AF119" s="50"/>
      <c r="AG119" s="50"/>
      <c r="AH119" s="50"/>
      <c r="AI119" s="50"/>
      <c r="AJ119" s="50"/>
      <c r="AK119" s="50"/>
      <c r="AL119" s="50"/>
      <c r="AM119" s="50"/>
      <c r="AN119" s="50"/>
      <c r="AO119" s="50"/>
    </row>
    <row r="120" spans="1:41">
      <c r="A120" s="346">
        <f>ROW()</f>
        <v>120</v>
      </c>
      <c r="B120" s="12"/>
      <c r="C120" s="12"/>
      <c r="D120" s="12"/>
      <c r="E120" s="28"/>
      <c r="F120" s="568"/>
      <c r="G120" s="568"/>
      <c r="H120" s="568"/>
      <c r="I120" s="568"/>
      <c r="J120" s="568"/>
      <c r="K120" s="568"/>
      <c r="L120" s="568"/>
      <c r="M120" s="568"/>
      <c r="N120" s="568"/>
      <c r="O120" s="568"/>
      <c r="P120" s="568"/>
      <c r="Q120" s="568"/>
      <c r="R120" s="568"/>
      <c r="U120" s="343"/>
      <c r="W120" s="50"/>
      <c r="X120" s="50"/>
      <c r="Y120" s="50"/>
      <c r="Z120" s="50"/>
      <c r="AA120" s="50"/>
      <c r="AB120" s="50"/>
      <c r="AC120" s="50"/>
      <c r="AD120" s="50"/>
      <c r="AE120" s="50"/>
      <c r="AF120" s="50"/>
      <c r="AG120" s="50"/>
      <c r="AH120" s="50"/>
      <c r="AI120" s="50"/>
      <c r="AJ120" s="50"/>
      <c r="AK120" s="50"/>
      <c r="AL120" s="50"/>
      <c r="AM120" s="50"/>
      <c r="AN120" s="50"/>
      <c r="AO120" s="50"/>
    </row>
    <row r="121" spans="1:41">
      <c r="A121" s="346">
        <f>ROW()</f>
        <v>121</v>
      </c>
      <c r="B121" s="12" t="s">
        <v>562</v>
      </c>
      <c r="C121" s="12"/>
      <c r="D121" s="12"/>
      <c r="E121" s="566">
        <f t="shared" ref="E121:R121" si="70">IF(OR(E67=0,E$34=0),0,MAX(E67,E68)/E$34)</f>
        <v>0</v>
      </c>
      <c r="F121" s="555">
        <f t="shared" si="70"/>
        <v>0</v>
      </c>
      <c r="G121" s="555">
        <f t="shared" si="70"/>
        <v>0</v>
      </c>
      <c r="H121" s="555">
        <f t="shared" si="70"/>
        <v>0</v>
      </c>
      <c r="I121" s="555">
        <f t="shared" si="70"/>
        <v>0</v>
      </c>
      <c r="J121" s="555">
        <f t="shared" si="70"/>
        <v>0</v>
      </c>
      <c r="K121" s="555">
        <f t="shared" si="70"/>
        <v>0</v>
      </c>
      <c r="L121" s="555">
        <f t="shared" si="70"/>
        <v>0</v>
      </c>
      <c r="M121" s="555">
        <f t="shared" si="70"/>
        <v>0</v>
      </c>
      <c r="N121" s="555">
        <f t="shared" si="70"/>
        <v>0</v>
      </c>
      <c r="O121" s="555">
        <f t="shared" si="70"/>
        <v>0</v>
      </c>
      <c r="P121" s="555">
        <f t="shared" si="70"/>
        <v>0</v>
      </c>
      <c r="Q121" s="555">
        <f t="shared" si="70"/>
        <v>0</v>
      </c>
      <c r="R121" s="555">
        <f t="shared" si="70"/>
        <v>0</v>
      </c>
      <c r="U121" s="343"/>
      <c r="W121" s="50"/>
      <c r="X121" s="50"/>
      <c r="Y121" s="50"/>
      <c r="Z121" s="50"/>
      <c r="AA121" s="50"/>
      <c r="AB121" s="50"/>
      <c r="AC121" s="50"/>
      <c r="AD121" s="50"/>
      <c r="AE121" s="50"/>
      <c r="AF121" s="50"/>
      <c r="AG121" s="50"/>
      <c r="AH121" s="50"/>
      <c r="AI121" s="50"/>
      <c r="AJ121" s="50"/>
      <c r="AK121" s="50"/>
      <c r="AL121" s="50"/>
      <c r="AM121" s="50"/>
      <c r="AN121" s="50"/>
      <c r="AO121" s="50"/>
    </row>
    <row r="122" spans="1:41">
      <c r="A122" s="346">
        <f>ROW()</f>
        <v>122</v>
      </c>
      <c r="B122" s="12"/>
      <c r="C122" s="12"/>
      <c r="D122" s="12"/>
      <c r="E122" s="560"/>
      <c r="F122" s="574"/>
      <c r="G122" s="574"/>
      <c r="H122" s="574"/>
      <c r="I122" s="574"/>
      <c r="J122" s="574"/>
      <c r="K122" s="574"/>
      <c r="L122" s="574"/>
      <c r="M122" s="574"/>
      <c r="N122" s="574"/>
      <c r="O122" s="574"/>
      <c r="P122" s="574"/>
      <c r="Q122" s="574"/>
      <c r="R122" s="574"/>
      <c r="U122" s="343"/>
      <c r="W122" s="50"/>
      <c r="X122" s="50"/>
      <c r="Y122" s="50"/>
      <c r="Z122" s="50"/>
      <c r="AA122" s="50"/>
      <c r="AB122" s="50"/>
      <c r="AC122" s="50"/>
      <c r="AD122" s="50"/>
      <c r="AE122" s="50"/>
      <c r="AF122" s="50"/>
      <c r="AG122" s="50"/>
      <c r="AH122" s="50"/>
      <c r="AI122" s="50"/>
      <c r="AJ122" s="50"/>
      <c r="AK122" s="50"/>
      <c r="AL122" s="50"/>
      <c r="AM122" s="50"/>
      <c r="AN122" s="50"/>
      <c r="AO122" s="50"/>
    </row>
    <row r="123" spans="1:41">
      <c r="A123" s="346">
        <f>ROW()</f>
        <v>123</v>
      </c>
      <c r="B123" s="12" t="s">
        <v>563</v>
      </c>
      <c r="C123" s="12"/>
      <c r="D123" s="12"/>
      <c r="E123" s="570"/>
      <c r="F123" s="784"/>
      <c r="G123" s="571">
        <f t="shared" ref="G123:P123" si="71">F125</f>
        <v>0</v>
      </c>
      <c r="H123" s="571">
        <f t="shared" si="71"/>
        <v>0</v>
      </c>
      <c r="I123" s="571">
        <f t="shared" si="71"/>
        <v>0</v>
      </c>
      <c r="J123" s="571">
        <f t="shared" si="71"/>
        <v>0</v>
      </c>
      <c r="K123" s="571">
        <f t="shared" si="71"/>
        <v>0</v>
      </c>
      <c r="L123" s="571">
        <f t="shared" si="71"/>
        <v>0</v>
      </c>
      <c r="M123" s="571">
        <f t="shared" si="71"/>
        <v>0</v>
      </c>
      <c r="N123" s="571">
        <f t="shared" si="71"/>
        <v>0</v>
      </c>
      <c r="O123" s="571">
        <f t="shared" si="71"/>
        <v>0</v>
      </c>
      <c r="P123" s="571">
        <f t="shared" si="71"/>
        <v>0</v>
      </c>
      <c r="Q123" s="571">
        <f>O125</f>
        <v>0</v>
      </c>
      <c r="R123" s="571">
        <f>P125</f>
        <v>0</v>
      </c>
      <c r="U123" s="343"/>
      <c r="W123" s="50"/>
      <c r="X123" s="50"/>
      <c r="Y123" s="50"/>
      <c r="Z123" s="50"/>
      <c r="AA123" s="50"/>
      <c r="AB123" s="50"/>
      <c r="AC123" s="50"/>
      <c r="AD123" s="50"/>
      <c r="AE123" s="50"/>
      <c r="AF123" s="50"/>
      <c r="AG123" s="50"/>
      <c r="AH123" s="50"/>
      <c r="AI123" s="50"/>
      <c r="AJ123" s="50"/>
      <c r="AK123" s="50"/>
      <c r="AL123" s="50"/>
      <c r="AM123" s="50"/>
      <c r="AN123" s="50"/>
      <c r="AO123" s="50"/>
    </row>
    <row r="124" spans="1:41">
      <c r="A124" s="346">
        <f>ROW()</f>
        <v>124</v>
      </c>
      <c r="B124" s="12"/>
      <c r="C124" s="12"/>
      <c r="D124" s="12"/>
      <c r="E124" s="565"/>
      <c r="F124" s="564"/>
      <c r="G124" s="569"/>
      <c r="H124" s="569"/>
      <c r="I124" s="569"/>
      <c r="J124" s="569"/>
      <c r="K124" s="569"/>
      <c r="L124" s="569"/>
      <c r="M124" s="569"/>
      <c r="N124" s="569"/>
      <c r="O124" s="569"/>
      <c r="P124" s="569"/>
      <c r="Q124" s="569"/>
      <c r="R124" s="569"/>
      <c r="U124" s="343"/>
      <c r="W124" s="50"/>
      <c r="X124" s="50"/>
      <c r="Y124" s="50"/>
      <c r="Z124" s="50"/>
      <c r="AA124" s="50"/>
      <c r="AB124" s="50"/>
      <c r="AC124" s="50"/>
      <c r="AD124" s="50"/>
      <c r="AE124" s="50"/>
      <c r="AF124" s="50"/>
      <c r="AG124" s="50"/>
      <c r="AH124" s="50"/>
      <c r="AI124" s="50"/>
      <c r="AJ124" s="50"/>
      <c r="AK124" s="50"/>
      <c r="AL124" s="50"/>
      <c r="AM124" s="50"/>
      <c r="AN124" s="50"/>
      <c r="AO124" s="50"/>
    </row>
    <row r="125" spans="1:41">
      <c r="A125" s="346">
        <f>ROW()</f>
        <v>125</v>
      </c>
      <c r="B125" s="13" t="s">
        <v>564</v>
      </c>
      <c r="C125" s="13"/>
      <c r="D125" s="13"/>
      <c r="E125" s="572">
        <f>SUM(E123,E121)</f>
        <v>0</v>
      </c>
      <c r="F125" s="573">
        <f>SUM(F123,F121)</f>
        <v>0</v>
      </c>
      <c r="G125" s="573">
        <f>SUM(G123,G121)</f>
        <v>0</v>
      </c>
      <c r="H125" s="573">
        <f t="shared" ref="H125:R125" si="72">SUM(H123,H121)</f>
        <v>0</v>
      </c>
      <c r="I125" s="573">
        <f t="shared" si="72"/>
        <v>0</v>
      </c>
      <c r="J125" s="573">
        <f t="shared" si="72"/>
        <v>0</v>
      </c>
      <c r="K125" s="573">
        <f t="shared" si="72"/>
        <v>0</v>
      </c>
      <c r="L125" s="573">
        <f t="shared" si="72"/>
        <v>0</v>
      </c>
      <c r="M125" s="573">
        <f t="shared" si="72"/>
        <v>0</v>
      </c>
      <c r="N125" s="573">
        <f t="shared" si="72"/>
        <v>0</v>
      </c>
      <c r="O125" s="573">
        <f t="shared" si="72"/>
        <v>0</v>
      </c>
      <c r="P125" s="573">
        <f t="shared" si="72"/>
        <v>0</v>
      </c>
      <c r="Q125" s="573">
        <f t="shared" ref="Q125" si="73">SUM(Q123,Q121)</f>
        <v>0</v>
      </c>
      <c r="R125" s="573">
        <f t="shared" si="72"/>
        <v>0</v>
      </c>
      <c r="U125" s="343"/>
      <c r="W125" s="50"/>
      <c r="X125" s="50"/>
      <c r="Y125" s="50"/>
      <c r="Z125" s="50"/>
      <c r="AA125" s="50"/>
      <c r="AB125" s="50"/>
      <c r="AC125" s="50"/>
      <c r="AD125" s="50"/>
      <c r="AE125" s="50"/>
      <c r="AF125" s="50"/>
      <c r="AG125" s="50"/>
      <c r="AH125" s="50"/>
      <c r="AI125" s="50"/>
      <c r="AJ125" s="50"/>
      <c r="AK125" s="50"/>
      <c r="AL125" s="50"/>
      <c r="AM125" s="50"/>
      <c r="AN125" s="50"/>
      <c r="AO125" s="50"/>
    </row>
    <row r="126" spans="1:41">
      <c r="A126" s="346">
        <f>ROW()</f>
        <v>126</v>
      </c>
      <c r="U126" s="343"/>
      <c r="W126" s="50"/>
      <c r="X126" s="50"/>
      <c r="Y126" s="50"/>
      <c r="Z126" s="50"/>
      <c r="AA126" s="50"/>
      <c r="AB126" s="50"/>
      <c r="AC126" s="50"/>
      <c r="AD126" s="50"/>
      <c r="AE126" s="50"/>
      <c r="AF126" s="50"/>
      <c r="AG126" s="50"/>
      <c r="AH126" s="50"/>
      <c r="AI126" s="50"/>
      <c r="AJ126" s="50"/>
      <c r="AK126" s="50"/>
      <c r="AL126" s="50"/>
      <c r="AM126" s="50"/>
      <c r="AN126" s="50"/>
      <c r="AO126" s="50"/>
    </row>
    <row r="127" spans="1:41">
      <c r="A127" s="346">
        <f>ROW()</f>
        <v>127</v>
      </c>
      <c r="B127" s="33" t="s">
        <v>565</v>
      </c>
      <c r="F127" s="221">
        <f>IFERROR(#REF!/F39,0)</f>
        <v>0</v>
      </c>
      <c r="G127" s="221">
        <f>IFERROR(#REF!/G39,0)</f>
        <v>0</v>
      </c>
      <c r="H127" s="221">
        <f>IFERROR(#REF!/H39,0)</f>
        <v>0</v>
      </c>
      <c r="I127" s="221">
        <f>IFERROR(#REF!/I39,0)</f>
        <v>0</v>
      </c>
      <c r="J127" s="221">
        <f>IFERROR(#REF!/J39,0)</f>
        <v>0</v>
      </c>
      <c r="K127" s="221">
        <f>IFERROR(#REF!/K39,0)</f>
        <v>0</v>
      </c>
      <c r="L127" s="221">
        <f>IFERROR(#REF!/L39,0)</f>
        <v>0</v>
      </c>
      <c r="M127" s="221">
        <f>IFERROR(#REF!/M39,0)</f>
        <v>0</v>
      </c>
      <c r="N127" s="221">
        <f>IFERROR(#REF!/N39,0)</f>
        <v>0</v>
      </c>
      <c r="O127" s="221">
        <f>IFERROR(#REF!/O39,0)</f>
        <v>0</v>
      </c>
      <c r="P127" s="221">
        <f>IFERROR(#REF!/P39,0)</f>
        <v>0</v>
      </c>
      <c r="Q127" s="221">
        <f>IFERROR(#REF!/Q39,0)</f>
        <v>0</v>
      </c>
      <c r="R127" s="221">
        <f>IFERROR(#REF!/R39,0)</f>
        <v>0</v>
      </c>
      <c r="U127" s="343"/>
      <c r="W127" s="50"/>
      <c r="X127" s="50"/>
      <c r="Y127" s="50"/>
      <c r="Z127" s="50"/>
      <c r="AA127" s="50"/>
      <c r="AB127" s="50"/>
      <c r="AC127" s="50"/>
      <c r="AD127" s="50"/>
      <c r="AE127" s="50"/>
      <c r="AF127" s="50"/>
      <c r="AG127" s="50"/>
      <c r="AH127" s="50"/>
      <c r="AI127" s="50"/>
      <c r="AJ127" s="50"/>
      <c r="AK127" s="50"/>
      <c r="AL127" s="50"/>
      <c r="AM127" s="50"/>
      <c r="AN127" s="50"/>
      <c r="AO127" s="50"/>
    </row>
    <row r="128" spans="1:41">
      <c r="A128" s="346">
        <f>ROW()</f>
        <v>128</v>
      </c>
      <c r="B128" s="90" t="s">
        <v>566</v>
      </c>
      <c r="C128" s="90"/>
      <c r="D128" s="90"/>
      <c r="F128" s="50">
        <f>Statistics!$G$21</f>
        <v>46</v>
      </c>
      <c r="G128" s="50">
        <f>Statistics!$G$21</f>
        <v>46</v>
      </c>
      <c r="H128" s="50">
        <f>Statistics!$G$21</f>
        <v>46</v>
      </c>
      <c r="I128" s="50">
        <f>Statistics!$G$21</f>
        <v>46</v>
      </c>
      <c r="J128" s="50">
        <f>Statistics!$G$21</f>
        <v>46</v>
      </c>
      <c r="K128" s="50">
        <f>Statistics!$G$21</f>
        <v>46</v>
      </c>
      <c r="L128" s="50">
        <f>Statistics!$G$21</f>
        <v>46</v>
      </c>
      <c r="M128" s="50">
        <f>Statistics!$G$21</f>
        <v>46</v>
      </c>
      <c r="N128" s="50">
        <f>Statistics!$G$21</f>
        <v>46</v>
      </c>
      <c r="O128" s="50">
        <f>Statistics!$G$21</f>
        <v>46</v>
      </c>
      <c r="P128" s="50">
        <f>Statistics!$G$21</f>
        <v>46</v>
      </c>
      <c r="Q128" s="50">
        <f>Statistics!$G$21</f>
        <v>46</v>
      </c>
      <c r="R128" s="50">
        <f>Statistics!$G$21</f>
        <v>46</v>
      </c>
      <c r="U128" s="343"/>
      <c r="W128" s="50"/>
      <c r="X128" s="50"/>
      <c r="Y128" s="50"/>
      <c r="Z128" s="50"/>
      <c r="AA128" s="50"/>
      <c r="AB128" s="50"/>
      <c r="AC128" s="50"/>
      <c r="AD128" s="50"/>
      <c r="AE128" s="50"/>
      <c r="AF128" s="50"/>
      <c r="AG128" s="50"/>
      <c r="AH128" s="50"/>
      <c r="AI128" s="50"/>
      <c r="AJ128" s="50"/>
      <c r="AK128" s="50"/>
      <c r="AL128" s="50"/>
      <c r="AM128" s="50"/>
      <c r="AN128" s="50"/>
      <c r="AO128" s="50"/>
    </row>
    <row r="129" spans="1:41">
      <c r="A129" s="346">
        <f>ROW()</f>
        <v>129</v>
      </c>
      <c r="B129" s="33" t="s">
        <v>567</v>
      </c>
      <c r="F129" s="55">
        <f>IFERROR(#REF!/Statistics!$H$21,0)</f>
        <v>0</v>
      </c>
      <c r="G129" s="55">
        <f>IFERROR(#REF!/Statistics!$H$21,0)</f>
        <v>0</v>
      </c>
      <c r="H129" s="55">
        <f>IFERROR(#REF!/Statistics!$H$21,0)</f>
        <v>0</v>
      </c>
      <c r="I129" s="55">
        <f>IFERROR(#REF!/Statistics!$H$21,0)</f>
        <v>0</v>
      </c>
      <c r="J129" s="55">
        <f>IFERROR(#REF!/Statistics!$H$21,0)</f>
        <v>0</v>
      </c>
      <c r="K129" s="55">
        <f>IFERROR(#REF!/Statistics!$H$21,0)</f>
        <v>0</v>
      </c>
      <c r="L129" s="55">
        <f>IFERROR(#REF!/Statistics!$H$21,0)</f>
        <v>0</v>
      </c>
      <c r="M129" s="55">
        <f>IFERROR(#REF!/Statistics!$H$21,0)</f>
        <v>0</v>
      </c>
      <c r="N129" s="55">
        <f>IFERROR(#REF!/Statistics!$H$21,0)</f>
        <v>0</v>
      </c>
      <c r="O129" s="55">
        <f>IFERROR(#REF!/Statistics!$H$21,0)</f>
        <v>0</v>
      </c>
      <c r="P129" s="55">
        <f>IFERROR(#REF!/Statistics!$H$21,0)</f>
        <v>0</v>
      </c>
      <c r="Q129" s="55">
        <f>IFERROR(#REF!/Statistics!$H$21,0)</f>
        <v>0</v>
      </c>
      <c r="R129" s="55">
        <f>IFERROR(#REF!/Statistics!$H$21,0)</f>
        <v>0</v>
      </c>
      <c r="U129" s="343"/>
      <c r="W129" s="50"/>
      <c r="X129" s="50"/>
      <c r="Y129" s="50"/>
      <c r="Z129" s="50"/>
      <c r="AA129" s="50"/>
      <c r="AB129" s="50"/>
      <c r="AC129" s="50"/>
      <c r="AD129" s="50"/>
      <c r="AE129" s="50"/>
      <c r="AF129" s="50"/>
      <c r="AG129" s="50"/>
      <c r="AH129" s="50"/>
      <c r="AI129" s="50"/>
      <c r="AJ129" s="50"/>
      <c r="AK129" s="50"/>
      <c r="AL129" s="50"/>
      <c r="AM129" s="50"/>
      <c r="AN129" s="50"/>
      <c r="AO129" s="50"/>
    </row>
    <row r="130" spans="1:41">
      <c r="A130" s="346">
        <f>ROW()</f>
        <v>130</v>
      </c>
      <c r="B130" s="33" t="s">
        <v>568</v>
      </c>
      <c r="F130" s="55">
        <f>IFERROR(F39/Statistics!$H$21,0)</f>
        <v>13671.266778249745</v>
      </c>
      <c r="G130" s="55">
        <f>IFERROR(G39/Statistics!$H$21,0)</f>
        <v>13671.276595744681</v>
      </c>
      <c r="H130" s="55">
        <f>IFERROR(H39/Statistics!$H$21,0)</f>
        <v>13671.276595744681</v>
      </c>
      <c r="I130" s="55">
        <f>IFERROR(I39/Statistics!$H$21,0)</f>
        <v>13671.276595744681</v>
      </c>
      <c r="J130" s="55">
        <f>IFERROR(J39/Statistics!$H$21,0)</f>
        <v>13671.276595744681</v>
      </c>
      <c r="K130" s="55">
        <f>IFERROR(K39/Statistics!$H$21,0)</f>
        <v>13671.276595744681</v>
      </c>
      <c r="L130" s="55">
        <f>IFERROR(L39/Statistics!$H$21,0)</f>
        <v>13671.276595744681</v>
      </c>
      <c r="M130" s="55">
        <f>IFERROR(M39/Statistics!$H$21,0)</f>
        <v>13671.276595744681</v>
      </c>
      <c r="N130" s="55">
        <f>IFERROR(N39/Statistics!$H$21,0)</f>
        <v>13671.276595744681</v>
      </c>
      <c r="O130" s="55">
        <f>IFERROR(O39/Statistics!$H$21,0)</f>
        <v>13671.276595744681</v>
      </c>
      <c r="P130" s="55">
        <f>IFERROR(P39/Statistics!$H$21,0)</f>
        <v>13671.276595744681</v>
      </c>
      <c r="Q130" s="55">
        <f>IFERROR(Q39/Statistics!$H$21,0)</f>
        <v>13671.276595744681</v>
      </c>
      <c r="R130" s="55">
        <f>IFERROR(R39/Statistics!$H$21,0)</f>
        <v>0</v>
      </c>
      <c r="U130" s="343"/>
      <c r="W130" s="50"/>
      <c r="X130" s="50"/>
      <c r="Y130" s="50"/>
      <c r="Z130" s="50"/>
      <c r="AA130" s="50"/>
      <c r="AB130" s="50"/>
      <c r="AC130" s="50"/>
      <c r="AD130" s="50"/>
      <c r="AE130" s="50"/>
      <c r="AF130" s="50"/>
      <c r="AG130" s="50"/>
      <c r="AH130" s="50"/>
      <c r="AI130" s="50"/>
      <c r="AJ130" s="50"/>
      <c r="AK130" s="50"/>
      <c r="AL130" s="50"/>
      <c r="AM130" s="50"/>
      <c r="AN130" s="50"/>
      <c r="AO130" s="50"/>
    </row>
    <row r="132" spans="1:41">
      <c r="A132" s="80"/>
      <c r="B132" s="80"/>
    </row>
  </sheetData>
  <sheetProtection algorithmName="SHA-512" hashValue="KRw25z3tRc2MkZkt1kz5cz+CakLKTWCa1cwE1K+ULxEcAvSbghEqSMLqJb5t2dFZ3eh0wbibHMpYPGM2w0MpNw==" saltValue="JHL3m8s2gJzEdizcP05abw==" spinCount="100000" sheet="1" objects="1" scenarios="1"/>
  <conditionalFormatting sqref="D1">
    <cfRule type="expression" dxfId="50" priority="14" stopIfTrue="1">
      <formula>MOD(ROW(),2)=0</formula>
    </cfRule>
  </conditionalFormatting>
  <conditionalFormatting sqref="E63:E66">
    <cfRule type="cellIs" dxfId="49" priority="191" stopIfTrue="1" operator="equal">
      <formula>0</formula>
    </cfRule>
  </conditionalFormatting>
  <conditionalFormatting sqref="E65:R65">
    <cfRule type="cellIs" dxfId="48" priority="4" stopIfTrue="1" operator="equal">
      <formula>0</formula>
    </cfRule>
  </conditionalFormatting>
  <conditionalFormatting sqref="E67:R68">
    <cfRule type="cellIs" dxfId="47" priority="3" stopIfTrue="1" operator="equal">
      <formula>0</formula>
    </cfRule>
  </conditionalFormatting>
  <conditionalFormatting sqref="E75:R91">
    <cfRule type="cellIs" dxfId="46" priority="5" stopIfTrue="1" operator="equal">
      <formula>0</formula>
    </cfRule>
  </conditionalFormatting>
  <conditionalFormatting sqref="E97:R118">
    <cfRule type="cellIs" dxfId="45" priority="6" stopIfTrue="1" operator="equal">
      <formula>0</formula>
    </cfRule>
  </conditionalFormatting>
  <conditionalFormatting sqref="E121:R125">
    <cfRule type="cellIs" dxfId="44" priority="8" stopIfTrue="1" operator="equal">
      <formula>0</formula>
    </cfRule>
  </conditionalFormatting>
  <conditionalFormatting sqref="F127:R130">
    <cfRule type="cellIs" dxfId="43" priority="10" stopIfTrue="1" operator="equal">
      <formula>0</formula>
    </cfRule>
  </conditionalFormatting>
  <hyperlinks>
    <hyperlink ref="D1" location="HypLink1" display="HypLink1"/>
  </hyperlinks>
  <pageMargins left="0.25" right="0.25" top="0.5" bottom="0.45" header="0.25" footer="0.25"/>
  <pageSetup paperSize="5" scale="71" fitToHeight="3" orientation="landscape" r:id="rId1"/>
  <headerFooter>
    <oddHeader xml:space="preserve">&amp;L &amp;C &amp;R </oddHeader>
    <oddFooter>&amp;L&amp;7&amp;D  at &amp;T Mike 702.486.8879&amp;C&amp;7&amp;F  &amp;A&amp;R&amp;7Page &amp;P of &amp;N</oddFooter>
  </headerFooter>
  <rowBreaks count="2" manualBreakCount="2">
    <brk id="60" max="16" man="1"/>
    <brk id="93" max="17" man="1"/>
  </rowBreaks>
  <legacyDrawing r:id="rId2"/>
  <extLst>
    <ext xmlns:x14="http://schemas.microsoft.com/office/spreadsheetml/2009/9/main" uri="{78C0D931-6437-407d-A8EE-F0AAD7539E65}">
      <x14:conditionalFormattings>
        <x14:conditionalFormatting xmlns:xm="http://schemas.microsoft.com/office/excel/2006/main">
          <x14:cfRule type="cellIs" priority="19" operator="notBetween" id="{43A297F8-FFBE-417E-89DE-D5D0089D6E55}">
            <xm:f>0.95*' Enrol &amp; Rev'!$G$145</xm:f>
            <xm:f>1.05*' Enrol &amp; Rev'!$G$145</xm:f>
            <x14:dxf>
              <fill>
                <patternFill>
                  <bgColor rgb="FFFF0000"/>
                </patternFill>
              </fill>
            </x14:dxf>
          </x14:cfRule>
          <xm:sqref>C34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AE476"/>
  <sheetViews>
    <sheetView topLeftCell="B430" workbookViewId="0">
      <selection activeCell="H461" sqref="H461"/>
    </sheetView>
  </sheetViews>
  <sheetFormatPr defaultColWidth="8.77734375" defaultRowHeight="13.8" outlineLevelRow="1"/>
  <cols>
    <col min="1" max="1" width="8.21875" style="33" customWidth="1"/>
    <col min="2" max="2" width="43.77734375" style="33" customWidth="1"/>
    <col min="3" max="3" width="20.21875" style="33" customWidth="1"/>
    <col min="4" max="5" width="13.21875" style="33" customWidth="1"/>
    <col min="6" max="6" width="10" style="33" customWidth="1"/>
    <col min="7" max="13" width="18" style="33" customWidth="1"/>
    <col min="14" max="14" width="2.5546875" style="33" customWidth="1"/>
    <col min="15" max="15" width="70.44140625" style="307" customWidth="1"/>
    <col min="16" max="16" width="12.5546875" style="33" customWidth="1"/>
    <col min="17" max="30" width="3.44140625" style="33" bestFit="1" customWidth="1"/>
    <col min="31" max="31" width="3.109375" style="33" bestFit="1" customWidth="1"/>
    <col min="32" max="16384" width="8.77734375" style="33"/>
  </cols>
  <sheetData>
    <row r="1" spans="1:31" ht="17.399999999999999">
      <c r="A1" s="123" t="s">
        <v>569</v>
      </c>
      <c r="B1" s="35"/>
      <c r="D1" s="408" t="s">
        <v>3</v>
      </c>
      <c r="Q1" s="36"/>
      <c r="Y1" s="307"/>
    </row>
    <row r="2" spans="1:31" ht="15.6">
      <c r="A2" s="114" t="str">
        <f>SchoolName</f>
        <v>The Delta Academy</v>
      </c>
      <c r="B2" s="38"/>
      <c r="D2" s="1623" t="s">
        <v>570</v>
      </c>
      <c r="Y2" s="307"/>
    </row>
    <row r="3" spans="1:31">
      <c r="A3" s="39" t="s">
        <v>80</v>
      </c>
      <c r="L3" s="31"/>
      <c r="Y3" s="307"/>
    </row>
    <row r="4" spans="1:31">
      <c r="A4" s="40" t="s">
        <v>81</v>
      </c>
      <c r="Y4" s="307"/>
    </row>
    <row r="5" spans="1:31">
      <c r="A5" s="30" t="str">
        <f ca="1">CELL("filename")</f>
        <v>C:\Users\kyle.konold\Downloads\[FY25 Budget - Delta Academy_Final.xlsx]Form 1 Cover</v>
      </c>
      <c r="Y5" s="307"/>
    </row>
    <row r="6" spans="1:31" ht="15.6">
      <c r="A6" s="480"/>
      <c r="D6" s="65" t="s">
        <v>341</v>
      </c>
      <c r="E6" s="65"/>
      <c r="F6" s="65"/>
      <c r="G6" s="503"/>
      <c r="H6" s="504"/>
      <c r="I6" s="503"/>
      <c r="J6" s="503"/>
      <c r="K6" s="65"/>
      <c r="L6" s="503"/>
      <c r="M6" s="503"/>
      <c r="Y6" s="307"/>
    </row>
    <row r="7" spans="1:31">
      <c r="A7" s="480"/>
      <c r="D7" s="32" t="s">
        <v>342</v>
      </c>
      <c r="E7" s="32"/>
      <c r="F7" s="32"/>
      <c r="G7" s="503">
        <f>+G8</f>
        <v>0</v>
      </c>
      <c r="H7" s="503">
        <f>+H8</f>
        <v>1</v>
      </c>
      <c r="I7" s="503">
        <f t="shared" ref="I7:K7" si="0">+I8</f>
        <v>2</v>
      </c>
      <c r="J7" s="503">
        <f t="shared" si="0"/>
        <v>3</v>
      </c>
      <c r="K7" s="503">
        <f t="shared" si="0"/>
        <v>4</v>
      </c>
      <c r="L7" s="503"/>
      <c r="M7" s="503"/>
      <c r="Y7" s="307"/>
    </row>
    <row r="8" spans="1:31">
      <c r="A8" s="480"/>
      <c r="G8" s="1638">
        <f>' Enrol &amp; Rev'!F9</f>
        <v>0</v>
      </c>
      <c r="H8" s="718">
        <f>' Enrol &amp; Rev'!G9</f>
        <v>1</v>
      </c>
      <c r="I8" s="718">
        <f>' Enrol &amp; Rev'!H9</f>
        <v>2</v>
      </c>
      <c r="J8" s="718">
        <f>' Enrol &amp; Rev'!I9</f>
        <v>3</v>
      </c>
      <c r="K8" s="718">
        <f>' Enrol &amp; Rev'!J9</f>
        <v>4</v>
      </c>
      <c r="L8" s="718">
        <f>' Enrol &amp; Rev'!K9</f>
        <v>5</v>
      </c>
      <c r="M8" s="1188">
        <f>' Enrol &amp; Rev'!L9</f>
        <v>6</v>
      </c>
      <c r="Q8" s="50"/>
      <c r="R8" s="50"/>
      <c r="S8" s="50"/>
      <c r="T8" s="50"/>
      <c r="U8" s="50"/>
      <c r="V8" s="50"/>
      <c r="W8" s="50"/>
      <c r="X8" s="50"/>
      <c r="Y8" s="50"/>
      <c r="Z8" s="50"/>
      <c r="AA8" s="50"/>
      <c r="AB8" s="50"/>
      <c r="AC8" s="50"/>
      <c r="AD8" s="50"/>
      <c r="AE8" s="50"/>
    </row>
    <row r="9" spans="1:31">
      <c r="A9" s="480"/>
      <c r="G9" s="719">
        <f>' Enrol &amp; Rev'!F10</f>
        <v>2024</v>
      </c>
      <c r="H9" s="720">
        <f>' Enrol &amp; Rev'!G10</f>
        <v>2025</v>
      </c>
      <c r="I9" s="720">
        <f>' Enrol &amp; Rev'!H10</f>
        <v>2026</v>
      </c>
      <c r="J9" s="720">
        <f>' Enrol &amp; Rev'!I10</f>
        <v>2027</v>
      </c>
      <c r="K9" s="720">
        <f>' Enrol &amp; Rev'!J10</f>
        <v>2028</v>
      </c>
      <c r="L9" s="720">
        <f>' Enrol &amp; Rev'!K10</f>
        <v>2029</v>
      </c>
      <c r="M9" s="721">
        <f>' Enrol &amp; Rev'!L10</f>
        <v>2030</v>
      </c>
      <c r="Q9" s="50"/>
      <c r="R9" s="50"/>
      <c r="S9" s="50"/>
      <c r="T9" s="50"/>
      <c r="U9" s="50"/>
      <c r="V9" s="50"/>
      <c r="W9" s="50"/>
      <c r="X9" s="50"/>
      <c r="Y9" s="50"/>
      <c r="Z9" s="50"/>
      <c r="AA9" s="50"/>
      <c r="AB9" s="50"/>
      <c r="AC9" s="50"/>
      <c r="AD9" s="50"/>
      <c r="AE9" s="50"/>
    </row>
    <row r="10" spans="1:31">
      <c r="A10" s="480"/>
      <c r="G10" s="722">
        <f>' Enrol &amp; Rev'!F11</f>
        <v>2025</v>
      </c>
      <c r="H10" s="723">
        <f>' Enrol &amp; Rev'!G11</f>
        <v>2026</v>
      </c>
      <c r="I10" s="723">
        <f>' Enrol &amp; Rev'!H11</f>
        <v>2027</v>
      </c>
      <c r="J10" s="723">
        <f>' Enrol &amp; Rev'!I11</f>
        <v>2028</v>
      </c>
      <c r="K10" s="723">
        <f>' Enrol &amp; Rev'!J11</f>
        <v>2029</v>
      </c>
      <c r="L10" s="723">
        <f>' Enrol &amp; Rev'!K11</f>
        <v>2030</v>
      </c>
      <c r="M10" s="724">
        <f>' Enrol &amp; Rev'!L11</f>
        <v>2031</v>
      </c>
      <c r="Q10" s="50"/>
      <c r="R10" s="50"/>
      <c r="S10" s="50"/>
      <c r="T10" s="50"/>
      <c r="U10" s="50"/>
      <c r="V10" s="50"/>
      <c r="W10" s="50"/>
      <c r="X10" s="50"/>
      <c r="Y10" s="50"/>
      <c r="Z10" s="50"/>
      <c r="AA10" s="50"/>
      <c r="AB10" s="50"/>
      <c r="AC10" s="50"/>
      <c r="AD10" s="50"/>
      <c r="AE10" s="50"/>
    </row>
    <row r="11" spans="1:31" ht="17.399999999999999">
      <c r="A11" s="480"/>
      <c r="B11" s="435" t="s">
        <v>571</v>
      </c>
      <c r="G11" s="503"/>
      <c r="H11" s="503"/>
      <c r="I11" s="503"/>
      <c r="J11" s="503"/>
      <c r="K11" s="503"/>
      <c r="L11" s="503"/>
      <c r="M11" s="503"/>
      <c r="Q11" s="50"/>
      <c r="R11" s="50"/>
      <c r="S11" s="50"/>
      <c r="T11" s="50"/>
      <c r="U11" s="50"/>
      <c r="V11" s="50"/>
      <c r="W11" s="50"/>
      <c r="X11" s="50"/>
      <c r="Y11" s="50"/>
      <c r="Z11" s="50"/>
      <c r="AA11" s="50"/>
      <c r="AB11" s="50"/>
      <c r="AC11" s="50"/>
      <c r="AD11" s="50"/>
      <c r="AE11" s="50"/>
    </row>
    <row r="12" spans="1:31">
      <c r="A12" s="480"/>
      <c r="D12" s="289"/>
      <c r="E12" s="289"/>
      <c r="F12" s="289"/>
      <c r="G12" s="503"/>
      <c r="H12" s="503"/>
      <c r="I12" s="503"/>
      <c r="J12" s="503"/>
      <c r="K12" s="503"/>
      <c r="L12" s="503"/>
      <c r="M12" s="503"/>
      <c r="N12" s="96"/>
      <c r="O12" s="1377"/>
      <c r="Q12" s="50"/>
      <c r="R12" s="50"/>
      <c r="S12" s="50"/>
      <c r="T12" s="50"/>
      <c r="U12" s="50"/>
      <c r="V12" s="50"/>
      <c r="W12" s="50"/>
      <c r="X12" s="50"/>
      <c r="Y12" s="50"/>
      <c r="Z12" s="50"/>
      <c r="AA12" s="50"/>
      <c r="AB12" s="50"/>
      <c r="AC12" s="50"/>
      <c r="AD12" s="50"/>
      <c r="AE12" s="50"/>
    </row>
    <row r="13" spans="1:31">
      <c r="A13" s="480"/>
      <c r="B13" s="31" t="s">
        <v>572</v>
      </c>
      <c r="C13" s="31"/>
      <c r="D13" s="31"/>
      <c r="E13" s="31"/>
      <c r="F13" s="31"/>
      <c r="G13" s="65"/>
      <c r="H13" s="505"/>
      <c r="I13" s="505"/>
      <c r="J13" s="505"/>
      <c r="K13" s="505"/>
      <c r="L13" s="505"/>
      <c r="M13" s="505"/>
      <c r="N13" s="96"/>
      <c r="O13" s="1377"/>
      <c r="Q13" s="50"/>
      <c r="R13" s="50"/>
      <c r="S13" s="50"/>
      <c r="T13" s="50"/>
      <c r="U13" s="50"/>
      <c r="V13" s="50"/>
      <c r="W13" s="50"/>
      <c r="X13" s="50"/>
      <c r="Y13" s="50"/>
      <c r="Z13" s="50"/>
      <c r="AA13" s="50"/>
      <c r="AB13" s="50"/>
      <c r="AC13" s="50"/>
      <c r="AD13" s="50"/>
      <c r="AE13" s="50"/>
    </row>
    <row r="14" spans="1:31" ht="17.399999999999999">
      <c r="A14" s="480">
        <f>ROW()</f>
        <v>14</v>
      </c>
      <c r="B14" s="781" t="s">
        <v>573</v>
      </c>
      <c r="C14" s="782"/>
      <c r="D14" s="782"/>
      <c r="E14" s="782"/>
      <c r="F14" s="782"/>
      <c r="G14" s="783"/>
      <c r="H14" s="783"/>
      <c r="I14" s="783"/>
      <c r="J14" s="783"/>
      <c r="K14" s="783"/>
      <c r="L14" s="783"/>
      <c r="M14" s="783"/>
      <c r="N14" s="96"/>
      <c r="O14" s="1365" t="s">
        <v>103</v>
      </c>
      <c r="Q14" s="50"/>
      <c r="R14" s="50"/>
      <c r="S14" s="50"/>
      <c r="T14" s="50"/>
      <c r="U14" s="50"/>
      <c r="V14" s="50"/>
      <c r="W14" s="50"/>
      <c r="X14" s="50"/>
      <c r="Y14" s="50"/>
      <c r="Z14" s="50"/>
      <c r="AA14" s="50"/>
      <c r="AB14" s="50"/>
      <c r="AC14" s="50"/>
      <c r="AD14" s="50"/>
      <c r="AE14" s="50"/>
    </row>
    <row r="15" spans="1:31">
      <c r="A15" s="480">
        <f>ROW()</f>
        <v>15</v>
      </c>
      <c r="N15" s="96"/>
      <c r="O15" s="462"/>
      <c r="Q15" s="50"/>
      <c r="R15" s="50"/>
      <c r="S15" s="50"/>
      <c r="T15" s="50"/>
      <c r="U15" s="50"/>
      <c r="V15" s="50"/>
      <c r="W15" s="50"/>
      <c r="X15" s="50"/>
      <c r="Y15" s="50"/>
      <c r="Z15" s="50"/>
      <c r="AA15" s="50"/>
      <c r="AB15" s="50"/>
      <c r="AC15" s="50"/>
      <c r="AD15" s="50"/>
      <c r="AE15" s="50"/>
    </row>
    <row r="16" spans="1:31" ht="17.399999999999999">
      <c r="A16" s="480">
        <f>ROW()</f>
        <v>16</v>
      </c>
      <c r="B16" s="80" t="s">
        <v>574</v>
      </c>
      <c r="D16" s="1320" t="s">
        <v>575</v>
      </c>
      <c r="E16" s="63"/>
      <c r="F16" s="63"/>
      <c r="G16" s="1321">
        <f>+G10</f>
        <v>2025</v>
      </c>
      <c r="H16" s="1321">
        <f t="shared" ref="H16:M16" si="1">+H10</f>
        <v>2026</v>
      </c>
      <c r="I16" s="1321">
        <f t="shared" si="1"/>
        <v>2027</v>
      </c>
      <c r="J16" s="1321">
        <f t="shared" si="1"/>
        <v>2028</v>
      </c>
      <c r="K16" s="1321">
        <f t="shared" si="1"/>
        <v>2029</v>
      </c>
      <c r="L16" s="1321">
        <f t="shared" si="1"/>
        <v>2030</v>
      </c>
      <c r="M16" s="1321">
        <f t="shared" si="1"/>
        <v>2031</v>
      </c>
      <c r="N16" s="96"/>
      <c r="O16" s="462"/>
      <c r="Q16" s="50"/>
      <c r="R16" s="50"/>
      <c r="S16" s="50"/>
      <c r="T16" s="50"/>
      <c r="U16" s="50"/>
      <c r="V16" s="50"/>
      <c r="W16" s="50"/>
      <c r="X16" s="50"/>
      <c r="Y16" s="50"/>
      <c r="Z16" s="50"/>
      <c r="AA16" s="50"/>
      <c r="AB16" s="50"/>
      <c r="AC16" s="50"/>
      <c r="AD16" s="50"/>
      <c r="AE16" s="50"/>
    </row>
    <row r="17" spans="1:31" ht="15.6">
      <c r="A17" s="480">
        <f>ROW()</f>
        <v>17</v>
      </c>
      <c r="B17" s="80" t="s">
        <v>576</v>
      </c>
      <c r="D17" s="371" t="s">
        <v>577</v>
      </c>
      <c r="E17" s="371"/>
      <c r="F17" s="371"/>
      <c r="G17" s="1314">
        <f>$G$86</f>
        <v>0</v>
      </c>
      <c r="H17" s="1314">
        <f>$H$86</f>
        <v>4</v>
      </c>
      <c r="I17" s="1314">
        <f>$I$86</f>
        <v>4</v>
      </c>
      <c r="J17" s="1314">
        <f>$J$86</f>
        <v>4</v>
      </c>
      <c r="K17" s="1314">
        <f>$K$86</f>
        <v>4</v>
      </c>
      <c r="L17" s="1314">
        <f>$L$86</f>
        <v>4</v>
      </c>
      <c r="M17" s="1314">
        <f>$M$86</f>
        <v>4</v>
      </c>
      <c r="N17" s="96"/>
      <c r="O17" s="462"/>
      <c r="Q17" s="50"/>
      <c r="R17" s="50"/>
      <c r="S17" s="50"/>
      <c r="T17" s="50"/>
      <c r="U17" s="50"/>
      <c r="V17" s="50"/>
      <c r="W17" s="50"/>
      <c r="X17" s="50"/>
      <c r="Y17" s="50"/>
      <c r="Z17" s="50"/>
      <c r="AA17" s="50"/>
      <c r="AB17" s="50"/>
      <c r="AC17" s="50"/>
      <c r="AD17" s="50"/>
      <c r="AE17" s="50"/>
    </row>
    <row r="18" spans="1:31" ht="15.6">
      <c r="A18" s="480">
        <f>ROW()</f>
        <v>18</v>
      </c>
      <c r="D18" s="371" t="s">
        <v>578</v>
      </c>
      <c r="E18" s="371"/>
      <c r="F18" s="371"/>
      <c r="G18" s="1314">
        <f>$G$94-$G$86</f>
        <v>0</v>
      </c>
      <c r="H18" s="1314">
        <f>$H$94-$H$86</f>
        <v>0</v>
      </c>
      <c r="I18" s="1314">
        <f>$I$94-$I$86</f>
        <v>0</v>
      </c>
      <c r="J18" s="1314">
        <f>$J$94-$J$86</f>
        <v>0</v>
      </c>
      <c r="K18" s="1314">
        <f>$K$94-$K$86</f>
        <v>0</v>
      </c>
      <c r="L18" s="1314">
        <f>$L$94-$L$86</f>
        <v>0</v>
      </c>
      <c r="M18" s="1314">
        <f>$M$94-$M$86</f>
        <v>0</v>
      </c>
      <c r="N18" s="96"/>
      <c r="O18" s="343"/>
      <c r="Q18" s="50"/>
      <c r="R18" s="50"/>
      <c r="S18" s="50"/>
      <c r="T18" s="50"/>
      <c r="U18" s="50"/>
      <c r="V18" s="50"/>
      <c r="W18" s="50"/>
      <c r="X18" s="50"/>
      <c r="Y18" s="50"/>
      <c r="Z18" s="50"/>
      <c r="AA18" s="50"/>
      <c r="AB18" s="50"/>
      <c r="AC18" s="50"/>
      <c r="AD18" s="50"/>
      <c r="AE18" s="50"/>
    </row>
    <row r="19" spans="1:31" ht="15.6">
      <c r="A19" s="480">
        <f>ROW()</f>
        <v>19</v>
      </c>
      <c r="D19" s="371" t="s">
        <v>579</v>
      </c>
      <c r="E19" s="371"/>
      <c r="F19" s="371"/>
      <c r="G19" s="1314">
        <f>$G$106</f>
        <v>0</v>
      </c>
      <c r="H19" s="1314">
        <f>$H$106</f>
        <v>10</v>
      </c>
      <c r="I19" s="1314">
        <f>$I$106</f>
        <v>10</v>
      </c>
      <c r="J19" s="1314">
        <f>$J$106</f>
        <v>10</v>
      </c>
      <c r="K19" s="1314">
        <f>$K$106</f>
        <v>11</v>
      </c>
      <c r="L19" s="1314">
        <f>$L$106</f>
        <v>11</v>
      </c>
      <c r="M19" s="1314">
        <f>$M$106</f>
        <v>12</v>
      </c>
      <c r="N19" s="96"/>
      <c r="O19" s="343"/>
      <c r="Q19" s="50"/>
      <c r="R19" s="50"/>
      <c r="S19" s="50"/>
      <c r="T19" s="50"/>
      <c r="U19" s="50"/>
      <c r="V19" s="50"/>
      <c r="W19" s="50"/>
      <c r="X19" s="50"/>
      <c r="Y19" s="50"/>
      <c r="Z19" s="50"/>
      <c r="AA19" s="50"/>
      <c r="AB19" s="50"/>
      <c r="AC19" s="50"/>
      <c r="AD19" s="50"/>
      <c r="AE19" s="50"/>
    </row>
    <row r="20" spans="1:31" ht="15.6">
      <c r="A20" s="480">
        <f>ROW()</f>
        <v>20</v>
      </c>
      <c r="D20" s="371" t="s">
        <v>580</v>
      </c>
      <c r="E20" s="371"/>
      <c r="F20" s="371"/>
      <c r="G20" s="1314">
        <f>$G$120</f>
        <v>0</v>
      </c>
      <c r="H20" s="1314">
        <f>$H$120</f>
        <v>0</v>
      </c>
      <c r="I20" s="1314">
        <f>$I$120</f>
        <v>0</v>
      </c>
      <c r="J20" s="1314">
        <f>$J$120</f>
        <v>0</v>
      </c>
      <c r="K20" s="1314">
        <f>$K$120</f>
        <v>0</v>
      </c>
      <c r="L20" s="1314">
        <f>$L$120</f>
        <v>0</v>
      </c>
      <c r="M20" s="1314">
        <f>$M$120</f>
        <v>0</v>
      </c>
      <c r="N20" s="96"/>
      <c r="O20" s="343"/>
      <c r="Q20" s="50"/>
      <c r="R20" s="50"/>
      <c r="S20" s="50"/>
      <c r="T20" s="50"/>
      <c r="U20" s="50"/>
      <c r="V20" s="50"/>
      <c r="W20" s="50"/>
      <c r="X20" s="50"/>
      <c r="Y20" s="50"/>
      <c r="Z20" s="50"/>
      <c r="AA20" s="50"/>
      <c r="AB20" s="50"/>
      <c r="AC20" s="50"/>
      <c r="AD20" s="50"/>
      <c r="AE20" s="50"/>
    </row>
    <row r="21" spans="1:31" ht="15.6">
      <c r="A21" s="480">
        <f>ROW()</f>
        <v>21</v>
      </c>
      <c r="D21" s="371" t="s">
        <v>581</v>
      </c>
      <c r="E21" s="371"/>
      <c r="F21" s="371"/>
      <c r="G21" s="1314">
        <f>$G$134</f>
        <v>0</v>
      </c>
      <c r="H21" s="1314">
        <f>$H$134</f>
        <v>3</v>
      </c>
      <c r="I21" s="1314">
        <f>$I$134</f>
        <v>4</v>
      </c>
      <c r="J21" s="1314">
        <f>$J$134</f>
        <v>4</v>
      </c>
      <c r="K21" s="1314">
        <f>$K$134</f>
        <v>4</v>
      </c>
      <c r="L21" s="1314">
        <f>$L$134</f>
        <v>4</v>
      </c>
      <c r="M21" s="1314">
        <f>$M$134</f>
        <v>5</v>
      </c>
      <c r="N21" s="96"/>
      <c r="O21" s="343"/>
      <c r="Q21" s="50"/>
      <c r="R21" s="50"/>
      <c r="S21" s="50"/>
      <c r="T21" s="50"/>
      <c r="U21" s="50"/>
      <c r="V21" s="50"/>
      <c r="W21" s="50"/>
      <c r="X21" s="50"/>
      <c r="Y21" s="50"/>
      <c r="Z21" s="50"/>
      <c r="AA21" s="50"/>
      <c r="AB21" s="50"/>
      <c r="AC21" s="50"/>
      <c r="AD21" s="50"/>
      <c r="AE21" s="50"/>
    </row>
    <row r="22" spans="1:31" ht="15.6">
      <c r="A22" s="480">
        <f>ROW()</f>
        <v>22</v>
      </c>
      <c r="D22" s="371" t="s">
        <v>582</v>
      </c>
      <c r="E22" s="371"/>
      <c r="F22" s="371"/>
      <c r="G22" s="1314">
        <f>$G$238</f>
        <v>0</v>
      </c>
      <c r="H22" s="1314">
        <f>$H$238</f>
        <v>29</v>
      </c>
      <c r="I22" s="1314">
        <f>$I$238</f>
        <v>29</v>
      </c>
      <c r="J22" s="1314">
        <f>$J$238</f>
        <v>29</v>
      </c>
      <c r="K22" s="1314">
        <f>$K$238</f>
        <v>32</v>
      </c>
      <c r="L22" s="1314">
        <f>$L$238</f>
        <v>32</v>
      </c>
      <c r="M22" s="1314">
        <f>$M$238</f>
        <v>32</v>
      </c>
      <c r="N22" s="96"/>
      <c r="O22" s="343"/>
      <c r="Q22" s="50"/>
      <c r="R22" s="50"/>
      <c r="S22" s="50"/>
      <c r="T22" s="50"/>
      <c r="U22" s="50"/>
      <c r="V22" s="50"/>
      <c r="W22" s="50"/>
      <c r="X22" s="50"/>
      <c r="Y22" s="50"/>
      <c r="Z22" s="50"/>
      <c r="AA22" s="50"/>
      <c r="AB22" s="50"/>
      <c r="AC22" s="50"/>
      <c r="AD22" s="50"/>
      <c r="AE22" s="50"/>
    </row>
    <row r="23" spans="1:31" ht="15.6">
      <c r="A23" s="480">
        <f>ROW()</f>
        <v>23</v>
      </c>
      <c r="C23" s="31"/>
      <c r="D23" s="174" t="s">
        <v>583</v>
      </c>
      <c r="E23" s="174"/>
      <c r="F23" s="174"/>
      <c r="G23" s="1319">
        <f t="shared" ref="G23:M23" si="2">SUM(G17:G22)</f>
        <v>0</v>
      </c>
      <c r="H23" s="1319">
        <f t="shared" si="2"/>
        <v>46</v>
      </c>
      <c r="I23" s="1319">
        <f t="shared" si="2"/>
        <v>47</v>
      </c>
      <c r="J23" s="1319">
        <f t="shared" si="2"/>
        <v>47</v>
      </c>
      <c r="K23" s="1319">
        <f t="shared" si="2"/>
        <v>51</v>
      </c>
      <c r="L23" s="1319">
        <f t="shared" si="2"/>
        <v>51</v>
      </c>
      <c r="M23" s="1319">
        <f t="shared" si="2"/>
        <v>53</v>
      </c>
      <c r="N23" s="96"/>
      <c r="O23" s="343"/>
      <c r="Q23" s="50"/>
      <c r="R23" s="50"/>
      <c r="S23" s="50"/>
      <c r="T23" s="50"/>
      <c r="U23" s="50"/>
      <c r="V23" s="50"/>
      <c r="W23" s="50"/>
      <c r="X23" s="50"/>
      <c r="Y23" s="50"/>
      <c r="Z23" s="50"/>
      <c r="AA23" s="50"/>
      <c r="AB23" s="50"/>
      <c r="AC23" s="50"/>
      <c r="AD23" s="50"/>
      <c r="AE23" s="50"/>
    </row>
    <row r="24" spans="1:31" ht="15.6">
      <c r="A24" s="480">
        <f>ROW()</f>
        <v>24</v>
      </c>
      <c r="D24" s="371"/>
      <c r="E24" s="371"/>
      <c r="F24" s="371"/>
      <c r="G24" s="371"/>
      <c r="H24" s="1315"/>
      <c r="I24" s="1315"/>
      <c r="J24" s="1315"/>
      <c r="K24" s="371"/>
      <c r="L24" s="371"/>
      <c r="M24" s="371"/>
      <c r="N24" s="96"/>
      <c r="O24" s="343"/>
      <c r="Q24" s="50"/>
      <c r="R24" s="50"/>
      <c r="S24" s="50"/>
      <c r="T24" s="50"/>
      <c r="U24" s="50"/>
      <c r="V24" s="50"/>
      <c r="W24" s="50"/>
      <c r="X24" s="50"/>
      <c r="Y24" s="50"/>
      <c r="Z24" s="50"/>
      <c r="AA24" s="50"/>
      <c r="AB24" s="50"/>
      <c r="AC24" s="50"/>
      <c r="AD24" s="50"/>
      <c r="AE24" s="50"/>
    </row>
    <row r="25" spans="1:31" ht="15.6">
      <c r="A25" s="480">
        <f>ROW()</f>
        <v>25</v>
      </c>
      <c r="D25" s="1316" t="s">
        <v>584</v>
      </c>
      <c r="E25" s="1316"/>
      <c r="F25" s="1316"/>
      <c r="G25" s="1317">
        <f>G457</f>
        <v>0</v>
      </c>
      <c r="H25" s="1317">
        <f t="shared" ref="H25:M25" si="3">H457</f>
        <v>0</v>
      </c>
      <c r="I25" s="1317">
        <f t="shared" si="3"/>
        <v>0</v>
      </c>
      <c r="J25" s="1317">
        <f t="shared" si="3"/>
        <v>0</v>
      </c>
      <c r="K25" s="1317">
        <f t="shared" si="3"/>
        <v>0</v>
      </c>
      <c r="L25" s="1317">
        <f t="shared" si="3"/>
        <v>0</v>
      </c>
      <c r="M25" s="1317">
        <f t="shared" si="3"/>
        <v>0</v>
      </c>
      <c r="N25" s="96"/>
      <c r="O25" s="343"/>
      <c r="Q25" s="50"/>
      <c r="R25" s="50"/>
      <c r="S25" s="50"/>
      <c r="T25" s="50"/>
      <c r="U25" s="50"/>
      <c r="V25" s="50"/>
      <c r="W25" s="50"/>
      <c r="X25" s="50"/>
      <c r="Y25" s="50"/>
      <c r="Z25" s="50"/>
      <c r="AA25" s="50"/>
      <c r="AB25" s="50"/>
      <c r="AC25" s="50"/>
      <c r="AD25" s="50"/>
      <c r="AE25" s="50"/>
    </row>
    <row r="26" spans="1:31" ht="15.6">
      <c r="A26" s="480">
        <f>ROW()</f>
        <v>26</v>
      </c>
      <c r="D26" s="371"/>
      <c r="E26" s="371"/>
      <c r="F26" s="371"/>
      <c r="G26" s="371"/>
      <c r="H26" s="1315"/>
      <c r="I26" s="1315"/>
      <c r="J26" s="1315"/>
      <c r="K26" s="371"/>
      <c r="L26" s="371"/>
      <c r="M26" s="371"/>
      <c r="N26" s="96"/>
      <c r="O26" s="343"/>
      <c r="Q26" s="50"/>
      <c r="R26" s="50"/>
      <c r="S26" s="50"/>
      <c r="T26" s="50"/>
      <c r="U26" s="50"/>
      <c r="V26" s="50"/>
      <c r="W26" s="50"/>
      <c r="X26" s="50"/>
      <c r="Y26" s="50"/>
      <c r="Z26" s="50"/>
      <c r="AA26" s="50"/>
      <c r="AB26" s="50"/>
      <c r="AC26" s="50"/>
      <c r="AD26" s="50"/>
      <c r="AE26" s="50"/>
    </row>
    <row r="27" spans="1:31" ht="15.6">
      <c r="A27" s="480">
        <f>ROW()</f>
        <v>27</v>
      </c>
      <c r="C27" s="31"/>
      <c r="D27" s="174" t="s">
        <v>585</v>
      </c>
      <c r="E27" s="174"/>
      <c r="F27" s="174"/>
      <c r="G27" s="1318">
        <f>+G25+G23</f>
        <v>0</v>
      </c>
      <c r="H27" s="1318">
        <f t="shared" ref="H27:M27" si="4">+H25+H23</f>
        <v>46</v>
      </c>
      <c r="I27" s="1318">
        <f t="shared" si="4"/>
        <v>47</v>
      </c>
      <c r="J27" s="1318">
        <f t="shared" si="4"/>
        <v>47</v>
      </c>
      <c r="K27" s="1318">
        <f t="shared" si="4"/>
        <v>51</v>
      </c>
      <c r="L27" s="1318">
        <f t="shared" si="4"/>
        <v>51</v>
      </c>
      <c r="M27" s="1318">
        <f t="shared" si="4"/>
        <v>53</v>
      </c>
      <c r="N27" s="96"/>
      <c r="O27" s="343"/>
      <c r="Q27" s="50"/>
      <c r="R27" s="50"/>
      <c r="S27" s="50"/>
      <c r="T27" s="50"/>
      <c r="U27" s="50"/>
      <c r="V27" s="50"/>
      <c r="W27" s="50"/>
      <c r="X27" s="50"/>
      <c r="Y27" s="50"/>
      <c r="Z27" s="50"/>
      <c r="AA27" s="50"/>
      <c r="AB27" s="50"/>
      <c r="AC27" s="50"/>
      <c r="AD27" s="50"/>
      <c r="AE27" s="50"/>
    </row>
    <row r="28" spans="1:31">
      <c r="A28" s="480">
        <f>ROW()</f>
        <v>28</v>
      </c>
      <c r="H28" s="103"/>
      <c r="I28" s="103"/>
      <c r="J28" s="103"/>
      <c r="N28" s="96"/>
      <c r="O28" s="343"/>
      <c r="Q28" s="50"/>
      <c r="R28" s="50"/>
      <c r="S28" s="50"/>
      <c r="T28" s="50"/>
      <c r="U28" s="50"/>
      <c r="V28" s="50"/>
      <c r="W28" s="50"/>
      <c r="X28" s="50"/>
      <c r="Y28" s="50"/>
      <c r="Z28" s="50"/>
      <c r="AA28" s="50"/>
      <c r="AB28" s="50"/>
      <c r="AC28" s="50"/>
      <c r="AD28" s="50"/>
      <c r="AE28" s="50"/>
    </row>
    <row r="29" spans="1:31">
      <c r="A29" s="480">
        <f>ROW()</f>
        <v>29</v>
      </c>
      <c r="C29" s="503" t="s">
        <v>586</v>
      </c>
      <c r="H29" s="103"/>
      <c r="I29" s="103"/>
      <c r="J29" s="103"/>
      <c r="N29" s="96"/>
      <c r="O29" s="343"/>
      <c r="Q29" s="50"/>
      <c r="R29" s="50"/>
      <c r="S29" s="50"/>
      <c r="T29" s="50"/>
      <c r="U29" s="50"/>
      <c r="V29" s="50"/>
      <c r="W29" s="50"/>
      <c r="X29" s="50"/>
      <c r="Y29" s="50"/>
      <c r="Z29" s="50"/>
      <c r="AA29" s="50"/>
      <c r="AB29" s="50"/>
      <c r="AC29" s="50"/>
      <c r="AD29" s="50"/>
      <c r="AE29" s="50"/>
    </row>
    <row r="30" spans="1:31" ht="17.399999999999999">
      <c r="A30" s="480">
        <f>ROW()</f>
        <v>30</v>
      </c>
      <c r="B30" s="1535" t="s">
        <v>587</v>
      </c>
      <c r="C30" s="1536">
        <f>AVERAGE(H30:M30)</f>
        <v>1851.2544155079584</v>
      </c>
      <c r="D30" s="1537"/>
      <c r="E30" s="1537"/>
      <c r="F30" s="1537"/>
      <c r="G30" s="1538"/>
      <c r="H30" s="1538">
        <f>Levers!D9</f>
        <v>1595</v>
      </c>
      <c r="I30" s="1538">
        <f>Levers!E9</f>
        <v>1688</v>
      </c>
      <c r="J30" s="1538">
        <f>Levers!F9</f>
        <v>1788.6201881600005</v>
      </c>
      <c r="K30" s="1538">
        <f>Levers!G9</f>
        <v>1895.9373994496007</v>
      </c>
      <c r="L30" s="1538">
        <f>Levers!H9</f>
        <v>2009.6936434165768</v>
      </c>
      <c r="M30" s="1538">
        <f>Levers!I9</f>
        <v>2130.2752620215715</v>
      </c>
      <c r="N30" s="96"/>
      <c r="O30" s="343"/>
      <c r="Q30" s="50"/>
      <c r="R30" s="50"/>
      <c r="S30" s="50"/>
      <c r="T30" s="50"/>
      <c r="U30" s="50"/>
      <c r="V30" s="50"/>
      <c r="W30" s="50"/>
      <c r="X30" s="50"/>
      <c r="Y30" s="50"/>
      <c r="Z30" s="50"/>
      <c r="AA30" s="50"/>
      <c r="AB30" s="50"/>
      <c r="AC30" s="50"/>
      <c r="AD30" s="50"/>
      <c r="AE30" s="50"/>
    </row>
    <row r="31" spans="1:31" ht="18">
      <c r="A31" s="480">
        <f>ROW()</f>
        <v>31</v>
      </c>
      <c r="B31" s="1428" t="s">
        <v>588</v>
      </c>
      <c r="C31" s="1336"/>
      <c r="D31" s="1337"/>
      <c r="E31" s="1337"/>
      <c r="F31" s="1337"/>
      <c r="G31" s="1338">
        <f>SUM(G19,G20,G22)</f>
        <v>0</v>
      </c>
      <c r="H31" s="1338">
        <f t="shared" ref="H31:M31" si="5">SUM(H19,H20,H22)</f>
        <v>39</v>
      </c>
      <c r="I31" s="1338">
        <f t="shared" si="5"/>
        <v>39</v>
      </c>
      <c r="J31" s="1338">
        <f t="shared" si="5"/>
        <v>39</v>
      </c>
      <c r="K31" s="1338">
        <f t="shared" si="5"/>
        <v>43</v>
      </c>
      <c r="L31" s="1338">
        <f t="shared" si="5"/>
        <v>43</v>
      </c>
      <c r="M31" s="1338">
        <f t="shared" si="5"/>
        <v>44</v>
      </c>
      <c r="N31" s="96"/>
      <c r="O31" s="343"/>
      <c r="Q31" s="50"/>
      <c r="R31" s="50"/>
      <c r="S31" s="50"/>
      <c r="T31" s="50"/>
      <c r="U31" s="50"/>
      <c r="V31" s="50"/>
      <c r="W31" s="50"/>
      <c r="X31" s="50"/>
      <c r="Y31" s="50"/>
      <c r="Z31" s="50"/>
      <c r="AA31" s="50"/>
      <c r="AB31" s="50"/>
      <c r="AC31" s="50"/>
      <c r="AD31" s="50"/>
      <c r="AE31" s="50"/>
    </row>
    <row r="32" spans="1:31" ht="18">
      <c r="A32" s="480">
        <f>ROW()</f>
        <v>32</v>
      </c>
      <c r="B32" s="1429" t="s">
        <v>589</v>
      </c>
      <c r="C32" s="1339"/>
      <c r="D32" s="1340"/>
      <c r="E32" s="1340"/>
      <c r="F32" s="1340"/>
      <c r="G32" s="1341">
        <f>IFERROR(G30/G31,0)</f>
        <v>0</v>
      </c>
      <c r="H32" s="1341">
        <f t="shared" ref="H32:M32" si="6">IFERROR(H30/H31,0)</f>
        <v>40.897435897435898</v>
      </c>
      <c r="I32" s="1341">
        <f t="shared" si="6"/>
        <v>43.282051282051285</v>
      </c>
      <c r="J32" s="1341">
        <f t="shared" si="6"/>
        <v>45.862056106666678</v>
      </c>
      <c r="K32" s="1341">
        <f t="shared" si="6"/>
        <v>44.091567429060483</v>
      </c>
      <c r="L32" s="1341">
        <f t="shared" si="6"/>
        <v>46.737061474804115</v>
      </c>
      <c r="M32" s="1341">
        <f t="shared" si="6"/>
        <v>48.415346864126626</v>
      </c>
      <c r="N32" s="96"/>
      <c r="O32" s="343"/>
      <c r="Q32" s="50"/>
      <c r="R32" s="50"/>
      <c r="S32" s="50"/>
      <c r="T32" s="50"/>
      <c r="U32" s="50"/>
      <c r="V32" s="50"/>
      <c r="W32" s="50"/>
      <c r="X32" s="50"/>
      <c r="Y32" s="50"/>
      <c r="Z32" s="50"/>
      <c r="AA32" s="50"/>
      <c r="AB32" s="50"/>
      <c r="AC32" s="50"/>
      <c r="AD32" s="50"/>
      <c r="AE32" s="50"/>
    </row>
    <row r="33" spans="1:31">
      <c r="A33" s="480">
        <f>ROW()</f>
        <v>33</v>
      </c>
      <c r="B33" s="795"/>
      <c r="C33" s="795"/>
      <c r="D33" s="436"/>
      <c r="E33" s="436"/>
      <c r="F33" s="436"/>
      <c r="G33" s="436"/>
      <c r="H33" s="436"/>
      <c r="I33" s="436"/>
      <c r="J33" s="436"/>
      <c r="K33" s="436"/>
      <c r="L33" s="436"/>
      <c r="M33" s="436"/>
      <c r="N33" s="96"/>
      <c r="O33" s="343"/>
      <c r="Q33" s="50"/>
      <c r="R33" s="50"/>
      <c r="S33" s="50"/>
      <c r="T33" s="50"/>
      <c r="U33" s="50"/>
      <c r="V33" s="50"/>
      <c r="W33" s="50"/>
      <c r="X33" s="50"/>
      <c r="Y33" s="50"/>
      <c r="Z33" s="50"/>
      <c r="AA33" s="50"/>
      <c r="AB33" s="50"/>
      <c r="AC33" s="50"/>
      <c r="AD33" s="50"/>
      <c r="AE33" s="50"/>
    </row>
    <row r="34" spans="1:31">
      <c r="A34" s="480">
        <f>ROW()</f>
        <v>34</v>
      </c>
      <c r="B34" s="1650" t="s">
        <v>590</v>
      </c>
      <c r="C34" s="795">
        <f t="shared" ref="C34:C35" si="7">AVERAGE(H34:M34)</f>
        <v>18885514.712701611</v>
      </c>
      <c r="D34" s="457"/>
      <c r="E34" s="454"/>
      <c r="F34" s="454"/>
      <c r="G34" s="456">
        <f>Levers!C10</f>
        <v>0</v>
      </c>
      <c r="H34" s="456">
        <f>Levers!D10</f>
        <v>15606245.845000001</v>
      </c>
      <c r="I34" s="456">
        <f>Levers!E10</f>
        <v>17335514.31800412</v>
      </c>
      <c r="J34" s="456">
        <f>Levers!F10</f>
        <v>18369626.809209835</v>
      </c>
      <c r="K34" s="456">
        <f>Levers!G10</f>
        <v>19473416.592535403</v>
      </c>
      <c r="L34" s="456">
        <f>Levers!H10</f>
        <v>20643825.588087529</v>
      </c>
      <c r="M34" s="456">
        <f>Levers!I10</f>
        <v>21884459.123372782</v>
      </c>
      <c r="N34" s="96"/>
      <c r="O34" s="343"/>
      <c r="Q34" s="50"/>
      <c r="R34" s="50"/>
      <c r="S34" s="50"/>
      <c r="T34" s="50"/>
      <c r="U34" s="50"/>
      <c r="V34" s="50"/>
      <c r="W34" s="50"/>
      <c r="X34" s="50"/>
      <c r="Y34" s="50"/>
      <c r="Z34" s="50"/>
      <c r="AA34" s="50"/>
      <c r="AB34" s="50"/>
      <c r="AC34" s="50"/>
      <c r="AD34" s="50"/>
      <c r="AE34" s="50"/>
    </row>
    <row r="35" spans="1:31">
      <c r="A35" s="480">
        <f>ROW()</f>
        <v>35</v>
      </c>
      <c r="B35" s="1650" t="s">
        <v>591</v>
      </c>
      <c r="C35" s="795">
        <f t="shared" si="7"/>
        <v>5793635.2499739034</v>
      </c>
      <c r="D35" s="457"/>
      <c r="E35" s="454"/>
      <c r="F35" s="454"/>
      <c r="G35" s="456">
        <f>G400</f>
        <v>0</v>
      </c>
      <c r="H35" s="456">
        <f>H400</f>
        <v>5236806.0985319996</v>
      </c>
      <c r="I35" s="456">
        <f t="shared" ref="I35:M35" si="8">I400</f>
        <v>5447849.3843028396</v>
      </c>
      <c r="J35" s="456">
        <f t="shared" si="8"/>
        <v>5667397.7144902432</v>
      </c>
      <c r="K35" s="456">
        <f t="shared" si="8"/>
        <v>5895793.8423842024</v>
      </c>
      <c r="L35" s="456">
        <f t="shared" si="8"/>
        <v>6133394.3342322847</v>
      </c>
      <c r="M35" s="456">
        <f t="shared" si="8"/>
        <v>6380570.1259018453</v>
      </c>
      <c r="N35" s="96"/>
      <c r="O35" s="343"/>
      <c r="Q35" s="50"/>
      <c r="R35" s="50"/>
      <c r="S35" s="50"/>
      <c r="T35" s="50"/>
      <c r="U35" s="50"/>
      <c r="V35" s="50"/>
      <c r="W35" s="50"/>
      <c r="X35" s="50"/>
      <c r="Y35" s="50"/>
      <c r="Z35" s="50"/>
      <c r="AA35" s="50"/>
      <c r="AB35" s="50"/>
      <c r="AC35" s="50"/>
      <c r="AD35" s="50"/>
      <c r="AE35" s="50"/>
    </row>
    <row r="36" spans="1:31">
      <c r="A36" s="480">
        <f>ROW()</f>
        <v>36</v>
      </c>
      <c r="C36" s="130"/>
      <c r="D36" s="55"/>
      <c r="E36" s="55"/>
      <c r="F36" s="55"/>
      <c r="G36" s="55"/>
      <c r="H36" s="107"/>
      <c r="I36" s="107"/>
      <c r="J36" s="107"/>
      <c r="K36" s="107"/>
      <c r="L36" s="107"/>
      <c r="M36" s="107"/>
      <c r="N36" s="96"/>
      <c r="O36" s="343"/>
      <c r="Q36" s="50"/>
      <c r="R36" s="50"/>
      <c r="S36" s="50"/>
      <c r="T36" s="50"/>
      <c r="U36" s="50"/>
      <c r="V36" s="50"/>
      <c r="W36" s="50"/>
      <c r="X36" s="50"/>
      <c r="Y36" s="50"/>
      <c r="Z36" s="50"/>
      <c r="AA36" s="50"/>
      <c r="AB36" s="50"/>
      <c r="AC36" s="50"/>
      <c r="AD36" s="50"/>
      <c r="AE36" s="50"/>
    </row>
    <row r="37" spans="1:31">
      <c r="A37" s="480">
        <f>ROW()</f>
        <v>37</v>
      </c>
      <c r="B37" s="1650" t="s">
        <v>592</v>
      </c>
      <c r="C37" s="795">
        <f>AVERAGE(H37:M37)</f>
        <v>2715027.0422202102</v>
      </c>
      <c r="D37" s="458"/>
      <c r="E37" s="455"/>
      <c r="F37" s="455"/>
      <c r="G37" s="502">
        <f>G425</f>
        <v>0</v>
      </c>
      <c r="H37" s="502">
        <f t="shared" ref="H37:M37" si="9">H425</f>
        <v>2457741.7244008565</v>
      </c>
      <c r="I37" s="502">
        <f t="shared" si="9"/>
        <v>2553222.4462942109</v>
      </c>
      <c r="J37" s="502">
        <f t="shared" si="9"/>
        <v>2642752.2463078671</v>
      </c>
      <c r="K37" s="502">
        <f t="shared" si="9"/>
        <v>2774050.6741843554</v>
      </c>
      <c r="L37" s="502">
        <f t="shared" si="9"/>
        <v>2871050.8988887765</v>
      </c>
      <c r="M37" s="502">
        <f t="shared" si="9"/>
        <v>2991344.2632451933</v>
      </c>
      <c r="N37" s="96"/>
      <c r="O37" s="343"/>
      <c r="Q37" s="50"/>
      <c r="R37" s="50"/>
      <c r="S37" s="50"/>
      <c r="T37" s="50"/>
      <c r="U37" s="50"/>
      <c r="V37" s="50"/>
      <c r="W37" s="50"/>
      <c r="X37" s="50"/>
      <c r="Y37" s="50"/>
      <c r="Z37" s="50"/>
      <c r="AA37" s="50"/>
      <c r="AB37" s="50"/>
      <c r="AC37" s="50"/>
      <c r="AD37" s="50"/>
      <c r="AE37" s="50"/>
    </row>
    <row r="38" spans="1:31">
      <c r="A38" s="480">
        <f>ROW()</f>
        <v>38</v>
      </c>
      <c r="B38" s="33" t="s">
        <v>593</v>
      </c>
      <c r="G38" s="100">
        <f>G405</f>
        <v>0</v>
      </c>
      <c r="H38" s="100">
        <f t="shared" ref="H38:M38" si="10">H405</f>
        <v>427432</v>
      </c>
      <c r="I38" s="100">
        <f t="shared" si="10"/>
        <v>441091.24</v>
      </c>
      <c r="J38" s="100">
        <f t="shared" si="10"/>
        <v>445502.15239999996</v>
      </c>
      <c r="K38" s="100">
        <f t="shared" si="10"/>
        <v>488251.40149200003</v>
      </c>
      <c r="L38" s="100">
        <f t="shared" si="10"/>
        <v>493133.91550691996</v>
      </c>
      <c r="M38" s="100">
        <f t="shared" si="10"/>
        <v>517597.22543304769</v>
      </c>
      <c r="N38" s="96"/>
      <c r="O38" s="343"/>
      <c r="Q38" s="50"/>
      <c r="R38" s="50"/>
      <c r="S38" s="50"/>
      <c r="T38" s="50"/>
      <c r="U38" s="50"/>
      <c r="V38" s="50"/>
      <c r="W38" s="50"/>
      <c r="X38" s="50"/>
      <c r="Y38" s="50"/>
      <c r="Z38" s="50"/>
      <c r="AA38" s="50"/>
      <c r="AB38" s="50"/>
      <c r="AC38" s="50"/>
      <c r="AD38" s="50"/>
      <c r="AE38" s="50"/>
    </row>
    <row r="39" spans="1:31">
      <c r="A39" s="480">
        <f>ROW()</f>
        <v>39</v>
      </c>
      <c r="B39" s="33" t="s">
        <v>594</v>
      </c>
      <c r="G39" s="100">
        <f>G411</f>
        <v>0</v>
      </c>
      <c r="H39" s="100">
        <f t="shared" ref="H39:M39" si="11">H411</f>
        <v>1754330.0430082199</v>
      </c>
      <c r="I39" s="100">
        <f t="shared" si="11"/>
        <v>1825029.5437414513</v>
      </c>
      <c r="J39" s="100">
        <f t="shared" si="11"/>
        <v>1898578.2343542315</v>
      </c>
      <c r="K39" s="100">
        <f t="shared" si="11"/>
        <v>1975090.9371987078</v>
      </c>
      <c r="L39" s="100">
        <f t="shared" si="11"/>
        <v>2054687.1019678155</v>
      </c>
      <c r="M39" s="100">
        <f t="shared" si="11"/>
        <v>2137490.9921771181</v>
      </c>
      <c r="N39" s="96"/>
      <c r="O39" s="343"/>
      <c r="Q39" s="50"/>
      <c r="R39" s="50"/>
      <c r="S39" s="50"/>
      <c r="T39" s="50"/>
      <c r="U39" s="50"/>
      <c r="V39" s="50"/>
      <c r="W39" s="50"/>
      <c r="X39" s="50"/>
      <c r="Y39" s="50"/>
      <c r="Z39" s="50"/>
      <c r="AA39" s="50"/>
      <c r="AB39" s="50"/>
      <c r="AC39" s="50"/>
      <c r="AD39" s="50"/>
      <c r="AE39" s="50"/>
    </row>
    <row r="40" spans="1:31">
      <c r="A40" s="480">
        <f>ROW()</f>
        <v>40</v>
      </c>
      <c r="B40" s="33" t="s">
        <v>595</v>
      </c>
      <c r="G40" s="100">
        <f t="shared" ref="G40:M40" si="12">G425-G39-G38</f>
        <v>0</v>
      </c>
      <c r="H40" s="100">
        <f t="shared" si="12"/>
        <v>275979.68139263662</v>
      </c>
      <c r="I40" s="100">
        <f t="shared" si="12"/>
        <v>287101.66255275952</v>
      </c>
      <c r="J40" s="100">
        <f t="shared" si="12"/>
        <v>298671.85955363564</v>
      </c>
      <c r="K40" s="100">
        <f t="shared" si="12"/>
        <v>310708.33549364755</v>
      </c>
      <c r="L40" s="100">
        <f t="shared" si="12"/>
        <v>323229.88141404104</v>
      </c>
      <c r="M40" s="100">
        <f t="shared" si="12"/>
        <v>336256.04563502752</v>
      </c>
      <c r="N40" s="96"/>
      <c r="O40" s="343"/>
      <c r="Q40" s="50"/>
      <c r="R40" s="50"/>
      <c r="S40" s="50"/>
      <c r="T40" s="50"/>
      <c r="U40" s="50"/>
      <c r="V40" s="50"/>
      <c r="W40" s="50"/>
      <c r="X40" s="50"/>
      <c r="Y40" s="50"/>
      <c r="Z40" s="50"/>
      <c r="AA40" s="50"/>
      <c r="AB40" s="50"/>
      <c r="AC40" s="50"/>
      <c r="AD40" s="50"/>
      <c r="AE40" s="50"/>
    </row>
    <row r="41" spans="1:31">
      <c r="A41" s="480">
        <f>ROW()</f>
        <v>41</v>
      </c>
      <c r="H41" s="103"/>
      <c r="I41" s="103"/>
      <c r="J41" s="103"/>
      <c r="N41" s="96"/>
      <c r="O41" s="343"/>
      <c r="Q41" s="50"/>
      <c r="R41" s="50"/>
      <c r="S41" s="50"/>
      <c r="T41" s="50"/>
      <c r="U41" s="50"/>
      <c r="V41" s="50"/>
      <c r="W41" s="50"/>
      <c r="X41" s="50"/>
      <c r="Y41" s="50"/>
      <c r="Z41" s="50"/>
      <c r="AA41" s="50"/>
      <c r="AB41" s="50"/>
      <c r="AC41" s="50"/>
      <c r="AD41" s="50"/>
      <c r="AE41" s="50"/>
    </row>
    <row r="42" spans="1:31">
      <c r="A42" s="480">
        <f>ROW()</f>
        <v>42</v>
      </c>
      <c r="B42" s="1650" t="s">
        <v>596</v>
      </c>
      <c r="C42" s="795">
        <f t="shared" ref="C42:C47" si="13">AVERAGE(H42:M42)</f>
        <v>8525813.592194112</v>
      </c>
      <c r="D42" s="1650"/>
      <c r="E42" s="1650"/>
      <c r="F42" s="1650"/>
      <c r="G42" s="502">
        <f>G461</f>
        <v>0</v>
      </c>
      <c r="H42" s="502">
        <f t="shared" ref="H42:M42" si="14">H461</f>
        <v>7710594.4629328558</v>
      </c>
      <c r="I42" s="502">
        <f t="shared" si="14"/>
        <v>8017467.3105970509</v>
      </c>
      <c r="J42" s="502">
        <f t="shared" si="14"/>
        <v>8326545.4407981113</v>
      </c>
      <c r="K42" s="502">
        <f t="shared" si="14"/>
        <v>8687635.3565685581</v>
      </c>
      <c r="L42" s="502">
        <f t="shared" si="14"/>
        <v>9022236.0731210615</v>
      </c>
      <c r="M42" s="502">
        <f t="shared" si="14"/>
        <v>9390402.9091470391</v>
      </c>
      <c r="N42" s="96"/>
      <c r="O42" s="343"/>
      <c r="Q42" s="50"/>
      <c r="R42" s="50"/>
      <c r="S42" s="50"/>
      <c r="T42" s="50"/>
      <c r="U42" s="50"/>
      <c r="V42" s="50"/>
      <c r="W42" s="50"/>
      <c r="X42" s="50"/>
      <c r="Y42" s="50"/>
      <c r="Z42" s="50"/>
      <c r="AA42" s="50"/>
      <c r="AB42" s="50"/>
      <c r="AC42" s="50"/>
      <c r="AD42" s="50"/>
      <c r="AE42" s="50"/>
    </row>
    <row r="43" spans="1:31">
      <c r="A43" s="480">
        <f>ROW()</f>
        <v>43</v>
      </c>
      <c r="B43" s="33" t="s">
        <v>597</v>
      </c>
      <c r="C43" s="797">
        <f t="shared" si="13"/>
        <v>4619.811561209608</v>
      </c>
      <c r="G43" s="437"/>
      <c r="H43" s="437">
        <f>Levers!D13</f>
        <v>4834.2285034061788</v>
      </c>
      <c r="I43" s="437">
        <f>Levers!E13</f>
        <v>4749.6844257091534</v>
      </c>
      <c r="J43" s="437">
        <f>Levers!F13</f>
        <v>4655.2898686466478</v>
      </c>
      <c r="K43" s="437">
        <f>Levers!G13</f>
        <v>4582.2374510311465</v>
      </c>
      <c r="L43" s="437">
        <f>Levers!H13</f>
        <v>4489.3589143183144</v>
      </c>
      <c r="M43" s="437">
        <f>Levers!I13</f>
        <v>4408.0702041462046</v>
      </c>
      <c r="N43" s="96"/>
      <c r="O43" s="343"/>
      <c r="Q43" s="50"/>
      <c r="R43" s="50"/>
      <c r="S43" s="50"/>
      <c r="T43" s="50"/>
      <c r="U43" s="50"/>
      <c r="V43" s="50"/>
      <c r="W43" s="50"/>
      <c r="X43" s="50"/>
      <c r="Y43" s="50"/>
      <c r="Z43" s="50"/>
      <c r="AA43" s="50"/>
      <c r="AB43" s="50"/>
      <c r="AC43" s="50"/>
      <c r="AD43" s="50"/>
      <c r="AE43" s="50"/>
    </row>
    <row r="44" spans="1:31">
      <c r="A44" s="480">
        <f>ROW()</f>
        <v>44</v>
      </c>
      <c r="B44" s="72" t="s">
        <v>598</v>
      </c>
      <c r="C44" s="796">
        <f t="shared" si="13"/>
        <v>10359701.120507499</v>
      </c>
      <c r="D44" s="72"/>
      <c r="E44" s="72"/>
      <c r="F44" s="72"/>
      <c r="G44" s="438">
        <f>Levers!C14</f>
        <v>0</v>
      </c>
      <c r="H44" s="438">
        <f>Levers!D14</f>
        <v>7895651.3820671448</v>
      </c>
      <c r="I44" s="438">
        <f>Levers!E14</f>
        <v>9318047.0074070692</v>
      </c>
      <c r="J44" s="438">
        <f>Levers!F14</f>
        <v>10043081.368411724</v>
      </c>
      <c r="K44" s="438">
        <f>Levers!G14</f>
        <v>10785781.235966844</v>
      </c>
      <c r="L44" s="438">
        <f>Levers!H14</f>
        <v>11621589.514966467</v>
      </c>
      <c r="M44" s="438">
        <f>Levers!I14</f>
        <v>12494056.214225743</v>
      </c>
      <c r="N44" s="96"/>
      <c r="O44" s="343"/>
      <c r="Q44" s="50"/>
      <c r="R44" s="50"/>
      <c r="S44" s="50"/>
      <c r="T44" s="50"/>
      <c r="U44" s="50"/>
      <c r="V44" s="50"/>
      <c r="W44" s="50"/>
      <c r="X44" s="50"/>
      <c r="Y44" s="50"/>
      <c r="Z44" s="50"/>
      <c r="AA44" s="50"/>
      <c r="AB44" s="50"/>
      <c r="AC44" s="50"/>
      <c r="AD44" s="50"/>
      <c r="AE44" s="50"/>
    </row>
    <row r="45" spans="1:31">
      <c r="A45" s="480">
        <f>ROW()</f>
        <v>45</v>
      </c>
      <c r="B45" s="72" t="s">
        <v>599</v>
      </c>
      <c r="C45" s="796">
        <f t="shared" si="13"/>
        <v>5570.3439714577571</v>
      </c>
      <c r="D45" s="72"/>
      <c r="E45" s="72"/>
      <c r="F45" s="72"/>
      <c r="G45" s="438"/>
      <c r="H45" s="438">
        <f>Levers!D15</f>
        <v>4950.2516501988366</v>
      </c>
      <c r="I45" s="438">
        <f>Levers!E15</f>
        <v>5520.1700280847563</v>
      </c>
      <c r="J45" s="438">
        <f>Levers!F15</f>
        <v>5614.988265755459</v>
      </c>
      <c r="K45" s="438">
        <f>Levers!G15</f>
        <v>5688.891014596793</v>
      </c>
      <c r="L45" s="438">
        <f>Levers!H15</f>
        <v>5782.7667182194</v>
      </c>
      <c r="M45" s="438">
        <f>Levers!I15</f>
        <v>5864.9961518912978</v>
      </c>
      <c r="N45" s="96"/>
      <c r="O45" s="343"/>
      <c r="Q45" s="50"/>
      <c r="R45" s="50"/>
      <c r="S45" s="50"/>
      <c r="T45" s="50"/>
      <c r="U45" s="50"/>
      <c r="V45" s="50"/>
      <c r="W45" s="50"/>
      <c r="X45" s="50"/>
      <c r="Y45" s="50"/>
      <c r="Z45" s="50"/>
      <c r="AA45" s="50"/>
      <c r="AB45" s="50"/>
      <c r="AC45" s="50"/>
      <c r="AD45" s="50"/>
      <c r="AE45" s="50"/>
    </row>
    <row r="46" spans="1:31">
      <c r="A46" s="480">
        <f>ROW()</f>
        <v>46</v>
      </c>
      <c r="B46" s="72" t="s">
        <v>600</v>
      </c>
      <c r="C46" s="796">
        <f t="shared" si="13"/>
        <v>-374485.13392622297</v>
      </c>
      <c r="D46" s="72"/>
      <c r="E46" s="72"/>
      <c r="F46" s="72"/>
      <c r="G46" s="438">
        <f>Levers!C38</f>
        <v>-616575</v>
      </c>
      <c r="H46" s="438">
        <f>Levers!D38</f>
        <v>-1500523.496254225</v>
      </c>
      <c r="I46" s="438">
        <f>Levers!E38</f>
        <v>-604445.1229895436</v>
      </c>
      <c r="J46" s="438">
        <f>Levers!F38</f>
        <v>-368066.24564993981</v>
      </c>
      <c r="K46" s="438">
        <f>Levers!G38</f>
        <v>-202675.7344154873</v>
      </c>
      <c r="L46" s="438">
        <f>Levers!H38</f>
        <v>84372.659407600819</v>
      </c>
      <c r="M46" s="438">
        <f>Levers!I38</f>
        <v>344427.13634425722</v>
      </c>
      <c r="N46" s="96"/>
      <c r="O46" s="343"/>
      <c r="Q46" s="50"/>
      <c r="R46" s="50"/>
      <c r="S46" s="50"/>
      <c r="T46" s="50"/>
      <c r="U46" s="50"/>
      <c r="V46" s="50"/>
      <c r="W46" s="50"/>
      <c r="X46" s="50"/>
      <c r="Y46" s="50"/>
      <c r="Z46" s="50"/>
      <c r="AA46" s="50"/>
      <c r="AB46" s="50"/>
      <c r="AC46" s="50"/>
      <c r="AD46" s="50"/>
      <c r="AE46" s="50"/>
    </row>
    <row r="47" spans="1:31">
      <c r="A47" s="480">
        <f>ROW()</f>
        <v>47</v>
      </c>
      <c r="B47" s="72" t="s">
        <v>601</v>
      </c>
      <c r="C47" s="796">
        <f t="shared" si="13"/>
        <v>-234.64468233489922</v>
      </c>
      <c r="D47" s="72"/>
      <c r="E47" s="72"/>
      <c r="F47" s="72"/>
      <c r="G47" s="438">
        <f>Levers!C39</f>
        <v>0</v>
      </c>
      <c r="H47" s="438">
        <f>Levers!D39</f>
        <v>-940.7670822910502</v>
      </c>
      <c r="I47" s="438">
        <f>Levers!E39</f>
        <v>-358.08360366679125</v>
      </c>
      <c r="J47" s="438">
        <f>Levers!F39</f>
        <v>-205.78222704093429</v>
      </c>
      <c r="K47" s="438">
        <f>Levers!G39</f>
        <v>-106.900013932066</v>
      </c>
      <c r="L47" s="438">
        <f>Levers!H39</f>
        <v>41.982846332818767</v>
      </c>
      <c r="M47" s="438">
        <f>Levers!I39</f>
        <v>161.68198658862775</v>
      </c>
      <c r="N47" s="96"/>
      <c r="O47" s="343"/>
      <c r="Q47" s="50"/>
      <c r="R47" s="50"/>
      <c r="S47" s="50"/>
      <c r="T47" s="50"/>
      <c r="U47" s="50"/>
      <c r="V47" s="50"/>
      <c r="W47" s="50"/>
      <c r="X47" s="50"/>
      <c r="Y47" s="50"/>
      <c r="Z47" s="50"/>
      <c r="AA47" s="50"/>
      <c r="AB47" s="50"/>
      <c r="AC47" s="50"/>
      <c r="AD47" s="50"/>
      <c r="AE47" s="50"/>
    </row>
    <row r="48" spans="1:31">
      <c r="A48" s="480">
        <f>ROW()</f>
        <v>48</v>
      </c>
      <c r="H48" s="103"/>
      <c r="I48" s="103"/>
      <c r="J48" s="103"/>
      <c r="N48" s="96"/>
      <c r="O48" s="343"/>
      <c r="Q48" s="50"/>
      <c r="R48" s="50"/>
      <c r="S48" s="50"/>
      <c r="T48" s="50"/>
      <c r="U48" s="50"/>
      <c r="V48" s="50"/>
      <c r="W48" s="50"/>
      <c r="X48" s="50"/>
      <c r="Y48" s="50"/>
      <c r="Z48" s="50"/>
      <c r="AA48" s="50"/>
      <c r="AB48" s="50"/>
      <c r="AC48" s="50"/>
      <c r="AD48" s="50"/>
      <c r="AE48" s="50"/>
    </row>
    <row r="49" spans="1:31">
      <c r="A49" s="480">
        <f>ROW()</f>
        <v>49</v>
      </c>
      <c r="B49" s="56" t="s">
        <v>187</v>
      </c>
      <c r="C49" s="56"/>
      <c r="D49" s="56"/>
      <c r="E49" s="56"/>
      <c r="F49" s="56"/>
      <c r="G49" s="499">
        <f t="shared" ref="G49:M51" si="15">G8</f>
        <v>0</v>
      </c>
      <c r="H49" s="500">
        <f t="shared" si="15"/>
        <v>1</v>
      </c>
      <c r="I49" s="500">
        <f t="shared" si="15"/>
        <v>2</v>
      </c>
      <c r="J49" s="500">
        <f t="shared" si="15"/>
        <v>3</v>
      </c>
      <c r="K49" s="500">
        <f t="shared" si="15"/>
        <v>4</v>
      </c>
      <c r="L49" s="500">
        <f t="shared" si="15"/>
        <v>5</v>
      </c>
      <c r="M49" s="500">
        <f t="shared" si="15"/>
        <v>6</v>
      </c>
      <c r="N49" s="96"/>
      <c r="O49" s="343"/>
      <c r="Q49" s="50"/>
      <c r="R49" s="50"/>
      <c r="S49" s="50"/>
      <c r="T49" s="50"/>
      <c r="U49" s="50"/>
      <c r="V49" s="50"/>
      <c r="W49" s="50"/>
      <c r="X49" s="50"/>
      <c r="Y49" s="50"/>
      <c r="Z49" s="50"/>
      <c r="AA49" s="50"/>
      <c r="AB49" s="50"/>
      <c r="AC49" s="50"/>
      <c r="AD49" s="50"/>
      <c r="AE49" s="50"/>
    </row>
    <row r="50" spans="1:31">
      <c r="A50" s="480">
        <f>ROW()</f>
        <v>50</v>
      </c>
      <c r="B50" s="31" t="s">
        <v>602</v>
      </c>
      <c r="C50" s="31"/>
      <c r="D50" s="31"/>
      <c r="E50" s="31"/>
      <c r="F50" s="31"/>
      <c r="G50" s="793">
        <f t="shared" si="15"/>
        <v>2024</v>
      </c>
      <c r="H50" s="793">
        <f t="shared" si="15"/>
        <v>2025</v>
      </c>
      <c r="I50" s="501">
        <f t="shared" si="15"/>
        <v>2026</v>
      </c>
      <c r="J50" s="501">
        <f t="shared" si="15"/>
        <v>2027</v>
      </c>
      <c r="K50" s="501">
        <f t="shared" si="15"/>
        <v>2028</v>
      </c>
      <c r="L50" s="501">
        <f t="shared" si="15"/>
        <v>2029</v>
      </c>
      <c r="M50" s="501">
        <f t="shared" si="15"/>
        <v>2030</v>
      </c>
      <c r="N50" s="96"/>
      <c r="O50" s="343"/>
      <c r="Q50" s="50"/>
      <c r="R50" s="50"/>
      <c r="S50" s="50"/>
      <c r="T50" s="50"/>
      <c r="U50" s="50"/>
      <c r="V50" s="50"/>
      <c r="W50" s="50"/>
      <c r="X50" s="50"/>
      <c r="Y50" s="50"/>
      <c r="Z50" s="50"/>
      <c r="AA50" s="50"/>
      <c r="AB50" s="50"/>
      <c r="AC50" s="50"/>
      <c r="AD50" s="50"/>
      <c r="AE50" s="50"/>
    </row>
    <row r="51" spans="1:31">
      <c r="A51" s="480">
        <f>ROW()</f>
        <v>51</v>
      </c>
      <c r="B51" s="31" t="s">
        <v>603</v>
      </c>
      <c r="C51" s="31"/>
      <c r="D51" s="31"/>
      <c r="E51" s="31"/>
      <c r="F51" s="31"/>
      <c r="G51" s="65">
        <f t="shared" si="15"/>
        <v>2025</v>
      </c>
      <c r="H51" s="65">
        <f t="shared" si="15"/>
        <v>2026</v>
      </c>
      <c r="I51" s="65">
        <f t="shared" si="15"/>
        <v>2027</v>
      </c>
      <c r="J51" s="65">
        <f t="shared" si="15"/>
        <v>2028</v>
      </c>
      <c r="K51" s="65">
        <f t="shared" si="15"/>
        <v>2029</v>
      </c>
      <c r="L51" s="65">
        <f t="shared" si="15"/>
        <v>2030</v>
      </c>
      <c r="M51" s="65">
        <f t="shared" si="15"/>
        <v>2031</v>
      </c>
      <c r="N51" s="96"/>
      <c r="O51" s="343"/>
      <c r="Q51" s="50"/>
      <c r="R51" s="50"/>
      <c r="S51" s="50"/>
      <c r="T51" s="50"/>
      <c r="U51" s="50"/>
      <c r="V51" s="50"/>
      <c r="W51" s="50"/>
      <c r="X51" s="50"/>
      <c r="Y51" s="50"/>
      <c r="Z51" s="50"/>
      <c r="AA51" s="50"/>
      <c r="AB51" s="50"/>
      <c r="AC51" s="50"/>
      <c r="AD51" s="50"/>
      <c r="AE51" s="50"/>
    </row>
    <row r="52" spans="1:31">
      <c r="A52" s="480">
        <f>ROW()</f>
        <v>52</v>
      </c>
      <c r="B52" s="170" t="s">
        <v>604</v>
      </c>
      <c r="C52" s="101"/>
      <c r="D52" s="101"/>
      <c r="E52" s="101"/>
      <c r="F52" s="101"/>
      <c r="G52" s="101"/>
      <c r="H52" s="101"/>
      <c r="I52" s="91"/>
      <c r="J52" s="91"/>
      <c r="K52" s="91"/>
      <c r="L52" s="91"/>
      <c r="M52" s="91"/>
      <c r="N52" s="96"/>
      <c r="O52" s="343"/>
      <c r="Q52" s="50"/>
      <c r="R52" s="50"/>
      <c r="S52" s="50"/>
      <c r="T52" s="50"/>
      <c r="U52" s="50"/>
      <c r="V52" s="50"/>
      <c r="W52" s="50"/>
      <c r="X52" s="50"/>
      <c r="Y52" s="50"/>
      <c r="Z52" s="50"/>
      <c r="AA52" s="50"/>
      <c r="AB52" s="50"/>
      <c r="AC52" s="50"/>
      <c r="AD52" s="50"/>
      <c r="AE52" s="50"/>
    </row>
    <row r="53" spans="1:31" ht="14.4">
      <c r="A53" s="480">
        <f>ROW()</f>
        <v>53</v>
      </c>
      <c r="B53" s="122" t="s">
        <v>605</v>
      </c>
      <c r="C53" s="41"/>
      <c r="D53" s="41"/>
      <c r="E53" s="46" t="s">
        <v>606</v>
      </c>
      <c r="F53" s="41"/>
      <c r="G53" s="102"/>
      <c r="H53" s="92"/>
      <c r="I53" s="93"/>
      <c r="J53" s="93"/>
      <c r="K53" s="93"/>
      <c r="L53" s="93"/>
      <c r="M53" s="93"/>
      <c r="N53" s="96"/>
      <c r="O53" s="343"/>
      <c r="Q53" s="50"/>
      <c r="R53" s="50"/>
      <c r="S53" s="50"/>
      <c r="T53" s="50"/>
      <c r="U53" s="50"/>
      <c r="V53" s="50"/>
      <c r="W53" s="50"/>
      <c r="X53" s="50"/>
      <c r="Y53" s="50"/>
      <c r="Z53" s="50"/>
      <c r="AA53" s="50"/>
      <c r="AB53" s="50"/>
      <c r="AC53" s="50"/>
      <c r="AD53" s="50"/>
      <c r="AE53" s="50"/>
    </row>
    <row r="54" spans="1:31">
      <c r="A54" s="480">
        <f>ROW()</f>
        <v>54</v>
      </c>
      <c r="B54" s="41" t="s">
        <v>607</v>
      </c>
      <c r="C54" s="798">
        <v>9200</v>
      </c>
      <c r="D54" s="92" t="s">
        <v>608</v>
      </c>
      <c r="E54" s="1787" t="s">
        <v>1587</v>
      </c>
      <c r="F54" s="1786"/>
      <c r="G54" s="1786"/>
      <c r="H54" s="1786"/>
      <c r="I54" s="1786"/>
      <c r="J54" s="1786"/>
      <c r="K54" s="1786"/>
      <c r="L54" s="1786"/>
      <c r="M54" s="1786"/>
      <c r="N54" s="96"/>
      <c r="O54" s="343"/>
      <c r="Q54" s="50"/>
      <c r="R54" s="50"/>
      <c r="S54" s="50"/>
      <c r="T54" s="50"/>
      <c r="U54" s="50"/>
      <c r="V54" s="50"/>
      <c r="W54" s="50"/>
      <c r="X54" s="50"/>
      <c r="Y54" s="50"/>
      <c r="Z54" s="50"/>
      <c r="AA54" s="50"/>
      <c r="AB54" s="50"/>
      <c r="AC54" s="50"/>
      <c r="AD54" s="50"/>
      <c r="AE54" s="50"/>
    </row>
    <row r="55" spans="1:31">
      <c r="A55" s="480">
        <f>ROW()</f>
        <v>55</v>
      </c>
      <c r="B55" s="41" t="s">
        <v>609</v>
      </c>
      <c r="C55" s="798">
        <v>4100</v>
      </c>
      <c r="D55" s="92" t="s">
        <v>608</v>
      </c>
      <c r="E55" s="1787"/>
      <c r="F55" s="1786"/>
      <c r="G55" s="1786"/>
      <c r="H55" s="1786"/>
      <c r="I55" s="1786"/>
      <c r="J55" s="1786"/>
      <c r="K55" s="1786"/>
      <c r="L55" s="1786"/>
      <c r="M55" s="1786"/>
      <c r="N55" s="96"/>
      <c r="O55" s="343"/>
      <c r="Q55" s="50"/>
      <c r="R55" s="50"/>
      <c r="S55" s="50"/>
      <c r="T55" s="50"/>
      <c r="U55" s="50"/>
      <c r="V55" s="50"/>
      <c r="W55" s="50"/>
      <c r="X55" s="50"/>
      <c r="Y55" s="50"/>
      <c r="Z55" s="50"/>
      <c r="AA55" s="50"/>
      <c r="AB55" s="50"/>
      <c r="AC55" s="50"/>
      <c r="AD55" s="50"/>
      <c r="AE55" s="50"/>
    </row>
    <row r="56" spans="1:31">
      <c r="A56" s="480">
        <f>ROW()</f>
        <v>56</v>
      </c>
      <c r="B56" s="41" t="s">
        <v>610</v>
      </c>
      <c r="C56" s="799">
        <v>1</v>
      </c>
      <c r="D56" s="92"/>
      <c r="E56" s="1786"/>
      <c r="F56" s="1786"/>
      <c r="G56" s="1786"/>
      <c r="H56" s="1786"/>
      <c r="I56" s="1786"/>
      <c r="J56" s="1786"/>
      <c r="K56" s="1786"/>
      <c r="L56" s="1786"/>
      <c r="M56" s="1786"/>
      <c r="N56" s="96"/>
      <c r="O56" s="343"/>
      <c r="Q56" s="50"/>
      <c r="R56" s="50"/>
      <c r="S56" s="50"/>
      <c r="T56" s="50"/>
      <c r="U56" s="50"/>
      <c r="V56" s="50"/>
      <c r="W56" s="50"/>
      <c r="X56" s="50"/>
      <c r="Y56" s="50"/>
      <c r="Z56" s="50"/>
      <c r="AA56" s="50"/>
      <c r="AB56" s="50"/>
      <c r="AC56" s="50"/>
      <c r="AD56" s="50"/>
      <c r="AE56" s="50"/>
    </row>
    <row r="57" spans="1:31">
      <c r="A57" s="480">
        <f>ROW()</f>
        <v>57</v>
      </c>
      <c r="B57" s="41" t="s">
        <v>611</v>
      </c>
      <c r="C57" s="799">
        <v>1</v>
      </c>
      <c r="D57" s="92"/>
      <c r="E57" s="1786"/>
      <c r="F57" s="1786"/>
      <c r="G57" s="1786"/>
      <c r="H57" s="1786"/>
      <c r="I57" s="1786"/>
      <c r="J57" s="1786"/>
      <c r="K57" s="1786"/>
      <c r="L57" s="1786"/>
      <c r="M57" s="1786"/>
      <c r="N57" s="96"/>
      <c r="O57" s="343"/>
      <c r="Q57" s="50"/>
      <c r="R57" s="50"/>
      <c r="S57" s="50"/>
      <c r="T57" s="50"/>
      <c r="U57" s="50"/>
      <c r="V57" s="50"/>
      <c r="W57" s="50"/>
      <c r="X57" s="50"/>
      <c r="Y57" s="50"/>
      <c r="Z57" s="50"/>
      <c r="AA57" s="50"/>
      <c r="AB57" s="50"/>
      <c r="AC57" s="50"/>
      <c r="AD57" s="50"/>
      <c r="AE57" s="50"/>
    </row>
    <row r="58" spans="1:31">
      <c r="A58" s="480">
        <f>ROW()</f>
        <v>58</v>
      </c>
      <c r="B58" s="41" t="s">
        <v>612</v>
      </c>
      <c r="C58" s="1425">
        <f>(C57*C54)+((1-C57)*C55)</f>
        <v>9200</v>
      </c>
      <c r="D58" s="1626" t="s">
        <v>613</v>
      </c>
      <c r="E58" s="1786"/>
      <c r="F58" s="1786"/>
      <c r="G58" s="1786"/>
      <c r="H58" s="1786"/>
      <c r="I58" s="1786"/>
      <c r="J58" s="1786"/>
      <c r="K58" s="1786"/>
      <c r="L58" s="1786"/>
      <c r="M58" s="1786"/>
      <c r="N58" s="96"/>
      <c r="O58" s="343"/>
      <c r="Q58" s="50"/>
      <c r="R58" s="50"/>
      <c r="S58" s="50"/>
      <c r="T58" s="50"/>
      <c r="U58" s="50"/>
      <c r="V58" s="50"/>
      <c r="W58" s="50"/>
      <c r="X58" s="50"/>
      <c r="Y58" s="50"/>
      <c r="Z58" s="50"/>
      <c r="AA58" s="50"/>
      <c r="AB58" s="50"/>
      <c r="AC58" s="50"/>
      <c r="AD58" s="50"/>
      <c r="AE58" s="50"/>
    </row>
    <row r="59" spans="1:31">
      <c r="A59" s="480">
        <f>ROW()</f>
        <v>59</v>
      </c>
      <c r="B59" s="41" t="s">
        <v>614</v>
      </c>
      <c r="C59" s="696">
        <v>1.4500000000000001E-2</v>
      </c>
      <c r="D59" s="92" t="s">
        <v>615</v>
      </c>
      <c r="E59" s="1786"/>
      <c r="F59" s="1786"/>
      <c r="G59" s="1786"/>
      <c r="H59" s="1786"/>
      <c r="I59" s="1786"/>
      <c r="J59" s="1786"/>
      <c r="K59" s="1786"/>
      <c r="L59" s="1786"/>
      <c r="M59" s="1786"/>
      <c r="N59" s="96"/>
      <c r="O59" s="343"/>
      <c r="Q59" s="50"/>
      <c r="R59" s="50"/>
      <c r="S59" s="50"/>
      <c r="T59" s="50"/>
      <c r="U59" s="50"/>
      <c r="V59" s="50"/>
      <c r="W59" s="50"/>
      <c r="X59" s="50"/>
      <c r="Y59" s="50"/>
      <c r="Z59" s="50"/>
      <c r="AA59" s="50"/>
      <c r="AB59" s="50"/>
      <c r="AC59" s="50"/>
      <c r="AD59" s="50"/>
      <c r="AE59" s="50"/>
    </row>
    <row r="60" spans="1:31">
      <c r="A60" s="480">
        <f>ROW()</f>
        <v>60</v>
      </c>
      <c r="B60" s="41" t="s">
        <v>616</v>
      </c>
      <c r="C60" s="696">
        <v>0.33500000000000002</v>
      </c>
      <c r="D60" s="92" t="s">
        <v>615</v>
      </c>
      <c r="E60" s="1786"/>
      <c r="F60" s="1786"/>
      <c r="G60" s="1786"/>
      <c r="H60" s="1786"/>
      <c r="I60" s="1786"/>
      <c r="J60" s="1786"/>
      <c r="K60" s="1786"/>
      <c r="L60" s="1786"/>
      <c r="M60" s="1786"/>
      <c r="N60" s="96"/>
      <c r="O60" s="343"/>
      <c r="Q60" s="50"/>
      <c r="R60" s="50"/>
      <c r="S60" s="50"/>
      <c r="T60" s="50"/>
      <c r="U60" s="50"/>
      <c r="V60" s="50"/>
      <c r="W60" s="50"/>
      <c r="X60" s="50"/>
      <c r="Y60" s="50"/>
      <c r="Z60" s="50"/>
      <c r="AA60" s="50"/>
      <c r="AB60" s="50"/>
      <c r="AC60" s="50"/>
      <c r="AD60" s="50"/>
      <c r="AE60" s="50"/>
    </row>
    <row r="61" spans="1:31">
      <c r="A61" s="480">
        <f>ROW()</f>
        <v>61</v>
      </c>
      <c r="B61" s="41" t="s">
        <v>617</v>
      </c>
      <c r="C61" s="696"/>
      <c r="D61" s="92" t="s">
        <v>615</v>
      </c>
      <c r="E61" s="1786"/>
      <c r="F61" s="1786"/>
      <c r="G61" s="1786"/>
      <c r="H61" s="1786"/>
      <c r="I61" s="1786"/>
      <c r="J61" s="1786"/>
      <c r="K61" s="1786"/>
      <c r="L61" s="1786"/>
      <c r="M61" s="1786"/>
      <c r="N61" s="96"/>
      <c r="O61" s="343"/>
      <c r="Q61" s="50"/>
      <c r="R61" s="50"/>
      <c r="S61" s="50"/>
      <c r="T61" s="50"/>
      <c r="U61" s="50"/>
      <c r="V61" s="50"/>
      <c r="W61" s="50"/>
      <c r="X61" s="50"/>
      <c r="Y61" s="50"/>
      <c r="Z61" s="50"/>
      <c r="AA61" s="50"/>
      <c r="AB61" s="50"/>
      <c r="AC61" s="50"/>
      <c r="AD61" s="50"/>
      <c r="AE61" s="50"/>
    </row>
    <row r="62" spans="1:31">
      <c r="A62" s="480">
        <f>ROW()</f>
        <v>62</v>
      </c>
      <c r="B62" s="41" t="s">
        <v>618</v>
      </c>
      <c r="C62" s="800"/>
      <c r="D62" s="1626" t="s">
        <v>619</v>
      </c>
      <c r="E62" s="1786"/>
      <c r="F62" s="1786"/>
      <c r="G62" s="1786"/>
      <c r="H62" s="1786"/>
      <c r="I62" s="1786"/>
      <c r="J62" s="1786"/>
      <c r="K62" s="1786"/>
      <c r="L62" s="1786"/>
      <c r="M62" s="1786"/>
      <c r="N62" s="96"/>
      <c r="O62" s="343"/>
      <c r="Q62" s="50"/>
      <c r="R62" s="50"/>
      <c r="S62" s="50"/>
      <c r="T62" s="50"/>
      <c r="U62" s="50"/>
      <c r="V62" s="50"/>
      <c r="W62" s="50"/>
      <c r="X62" s="50"/>
      <c r="Y62" s="50"/>
      <c r="Z62" s="50"/>
      <c r="AA62" s="50"/>
      <c r="AB62" s="50"/>
      <c r="AC62" s="50"/>
      <c r="AD62" s="50"/>
      <c r="AE62" s="50"/>
    </row>
    <row r="63" spans="1:31">
      <c r="A63" s="480">
        <f>ROW()</f>
        <v>63</v>
      </c>
      <c r="B63" s="41" t="s">
        <v>620</v>
      </c>
      <c r="C63" s="1625">
        <v>2.9499999999999998E-2</v>
      </c>
      <c r="D63" s="92" t="s">
        <v>615</v>
      </c>
      <c r="E63" s="1786"/>
      <c r="F63" s="1786"/>
      <c r="G63" s="1786"/>
      <c r="H63" s="1786"/>
      <c r="I63" s="1786"/>
      <c r="J63" s="1786"/>
      <c r="K63" s="1786"/>
      <c r="L63" s="1786"/>
      <c r="M63" s="1786"/>
      <c r="N63" s="96"/>
      <c r="O63" s="343"/>
      <c r="Q63" s="50"/>
      <c r="R63" s="50"/>
      <c r="S63" s="50"/>
      <c r="T63" s="50"/>
      <c r="U63" s="50"/>
      <c r="V63" s="50"/>
      <c r="W63" s="50"/>
      <c r="X63" s="50"/>
      <c r="Y63" s="50"/>
      <c r="Z63" s="50"/>
      <c r="AA63" s="50"/>
      <c r="AB63" s="50"/>
      <c r="AC63" s="50"/>
      <c r="AD63" s="50"/>
      <c r="AE63" s="50"/>
    </row>
    <row r="64" spans="1:31">
      <c r="A64" s="480">
        <f>ROW()</f>
        <v>64</v>
      </c>
      <c r="B64" s="41" t="s">
        <v>621</v>
      </c>
      <c r="C64" s="1625">
        <v>8.6999999999999994E-3</v>
      </c>
      <c r="D64" s="92" t="s">
        <v>615</v>
      </c>
      <c r="E64" s="1786"/>
      <c r="F64" s="1786"/>
      <c r="G64" s="1786"/>
      <c r="H64" s="1786"/>
      <c r="I64" s="1786"/>
      <c r="J64" s="1786"/>
      <c r="K64" s="1786"/>
      <c r="L64" s="1786"/>
      <c r="M64" s="1786"/>
      <c r="N64" s="96"/>
      <c r="O64" s="343"/>
      <c r="Q64" s="50"/>
      <c r="R64" s="50"/>
      <c r="S64" s="50"/>
      <c r="T64" s="50"/>
      <c r="U64" s="50"/>
      <c r="V64" s="50"/>
      <c r="W64" s="50"/>
      <c r="X64" s="50"/>
      <c r="Y64" s="50"/>
      <c r="Z64" s="50"/>
      <c r="AA64" s="50"/>
      <c r="AB64" s="50"/>
      <c r="AC64" s="50"/>
      <c r="AD64" s="50"/>
      <c r="AE64" s="50"/>
    </row>
    <row r="65" spans="1:31">
      <c r="A65" s="480">
        <f>ROW()</f>
        <v>65</v>
      </c>
      <c r="B65" s="41"/>
      <c r="C65" s="1426"/>
      <c r="D65" s="92"/>
      <c r="E65" s="1786"/>
      <c r="F65" s="1786"/>
      <c r="G65" s="1786"/>
      <c r="H65" s="1786"/>
      <c r="I65" s="1786"/>
      <c r="J65" s="1786"/>
      <c r="K65" s="1786"/>
      <c r="L65" s="1786"/>
      <c r="M65" s="1786"/>
      <c r="N65" s="96"/>
      <c r="O65" s="343"/>
      <c r="Q65" s="50"/>
      <c r="R65" s="50"/>
      <c r="S65" s="50"/>
      <c r="T65" s="50"/>
      <c r="U65" s="50"/>
      <c r="V65" s="50"/>
      <c r="W65" s="50"/>
      <c r="X65" s="50"/>
      <c r="Y65" s="50"/>
      <c r="Z65" s="50"/>
      <c r="AA65" s="50"/>
      <c r="AB65" s="50"/>
      <c r="AC65" s="50"/>
      <c r="AD65" s="50"/>
      <c r="AE65" s="50"/>
    </row>
    <row r="66" spans="1:31">
      <c r="A66" s="480">
        <f>ROW()</f>
        <v>66</v>
      </c>
      <c r="B66" s="41" t="s">
        <v>552</v>
      </c>
      <c r="C66" s="798">
        <v>29.07</v>
      </c>
      <c r="D66" s="92" t="s">
        <v>622</v>
      </c>
      <c r="E66" s="1786" t="s">
        <v>1586</v>
      </c>
      <c r="F66" s="1786"/>
      <c r="G66" s="1786"/>
      <c r="H66" s="1786"/>
      <c r="I66" s="1786"/>
      <c r="J66" s="1786"/>
      <c r="K66" s="1786"/>
      <c r="L66" s="1786"/>
      <c r="M66" s="1786"/>
      <c r="N66" s="96"/>
      <c r="O66" s="343"/>
      <c r="Q66" s="50"/>
      <c r="R66" s="50"/>
      <c r="S66" s="50"/>
      <c r="T66" s="50"/>
      <c r="U66" s="50"/>
      <c r="V66" s="50"/>
      <c r="W66" s="50"/>
      <c r="X66" s="50"/>
      <c r="Y66" s="50"/>
      <c r="Z66" s="50"/>
      <c r="AA66" s="50"/>
      <c r="AB66" s="50"/>
      <c r="AC66" s="50"/>
      <c r="AD66" s="50"/>
      <c r="AE66" s="50"/>
    </row>
    <row r="67" spans="1:31">
      <c r="A67" s="480">
        <f>ROW()</f>
        <v>67</v>
      </c>
      <c r="B67" s="41" t="s">
        <v>623</v>
      </c>
      <c r="C67" s="1427" t="s">
        <v>624</v>
      </c>
      <c r="D67" s="92"/>
      <c r="E67" s="1786"/>
      <c r="F67" s="1786"/>
      <c r="G67" s="1786"/>
      <c r="H67" s="1786"/>
      <c r="I67" s="1786"/>
      <c r="J67" s="1786"/>
      <c r="K67" s="1786"/>
      <c r="L67" s="1786"/>
      <c r="M67" s="1786"/>
      <c r="N67" s="96"/>
      <c r="O67" s="343"/>
      <c r="Q67" s="50"/>
      <c r="R67" s="50"/>
      <c r="S67" s="50"/>
      <c r="T67" s="50"/>
      <c r="U67" s="50"/>
      <c r="V67" s="50"/>
      <c r="W67" s="50"/>
      <c r="X67" s="50"/>
      <c r="Y67" s="50"/>
      <c r="Z67" s="50"/>
      <c r="AA67" s="50"/>
      <c r="AB67" s="50"/>
      <c r="AC67" s="50"/>
      <c r="AD67" s="50"/>
      <c r="AE67" s="50"/>
    </row>
    <row r="68" spans="1:31">
      <c r="A68" s="480">
        <f>ROW()</f>
        <v>68</v>
      </c>
      <c r="B68" s="46" t="s">
        <v>625</v>
      </c>
      <c r="C68" s="1622">
        <f>+' Enrol &amp; Rev'!C97</f>
        <v>0.01</v>
      </c>
      <c r="D68" s="41" t="s">
        <v>626</v>
      </c>
      <c r="E68" s="46"/>
      <c r="F68" s="46"/>
      <c r="G68" s="74"/>
      <c r="H68" s="74"/>
      <c r="I68" s="32"/>
      <c r="J68" s="32"/>
      <c r="K68" s="32"/>
      <c r="L68" s="32"/>
      <c r="M68" s="32"/>
      <c r="N68" s="96"/>
      <c r="O68" s="343"/>
      <c r="Q68" s="50"/>
      <c r="R68" s="50"/>
      <c r="S68" s="50"/>
      <c r="T68" s="50"/>
      <c r="U68" s="50"/>
      <c r="V68" s="50"/>
      <c r="W68" s="50"/>
      <c r="X68" s="50"/>
      <c r="Y68" s="50"/>
      <c r="Z68" s="50"/>
      <c r="AA68" s="50"/>
      <c r="AB68" s="50"/>
      <c r="AC68" s="50"/>
      <c r="AD68" s="50"/>
      <c r="AE68" s="50"/>
    </row>
    <row r="69" spans="1:31">
      <c r="A69" s="480">
        <f>ROW()</f>
        <v>69</v>
      </c>
      <c r="C69" s="307"/>
      <c r="N69" s="96"/>
      <c r="O69" s="343"/>
      <c r="Q69" s="50"/>
      <c r="R69" s="50"/>
      <c r="S69" s="50"/>
      <c r="T69" s="50"/>
      <c r="U69" s="50"/>
      <c r="V69" s="50"/>
      <c r="W69" s="50"/>
      <c r="X69" s="50"/>
      <c r="Y69" s="50"/>
      <c r="Z69" s="50"/>
      <c r="AA69" s="50"/>
      <c r="AB69" s="50"/>
      <c r="AC69" s="50"/>
      <c r="AD69" s="50"/>
      <c r="AE69" s="50"/>
    </row>
    <row r="70" spans="1:31">
      <c r="A70" s="480">
        <f>ROW()</f>
        <v>70</v>
      </c>
      <c r="B70" s="33" t="s">
        <v>627</v>
      </c>
      <c r="C70" s="147">
        <v>180</v>
      </c>
      <c r="D70" s="1573" t="s">
        <v>628</v>
      </c>
      <c r="E70" s="287"/>
      <c r="F70" s="287"/>
      <c r="H70" s="74"/>
      <c r="I70" s="32"/>
      <c r="J70" s="32"/>
      <c r="K70" s="32"/>
      <c r="L70" s="32"/>
      <c r="M70" s="32"/>
      <c r="N70" s="96"/>
      <c r="O70" s="343"/>
      <c r="Q70" s="50"/>
      <c r="R70" s="50"/>
      <c r="S70" s="50"/>
      <c r="T70" s="50"/>
      <c r="U70" s="50"/>
      <c r="V70" s="50"/>
      <c r="W70" s="50"/>
      <c r="X70" s="50"/>
      <c r="Y70" s="50"/>
      <c r="Z70" s="50"/>
      <c r="AA70" s="50"/>
      <c r="AB70" s="50"/>
      <c r="AC70" s="50"/>
      <c r="AD70" s="50"/>
      <c r="AE70" s="50"/>
    </row>
    <row r="71" spans="1:31">
      <c r="A71" s="480">
        <f>ROW()</f>
        <v>71</v>
      </c>
      <c r="B71" s="41" t="s">
        <v>629</v>
      </c>
      <c r="C71" s="148">
        <v>0</v>
      </c>
      <c r="D71" s="288"/>
      <c r="E71" s="288"/>
      <c r="F71" s="288"/>
      <c r="H71" s="41"/>
      <c r="N71" s="96"/>
      <c r="O71" s="343"/>
      <c r="Q71" s="50"/>
      <c r="R71" s="50"/>
      <c r="S71" s="50"/>
      <c r="T71" s="50"/>
      <c r="U71" s="50"/>
      <c r="V71" s="50"/>
      <c r="W71" s="50"/>
      <c r="X71" s="50"/>
      <c r="Y71" s="50"/>
      <c r="Z71" s="50"/>
      <c r="AA71" s="50"/>
      <c r="AB71" s="50"/>
      <c r="AC71" s="50"/>
      <c r="AD71" s="50"/>
      <c r="AE71" s="50"/>
    </row>
    <row r="72" spans="1:31">
      <c r="A72" s="480">
        <f>ROW()</f>
        <v>72</v>
      </c>
      <c r="B72" s="41" t="s">
        <v>630</v>
      </c>
      <c r="C72" s="148">
        <v>0</v>
      </c>
      <c r="D72" s="288"/>
      <c r="E72" s="288"/>
      <c r="F72" s="288"/>
      <c r="H72" s="41"/>
      <c r="N72" s="96"/>
      <c r="O72" s="343"/>
      <c r="Q72" s="50"/>
      <c r="R72" s="50"/>
      <c r="S72" s="50"/>
      <c r="T72" s="50"/>
      <c r="U72" s="50"/>
      <c r="V72" s="50"/>
      <c r="W72" s="50"/>
      <c r="X72" s="50"/>
      <c r="Y72" s="50"/>
      <c r="Z72" s="50"/>
      <c r="AA72" s="50"/>
      <c r="AB72" s="50"/>
      <c r="AC72" s="50"/>
      <c r="AD72" s="50"/>
      <c r="AE72" s="50"/>
    </row>
    <row r="73" spans="1:31">
      <c r="A73" s="480">
        <f>ROW()</f>
        <v>73</v>
      </c>
      <c r="B73" s="41" t="s">
        <v>631</v>
      </c>
      <c r="C73" s="149">
        <v>0</v>
      </c>
      <c r="D73" s="289"/>
      <c r="E73" s="289"/>
      <c r="F73" s="289"/>
      <c r="H73" s="41"/>
      <c r="N73" s="96"/>
      <c r="O73" s="343"/>
      <c r="Q73" s="50"/>
      <c r="R73" s="50"/>
      <c r="S73" s="50"/>
      <c r="T73" s="50"/>
      <c r="U73" s="50"/>
      <c r="V73" s="50"/>
      <c r="W73" s="50"/>
      <c r="X73" s="50"/>
      <c r="Y73" s="50"/>
      <c r="Z73" s="50"/>
      <c r="AA73" s="50"/>
      <c r="AB73" s="50"/>
      <c r="AC73" s="50"/>
      <c r="AD73" s="50"/>
      <c r="AE73" s="50"/>
    </row>
    <row r="74" spans="1:31">
      <c r="A74" s="480">
        <f>ROW()</f>
        <v>74</v>
      </c>
      <c r="H74" s="103"/>
      <c r="I74" s="103"/>
      <c r="J74" s="103"/>
      <c r="N74" s="96"/>
      <c r="O74" s="343"/>
      <c r="Q74" s="50"/>
      <c r="R74" s="50"/>
      <c r="S74" s="50"/>
      <c r="T74" s="50"/>
      <c r="U74" s="50"/>
      <c r="V74" s="50"/>
      <c r="W74" s="50"/>
      <c r="X74" s="50"/>
      <c r="Y74" s="50"/>
      <c r="Z74" s="50"/>
      <c r="AA74" s="50"/>
      <c r="AB74" s="50"/>
      <c r="AC74" s="50"/>
      <c r="AD74" s="50"/>
      <c r="AE74" s="50"/>
    </row>
    <row r="75" spans="1:31" ht="15.6">
      <c r="A75" s="480">
        <f>ROW()</f>
        <v>75</v>
      </c>
      <c r="G75" s="409" t="s">
        <v>632</v>
      </c>
      <c r="H75" s="103"/>
      <c r="I75" s="103"/>
      <c r="J75" s="103"/>
      <c r="N75" s="96"/>
      <c r="O75" s="343"/>
      <c r="Q75" s="50"/>
      <c r="R75" s="50"/>
      <c r="S75" s="50"/>
      <c r="T75" s="50"/>
      <c r="U75" s="50"/>
      <c r="V75" s="50"/>
      <c r="W75" s="50"/>
      <c r="X75" s="50"/>
      <c r="Y75" s="50"/>
      <c r="Z75" s="50"/>
      <c r="AA75" s="50"/>
      <c r="AB75" s="50"/>
      <c r="AC75" s="50"/>
      <c r="AD75" s="50"/>
      <c r="AE75" s="50"/>
    </row>
    <row r="76" spans="1:31" outlineLevel="1">
      <c r="A76" s="480">
        <f>ROW()</f>
        <v>76</v>
      </c>
      <c r="C76" s="32" t="s">
        <v>633</v>
      </c>
      <c r="D76" s="32" t="s">
        <v>634</v>
      </c>
      <c r="E76" s="32"/>
      <c r="F76" s="32"/>
      <c r="H76" s="103"/>
      <c r="I76" s="103"/>
      <c r="J76" s="103"/>
      <c r="N76" s="96"/>
      <c r="O76" s="343"/>
      <c r="Q76" s="50"/>
      <c r="R76" s="50"/>
      <c r="S76" s="50"/>
      <c r="T76" s="50"/>
      <c r="U76" s="50"/>
      <c r="V76" s="50"/>
      <c r="W76" s="50"/>
      <c r="X76" s="50"/>
      <c r="Y76" s="50"/>
      <c r="Z76" s="50"/>
      <c r="AA76" s="50"/>
      <c r="AB76" s="50"/>
      <c r="AC76" s="50"/>
      <c r="AD76" s="50"/>
      <c r="AE76" s="50"/>
    </row>
    <row r="77" spans="1:31" ht="27.6" outlineLevel="1">
      <c r="A77" s="872">
        <f>ROW()</f>
        <v>77</v>
      </c>
      <c r="B77" s="75" t="s">
        <v>635</v>
      </c>
      <c r="C77" s="57">
        <f>' Enrol &amp; Rev'!$G$10</f>
        <v>2025</v>
      </c>
      <c r="D77" s="152" t="s">
        <v>636</v>
      </c>
      <c r="E77" s="118"/>
      <c r="F77" s="118"/>
      <c r="I77" s="118"/>
      <c r="J77" s="118"/>
      <c r="N77" s="96"/>
      <c r="O77" s="343"/>
      <c r="Q77" s="50"/>
      <c r="R77" s="50"/>
      <c r="S77" s="50"/>
      <c r="T77" s="50"/>
      <c r="U77" s="50"/>
      <c r="V77" s="50"/>
      <c r="W77" s="50"/>
      <c r="X77" s="50"/>
      <c r="Y77" s="50"/>
      <c r="Z77" s="50"/>
      <c r="AA77" s="50"/>
      <c r="AB77" s="50"/>
      <c r="AC77" s="50"/>
      <c r="AD77" s="50"/>
      <c r="AE77" s="50"/>
    </row>
    <row r="78" spans="1:31" outlineLevel="1">
      <c r="A78" s="480">
        <f>ROW()</f>
        <v>78</v>
      </c>
      <c r="B78" s="673" t="s">
        <v>637</v>
      </c>
      <c r="C78" s="168"/>
      <c r="D78" s="169"/>
      <c r="E78" s="222"/>
      <c r="F78" s="222"/>
      <c r="G78" s="785" t="str">
        <f>+B78&amp;" "&amp;"(Enter automatically or manually, hard code)"</f>
        <v>FTE Count &amp; Hiring Timing  (Enter automatically or manually, hard code)</v>
      </c>
      <c r="H78" s="223"/>
      <c r="I78" s="222"/>
      <c r="J78" s="222"/>
      <c r="K78" s="223"/>
      <c r="L78" s="223"/>
      <c r="M78" s="223"/>
      <c r="N78" s="96"/>
      <c r="O78" s="1385" t="s">
        <v>638</v>
      </c>
      <c r="Q78" s="50"/>
      <c r="R78" s="50"/>
      <c r="S78" s="50"/>
      <c r="T78" s="50"/>
      <c r="U78" s="50"/>
      <c r="V78" s="50"/>
      <c r="W78" s="50"/>
      <c r="X78" s="50"/>
      <c r="Y78" s="50"/>
      <c r="Z78" s="50"/>
      <c r="AA78" s="50"/>
      <c r="AB78" s="50"/>
      <c r="AC78" s="50"/>
      <c r="AD78" s="50"/>
      <c r="AE78" s="50"/>
    </row>
    <row r="79" spans="1:31" outlineLevel="1">
      <c r="A79" s="480">
        <f>ROW()</f>
        <v>79</v>
      </c>
      <c r="B79" s="1650" t="s">
        <v>639</v>
      </c>
      <c r="C79" s="57" t="s">
        <v>633</v>
      </c>
      <c r="D79" s="57"/>
      <c r="E79" s="57"/>
      <c r="F79" s="57"/>
      <c r="G79" s="63"/>
      <c r="H79" s="57"/>
      <c r="I79" s="57"/>
      <c r="J79" s="57"/>
      <c r="K79" s="63"/>
      <c r="L79" s="63"/>
      <c r="M79" s="63"/>
      <c r="N79" s="96"/>
      <c r="O79" s="1389" t="s">
        <v>640</v>
      </c>
      <c r="Q79" s="50"/>
      <c r="R79" s="50"/>
      <c r="S79" s="50"/>
      <c r="T79" s="50"/>
      <c r="U79" s="50"/>
      <c r="V79" s="50"/>
      <c r="W79" s="50"/>
      <c r="X79" s="50"/>
      <c r="Y79" s="50"/>
      <c r="Z79" s="50"/>
      <c r="AA79" s="50"/>
      <c r="AB79" s="50"/>
      <c r="AC79" s="50"/>
      <c r="AD79" s="50"/>
      <c r="AE79" s="50"/>
    </row>
    <row r="80" spans="1:31" outlineLevel="1">
      <c r="A80" s="480">
        <f>ROW()</f>
        <v>80</v>
      </c>
      <c r="B80" s="184" t="s">
        <v>1480</v>
      </c>
      <c r="C80" s="185">
        <v>2025</v>
      </c>
      <c r="D80" s="186">
        <v>154029</v>
      </c>
      <c r="E80" s="1401"/>
      <c r="F80" s="1401"/>
      <c r="G80" s="698"/>
      <c r="H80" s="698">
        <v>1</v>
      </c>
      <c r="I80" s="698">
        <v>1</v>
      </c>
      <c r="J80" s="698">
        <v>1</v>
      </c>
      <c r="K80" s="698">
        <v>1</v>
      </c>
      <c r="L80" s="698">
        <v>1</v>
      </c>
      <c r="M80" s="698">
        <v>1</v>
      </c>
      <c r="N80" s="96"/>
      <c r="O80" s="343" t="s">
        <v>1488</v>
      </c>
      <c r="Q80" s="50"/>
      <c r="R80" s="50"/>
      <c r="S80" s="50"/>
      <c r="T80" s="50"/>
      <c r="U80" s="50"/>
      <c r="V80" s="50"/>
      <c r="W80" s="50"/>
      <c r="X80" s="50"/>
      <c r="Y80" s="50"/>
      <c r="Z80" s="50"/>
      <c r="AA80" s="50"/>
      <c r="AB80" s="50"/>
      <c r="AC80" s="50"/>
      <c r="AD80" s="50"/>
      <c r="AE80" s="50"/>
    </row>
    <row r="81" spans="1:31" outlineLevel="1">
      <c r="A81" s="480">
        <f>ROW()</f>
        <v>81</v>
      </c>
      <c r="B81" s="150" t="s">
        <v>1481</v>
      </c>
      <c r="C81" s="151">
        <v>2025</v>
      </c>
      <c r="D81" s="153">
        <v>171488</v>
      </c>
      <c r="E81" s="1399"/>
      <c r="F81" s="1399"/>
      <c r="G81" s="697"/>
      <c r="H81" s="697">
        <v>1</v>
      </c>
      <c r="I81" s="697">
        <v>1</v>
      </c>
      <c r="J81" s="697">
        <v>1</v>
      </c>
      <c r="K81" s="697">
        <v>1</v>
      </c>
      <c r="L81" s="697">
        <v>1</v>
      </c>
      <c r="M81" s="697">
        <v>1</v>
      </c>
      <c r="N81" s="96"/>
      <c r="O81" s="343" t="s">
        <v>1487</v>
      </c>
      <c r="Q81" s="50"/>
      <c r="R81" s="50"/>
      <c r="S81" s="50"/>
      <c r="T81" s="50"/>
      <c r="U81" s="50"/>
      <c r="V81" s="50"/>
      <c r="W81" s="50"/>
      <c r="X81" s="50"/>
      <c r="Y81" s="50"/>
      <c r="Z81" s="50"/>
      <c r="AA81" s="50"/>
      <c r="AB81" s="50"/>
      <c r="AC81" s="50"/>
      <c r="AD81" s="50"/>
      <c r="AE81" s="50"/>
    </row>
    <row r="82" spans="1:31" outlineLevel="1">
      <c r="A82" s="480">
        <f>ROW()</f>
        <v>82</v>
      </c>
      <c r="B82" s="150" t="s">
        <v>1473</v>
      </c>
      <c r="C82" s="151">
        <v>2025</v>
      </c>
      <c r="D82" s="153">
        <v>228619.92</v>
      </c>
      <c r="E82" s="1399"/>
      <c r="F82" s="1399"/>
      <c r="G82" s="697"/>
      <c r="H82" s="697">
        <v>1</v>
      </c>
      <c r="I82" s="697">
        <v>1</v>
      </c>
      <c r="J82" s="697">
        <v>1</v>
      </c>
      <c r="K82" s="697">
        <v>1</v>
      </c>
      <c r="L82" s="697">
        <v>1</v>
      </c>
      <c r="M82" s="697">
        <v>1</v>
      </c>
      <c r="O82" s="343" t="s">
        <v>1470</v>
      </c>
      <c r="Q82" s="50"/>
      <c r="R82" s="50"/>
      <c r="S82" s="50"/>
      <c r="T82" s="50"/>
      <c r="U82" s="50"/>
      <c r="V82" s="50"/>
      <c r="W82" s="50"/>
      <c r="X82" s="50"/>
      <c r="Y82" s="50"/>
      <c r="Z82" s="50"/>
      <c r="AA82" s="50"/>
      <c r="AB82" s="50"/>
      <c r="AC82" s="50"/>
      <c r="AD82" s="50"/>
      <c r="AE82" s="50"/>
    </row>
    <row r="83" spans="1:31" outlineLevel="1">
      <c r="A83" s="480">
        <f>ROW()</f>
        <v>83</v>
      </c>
      <c r="B83" s="150" t="s">
        <v>1472</v>
      </c>
      <c r="C83" s="151">
        <v>2025</v>
      </c>
      <c r="D83" s="153">
        <v>140560</v>
      </c>
      <c r="E83" s="1399"/>
      <c r="F83" s="1399"/>
      <c r="G83" s="697"/>
      <c r="H83" s="697">
        <v>1</v>
      </c>
      <c r="I83" s="697">
        <v>1</v>
      </c>
      <c r="J83" s="697">
        <v>1</v>
      </c>
      <c r="K83" s="697">
        <v>1</v>
      </c>
      <c r="L83" s="697">
        <v>1</v>
      </c>
      <c r="M83" s="697">
        <v>1</v>
      </c>
      <c r="O83" s="343" t="s">
        <v>1471</v>
      </c>
      <c r="Q83" s="50"/>
      <c r="R83" s="50"/>
      <c r="S83" s="50"/>
      <c r="T83" s="50"/>
      <c r="U83" s="50"/>
      <c r="V83" s="50"/>
      <c r="W83" s="50"/>
      <c r="X83" s="50"/>
      <c r="Y83" s="50"/>
      <c r="Z83" s="50"/>
      <c r="AA83" s="50"/>
      <c r="AB83" s="50"/>
      <c r="AC83" s="50"/>
      <c r="AD83" s="50"/>
      <c r="AE83" s="50"/>
    </row>
    <row r="84" spans="1:31" outlineLevel="1">
      <c r="A84" s="480">
        <f>ROW()</f>
        <v>84</v>
      </c>
      <c r="B84" s="150"/>
      <c r="C84" s="151"/>
      <c r="D84" s="153"/>
      <c r="E84" s="1399"/>
      <c r="F84" s="1399"/>
      <c r="G84" s="697"/>
      <c r="H84" s="697"/>
      <c r="I84" s="697"/>
      <c r="J84" s="697"/>
      <c r="K84" s="697"/>
      <c r="L84" s="697"/>
      <c r="M84" s="697"/>
      <c r="O84" s="343"/>
      <c r="Q84" s="50"/>
      <c r="R84" s="50"/>
      <c r="S84" s="50"/>
      <c r="T84" s="50"/>
      <c r="U84" s="50"/>
      <c r="V84" s="50"/>
      <c r="W84" s="50"/>
      <c r="X84" s="50"/>
      <c r="Y84" s="50"/>
      <c r="Z84" s="50"/>
      <c r="AA84" s="50"/>
      <c r="AB84" s="50"/>
      <c r="AC84" s="50"/>
      <c r="AD84" s="50"/>
      <c r="AE84" s="50"/>
    </row>
    <row r="85" spans="1:31" outlineLevel="1">
      <c r="A85" s="480">
        <f>ROW()</f>
        <v>85</v>
      </c>
      <c r="B85" s="307"/>
      <c r="C85" s="1402"/>
      <c r="D85" s="1403"/>
      <c r="E85" s="1403"/>
      <c r="F85" s="1403"/>
      <c r="G85" s="140"/>
      <c r="H85" s="140"/>
      <c r="I85" s="140"/>
      <c r="J85" s="140"/>
      <c r="K85" s="140"/>
      <c r="L85" s="140"/>
      <c r="M85" s="140"/>
      <c r="O85" s="343"/>
      <c r="Q85" s="50"/>
      <c r="R85" s="50"/>
      <c r="S85" s="50"/>
      <c r="T85" s="50"/>
      <c r="U85" s="50"/>
      <c r="V85" s="50"/>
      <c r="W85" s="50"/>
      <c r="X85" s="50"/>
      <c r="Y85" s="50"/>
      <c r="Z85" s="50"/>
      <c r="AA85" s="50"/>
      <c r="AB85" s="50"/>
      <c r="AC85" s="50"/>
      <c r="AD85" s="50"/>
      <c r="AE85" s="50"/>
    </row>
    <row r="86" spans="1:31" outlineLevel="1">
      <c r="A86" s="480">
        <f>ROW()</f>
        <v>86</v>
      </c>
      <c r="B86" s="1404" t="s">
        <v>642</v>
      </c>
      <c r="C86" s="1405"/>
      <c r="D86" s="1406"/>
      <c r="E86" s="1406"/>
      <c r="F86" s="1406"/>
      <c r="G86" s="1421">
        <f t="shared" ref="G86:M86" si="16">SUM(G80:G84)</f>
        <v>0</v>
      </c>
      <c r="H86" s="1421">
        <f t="shared" si="16"/>
        <v>4</v>
      </c>
      <c r="I86" s="1421">
        <f t="shared" si="16"/>
        <v>4</v>
      </c>
      <c r="J86" s="1421">
        <f t="shared" si="16"/>
        <v>4</v>
      </c>
      <c r="K86" s="1421">
        <f t="shared" si="16"/>
        <v>4</v>
      </c>
      <c r="L86" s="1421">
        <f t="shared" si="16"/>
        <v>4</v>
      </c>
      <c r="M86" s="1421">
        <f t="shared" si="16"/>
        <v>4</v>
      </c>
      <c r="O86" s="343"/>
      <c r="Q86" s="50"/>
      <c r="R86" s="50"/>
      <c r="S86" s="50"/>
      <c r="T86" s="50"/>
      <c r="U86" s="50"/>
      <c r="V86" s="50"/>
      <c r="W86" s="50"/>
      <c r="X86" s="50"/>
      <c r="Y86" s="50"/>
      <c r="Z86" s="50"/>
      <c r="AA86" s="50"/>
      <c r="AB86" s="50"/>
      <c r="AC86" s="50"/>
      <c r="AD86" s="50"/>
      <c r="AE86" s="50"/>
    </row>
    <row r="87" spans="1:31" outlineLevel="1">
      <c r="A87" s="480">
        <f>ROW()</f>
        <v>87</v>
      </c>
      <c r="B87" s="1408"/>
      <c r="C87" s="1408"/>
      <c r="D87" s="1409"/>
      <c r="E87" s="1409"/>
      <c r="F87" s="1409"/>
      <c r="G87" s="1410"/>
      <c r="H87" s="1410"/>
      <c r="I87" s="1411"/>
      <c r="J87" s="1411"/>
      <c r="K87" s="1411"/>
      <c r="L87" s="1411"/>
      <c r="M87" s="1411"/>
      <c r="N87" s="54"/>
      <c r="O87" s="343"/>
      <c r="Q87" s="50"/>
      <c r="R87" s="50"/>
      <c r="S87" s="50"/>
      <c r="T87" s="50"/>
      <c r="U87" s="50"/>
      <c r="V87" s="50"/>
      <c r="W87" s="50"/>
      <c r="X87" s="50"/>
      <c r="Y87" s="50"/>
      <c r="Z87" s="50"/>
      <c r="AA87" s="50"/>
      <c r="AB87" s="50"/>
      <c r="AC87" s="50"/>
      <c r="AD87" s="50"/>
      <c r="AE87" s="50"/>
    </row>
    <row r="88" spans="1:31" outlineLevel="1">
      <c r="A88" s="480">
        <f>ROW()</f>
        <v>88</v>
      </c>
      <c r="B88" s="1365" t="s">
        <v>643</v>
      </c>
      <c r="C88" s="1412"/>
      <c r="D88" s="1413"/>
      <c r="E88" s="1413"/>
      <c r="F88" s="1413"/>
      <c r="G88" s="1414"/>
      <c r="H88" s="1414"/>
      <c r="I88" s="1415"/>
      <c r="J88" s="1415"/>
      <c r="K88" s="1415"/>
      <c r="L88" s="1415"/>
      <c r="M88" s="1415"/>
      <c r="N88" s="54"/>
      <c r="O88" s="343" t="s">
        <v>1599</v>
      </c>
      <c r="Q88" s="50"/>
      <c r="R88" s="50"/>
      <c r="S88" s="50"/>
      <c r="T88" s="50"/>
      <c r="U88" s="50"/>
      <c r="V88" s="50"/>
      <c r="W88" s="50"/>
      <c r="X88" s="50"/>
      <c r="Y88" s="50"/>
      <c r="Z88" s="50"/>
      <c r="AA88" s="50"/>
      <c r="AB88" s="50"/>
      <c r="AC88" s="50"/>
      <c r="AD88" s="50"/>
      <c r="AE88" s="50"/>
    </row>
    <row r="89" spans="1:31" outlineLevel="1">
      <c r="A89" s="480">
        <f>ROW()</f>
        <v>89</v>
      </c>
      <c r="B89" s="184" t="s">
        <v>644</v>
      </c>
      <c r="C89" s="185">
        <v>2023</v>
      </c>
      <c r="D89" s="187">
        <v>0</v>
      </c>
      <c r="E89" s="1400"/>
      <c r="F89" s="1400"/>
      <c r="G89" s="698"/>
      <c r="H89" s="698"/>
      <c r="I89" s="698"/>
      <c r="J89" s="698"/>
      <c r="K89" s="698"/>
      <c r="L89" s="698"/>
      <c r="M89" s="698"/>
      <c r="N89" s="54"/>
      <c r="O89" s="343"/>
      <c r="Q89" s="50"/>
      <c r="R89" s="50"/>
      <c r="S89" s="50"/>
      <c r="T89" s="50"/>
      <c r="U89" s="50"/>
      <c r="V89" s="50"/>
      <c r="W89" s="50"/>
      <c r="X89" s="50"/>
      <c r="Y89" s="50"/>
      <c r="Z89" s="50"/>
      <c r="AA89" s="50"/>
      <c r="AB89" s="50"/>
      <c r="AC89" s="50"/>
      <c r="AD89" s="50"/>
      <c r="AE89" s="50"/>
    </row>
    <row r="90" spans="1:31" outlineLevel="1">
      <c r="A90" s="480">
        <f>ROW()</f>
        <v>90</v>
      </c>
      <c r="B90" s="150" t="s">
        <v>645</v>
      </c>
      <c r="C90" s="151" t="s">
        <v>641</v>
      </c>
      <c r="D90" s="153">
        <v>0</v>
      </c>
      <c r="E90" s="1399"/>
      <c r="F90" s="1399"/>
      <c r="G90" s="697">
        <f t="shared" ref="G90:M92" si="17">IF($C90&lt;=G$10,1,0)</f>
        <v>0</v>
      </c>
      <c r="H90" s="697">
        <f t="shared" si="17"/>
        <v>0</v>
      </c>
      <c r="I90" s="697">
        <f t="shared" si="17"/>
        <v>0</v>
      </c>
      <c r="J90" s="697">
        <f t="shared" si="17"/>
        <v>0</v>
      </c>
      <c r="K90" s="697">
        <f t="shared" si="17"/>
        <v>0</v>
      </c>
      <c r="L90" s="697">
        <f t="shared" si="17"/>
        <v>0</v>
      </c>
      <c r="M90" s="697">
        <f t="shared" si="17"/>
        <v>0</v>
      </c>
      <c r="N90" s="54"/>
      <c r="O90" s="343"/>
      <c r="Q90" s="50"/>
      <c r="R90" s="50"/>
      <c r="S90" s="50"/>
      <c r="T90" s="50"/>
      <c r="U90" s="50"/>
      <c r="V90" s="50"/>
      <c r="W90" s="50"/>
      <c r="X90" s="50"/>
      <c r="Y90" s="50"/>
      <c r="Z90" s="50"/>
      <c r="AA90" s="50"/>
      <c r="AB90" s="50"/>
      <c r="AC90" s="50"/>
      <c r="AD90" s="50"/>
      <c r="AE90" s="50"/>
    </row>
    <row r="91" spans="1:31" outlineLevel="1">
      <c r="A91" s="480">
        <f>ROW()</f>
        <v>91</v>
      </c>
      <c r="B91" s="150" t="s">
        <v>646</v>
      </c>
      <c r="C91" s="151" t="s">
        <v>641</v>
      </c>
      <c r="D91" s="153">
        <v>0</v>
      </c>
      <c r="E91" s="1399"/>
      <c r="F91" s="1399"/>
      <c r="G91" s="697">
        <f t="shared" si="17"/>
        <v>0</v>
      </c>
      <c r="H91" s="697">
        <f t="shared" si="17"/>
        <v>0</v>
      </c>
      <c r="I91" s="697">
        <f t="shared" si="17"/>
        <v>0</v>
      </c>
      <c r="J91" s="697">
        <f t="shared" si="17"/>
        <v>0</v>
      </c>
      <c r="K91" s="697">
        <f t="shared" si="17"/>
        <v>0</v>
      </c>
      <c r="L91" s="697">
        <f t="shared" si="17"/>
        <v>0</v>
      </c>
      <c r="M91" s="697">
        <f t="shared" si="17"/>
        <v>0</v>
      </c>
      <c r="N91" s="54"/>
      <c r="O91" s="343"/>
      <c r="Q91" s="50"/>
      <c r="R91" s="50"/>
      <c r="S91" s="50"/>
      <c r="T91" s="50"/>
      <c r="U91" s="50"/>
      <c r="V91" s="50"/>
      <c r="W91" s="50"/>
      <c r="X91" s="50"/>
      <c r="Y91" s="50"/>
      <c r="Z91" s="50"/>
      <c r="AA91" s="50"/>
      <c r="AB91" s="50"/>
      <c r="AC91" s="50"/>
      <c r="AD91" s="50"/>
      <c r="AE91" s="50"/>
    </row>
    <row r="92" spans="1:31" outlineLevel="1">
      <c r="A92" s="480">
        <f>ROW()</f>
        <v>92</v>
      </c>
      <c r="B92" s="150" t="s">
        <v>647</v>
      </c>
      <c r="C92" s="151" t="s">
        <v>641</v>
      </c>
      <c r="D92" s="153">
        <v>0</v>
      </c>
      <c r="E92" s="1399"/>
      <c r="F92" s="1399"/>
      <c r="G92" s="697">
        <f t="shared" si="17"/>
        <v>0</v>
      </c>
      <c r="H92" s="697">
        <f t="shared" si="17"/>
        <v>0</v>
      </c>
      <c r="I92" s="697">
        <f t="shared" si="17"/>
        <v>0</v>
      </c>
      <c r="J92" s="697">
        <f t="shared" si="17"/>
        <v>0</v>
      </c>
      <c r="K92" s="697">
        <f t="shared" si="17"/>
        <v>0</v>
      </c>
      <c r="L92" s="697">
        <f t="shared" si="17"/>
        <v>0</v>
      </c>
      <c r="M92" s="697">
        <f t="shared" si="17"/>
        <v>0</v>
      </c>
      <c r="N92" s="54"/>
      <c r="O92" s="343"/>
      <c r="Q92" s="50"/>
      <c r="R92" s="50"/>
      <c r="S92" s="50"/>
      <c r="T92" s="50"/>
      <c r="U92" s="50"/>
      <c r="V92" s="50"/>
      <c r="W92" s="50"/>
      <c r="X92" s="50"/>
      <c r="Y92" s="50"/>
      <c r="Z92" s="50"/>
      <c r="AA92" s="50"/>
      <c r="AB92" s="50"/>
      <c r="AC92" s="50"/>
      <c r="AD92" s="50"/>
      <c r="AE92" s="50"/>
    </row>
    <row r="93" spans="1:31" outlineLevel="1">
      <c r="A93" s="480">
        <f>ROW()</f>
        <v>93</v>
      </c>
      <c r="B93" s="307"/>
      <c r="C93" s="307"/>
      <c r="D93" s="1416"/>
      <c r="E93" s="1416"/>
      <c r="F93" s="1416"/>
      <c r="G93" s="140"/>
      <c r="H93" s="140"/>
      <c r="I93" s="140"/>
      <c r="J93" s="140"/>
      <c r="K93" s="140"/>
      <c r="L93" s="140"/>
      <c r="M93" s="140"/>
      <c r="N93" s="54"/>
      <c r="O93" s="343"/>
      <c r="Q93" s="50"/>
      <c r="R93" s="50"/>
      <c r="S93" s="50"/>
      <c r="T93" s="50"/>
      <c r="U93" s="50"/>
      <c r="V93" s="50"/>
      <c r="W93" s="50"/>
      <c r="X93" s="50"/>
      <c r="Y93" s="50"/>
      <c r="Z93" s="50"/>
      <c r="AA93" s="50"/>
      <c r="AB93" s="50"/>
      <c r="AC93" s="50"/>
      <c r="AD93" s="50"/>
      <c r="AE93" s="50"/>
    </row>
    <row r="94" spans="1:31" outlineLevel="1">
      <c r="A94" s="480">
        <f>ROW()</f>
        <v>94</v>
      </c>
      <c r="B94" s="1404" t="s">
        <v>648</v>
      </c>
      <c r="C94" s="1405"/>
      <c r="D94" s="1417"/>
      <c r="E94" s="1417"/>
      <c r="F94" s="1417"/>
      <c r="G94" s="1421">
        <f t="shared" ref="G94:M94" si="18">SUM(G89:G92)+G86</f>
        <v>0</v>
      </c>
      <c r="H94" s="1421">
        <f t="shared" si="18"/>
        <v>4</v>
      </c>
      <c r="I94" s="1421">
        <f t="shared" si="18"/>
        <v>4</v>
      </c>
      <c r="J94" s="1421">
        <f t="shared" si="18"/>
        <v>4</v>
      </c>
      <c r="K94" s="1421">
        <f t="shared" si="18"/>
        <v>4</v>
      </c>
      <c r="L94" s="1421">
        <f t="shared" si="18"/>
        <v>4</v>
      </c>
      <c r="M94" s="1421">
        <f t="shared" si="18"/>
        <v>4</v>
      </c>
      <c r="N94" s="54"/>
      <c r="O94" s="343"/>
      <c r="Q94" s="50"/>
      <c r="R94" s="50"/>
      <c r="S94" s="50"/>
      <c r="T94" s="50"/>
      <c r="U94" s="50"/>
      <c r="V94" s="50"/>
      <c r="W94" s="50"/>
      <c r="X94" s="50"/>
      <c r="Y94" s="50"/>
      <c r="Z94" s="50"/>
      <c r="AA94" s="50"/>
      <c r="AB94" s="50"/>
      <c r="AC94" s="50"/>
      <c r="AD94" s="50"/>
      <c r="AE94" s="50"/>
    </row>
    <row r="95" spans="1:31" outlineLevel="1">
      <c r="A95" s="480">
        <f>ROW()</f>
        <v>95</v>
      </c>
      <c r="B95" s="1408"/>
      <c r="C95" s="1408"/>
      <c r="D95" s="1418"/>
      <c r="E95" s="1418"/>
      <c r="F95" s="1418"/>
      <c r="G95" s="1408"/>
      <c r="H95" s="1408"/>
      <c r="I95" s="1408"/>
      <c r="J95" s="1411"/>
      <c r="K95" s="1411"/>
      <c r="L95" s="1411"/>
      <c r="M95" s="1411"/>
      <c r="N95" s="54"/>
      <c r="O95" s="343"/>
      <c r="Q95" s="50"/>
      <c r="R95" s="50"/>
      <c r="S95" s="50"/>
      <c r="T95" s="50"/>
      <c r="U95" s="50"/>
      <c r="V95" s="50"/>
      <c r="W95" s="50"/>
      <c r="X95" s="50"/>
      <c r="Y95" s="50"/>
      <c r="Z95" s="50"/>
      <c r="AA95" s="50"/>
      <c r="AB95" s="50"/>
      <c r="AC95" s="50"/>
      <c r="AD95" s="50"/>
      <c r="AE95" s="50"/>
    </row>
    <row r="96" spans="1:31" outlineLevel="1">
      <c r="A96" s="480">
        <f>ROW()</f>
        <v>96</v>
      </c>
      <c r="B96" s="1365" t="s">
        <v>649</v>
      </c>
      <c r="C96" s="1412"/>
      <c r="D96" s="1413"/>
      <c r="E96" s="1413"/>
      <c r="F96" s="1413"/>
      <c r="G96" s="1412"/>
      <c r="H96" s="1412"/>
      <c r="I96" s="1412"/>
      <c r="J96" s="1415"/>
      <c r="K96" s="1415"/>
      <c r="L96" s="1415"/>
      <c r="M96" s="1415"/>
      <c r="N96" s="54"/>
      <c r="O96" s="343"/>
      <c r="Q96" s="50"/>
      <c r="R96" s="50"/>
      <c r="S96" s="50"/>
      <c r="T96" s="50"/>
      <c r="U96" s="50"/>
      <c r="V96" s="50"/>
      <c r="W96" s="50"/>
      <c r="X96" s="50"/>
      <c r="Y96" s="50"/>
      <c r="Z96" s="50"/>
      <c r="AA96" s="50"/>
      <c r="AB96" s="50"/>
      <c r="AC96" s="50"/>
      <c r="AD96" s="50"/>
      <c r="AE96" s="50"/>
    </row>
    <row r="97" spans="1:31" outlineLevel="1">
      <c r="A97" s="480">
        <f>ROW()</f>
        <v>97</v>
      </c>
      <c r="B97" s="188" t="s">
        <v>1475</v>
      </c>
      <c r="C97" s="189">
        <v>2025</v>
      </c>
      <c r="D97" s="190">
        <v>141065.07999999999</v>
      </c>
      <c r="E97" s="1400"/>
      <c r="F97" s="1400"/>
      <c r="G97" s="698"/>
      <c r="H97" s="698">
        <v>1</v>
      </c>
      <c r="I97" s="698">
        <v>1</v>
      </c>
      <c r="J97" s="698">
        <v>1</v>
      </c>
      <c r="K97" s="698">
        <v>1</v>
      </c>
      <c r="L97" s="698">
        <v>1</v>
      </c>
      <c r="M97" s="698">
        <v>1</v>
      </c>
      <c r="N97" s="54"/>
      <c r="O97" s="343" t="s">
        <v>1474</v>
      </c>
      <c r="Q97" s="50"/>
      <c r="R97" s="50"/>
      <c r="S97" s="50"/>
      <c r="T97" s="50"/>
      <c r="U97" s="50"/>
      <c r="V97" s="50"/>
      <c r="W97" s="50"/>
      <c r="X97" s="50"/>
      <c r="Y97" s="50"/>
      <c r="Z97" s="50"/>
      <c r="AA97" s="50"/>
      <c r="AB97" s="50"/>
      <c r="AC97" s="50"/>
      <c r="AD97" s="50"/>
      <c r="AE97" s="50"/>
    </row>
    <row r="98" spans="1:31" outlineLevel="1">
      <c r="A98" s="480">
        <f>ROW()</f>
        <v>98</v>
      </c>
      <c r="B98" s="145" t="s">
        <v>1476</v>
      </c>
      <c r="C98" s="146">
        <v>2025</v>
      </c>
      <c r="D98" s="154">
        <v>83761.08</v>
      </c>
      <c r="E98" s="1399"/>
      <c r="F98" s="1399"/>
      <c r="G98" s="697"/>
      <c r="H98" s="697">
        <v>2</v>
      </c>
      <c r="I98" s="697">
        <v>2</v>
      </c>
      <c r="J98" s="697">
        <v>2</v>
      </c>
      <c r="K98" s="697">
        <v>3</v>
      </c>
      <c r="L98" s="697">
        <v>3</v>
      </c>
      <c r="M98" s="697">
        <v>4</v>
      </c>
      <c r="N98" s="54"/>
      <c r="O98" s="343" t="s">
        <v>1482</v>
      </c>
      <c r="Q98" s="50"/>
      <c r="R98" s="50"/>
      <c r="S98" s="50"/>
      <c r="T98" s="50"/>
      <c r="U98" s="50"/>
      <c r="V98" s="50"/>
      <c r="W98" s="50"/>
      <c r="X98" s="50"/>
      <c r="Y98" s="50"/>
      <c r="Z98" s="50"/>
      <c r="AA98" s="50"/>
      <c r="AB98" s="50"/>
      <c r="AC98" s="50"/>
      <c r="AD98" s="50"/>
      <c r="AE98" s="50"/>
    </row>
    <row r="99" spans="1:31" outlineLevel="1">
      <c r="A99" s="480">
        <f>ROW()</f>
        <v>99</v>
      </c>
      <c r="B99" s="145" t="s">
        <v>1476</v>
      </c>
      <c r="C99" s="146">
        <v>2025</v>
      </c>
      <c r="D99" s="154">
        <v>115599.12</v>
      </c>
      <c r="E99" s="1399"/>
      <c r="F99" s="1399"/>
      <c r="G99" s="697"/>
      <c r="H99" s="697">
        <v>1</v>
      </c>
      <c r="I99" s="697">
        <v>1</v>
      </c>
      <c r="J99" s="697">
        <v>1</v>
      </c>
      <c r="K99" s="697">
        <v>1</v>
      </c>
      <c r="L99" s="697">
        <v>1</v>
      </c>
      <c r="M99" s="697">
        <v>1</v>
      </c>
      <c r="N99" s="54"/>
      <c r="O99" s="343" t="s">
        <v>1484</v>
      </c>
      <c r="Q99" s="50"/>
      <c r="R99" s="50"/>
      <c r="S99" s="50"/>
      <c r="T99" s="50"/>
      <c r="U99" s="50"/>
      <c r="V99" s="50"/>
      <c r="W99" s="50"/>
      <c r="X99" s="50"/>
      <c r="Y99" s="50"/>
      <c r="Z99" s="50"/>
      <c r="AA99" s="50"/>
      <c r="AB99" s="50"/>
      <c r="AC99" s="50"/>
      <c r="AD99" s="50"/>
      <c r="AE99" s="50"/>
    </row>
    <row r="100" spans="1:31" outlineLevel="1">
      <c r="A100" s="480">
        <f>ROW()</f>
        <v>100</v>
      </c>
      <c r="B100" s="145" t="s">
        <v>1476</v>
      </c>
      <c r="C100" s="146">
        <v>2025</v>
      </c>
      <c r="D100" s="154">
        <v>80161.08</v>
      </c>
      <c r="E100" s="1399"/>
      <c r="F100" s="1399"/>
      <c r="G100" s="697"/>
      <c r="H100" s="697">
        <v>1</v>
      </c>
      <c r="I100" s="697">
        <v>1</v>
      </c>
      <c r="J100" s="697">
        <v>1</v>
      </c>
      <c r="K100" s="697">
        <v>1</v>
      </c>
      <c r="L100" s="697">
        <v>1</v>
      </c>
      <c r="M100" s="697">
        <v>1</v>
      </c>
      <c r="N100" s="54"/>
      <c r="O100" s="343" t="s">
        <v>1483</v>
      </c>
      <c r="Q100" s="50"/>
      <c r="R100" s="50"/>
      <c r="S100" s="50"/>
      <c r="T100" s="50"/>
      <c r="U100" s="50"/>
      <c r="V100" s="50"/>
      <c r="W100" s="50"/>
      <c r="X100" s="50"/>
      <c r="Y100" s="50"/>
      <c r="Z100" s="50"/>
      <c r="AA100" s="50"/>
      <c r="AB100" s="50"/>
      <c r="AC100" s="50"/>
      <c r="AD100" s="50"/>
      <c r="AE100" s="50"/>
    </row>
    <row r="101" spans="1:31" outlineLevel="1">
      <c r="A101" s="480">
        <f>ROW()</f>
        <v>101</v>
      </c>
      <c r="B101" s="145" t="s">
        <v>1476</v>
      </c>
      <c r="C101" s="146">
        <v>2025</v>
      </c>
      <c r="D101" s="154">
        <v>73408.92</v>
      </c>
      <c r="E101" s="1399"/>
      <c r="F101" s="1399"/>
      <c r="G101" s="697"/>
      <c r="H101" s="697">
        <v>1</v>
      </c>
      <c r="I101" s="697">
        <v>1</v>
      </c>
      <c r="J101" s="697">
        <v>1</v>
      </c>
      <c r="K101" s="697">
        <v>1</v>
      </c>
      <c r="L101" s="697">
        <v>1</v>
      </c>
      <c r="M101" s="697">
        <v>1</v>
      </c>
      <c r="N101" s="54"/>
      <c r="O101" s="343" t="s">
        <v>1477</v>
      </c>
      <c r="Q101" s="50"/>
      <c r="R101" s="50"/>
      <c r="S101" s="50"/>
      <c r="T101" s="50"/>
      <c r="U101" s="50"/>
      <c r="V101" s="50"/>
      <c r="W101" s="50"/>
      <c r="X101" s="50"/>
      <c r="Y101" s="50"/>
      <c r="Z101" s="50"/>
      <c r="AA101" s="50"/>
      <c r="AB101" s="50"/>
      <c r="AC101" s="50"/>
      <c r="AD101" s="50"/>
      <c r="AE101" s="50"/>
    </row>
    <row r="102" spans="1:31" outlineLevel="1">
      <c r="A102" s="480">
        <f>ROW()</f>
        <v>102</v>
      </c>
      <c r="B102" s="145" t="s">
        <v>1476</v>
      </c>
      <c r="C102" s="146">
        <v>2025</v>
      </c>
      <c r="D102" s="154">
        <v>71724.12</v>
      </c>
      <c r="E102" s="1399"/>
      <c r="F102" s="1399"/>
      <c r="G102" s="697"/>
      <c r="H102" s="697">
        <v>1</v>
      </c>
      <c r="I102" s="697">
        <v>1</v>
      </c>
      <c r="J102" s="697">
        <v>1</v>
      </c>
      <c r="K102" s="697">
        <v>1</v>
      </c>
      <c r="L102" s="697">
        <v>1</v>
      </c>
      <c r="M102" s="697">
        <v>1</v>
      </c>
      <c r="N102" s="54"/>
      <c r="O102" s="343" t="s">
        <v>1485</v>
      </c>
      <c r="Q102" s="50"/>
      <c r="R102" s="50"/>
      <c r="S102" s="50"/>
      <c r="T102" s="50"/>
      <c r="U102" s="50"/>
      <c r="V102" s="50"/>
      <c r="W102" s="50"/>
      <c r="X102" s="50"/>
      <c r="Y102" s="50"/>
      <c r="Z102" s="50"/>
      <c r="AA102" s="50"/>
      <c r="AB102" s="50"/>
      <c r="AC102" s="50"/>
      <c r="AD102" s="50"/>
      <c r="AE102" s="50"/>
    </row>
    <row r="103" spans="1:31" outlineLevel="1">
      <c r="A103" s="480">
        <f>ROW()</f>
        <v>103</v>
      </c>
      <c r="B103" s="145" t="s">
        <v>1476</v>
      </c>
      <c r="C103" s="146">
        <v>2025</v>
      </c>
      <c r="D103" s="154">
        <v>108849.12</v>
      </c>
      <c r="E103" s="1399"/>
      <c r="F103" s="1399"/>
      <c r="G103" s="697"/>
      <c r="H103" s="697">
        <v>1</v>
      </c>
      <c r="I103" s="697">
        <v>1</v>
      </c>
      <c r="J103" s="697">
        <v>1</v>
      </c>
      <c r="K103" s="697">
        <v>1</v>
      </c>
      <c r="L103" s="697">
        <v>1</v>
      </c>
      <c r="M103" s="697">
        <v>1</v>
      </c>
      <c r="N103" s="54"/>
      <c r="O103" s="343" t="s">
        <v>1478</v>
      </c>
      <c r="Q103" s="50"/>
      <c r="R103" s="50"/>
      <c r="S103" s="50"/>
      <c r="T103" s="50"/>
      <c r="U103" s="50"/>
      <c r="V103" s="50"/>
      <c r="W103" s="50"/>
      <c r="X103" s="50"/>
      <c r="Y103" s="50"/>
      <c r="Z103" s="50"/>
      <c r="AA103" s="50"/>
      <c r="AB103" s="50"/>
      <c r="AC103" s="50"/>
      <c r="AD103" s="50"/>
      <c r="AE103" s="50"/>
    </row>
    <row r="104" spans="1:31" outlineLevel="1">
      <c r="A104" s="480">
        <f>ROW()</f>
        <v>104</v>
      </c>
      <c r="B104" s="145" t="s">
        <v>1476</v>
      </c>
      <c r="C104" s="146">
        <v>2025</v>
      </c>
      <c r="D104" s="154">
        <v>51133.82</v>
      </c>
      <c r="E104" s="1399"/>
      <c r="F104" s="1399"/>
      <c r="G104" s="697"/>
      <c r="H104" s="697">
        <v>1</v>
      </c>
      <c r="I104" s="697">
        <v>1</v>
      </c>
      <c r="J104" s="697">
        <v>1</v>
      </c>
      <c r="K104" s="697">
        <v>1</v>
      </c>
      <c r="L104" s="697">
        <v>1</v>
      </c>
      <c r="M104" s="697">
        <v>1</v>
      </c>
      <c r="N104" s="54"/>
      <c r="O104" s="343" t="s">
        <v>1479</v>
      </c>
      <c r="Q104" s="50"/>
      <c r="R104" s="50"/>
      <c r="S104" s="50"/>
      <c r="T104" s="50"/>
      <c r="U104" s="50"/>
      <c r="V104" s="50"/>
      <c r="W104" s="50"/>
      <c r="X104" s="50"/>
      <c r="Y104" s="50"/>
      <c r="Z104" s="50"/>
      <c r="AA104" s="50"/>
      <c r="AB104" s="50"/>
      <c r="AC104" s="50"/>
      <c r="AD104" s="50"/>
      <c r="AE104" s="50"/>
    </row>
    <row r="105" spans="1:31" outlineLevel="1">
      <c r="A105" s="480">
        <f>ROW()</f>
        <v>105</v>
      </c>
      <c r="B105" s="145" t="s">
        <v>1476</v>
      </c>
      <c r="C105" s="146">
        <v>2025</v>
      </c>
      <c r="D105" s="154">
        <v>108849.12</v>
      </c>
      <c r="E105" s="1399"/>
      <c r="F105" s="1399"/>
      <c r="G105" s="699"/>
      <c r="H105" s="699">
        <v>1</v>
      </c>
      <c r="I105" s="699">
        <v>1</v>
      </c>
      <c r="J105" s="699">
        <v>1</v>
      </c>
      <c r="K105" s="699">
        <v>1</v>
      </c>
      <c r="L105" s="699">
        <v>1</v>
      </c>
      <c r="M105" s="699">
        <v>1</v>
      </c>
      <c r="N105" s="54"/>
      <c r="O105" s="343" t="s">
        <v>1616</v>
      </c>
      <c r="Q105" s="50"/>
      <c r="R105" s="50"/>
      <c r="S105" s="50"/>
      <c r="T105" s="50"/>
      <c r="U105" s="50"/>
      <c r="V105" s="50"/>
      <c r="W105" s="50"/>
      <c r="X105" s="50"/>
      <c r="Y105" s="50"/>
      <c r="Z105" s="50"/>
      <c r="AA105" s="50"/>
      <c r="AB105" s="50"/>
      <c r="AC105" s="50"/>
      <c r="AD105" s="50"/>
      <c r="AE105" s="50"/>
    </row>
    <row r="106" spans="1:31" outlineLevel="1">
      <c r="A106" s="480">
        <f>ROW()</f>
        <v>106</v>
      </c>
      <c r="B106" s="1404" t="s">
        <v>650</v>
      </c>
      <c r="C106" s="1404"/>
      <c r="D106" s="1404"/>
      <c r="E106" s="1404"/>
      <c r="F106" s="1404"/>
      <c r="G106" s="1419">
        <f t="shared" ref="G106:M106" si="19">SUM(G97:G105)</f>
        <v>0</v>
      </c>
      <c r="H106" s="1420">
        <f t="shared" si="19"/>
        <v>10</v>
      </c>
      <c r="I106" s="1421">
        <f t="shared" si="19"/>
        <v>10</v>
      </c>
      <c r="J106" s="1421">
        <f t="shared" si="19"/>
        <v>10</v>
      </c>
      <c r="K106" s="1421">
        <f t="shared" si="19"/>
        <v>11</v>
      </c>
      <c r="L106" s="1421">
        <f t="shared" si="19"/>
        <v>11</v>
      </c>
      <c r="M106" s="1421">
        <f t="shared" si="19"/>
        <v>12</v>
      </c>
      <c r="N106" s="54"/>
      <c r="O106" s="343"/>
      <c r="Q106" s="50"/>
      <c r="R106" s="50"/>
      <c r="S106" s="50"/>
      <c r="T106" s="50"/>
      <c r="U106" s="50"/>
      <c r="V106" s="50"/>
      <c r="W106" s="50"/>
      <c r="X106" s="50"/>
      <c r="Y106" s="50"/>
      <c r="Z106" s="50"/>
      <c r="AA106" s="50"/>
      <c r="AB106" s="50"/>
      <c r="AC106" s="50"/>
      <c r="AD106" s="50"/>
      <c r="AE106" s="50"/>
    </row>
    <row r="107" spans="1:31" outlineLevel="1">
      <c r="A107" s="480"/>
      <c r="B107" s="307" t="s">
        <v>651</v>
      </c>
      <c r="C107" s="1278"/>
      <c r="D107" s="1278"/>
      <c r="E107" s="1278"/>
      <c r="F107" s="1278"/>
      <c r="G107" s="1576">
        <f>+' Enrol &amp; Rev'!F51</f>
        <v>0</v>
      </c>
      <c r="H107" s="1576">
        <f>+' Enrol &amp; Rev'!G51</f>
        <v>175.45</v>
      </c>
      <c r="I107" s="1576">
        <f>+' Enrol &amp; Rev'!H51</f>
        <v>185.68</v>
      </c>
      <c r="J107" s="1576">
        <f>+' Enrol &amp; Rev'!I51</f>
        <v>196.74822069760006</v>
      </c>
      <c r="K107" s="1576">
        <f>+' Enrol &amp; Rev'!J51</f>
        <v>208.55311393945607</v>
      </c>
      <c r="L107" s="1576">
        <f>+' Enrol &amp; Rev'!K51</f>
        <v>221.06630077582346</v>
      </c>
      <c r="M107" s="1576">
        <f>+' Enrol &amp; Rev'!L51</f>
        <v>234.33027882237286</v>
      </c>
      <c r="N107" s="54"/>
      <c r="O107" s="343"/>
      <c r="Q107" s="50"/>
      <c r="R107" s="50"/>
      <c r="S107" s="50"/>
      <c r="T107" s="50"/>
      <c r="U107" s="50"/>
      <c r="V107" s="50"/>
      <c r="W107" s="50"/>
      <c r="X107" s="50"/>
      <c r="Y107" s="50"/>
      <c r="Z107" s="50"/>
      <c r="AA107" s="50"/>
      <c r="AB107" s="50"/>
      <c r="AC107" s="50"/>
      <c r="AD107" s="50"/>
      <c r="AE107" s="50"/>
    </row>
    <row r="108" spans="1:31" outlineLevel="1">
      <c r="A108" s="480"/>
      <c r="B108" s="307" t="s">
        <v>652</v>
      </c>
      <c r="C108" s="1278"/>
      <c r="D108" s="1278"/>
      <c r="E108" s="1278"/>
      <c r="F108" s="1278"/>
      <c r="G108" s="1278"/>
      <c r="H108" s="1576">
        <f>IFERROR(H107/H106,0)</f>
        <v>17.544999999999998</v>
      </c>
      <c r="I108" s="1576">
        <f t="shared" ref="I108:M108" si="20">IFERROR(I107/I106,0)</f>
        <v>18.568000000000001</v>
      </c>
      <c r="J108" s="1576">
        <f t="shared" si="20"/>
        <v>19.674822069760005</v>
      </c>
      <c r="K108" s="1576">
        <f t="shared" si="20"/>
        <v>18.959373994496005</v>
      </c>
      <c r="L108" s="1576">
        <f t="shared" si="20"/>
        <v>20.096936434165769</v>
      </c>
      <c r="M108" s="1576">
        <f t="shared" si="20"/>
        <v>19.527523235197737</v>
      </c>
      <c r="N108" s="54"/>
      <c r="O108" s="343"/>
      <c r="Q108" s="50"/>
      <c r="R108" s="50"/>
      <c r="S108" s="50"/>
      <c r="T108" s="50"/>
      <c r="U108" s="50"/>
      <c r="V108" s="50"/>
      <c r="W108" s="50"/>
      <c r="X108" s="50"/>
      <c r="Y108" s="50"/>
      <c r="Z108" s="50"/>
      <c r="AA108" s="50"/>
      <c r="AB108" s="50"/>
      <c r="AC108" s="50"/>
      <c r="AD108" s="50"/>
      <c r="AE108" s="50"/>
    </row>
    <row r="109" spans="1:31" outlineLevel="1">
      <c r="A109" s="480">
        <f>ROW()</f>
        <v>109</v>
      </c>
      <c r="B109" s="1422"/>
      <c r="C109" s="1422"/>
      <c r="D109" s="1422"/>
      <c r="E109" s="1422"/>
      <c r="F109" s="1422"/>
      <c r="G109" s="1410"/>
      <c r="H109" s="1410"/>
      <c r="I109" s="1423"/>
      <c r="J109" s="1423"/>
      <c r="K109" s="1423"/>
      <c r="L109" s="1423"/>
      <c r="M109" s="1423"/>
      <c r="N109" s="54"/>
      <c r="O109" s="343"/>
      <c r="Q109" s="50"/>
      <c r="R109" s="50"/>
      <c r="S109" s="50"/>
      <c r="T109" s="50"/>
      <c r="U109" s="50"/>
      <c r="V109" s="50"/>
      <c r="W109" s="50"/>
      <c r="X109" s="50"/>
      <c r="Y109" s="50"/>
      <c r="Z109" s="50"/>
      <c r="AA109" s="50"/>
      <c r="AB109" s="50"/>
      <c r="AC109" s="50"/>
      <c r="AD109" s="50"/>
      <c r="AE109" s="50"/>
    </row>
    <row r="110" spans="1:31" ht="15.6" outlineLevel="1">
      <c r="A110" s="480">
        <f>ROW()</f>
        <v>110</v>
      </c>
      <c r="B110" s="1424" t="s">
        <v>653</v>
      </c>
      <c r="C110" s="1412"/>
      <c r="D110" s="1413"/>
      <c r="E110" s="1413"/>
      <c r="F110" s="1413"/>
      <c r="G110" s="1412"/>
      <c r="H110" s="1412"/>
      <c r="I110" s="1412"/>
      <c r="J110" s="1415"/>
      <c r="K110" s="1415"/>
      <c r="L110" s="1415"/>
      <c r="M110" s="1415"/>
      <c r="N110" s="54"/>
      <c r="O110" s="343"/>
      <c r="Q110" s="50"/>
      <c r="R110" s="50"/>
      <c r="S110" s="50"/>
      <c r="T110" s="50"/>
      <c r="U110" s="50"/>
      <c r="V110" s="50"/>
      <c r="W110" s="50"/>
      <c r="X110" s="50"/>
      <c r="Y110" s="50"/>
      <c r="Z110" s="50"/>
      <c r="AA110" s="50"/>
      <c r="AB110" s="50"/>
      <c r="AC110" s="50"/>
      <c r="AD110" s="50"/>
      <c r="AE110" s="50"/>
    </row>
    <row r="111" spans="1:31" outlineLevel="1">
      <c r="A111" s="480">
        <f>ROW()</f>
        <v>111</v>
      </c>
      <c r="B111" s="188"/>
      <c r="C111" s="189"/>
      <c r="D111" s="190"/>
      <c r="E111" s="1400"/>
      <c r="F111" s="1400"/>
      <c r="G111" s="698"/>
      <c r="H111" s="698"/>
      <c r="I111" s="698"/>
      <c r="J111" s="698"/>
      <c r="K111" s="698"/>
      <c r="L111" s="698"/>
      <c r="M111" s="698"/>
      <c r="N111" s="54"/>
      <c r="O111" s="343"/>
      <c r="Q111" s="50"/>
      <c r="R111" s="50"/>
      <c r="S111" s="50"/>
      <c r="T111" s="50"/>
      <c r="U111" s="50"/>
      <c r="V111" s="50"/>
      <c r="W111" s="50"/>
      <c r="X111" s="50"/>
      <c r="Y111" s="50"/>
      <c r="Z111" s="50"/>
      <c r="AA111" s="50"/>
      <c r="AB111" s="50"/>
      <c r="AC111" s="50"/>
      <c r="AD111" s="50"/>
      <c r="AE111" s="50"/>
    </row>
    <row r="112" spans="1:31" outlineLevel="1">
      <c r="A112" s="480">
        <f>ROW()</f>
        <v>112</v>
      </c>
      <c r="B112" s="188"/>
      <c r="C112" s="146" t="s">
        <v>641</v>
      </c>
      <c r="D112" s="154">
        <v>0</v>
      </c>
      <c r="E112" s="1399"/>
      <c r="F112" s="1399"/>
      <c r="G112" s="697">
        <f t="shared" ref="G112:M119" si="21">IF($C112&lt;=G$10,1,0)</f>
        <v>0</v>
      </c>
      <c r="H112" s="697">
        <f t="shared" si="21"/>
        <v>0</v>
      </c>
      <c r="I112" s="697">
        <f t="shared" si="21"/>
        <v>0</v>
      </c>
      <c r="J112" s="697">
        <f t="shared" si="21"/>
        <v>0</v>
      </c>
      <c r="K112" s="697">
        <f t="shared" si="21"/>
        <v>0</v>
      </c>
      <c r="L112" s="697">
        <f t="shared" si="21"/>
        <v>0</v>
      </c>
      <c r="M112" s="697">
        <f t="shared" si="21"/>
        <v>0</v>
      </c>
      <c r="N112" s="54"/>
      <c r="O112" s="343"/>
      <c r="Q112" s="50"/>
      <c r="R112" s="50"/>
      <c r="S112" s="50"/>
      <c r="T112" s="50"/>
      <c r="U112" s="50"/>
      <c r="V112" s="50"/>
      <c r="W112" s="50"/>
      <c r="X112" s="50"/>
      <c r="Y112" s="50"/>
      <c r="Z112" s="50"/>
      <c r="AA112" s="50"/>
      <c r="AB112" s="50"/>
      <c r="AC112" s="50"/>
      <c r="AD112" s="50"/>
      <c r="AE112" s="50"/>
    </row>
    <row r="113" spans="1:31" outlineLevel="1">
      <c r="A113" s="480">
        <f>ROW()</f>
        <v>113</v>
      </c>
      <c r="B113" s="188"/>
      <c r="C113" s="146" t="s">
        <v>641</v>
      </c>
      <c r="D113" s="154">
        <v>0</v>
      </c>
      <c r="E113" s="1399"/>
      <c r="F113" s="1399"/>
      <c r="G113" s="697">
        <f t="shared" si="21"/>
        <v>0</v>
      </c>
      <c r="H113" s="697">
        <f t="shared" si="21"/>
        <v>0</v>
      </c>
      <c r="I113" s="697">
        <f t="shared" si="21"/>
        <v>0</v>
      </c>
      <c r="J113" s="697">
        <f t="shared" si="21"/>
        <v>0</v>
      </c>
      <c r="K113" s="697">
        <f t="shared" si="21"/>
        <v>0</v>
      </c>
      <c r="L113" s="697">
        <f t="shared" si="21"/>
        <v>0</v>
      </c>
      <c r="M113" s="697">
        <f t="shared" si="21"/>
        <v>0</v>
      </c>
      <c r="N113" s="54"/>
      <c r="O113" s="343"/>
      <c r="Q113" s="50"/>
      <c r="R113" s="50"/>
      <c r="S113" s="50"/>
      <c r="T113" s="50"/>
      <c r="U113" s="50"/>
      <c r="V113" s="50"/>
      <c r="W113" s="50"/>
      <c r="X113" s="50"/>
      <c r="Y113" s="50"/>
      <c r="Z113" s="50"/>
      <c r="AA113" s="50"/>
      <c r="AB113" s="50"/>
      <c r="AC113" s="50"/>
      <c r="AD113" s="50"/>
      <c r="AE113" s="50"/>
    </row>
    <row r="114" spans="1:31" outlineLevel="1">
      <c r="A114" s="480">
        <f>ROW()</f>
        <v>114</v>
      </c>
      <c r="B114" s="145"/>
      <c r="C114" s="146" t="s">
        <v>641</v>
      </c>
      <c r="D114" s="154">
        <v>0</v>
      </c>
      <c r="E114" s="1399"/>
      <c r="F114" s="1399"/>
      <c r="G114" s="697">
        <f t="shared" si="21"/>
        <v>0</v>
      </c>
      <c r="H114" s="697">
        <f t="shared" si="21"/>
        <v>0</v>
      </c>
      <c r="I114" s="697">
        <f t="shared" si="21"/>
        <v>0</v>
      </c>
      <c r="J114" s="697">
        <f t="shared" si="21"/>
        <v>0</v>
      </c>
      <c r="K114" s="697">
        <f t="shared" si="21"/>
        <v>0</v>
      </c>
      <c r="L114" s="697">
        <f t="shared" si="21"/>
        <v>0</v>
      </c>
      <c r="M114" s="697">
        <f t="shared" si="21"/>
        <v>0</v>
      </c>
      <c r="N114" s="54"/>
      <c r="O114" s="343"/>
      <c r="Q114" s="50"/>
      <c r="R114" s="50"/>
      <c r="S114" s="50"/>
      <c r="T114" s="50"/>
      <c r="U114" s="50"/>
      <c r="V114" s="50"/>
      <c r="W114" s="50"/>
      <c r="X114" s="50"/>
      <c r="Y114" s="50"/>
      <c r="Z114" s="50"/>
      <c r="AA114" s="50"/>
      <c r="AB114" s="50"/>
      <c r="AC114" s="50"/>
      <c r="AD114" s="50"/>
      <c r="AE114" s="50"/>
    </row>
    <row r="115" spans="1:31" outlineLevel="1">
      <c r="A115" s="480">
        <f>ROW()</f>
        <v>115</v>
      </c>
      <c r="B115" s="145"/>
      <c r="C115" s="146" t="s">
        <v>641</v>
      </c>
      <c r="D115" s="154">
        <v>0</v>
      </c>
      <c r="E115" s="1399"/>
      <c r="F115" s="1399"/>
      <c r="G115" s="697">
        <f t="shared" si="21"/>
        <v>0</v>
      </c>
      <c r="H115" s="697">
        <f t="shared" si="21"/>
        <v>0</v>
      </c>
      <c r="I115" s="697">
        <f t="shared" si="21"/>
        <v>0</v>
      </c>
      <c r="J115" s="697">
        <f t="shared" si="21"/>
        <v>0</v>
      </c>
      <c r="K115" s="697">
        <f t="shared" si="21"/>
        <v>0</v>
      </c>
      <c r="L115" s="697">
        <f t="shared" si="21"/>
        <v>0</v>
      </c>
      <c r="M115" s="697">
        <f t="shared" si="21"/>
        <v>0</v>
      </c>
      <c r="N115" s="54"/>
      <c r="O115" s="343"/>
      <c r="Q115" s="50"/>
      <c r="R115" s="50"/>
      <c r="S115" s="50"/>
      <c r="T115" s="50"/>
      <c r="U115" s="50"/>
      <c r="V115" s="50"/>
      <c r="W115" s="50"/>
      <c r="X115" s="50"/>
      <c r="Y115" s="50"/>
      <c r="Z115" s="50"/>
      <c r="AA115" s="50"/>
      <c r="AB115" s="50"/>
      <c r="AC115" s="50"/>
      <c r="AD115" s="50"/>
      <c r="AE115" s="50"/>
    </row>
    <row r="116" spans="1:31" outlineLevel="1">
      <c r="A116" s="480">
        <f>ROW()</f>
        <v>116</v>
      </c>
      <c r="B116" s="145"/>
      <c r="C116" s="146" t="s">
        <v>641</v>
      </c>
      <c r="D116" s="154">
        <v>0</v>
      </c>
      <c r="E116" s="1399"/>
      <c r="F116" s="1399"/>
      <c r="G116" s="697">
        <f t="shared" si="21"/>
        <v>0</v>
      </c>
      <c r="H116" s="697">
        <f t="shared" si="21"/>
        <v>0</v>
      </c>
      <c r="I116" s="697">
        <f t="shared" si="21"/>
        <v>0</v>
      </c>
      <c r="J116" s="697">
        <f t="shared" si="21"/>
        <v>0</v>
      </c>
      <c r="K116" s="697">
        <f t="shared" si="21"/>
        <v>0</v>
      </c>
      <c r="L116" s="697">
        <f t="shared" si="21"/>
        <v>0</v>
      </c>
      <c r="M116" s="697">
        <f t="shared" si="21"/>
        <v>0</v>
      </c>
      <c r="N116" s="54"/>
      <c r="O116" s="343"/>
      <c r="Q116" s="50"/>
      <c r="R116" s="50"/>
      <c r="S116" s="50"/>
      <c r="T116" s="50"/>
      <c r="U116" s="50"/>
      <c r="V116" s="50"/>
      <c r="W116" s="50"/>
      <c r="X116" s="50"/>
      <c r="Y116" s="50"/>
      <c r="Z116" s="50"/>
      <c r="AA116" s="50"/>
      <c r="AB116" s="50"/>
      <c r="AC116" s="50"/>
      <c r="AD116" s="50"/>
      <c r="AE116" s="50"/>
    </row>
    <row r="117" spans="1:31" outlineLevel="1">
      <c r="A117" s="480">
        <f>ROW()</f>
        <v>117</v>
      </c>
      <c r="B117" s="145"/>
      <c r="C117" s="146" t="s">
        <v>641</v>
      </c>
      <c r="D117" s="154">
        <v>0</v>
      </c>
      <c r="E117" s="1399"/>
      <c r="F117" s="1399"/>
      <c r="G117" s="697">
        <f t="shared" si="21"/>
        <v>0</v>
      </c>
      <c r="H117" s="697">
        <f t="shared" si="21"/>
        <v>0</v>
      </c>
      <c r="I117" s="697">
        <f t="shared" si="21"/>
        <v>0</v>
      </c>
      <c r="J117" s="697">
        <f t="shared" si="21"/>
        <v>0</v>
      </c>
      <c r="K117" s="697">
        <f t="shared" si="21"/>
        <v>0</v>
      </c>
      <c r="L117" s="697">
        <f t="shared" si="21"/>
        <v>0</v>
      </c>
      <c r="M117" s="697">
        <f t="shared" si="21"/>
        <v>0</v>
      </c>
      <c r="N117" s="54"/>
      <c r="O117" s="343"/>
      <c r="Q117" s="50"/>
      <c r="R117" s="50"/>
      <c r="S117" s="50"/>
      <c r="T117" s="50"/>
      <c r="U117" s="50"/>
      <c r="V117" s="50"/>
      <c r="W117" s="50"/>
      <c r="X117" s="50"/>
      <c r="Y117" s="50"/>
      <c r="Z117" s="50"/>
      <c r="AA117" s="50"/>
      <c r="AB117" s="50"/>
      <c r="AC117" s="50"/>
      <c r="AD117" s="50"/>
      <c r="AE117" s="50"/>
    </row>
    <row r="118" spans="1:31" outlineLevel="1">
      <c r="A118" s="480">
        <f>ROW()</f>
        <v>118</v>
      </c>
      <c r="B118" s="145"/>
      <c r="C118" s="146" t="s">
        <v>641</v>
      </c>
      <c r="D118" s="154">
        <v>0</v>
      </c>
      <c r="E118" s="1399"/>
      <c r="F118" s="1399"/>
      <c r="G118" s="697">
        <f t="shared" si="21"/>
        <v>0</v>
      </c>
      <c r="H118" s="697">
        <f t="shared" si="21"/>
        <v>0</v>
      </c>
      <c r="I118" s="697">
        <f t="shared" si="21"/>
        <v>0</v>
      </c>
      <c r="J118" s="697">
        <f t="shared" si="21"/>
        <v>0</v>
      </c>
      <c r="K118" s="697">
        <f t="shared" si="21"/>
        <v>0</v>
      </c>
      <c r="L118" s="697">
        <f t="shared" si="21"/>
        <v>0</v>
      </c>
      <c r="M118" s="697">
        <f t="shared" si="21"/>
        <v>0</v>
      </c>
      <c r="N118" s="54"/>
      <c r="O118" s="343"/>
      <c r="Q118" s="50"/>
      <c r="R118" s="50"/>
      <c r="S118" s="50"/>
      <c r="T118" s="50"/>
      <c r="U118" s="50"/>
      <c r="V118" s="50"/>
      <c r="W118" s="50"/>
      <c r="X118" s="50"/>
      <c r="Y118" s="50"/>
      <c r="Z118" s="50"/>
      <c r="AA118" s="50"/>
      <c r="AB118" s="50"/>
      <c r="AC118" s="50"/>
      <c r="AD118" s="50"/>
      <c r="AE118" s="50"/>
    </row>
    <row r="119" spans="1:31" outlineLevel="1">
      <c r="A119" s="480">
        <f>ROW()</f>
        <v>119</v>
      </c>
      <c r="B119" s="145"/>
      <c r="C119" s="146" t="s">
        <v>641</v>
      </c>
      <c r="D119" s="154"/>
      <c r="E119" s="1399"/>
      <c r="F119" s="1399"/>
      <c r="G119" s="699">
        <f t="shared" si="21"/>
        <v>0</v>
      </c>
      <c r="H119" s="699">
        <f t="shared" si="21"/>
        <v>0</v>
      </c>
      <c r="I119" s="699">
        <f t="shared" si="21"/>
        <v>0</v>
      </c>
      <c r="J119" s="699">
        <f t="shared" si="21"/>
        <v>0</v>
      </c>
      <c r="K119" s="699">
        <f t="shared" si="21"/>
        <v>0</v>
      </c>
      <c r="L119" s="699">
        <f t="shared" si="21"/>
        <v>0</v>
      </c>
      <c r="M119" s="699">
        <f t="shared" si="21"/>
        <v>0</v>
      </c>
      <c r="N119" s="54"/>
      <c r="O119" s="343"/>
      <c r="Q119" s="50"/>
      <c r="R119" s="50"/>
      <c r="S119" s="50"/>
      <c r="T119" s="50"/>
      <c r="U119" s="50"/>
      <c r="V119" s="50"/>
      <c r="W119" s="50"/>
      <c r="X119" s="50"/>
      <c r="Y119" s="50"/>
      <c r="Z119" s="50"/>
      <c r="AA119" s="50"/>
      <c r="AB119" s="50"/>
      <c r="AC119" s="50"/>
      <c r="AD119" s="50"/>
      <c r="AE119" s="50"/>
    </row>
    <row r="120" spans="1:31" outlineLevel="1">
      <c r="A120" s="480">
        <f>ROW()</f>
        <v>120</v>
      </c>
      <c r="B120" s="1404" t="s">
        <v>654</v>
      </c>
      <c r="C120" s="1404"/>
      <c r="D120" s="1404"/>
      <c r="E120" s="1404"/>
      <c r="F120" s="1404"/>
      <c r="G120" s="1419">
        <f t="shared" ref="G120:M120" si="22">SUM(G111:G119)</f>
        <v>0</v>
      </c>
      <c r="H120" s="1419">
        <f t="shared" si="22"/>
        <v>0</v>
      </c>
      <c r="I120" s="1407">
        <f t="shared" si="22"/>
        <v>0</v>
      </c>
      <c r="J120" s="1407">
        <f t="shared" si="22"/>
        <v>0</v>
      </c>
      <c r="K120" s="1407">
        <f t="shared" si="22"/>
        <v>0</v>
      </c>
      <c r="L120" s="1407">
        <f t="shared" si="22"/>
        <v>0</v>
      </c>
      <c r="M120" s="1407">
        <f t="shared" si="22"/>
        <v>0</v>
      </c>
      <c r="N120" s="54"/>
      <c r="O120" s="343"/>
      <c r="Q120" s="50"/>
      <c r="R120" s="50"/>
      <c r="S120" s="50"/>
      <c r="T120" s="50"/>
      <c r="U120" s="50"/>
      <c r="V120" s="50"/>
      <c r="W120" s="50"/>
      <c r="X120" s="50"/>
      <c r="Y120" s="50"/>
      <c r="Z120" s="50"/>
      <c r="AA120" s="50"/>
      <c r="AB120" s="50"/>
      <c r="AC120" s="50"/>
      <c r="AD120" s="50"/>
      <c r="AE120" s="50"/>
    </row>
    <row r="121" spans="1:31" outlineLevel="1">
      <c r="A121" s="480">
        <f>ROW()</f>
        <v>121</v>
      </c>
      <c r="B121" s="1422"/>
      <c r="C121" s="1422"/>
      <c r="D121" s="1422"/>
      <c r="E121" s="1422"/>
      <c r="F121" s="1422"/>
      <c r="G121" s="1410"/>
      <c r="H121" s="1410"/>
      <c r="I121" s="1410"/>
      <c r="J121" s="1410"/>
      <c r="K121" s="1410"/>
      <c r="L121" s="1410"/>
      <c r="M121" s="1410"/>
      <c r="N121" s="54"/>
      <c r="O121" s="343"/>
      <c r="Q121" s="50"/>
      <c r="R121" s="50"/>
      <c r="S121" s="50"/>
      <c r="T121" s="50"/>
      <c r="U121" s="50"/>
      <c r="V121" s="50"/>
      <c r="W121" s="50"/>
      <c r="X121" s="50"/>
      <c r="Y121" s="50"/>
      <c r="Z121" s="50"/>
      <c r="AA121" s="50"/>
      <c r="AB121" s="50"/>
      <c r="AC121" s="50"/>
      <c r="AD121" s="50"/>
      <c r="AE121" s="50"/>
    </row>
    <row r="122" spans="1:31" ht="15.6" outlineLevel="1">
      <c r="A122" s="480">
        <f>ROW()</f>
        <v>122</v>
      </c>
      <c r="B122" s="1424" t="s">
        <v>655</v>
      </c>
      <c r="C122" s="1412"/>
      <c r="D122" s="1413"/>
      <c r="E122" s="1413"/>
      <c r="F122" s="1413"/>
      <c r="G122" s="1414"/>
      <c r="H122" s="1414"/>
      <c r="I122" s="1414"/>
      <c r="J122" s="1414"/>
      <c r="K122" s="1414"/>
      <c r="L122" s="1414"/>
      <c r="M122" s="1414"/>
      <c r="N122" s="54"/>
      <c r="O122" s="343"/>
      <c r="Q122" s="50"/>
      <c r="R122" s="50"/>
      <c r="S122" s="50"/>
      <c r="T122" s="50"/>
      <c r="U122" s="50"/>
      <c r="V122" s="50"/>
      <c r="W122" s="50"/>
      <c r="X122" s="50"/>
      <c r="Y122" s="50"/>
      <c r="Z122" s="50"/>
      <c r="AA122" s="50"/>
      <c r="AB122" s="50"/>
      <c r="AC122" s="50"/>
      <c r="AD122" s="50"/>
      <c r="AE122" s="50"/>
    </row>
    <row r="123" spans="1:31" outlineLevel="1">
      <c r="A123" s="480">
        <f>ROW()</f>
        <v>123</v>
      </c>
      <c r="B123" s="188" t="s">
        <v>1491</v>
      </c>
      <c r="C123" s="189">
        <v>2025</v>
      </c>
      <c r="D123" s="190">
        <v>126968.64</v>
      </c>
      <c r="E123" s="1399"/>
      <c r="F123" s="1399"/>
      <c r="G123" s="698"/>
      <c r="H123" s="698">
        <f t="shared" ref="G123:M133" si="23">IF($C123&lt;=H$10,1,0)</f>
        <v>1</v>
      </c>
      <c r="I123" s="698">
        <f t="shared" si="23"/>
        <v>1</v>
      </c>
      <c r="J123" s="698">
        <f t="shared" si="23"/>
        <v>1</v>
      </c>
      <c r="K123" s="698">
        <f t="shared" si="23"/>
        <v>1</v>
      </c>
      <c r="L123" s="698">
        <f t="shared" si="23"/>
        <v>1</v>
      </c>
      <c r="M123" s="698">
        <f t="shared" si="23"/>
        <v>1</v>
      </c>
      <c r="N123" s="54"/>
      <c r="O123" s="343" t="s">
        <v>1490</v>
      </c>
      <c r="Q123" s="50"/>
      <c r="R123" s="50"/>
      <c r="S123" s="50"/>
      <c r="T123" s="50"/>
      <c r="U123" s="50"/>
      <c r="V123" s="50"/>
      <c r="W123" s="50"/>
      <c r="X123" s="50"/>
      <c r="Y123" s="50"/>
      <c r="Z123" s="50"/>
      <c r="AA123" s="50"/>
      <c r="AB123" s="50"/>
      <c r="AC123" s="50"/>
      <c r="AD123" s="50"/>
      <c r="AE123" s="50"/>
    </row>
    <row r="124" spans="1:31" outlineLevel="1">
      <c r="A124" s="480">
        <f>ROW()</f>
        <v>124</v>
      </c>
      <c r="B124" s="145" t="s">
        <v>1491</v>
      </c>
      <c r="C124" s="146">
        <v>2025</v>
      </c>
      <c r="D124" s="154">
        <v>102178</v>
      </c>
      <c r="E124" s="1399"/>
      <c r="F124" s="1399"/>
      <c r="G124" s="697"/>
      <c r="H124" s="697">
        <f t="shared" si="23"/>
        <v>1</v>
      </c>
      <c r="I124" s="697">
        <v>2</v>
      </c>
      <c r="J124" s="697">
        <v>2</v>
      </c>
      <c r="K124" s="697">
        <v>2</v>
      </c>
      <c r="L124" s="697">
        <v>2</v>
      </c>
      <c r="M124" s="697">
        <v>3</v>
      </c>
      <c r="N124" s="54"/>
      <c r="O124" s="343" t="s">
        <v>1492</v>
      </c>
      <c r="Q124" s="50"/>
      <c r="R124" s="50"/>
      <c r="S124" s="50"/>
      <c r="T124" s="50"/>
      <c r="U124" s="50"/>
      <c r="V124" s="50"/>
      <c r="W124" s="50"/>
      <c r="X124" s="50"/>
      <c r="Y124" s="50"/>
      <c r="Z124" s="50"/>
      <c r="AA124" s="50"/>
      <c r="AB124" s="50"/>
      <c r="AC124" s="50"/>
      <c r="AD124" s="50"/>
      <c r="AE124" s="50"/>
    </row>
    <row r="125" spans="1:31" outlineLevel="1">
      <c r="A125" s="480">
        <f>ROW()</f>
        <v>125</v>
      </c>
      <c r="B125" s="145" t="s">
        <v>1493</v>
      </c>
      <c r="C125" s="146">
        <v>2025</v>
      </c>
      <c r="D125" s="154">
        <v>113973.04</v>
      </c>
      <c r="E125" s="1399"/>
      <c r="F125" s="1399"/>
      <c r="G125" s="697"/>
      <c r="H125" s="697">
        <f t="shared" si="23"/>
        <v>1</v>
      </c>
      <c r="I125" s="697">
        <f t="shared" si="23"/>
        <v>1</v>
      </c>
      <c r="J125" s="697">
        <f t="shared" si="23"/>
        <v>1</v>
      </c>
      <c r="K125" s="697">
        <f t="shared" si="23"/>
        <v>1</v>
      </c>
      <c r="L125" s="697">
        <f t="shared" si="23"/>
        <v>1</v>
      </c>
      <c r="M125" s="697">
        <f t="shared" si="23"/>
        <v>1</v>
      </c>
      <c r="N125" s="54"/>
      <c r="O125" s="343" t="s">
        <v>1494</v>
      </c>
      <c r="Q125" s="50"/>
      <c r="R125" s="50"/>
      <c r="S125" s="50"/>
      <c r="T125" s="50"/>
      <c r="U125" s="50"/>
      <c r="V125" s="50"/>
      <c r="W125" s="50"/>
      <c r="X125" s="50"/>
      <c r="Y125" s="50"/>
      <c r="Z125" s="50"/>
      <c r="AA125" s="50"/>
      <c r="AB125" s="50"/>
      <c r="AC125" s="50"/>
      <c r="AD125" s="50"/>
      <c r="AE125" s="50"/>
    </row>
    <row r="126" spans="1:31" outlineLevel="1">
      <c r="A126" s="480">
        <f>ROW()</f>
        <v>126</v>
      </c>
      <c r="B126" s="145"/>
      <c r="C126" s="146" t="s">
        <v>641</v>
      </c>
      <c r="D126" s="154">
        <v>0</v>
      </c>
      <c r="E126" s="1399"/>
      <c r="F126" s="1399"/>
      <c r="G126" s="697">
        <f t="shared" si="23"/>
        <v>0</v>
      </c>
      <c r="H126" s="697">
        <f t="shared" si="23"/>
        <v>0</v>
      </c>
      <c r="I126" s="697">
        <f t="shared" si="23"/>
        <v>0</v>
      </c>
      <c r="J126" s="697">
        <f t="shared" si="23"/>
        <v>0</v>
      </c>
      <c r="K126" s="697">
        <f t="shared" si="23"/>
        <v>0</v>
      </c>
      <c r="L126" s="697">
        <f t="shared" si="23"/>
        <v>0</v>
      </c>
      <c r="M126" s="697">
        <f t="shared" si="23"/>
        <v>0</v>
      </c>
      <c r="N126" s="54"/>
      <c r="O126" s="343"/>
      <c r="Q126" s="50"/>
      <c r="R126" s="50"/>
      <c r="S126" s="50"/>
      <c r="T126" s="50"/>
      <c r="U126" s="50"/>
      <c r="V126" s="50"/>
      <c r="W126" s="50"/>
      <c r="X126" s="50"/>
      <c r="Y126" s="50"/>
      <c r="Z126" s="50"/>
      <c r="AA126" s="50"/>
      <c r="AB126" s="50"/>
      <c r="AC126" s="50"/>
      <c r="AD126" s="50"/>
      <c r="AE126" s="50"/>
    </row>
    <row r="127" spans="1:31" outlineLevel="1">
      <c r="A127" s="480">
        <f>ROW()</f>
        <v>127</v>
      </c>
      <c r="B127" s="145"/>
      <c r="C127" s="146" t="s">
        <v>641</v>
      </c>
      <c r="D127" s="154">
        <v>0</v>
      </c>
      <c r="E127" s="1399"/>
      <c r="F127" s="1399"/>
      <c r="G127" s="697">
        <f t="shared" si="23"/>
        <v>0</v>
      </c>
      <c r="H127" s="697">
        <f t="shared" si="23"/>
        <v>0</v>
      </c>
      <c r="I127" s="697">
        <f t="shared" si="23"/>
        <v>0</v>
      </c>
      <c r="J127" s="697">
        <f t="shared" si="23"/>
        <v>0</v>
      </c>
      <c r="K127" s="697">
        <f t="shared" si="23"/>
        <v>0</v>
      </c>
      <c r="L127" s="697">
        <f t="shared" si="23"/>
        <v>0</v>
      </c>
      <c r="M127" s="697">
        <f t="shared" si="23"/>
        <v>0</v>
      </c>
      <c r="N127" s="54"/>
      <c r="O127" s="343"/>
      <c r="Q127" s="50"/>
      <c r="R127" s="50"/>
      <c r="S127" s="50"/>
      <c r="T127" s="50"/>
      <c r="U127" s="50"/>
      <c r="V127" s="50"/>
      <c r="W127" s="50"/>
      <c r="X127" s="50"/>
      <c r="Y127" s="50"/>
      <c r="Z127" s="50"/>
      <c r="AA127" s="50"/>
      <c r="AB127" s="50"/>
      <c r="AC127" s="50"/>
      <c r="AD127" s="50"/>
      <c r="AE127" s="50"/>
    </row>
    <row r="128" spans="1:31" outlineLevel="1">
      <c r="A128" s="480">
        <f>ROW()</f>
        <v>128</v>
      </c>
      <c r="B128" s="145"/>
      <c r="C128" s="146" t="s">
        <v>641</v>
      </c>
      <c r="D128" s="154">
        <v>0</v>
      </c>
      <c r="E128" s="1399"/>
      <c r="F128" s="1399"/>
      <c r="G128" s="697">
        <f t="shared" si="23"/>
        <v>0</v>
      </c>
      <c r="H128" s="697">
        <f t="shared" si="23"/>
        <v>0</v>
      </c>
      <c r="I128" s="697">
        <f t="shared" si="23"/>
        <v>0</v>
      </c>
      <c r="J128" s="697">
        <f t="shared" si="23"/>
        <v>0</v>
      </c>
      <c r="K128" s="697">
        <f t="shared" si="23"/>
        <v>0</v>
      </c>
      <c r="L128" s="697">
        <f t="shared" si="23"/>
        <v>0</v>
      </c>
      <c r="M128" s="697">
        <f t="shared" si="23"/>
        <v>0</v>
      </c>
      <c r="N128" s="54"/>
      <c r="O128" s="343"/>
      <c r="Q128" s="50"/>
      <c r="R128" s="50"/>
      <c r="S128" s="50"/>
      <c r="T128" s="50"/>
      <c r="U128" s="50"/>
      <c r="V128" s="50"/>
      <c r="W128" s="50"/>
      <c r="X128" s="50"/>
      <c r="Y128" s="50"/>
      <c r="Z128" s="50"/>
      <c r="AA128" s="50"/>
      <c r="AB128" s="50"/>
      <c r="AC128" s="50"/>
      <c r="AD128" s="50"/>
      <c r="AE128" s="50"/>
    </row>
    <row r="129" spans="1:31" outlineLevel="1">
      <c r="A129" s="480">
        <f>ROW()</f>
        <v>129</v>
      </c>
      <c r="B129" s="145"/>
      <c r="C129" s="146" t="s">
        <v>641</v>
      </c>
      <c r="D129" s="154">
        <v>0</v>
      </c>
      <c r="E129" s="1399"/>
      <c r="F129" s="1399"/>
      <c r="G129" s="697">
        <f t="shared" si="23"/>
        <v>0</v>
      </c>
      <c r="H129" s="697">
        <f t="shared" si="23"/>
        <v>0</v>
      </c>
      <c r="I129" s="697">
        <f t="shared" si="23"/>
        <v>0</v>
      </c>
      <c r="J129" s="697">
        <f t="shared" si="23"/>
        <v>0</v>
      </c>
      <c r="K129" s="697">
        <f t="shared" si="23"/>
        <v>0</v>
      </c>
      <c r="L129" s="697">
        <f t="shared" si="23"/>
        <v>0</v>
      </c>
      <c r="M129" s="697">
        <f t="shared" si="23"/>
        <v>0</v>
      </c>
      <c r="N129" s="54"/>
      <c r="O129" s="343"/>
      <c r="Q129" s="50"/>
      <c r="R129" s="50"/>
      <c r="S129" s="50"/>
      <c r="T129" s="50"/>
      <c r="U129" s="50"/>
      <c r="V129" s="50"/>
      <c r="W129" s="50"/>
      <c r="X129" s="50"/>
      <c r="Y129" s="50"/>
      <c r="Z129" s="50"/>
      <c r="AA129" s="50"/>
      <c r="AB129" s="50"/>
      <c r="AC129" s="50"/>
      <c r="AD129" s="50"/>
      <c r="AE129" s="50"/>
    </row>
    <row r="130" spans="1:31" outlineLevel="1">
      <c r="A130" s="480">
        <f>ROW()</f>
        <v>130</v>
      </c>
      <c r="B130" s="145"/>
      <c r="C130" s="146" t="s">
        <v>641</v>
      </c>
      <c r="D130" s="154">
        <v>0</v>
      </c>
      <c r="E130" s="1399"/>
      <c r="F130" s="1399"/>
      <c r="G130" s="697">
        <f t="shared" si="23"/>
        <v>0</v>
      </c>
      <c r="H130" s="697">
        <f t="shared" si="23"/>
        <v>0</v>
      </c>
      <c r="I130" s="697">
        <f t="shared" si="23"/>
        <v>0</v>
      </c>
      <c r="J130" s="697">
        <f t="shared" si="23"/>
        <v>0</v>
      </c>
      <c r="K130" s="697">
        <f t="shared" si="23"/>
        <v>0</v>
      </c>
      <c r="L130" s="697">
        <f t="shared" si="23"/>
        <v>0</v>
      </c>
      <c r="M130" s="697">
        <f t="shared" si="23"/>
        <v>0</v>
      </c>
      <c r="N130" s="54"/>
      <c r="O130" s="343"/>
      <c r="Q130" s="50"/>
      <c r="R130" s="50"/>
      <c r="S130" s="50"/>
      <c r="T130" s="50"/>
      <c r="U130" s="50"/>
      <c r="V130" s="50"/>
      <c r="W130" s="50"/>
      <c r="X130" s="50"/>
      <c r="Y130" s="50"/>
      <c r="Z130" s="50"/>
      <c r="AA130" s="50"/>
      <c r="AB130" s="50"/>
      <c r="AC130" s="50"/>
      <c r="AD130" s="50"/>
      <c r="AE130" s="50"/>
    </row>
    <row r="131" spans="1:31" outlineLevel="1">
      <c r="A131" s="480">
        <f>ROW()</f>
        <v>131</v>
      </c>
      <c r="B131" s="145"/>
      <c r="C131" s="146" t="s">
        <v>641</v>
      </c>
      <c r="D131" s="154">
        <v>0</v>
      </c>
      <c r="E131" s="1399"/>
      <c r="F131" s="1399"/>
      <c r="G131" s="697">
        <f t="shared" si="23"/>
        <v>0</v>
      </c>
      <c r="H131" s="697">
        <f t="shared" si="23"/>
        <v>0</v>
      </c>
      <c r="I131" s="697">
        <f t="shared" si="23"/>
        <v>0</v>
      </c>
      <c r="J131" s="697">
        <f t="shared" si="23"/>
        <v>0</v>
      </c>
      <c r="K131" s="697">
        <f t="shared" si="23"/>
        <v>0</v>
      </c>
      <c r="L131" s="697">
        <f t="shared" si="23"/>
        <v>0</v>
      </c>
      <c r="M131" s="697">
        <f t="shared" si="23"/>
        <v>0</v>
      </c>
      <c r="N131" s="54"/>
      <c r="O131" s="343"/>
      <c r="Q131" s="50"/>
      <c r="R131" s="50"/>
      <c r="S131" s="50"/>
      <c r="T131" s="50"/>
      <c r="U131" s="50"/>
      <c r="V131" s="50"/>
      <c r="W131" s="50"/>
      <c r="X131" s="50"/>
      <c r="Y131" s="50"/>
      <c r="Z131" s="50"/>
      <c r="AA131" s="50"/>
      <c r="AB131" s="50"/>
      <c r="AC131" s="50"/>
      <c r="AD131" s="50"/>
      <c r="AE131" s="50"/>
    </row>
    <row r="132" spans="1:31" outlineLevel="1">
      <c r="A132" s="480">
        <f>ROW()</f>
        <v>132</v>
      </c>
      <c r="B132" s="145"/>
      <c r="C132" s="146" t="s">
        <v>641</v>
      </c>
      <c r="D132" s="154">
        <v>0</v>
      </c>
      <c r="E132" s="1399"/>
      <c r="F132" s="1399"/>
      <c r="G132" s="697">
        <f t="shared" si="23"/>
        <v>0</v>
      </c>
      <c r="H132" s="697">
        <f t="shared" si="23"/>
        <v>0</v>
      </c>
      <c r="I132" s="697">
        <f t="shared" si="23"/>
        <v>0</v>
      </c>
      <c r="J132" s="697">
        <f t="shared" si="23"/>
        <v>0</v>
      </c>
      <c r="K132" s="697">
        <f t="shared" si="23"/>
        <v>0</v>
      </c>
      <c r="L132" s="697">
        <f t="shared" si="23"/>
        <v>0</v>
      </c>
      <c r="M132" s="697">
        <f t="shared" si="23"/>
        <v>0</v>
      </c>
      <c r="N132" s="54"/>
      <c r="O132" s="343"/>
      <c r="Q132" s="50"/>
      <c r="R132" s="50"/>
      <c r="S132" s="50"/>
      <c r="T132" s="50"/>
      <c r="U132" s="50"/>
      <c r="V132" s="50"/>
      <c r="W132" s="50"/>
      <c r="X132" s="50"/>
      <c r="Y132" s="50"/>
      <c r="Z132" s="50"/>
      <c r="AA132" s="50"/>
      <c r="AB132" s="50"/>
      <c r="AC132" s="50"/>
      <c r="AD132" s="50"/>
      <c r="AE132" s="50"/>
    </row>
    <row r="133" spans="1:31" outlineLevel="1">
      <c r="A133" s="480">
        <f>ROW()</f>
        <v>133</v>
      </c>
      <c r="B133" s="145"/>
      <c r="C133" s="146" t="s">
        <v>641</v>
      </c>
      <c r="D133" s="154"/>
      <c r="E133" s="1399"/>
      <c r="F133" s="1399"/>
      <c r="G133" s="699">
        <f t="shared" si="23"/>
        <v>0</v>
      </c>
      <c r="H133" s="699">
        <f t="shared" si="23"/>
        <v>0</v>
      </c>
      <c r="I133" s="699">
        <f t="shared" si="23"/>
        <v>0</v>
      </c>
      <c r="J133" s="699">
        <f t="shared" si="23"/>
        <v>0</v>
      </c>
      <c r="K133" s="699">
        <f t="shared" si="23"/>
        <v>0</v>
      </c>
      <c r="L133" s="699">
        <f t="shared" si="23"/>
        <v>0</v>
      </c>
      <c r="M133" s="699">
        <f t="shared" si="23"/>
        <v>0</v>
      </c>
      <c r="N133" s="54"/>
      <c r="O133" s="343"/>
      <c r="Q133" s="50"/>
      <c r="R133" s="50"/>
      <c r="S133" s="50"/>
      <c r="T133" s="50"/>
      <c r="U133" s="50"/>
      <c r="V133" s="50"/>
      <c r="W133" s="50"/>
      <c r="X133" s="50"/>
      <c r="Y133" s="50"/>
      <c r="Z133" s="50"/>
      <c r="AA133" s="50"/>
      <c r="AB133" s="50"/>
      <c r="AC133" s="50"/>
      <c r="AD133" s="50"/>
      <c r="AE133" s="50"/>
    </row>
    <row r="134" spans="1:31" outlineLevel="1">
      <c r="A134" s="480">
        <f>ROW()</f>
        <v>134</v>
      </c>
      <c r="B134" s="127" t="s">
        <v>656</v>
      </c>
      <c r="C134" s="127"/>
      <c r="D134" s="127"/>
      <c r="E134" s="127"/>
      <c r="F134" s="127"/>
      <c r="G134" s="1202">
        <f t="shared" ref="G134:M134" si="24">SUM(G123:G133)</f>
        <v>0</v>
      </c>
      <c r="H134" s="1202">
        <f t="shared" si="24"/>
        <v>3</v>
      </c>
      <c r="I134" s="344">
        <f t="shared" si="24"/>
        <v>4</v>
      </c>
      <c r="J134" s="344">
        <f t="shared" si="24"/>
        <v>4</v>
      </c>
      <c r="K134" s="344">
        <f t="shared" si="24"/>
        <v>4</v>
      </c>
      <c r="L134" s="344">
        <f t="shared" si="24"/>
        <v>4</v>
      </c>
      <c r="M134" s="344">
        <f t="shared" si="24"/>
        <v>5</v>
      </c>
      <c r="N134" s="54"/>
      <c r="O134" s="343"/>
      <c r="Q134" s="50"/>
      <c r="R134" s="50"/>
      <c r="S134" s="50"/>
      <c r="T134" s="50"/>
      <c r="U134" s="50"/>
      <c r="V134" s="50"/>
      <c r="W134" s="50"/>
      <c r="X134" s="50"/>
      <c r="Y134" s="50"/>
      <c r="Z134" s="50"/>
      <c r="AA134" s="50"/>
      <c r="AB134" s="50"/>
      <c r="AC134" s="50"/>
      <c r="AD134" s="50"/>
      <c r="AE134" s="50"/>
    </row>
    <row r="135" spans="1:31" outlineLevel="1">
      <c r="A135" s="480">
        <f>ROW()</f>
        <v>135</v>
      </c>
      <c r="G135" s="54"/>
      <c r="H135" s="54"/>
      <c r="I135" s="54"/>
      <c r="J135" s="54"/>
      <c r="K135" s="54"/>
      <c r="L135" s="54"/>
      <c r="M135" s="54"/>
      <c r="N135" s="54"/>
      <c r="O135" s="343"/>
      <c r="Q135" s="50"/>
      <c r="R135" s="50"/>
      <c r="S135" s="50"/>
      <c r="T135" s="50"/>
      <c r="U135" s="50"/>
      <c r="V135" s="50"/>
      <c r="W135" s="50"/>
      <c r="X135" s="50"/>
      <c r="Y135" s="50"/>
      <c r="Z135" s="50"/>
      <c r="AA135" s="50"/>
      <c r="AB135" s="50"/>
      <c r="AC135" s="50"/>
      <c r="AD135" s="50"/>
      <c r="AE135" s="50"/>
    </row>
    <row r="136" spans="1:31" outlineLevel="1">
      <c r="A136" s="480">
        <f>ROW()</f>
        <v>136</v>
      </c>
      <c r="B136" s="127" t="s">
        <v>657</v>
      </c>
      <c r="C136" s="127"/>
      <c r="D136" s="127"/>
      <c r="E136" s="127"/>
      <c r="F136" s="127"/>
      <c r="G136" s="1202">
        <f t="shared" ref="G136:M136" si="25">+G106+G120+G134</f>
        <v>0</v>
      </c>
      <c r="H136" s="1202">
        <f t="shared" si="25"/>
        <v>13</v>
      </c>
      <c r="I136" s="344">
        <f t="shared" si="25"/>
        <v>14</v>
      </c>
      <c r="J136" s="344">
        <f t="shared" si="25"/>
        <v>14</v>
      </c>
      <c r="K136" s="344">
        <f t="shared" si="25"/>
        <v>15</v>
      </c>
      <c r="L136" s="344">
        <f t="shared" si="25"/>
        <v>15</v>
      </c>
      <c r="M136" s="344">
        <f t="shared" si="25"/>
        <v>17</v>
      </c>
      <c r="N136" s="54"/>
      <c r="O136" s="343"/>
      <c r="Q136" s="50"/>
      <c r="R136" s="50"/>
      <c r="S136" s="50"/>
      <c r="T136" s="50"/>
      <c r="U136" s="50"/>
      <c r="V136" s="50"/>
      <c r="W136" s="50"/>
      <c r="X136" s="50"/>
      <c r="Y136" s="50"/>
      <c r="Z136" s="50"/>
      <c r="AA136" s="50"/>
      <c r="AB136" s="50"/>
      <c r="AC136" s="50"/>
      <c r="AD136" s="50"/>
      <c r="AE136" s="50"/>
    </row>
    <row r="137" spans="1:31" outlineLevel="1">
      <c r="A137" s="480">
        <f>ROW()</f>
        <v>137</v>
      </c>
      <c r="B137" s="127" t="s">
        <v>658</v>
      </c>
      <c r="C137" s="127"/>
      <c r="D137" s="127"/>
      <c r="E137" s="127"/>
      <c r="F137" s="127"/>
      <c r="G137" s="344">
        <f t="shared" ref="G137:M137" si="26">+G136+G94</f>
        <v>0</v>
      </c>
      <c r="H137" s="344">
        <f t="shared" si="26"/>
        <v>17</v>
      </c>
      <c r="I137" s="344">
        <f t="shared" si="26"/>
        <v>18</v>
      </c>
      <c r="J137" s="344">
        <f t="shared" si="26"/>
        <v>18</v>
      </c>
      <c r="K137" s="344">
        <f t="shared" si="26"/>
        <v>19</v>
      </c>
      <c r="L137" s="344">
        <f t="shared" si="26"/>
        <v>19</v>
      </c>
      <c r="M137" s="344">
        <f t="shared" si="26"/>
        <v>21</v>
      </c>
      <c r="N137" s="54"/>
      <c r="O137" s="343"/>
      <c r="Q137" s="50"/>
      <c r="R137" s="50"/>
      <c r="S137" s="50"/>
      <c r="T137" s="50"/>
      <c r="U137" s="50"/>
      <c r="V137" s="50"/>
      <c r="W137" s="50"/>
      <c r="X137" s="50"/>
      <c r="Y137" s="50"/>
      <c r="Z137" s="50"/>
      <c r="AA137" s="50"/>
      <c r="AB137" s="50"/>
      <c r="AC137" s="50"/>
      <c r="AD137" s="50"/>
      <c r="AE137" s="50"/>
    </row>
    <row r="138" spans="1:31" outlineLevel="1">
      <c r="A138" s="480">
        <f>ROW()</f>
        <v>138</v>
      </c>
      <c r="B138" s="165"/>
      <c r="C138" s="165"/>
      <c r="D138" s="165"/>
      <c r="E138" s="165"/>
      <c r="F138" s="165"/>
      <c r="G138" s="167"/>
      <c r="H138" s="165"/>
      <c r="I138" s="165"/>
      <c r="J138" s="165"/>
      <c r="K138" s="165"/>
      <c r="L138" s="165"/>
      <c r="M138" s="166"/>
      <c r="N138" s="54"/>
      <c r="O138" s="343"/>
      <c r="Q138" s="50"/>
      <c r="R138" s="50"/>
      <c r="S138" s="50"/>
      <c r="T138" s="50"/>
      <c r="U138" s="50"/>
      <c r="V138" s="50"/>
      <c r="W138" s="50"/>
      <c r="X138" s="50"/>
      <c r="Y138" s="50"/>
      <c r="Z138" s="50"/>
      <c r="AA138" s="50"/>
      <c r="AB138" s="50"/>
      <c r="AC138" s="50"/>
      <c r="AD138" s="50"/>
      <c r="AE138" s="50"/>
    </row>
    <row r="139" spans="1:31" ht="15.6" outlineLevel="1">
      <c r="A139" s="480">
        <f>ROW()</f>
        <v>139</v>
      </c>
      <c r="B139" s="172" t="s">
        <v>659</v>
      </c>
      <c r="C139" s="63"/>
      <c r="D139" s="63"/>
      <c r="E139" s="63"/>
      <c r="F139" s="63"/>
      <c r="G139" s="1650"/>
      <c r="H139" s="63"/>
      <c r="I139" s="63"/>
      <c r="J139" s="63"/>
      <c r="K139" s="63"/>
      <c r="L139" s="63"/>
      <c r="M139" s="173"/>
      <c r="N139" s="54"/>
      <c r="O139" s="343"/>
      <c r="Q139" s="50"/>
      <c r="R139" s="50"/>
      <c r="S139" s="50"/>
      <c r="T139" s="50"/>
      <c r="U139" s="50"/>
      <c r="V139" s="50"/>
      <c r="W139" s="50"/>
      <c r="X139" s="50"/>
      <c r="Y139" s="50"/>
      <c r="Z139" s="50"/>
      <c r="AA139" s="50"/>
      <c r="AB139" s="50"/>
      <c r="AC139" s="50"/>
      <c r="AD139" s="50"/>
      <c r="AE139" s="50"/>
    </row>
    <row r="140" spans="1:31" outlineLevel="1">
      <c r="A140" s="480">
        <f>ROW()</f>
        <v>140</v>
      </c>
      <c r="B140" s="94" t="s">
        <v>660</v>
      </c>
      <c r="C140" s="32" t="s">
        <v>661</v>
      </c>
      <c r="D140" s="32" t="s">
        <v>662</v>
      </c>
      <c r="E140" s="32" t="s">
        <v>634</v>
      </c>
      <c r="F140" s="94" t="s">
        <v>663</v>
      </c>
      <c r="G140" s="94" t="s">
        <v>664</v>
      </c>
      <c r="H140" s="118" t="s">
        <v>636</v>
      </c>
      <c r="I140" s="94"/>
      <c r="J140" s="94"/>
      <c r="L140" s="54"/>
      <c r="N140" s="54"/>
      <c r="O140" s="343"/>
      <c r="Q140" s="50"/>
      <c r="R140" s="50"/>
      <c r="S140" s="50"/>
      <c r="T140" s="50"/>
      <c r="U140" s="50"/>
      <c r="V140" s="50"/>
      <c r="W140" s="50"/>
      <c r="X140" s="50"/>
      <c r="Y140" s="50"/>
      <c r="Z140" s="50"/>
      <c r="AA140" s="50"/>
      <c r="AB140" s="50"/>
      <c r="AC140" s="50"/>
      <c r="AD140" s="50"/>
      <c r="AE140" s="50"/>
    </row>
    <row r="141" spans="1:31" outlineLevel="1">
      <c r="A141" s="480">
        <f>ROW()</f>
        <v>141</v>
      </c>
      <c r="B141" s="75" t="s">
        <v>635</v>
      </c>
      <c r="C141" s="57"/>
      <c r="D141" s="57">
        <f>' Enrol &amp; Rev'!$G$10</f>
        <v>2025</v>
      </c>
      <c r="E141" s="1650"/>
      <c r="F141" s="1650"/>
      <c r="G141" s="63"/>
      <c r="H141" s="63"/>
      <c r="I141" s="152"/>
      <c r="J141" s="152"/>
      <c r="K141" s="152"/>
      <c r="L141" s="173"/>
      <c r="M141" s="63"/>
      <c r="N141" s="54"/>
      <c r="O141" s="343"/>
      <c r="Q141" s="50"/>
      <c r="R141" s="50"/>
      <c r="S141" s="50"/>
      <c r="T141" s="50"/>
      <c r="U141" s="50"/>
      <c r="V141" s="50"/>
      <c r="W141" s="50"/>
      <c r="X141" s="50"/>
      <c r="Y141" s="50"/>
      <c r="Z141" s="50"/>
      <c r="AA141" s="50"/>
      <c r="AB141" s="50"/>
      <c r="AC141" s="50"/>
      <c r="AD141" s="50"/>
      <c r="AE141" s="50"/>
    </row>
    <row r="142" spans="1:31" outlineLevel="1">
      <c r="A142" s="480">
        <f>ROW()</f>
        <v>142</v>
      </c>
      <c r="C142" s="42"/>
      <c r="D142" s="42"/>
      <c r="E142" s="31"/>
      <c r="F142" s="31"/>
      <c r="G142" s="33" t="s">
        <v>665</v>
      </c>
      <c r="L142" s="54"/>
      <c r="N142" s="54"/>
      <c r="O142" s="343"/>
      <c r="Q142" s="50"/>
      <c r="R142" s="50"/>
      <c r="S142" s="50"/>
      <c r="T142" s="50"/>
      <c r="U142" s="50"/>
      <c r="V142" s="50"/>
      <c r="W142" s="50"/>
      <c r="X142" s="50"/>
      <c r="Y142" s="50"/>
      <c r="Z142" s="50"/>
      <c r="AA142" s="50"/>
      <c r="AB142" s="50"/>
      <c r="AC142" s="50"/>
      <c r="AD142" s="50"/>
      <c r="AE142" s="50"/>
    </row>
    <row r="143" spans="1:31" outlineLevel="1">
      <c r="A143" s="480">
        <f>ROW()</f>
        <v>143</v>
      </c>
      <c r="B143" s="191" t="s">
        <v>1497</v>
      </c>
      <c r="C143" s="151">
        <v>10</v>
      </c>
      <c r="D143" s="151">
        <v>2025</v>
      </c>
      <c r="E143" s="323">
        <v>115661.08</v>
      </c>
      <c r="F143" s="192" t="s">
        <v>668</v>
      </c>
      <c r="G143" s="697"/>
      <c r="H143" s="697">
        <f t="shared" ref="H143:M143" si="27">IF($D143&lt;=H$10,1,0)</f>
        <v>1</v>
      </c>
      <c r="I143" s="697">
        <f t="shared" si="27"/>
        <v>1</v>
      </c>
      <c r="J143" s="697">
        <f t="shared" si="27"/>
        <v>1</v>
      </c>
      <c r="K143" s="697">
        <f t="shared" si="27"/>
        <v>1</v>
      </c>
      <c r="L143" s="697">
        <f t="shared" si="27"/>
        <v>1</v>
      </c>
      <c r="M143" s="697">
        <f t="shared" si="27"/>
        <v>1</v>
      </c>
      <c r="O143" s="343" t="s">
        <v>1510</v>
      </c>
      <c r="Q143" s="50"/>
      <c r="R143" s="50"/>
      <c r="S143" s="50"/>
      <c r="T143" s="50"/>
      <c r="U143" s="50"/>
      <c r="V143" s="50"/>
      <c r="W143" s="50"/>
      <c r="X143" s="50"/>
      <c r="Y143" s="50"/>
      <c r="Z143" s="50"/>
      <c r="AA143" s="50"/>
      <c r="AB143" s="50"/>
      <c r="AC143" s="50"/>
      <c r="AD143" s="50"/>
      <c r="AE143" s="50"/>
    </row>
    <row r="144" spans="1:31" outlineLevel="1">
      <c r="A144" s="480">
        <f>ROW()</f>
        <v>144</v>
      </c>
      <c r="B144" s="191" t="s">
        <v>666</v>
      </c>
      <c r="C144" s="151" t="s">
        <v>1499</v>
      </c>
      <c r="D144" s="151">
        <v>2025</v>
      </c>
      <c r="E144" s="153">
        <v>125786.08</v>
      </c>
      <c r="F144" s="192" t="s">
        <v>1498</v>
      </c>
      <c r="G144" s="697"/>
      <c r="H144" s="697">
        <v>2</v>
      </c>
      <c r="I144" s="697">
        <v>2</v>
      </c>
      <c r="J144" s="697">
        <v>2</v>
      </c>
      <c r="K144" s="697">
        <v>3</v>
      </c>
      <c r="L144" s="697">
        <v>3</v>
      </c>
      <c r="M144" s="697">
        <v>3</v>
      </c>
      <c r="O144" s="343" t="s">
        <v>1511</v>
      </c>
      <c r="Q144" s="50"/>
      <c r="R144" s="50"/>
      <c r="S144" s="50"/>
      <c r="T144" s="50"/>
      <c r="U144" s="50"/>
      <c r="V144" s="50"/>
      <c r="W144" s="50"/>
      <c r="X144" s="50"/>
      <c r="Y144" s="50"/>
      <c r="Z144" s="50"/>
      <c r="AA144" s="50"/>
      <c r="AB144" s="50"/>
      <c r="AC144" s="50"/>
      <c r="AD144" s="50"/>
      <c r="AE144" s="50"/>
    </row>
    <row r="145" spans="1:31" outlineLevel="1">
      <c r="A145" s="480">
        <f>ROW()</f>
        <v>145</v>
      </c>
      <c r="B145" s="191" t="s">
        <v>666</v>
      </c>
      <c r="C145" s="151" t="s">
        <v>1499</v>
      </c>
      <c r="D145" s="151">
        <v>2025</v>
      </c>
      <c r="E145" s="153">
        <v>85286.080000000002</v>
      </c>
      <c r="F145" s="192" t="s">
        <v>1500</v>
      </c>
      <c r="G145" s="697"/>
      <c r="H145" s="697">
        <v>2</v>
      </c>
      <c r="I145" s="697">
        <v>2</v>
      </c>
      <c r="J145" s="697">
        <v>2</v>
      </c>
      <c r="K145" s="697">
        <v>3</v>
      </c>
      <c r="L145" s="697">
        <v>3</v>
      </c>
      <c r="M145" s="697">
        <v>3</v>
      </c>
      <c r="O145" s="343" t="s">
        <v>1512</v>
      </c>
      <c r="Q145" s="50"/>
      <c r="R145" s="50"/>
      <c r="S145" s="50"/>
      <c r="T145" s="50"/>
      <c r="U145" s="50"/>
      <c r="V145" s="50"/>
      <c r="W145" s="50"/>
      <c r="X145" s="50"/>
      <c r="Y145" s="50"/>
      <c r="Z145" s="50"/>
      <c r="AA145" s="50"/>
      <c r="AB145" s="50"/>
      <c r="AC145" s="50"/>
      <c r="AD145" s="50"/>
      <c r="AE145" s="50"/>
    </row>
    <row r="146" spans="1:31" outlineLevel="1">
      <c r="A146" s="480">
        <f>ROW()</f>
        <v>146</v>
      </c>
      <c r="B146" s="1390"/>
      <c r="C146" s="1391"/>
      <c r="D146" s="1391"/>
      <c r="E146" s="1392"/>
      <c r="F146" s="1393"/>
      <c r="G146" s="140"/>
      <c r="H146" s="140"/>
      <c r="I146" s="140"/>
      <c r="J146" s="140"/>
      <c r="K146" s="140"/>
      <c r="L146" s="140"/>
      <c r="M146" s="140"/>
      <c r="O146" s="343"/>
      <c r="Q146" s="50"/>
      <c r="R146" s="50"/>
      <c r="S146" s="50"/>
      <c r="T146" s="50"/>
      <c r="U146" s="50"/>
      <c r="V146" s="50"/>
      <c r="W146" s="50"/>
      <c r="X146" s="50"/>
      <c r="Y146" s="50"/>
      <c r="Z146" s="50"/>
      <c r="AA146" s="50"/>
      <c r="AB146" s="50"/>
      <c r="AC146" s="50"/>
      <c r="AD146" s="50"/>
      <c r="AE146" s="50"/>
    </row>
    <row r="147" spans="1:31" outlineLevel="1">
      <c r="A147" s="480">
        <f>ROW()</f>
        <v>147</v>
      </c>
      <c r="B147" s="191" t="s">
        <v>1540</v>
      </c>
      <c r="C147" s="151" t="s">
        <v>1507</v>
      </c>
      <c r="D147" s="151">
        <v>2025</v>
      </c>
      <c r="E147" s="323">
        <v>117348.04</v>
      </c>
      <c r="F147" s="192" t="s">
        <v>1501</v>
      </c>
      <c r="G147" s="697"/>
      <c r="H147" s="697">
        <v>2</v>
      </c>
      <c r="I147" s="697">
        <v>2</v>
      </c>
      <c r="J147" s="697">
        <v>2</v>
      </c>
      <c r="K147" s="697">
        <v>3</v>
      </c>
      <c r="L147" s="697">
        <v>3</v>
      </c>
      <c r="M147" s="697">
        <v>3</v>
      </c>
      <c r="O147" s="343" t="s">
        <v>1513</v>
      </c>
      <c r="Q147" s="50"/>
      <c r="R147" s="50"/>
      <c r="S147" s="50"/>
      <c r="T147" s="50"/>
      <c r="U147" s="50"/>
      <c r="V147" s="50"/>
      <c r="W147" s="50"/>
      <c r="X147" s="50"/>
      <c r="Y147" s="50"/>
      <c r="Z147" s="50"/>
      <c r="AA147" s="50"/>
      <c r="AB147" s="50"/>
      <c r="AC147" s="50"/>
      <c r="AD147" s="50"/>
      <c r="AE147" s="50"/>
    </row>
    <row r="148" spans="1:31" outlineLevel="1">
      <c r="A148" s="480">
        <f>ROW()</f>
        <v>148</v>
      </c>
      <c r="B148" s="191" t="s">
        <v>666</v>
      </c>
      <c r="C148" s="151" t="s">
        <v>1507</v>
      </c>
      <c r="D148" s="151">
        <v>2025</v>
      </c>
      <c r="E148" s="153">
        <v>103849.12</v>
      </c>
      <c r="F148" s="192" t="s">
        <v>1502</v>
      </c>
      <c r="G148" s="697"/>
      <c r="H148" s="697">
        <v>2</v>
      </c>
      <c r="I148" s="697">
        <v>2</v>
      </c>
      <c r="J148" s="697">
        <v>2</v>
      </c>
      <c r="K148" s="697">
        <v>2</v>
      </c>
      <c r="L148" s="697">
        <v>2</v>
      </c>
      <c r="M148" s="697">
        <v>2</v>
      </c>
      <c r="O148" s="343" t="s">
        <v>1514</v>
      </c>
      <c r="Q148" s="50"/>
      <c r="R148" s="50"/>
      <c r="S148" s="50"/>
      <c r="T148" s="50"/>
      <c r="U148" s="50"/>
      <c r="V148" s="50"/>
      <c r="W148" s="50"/>
      <c r="X148" s="50"/>
      <c r="Y148" s="50"/>
      <c r="Z148" s="50"/>
      <c r="AA148" s="50"/>
      <c r="AB148" s="50"/>
      <c r="AC148" s="50"/>
      <c r="AD148" s="50"/>
      <c r="AE148" s="50"/>
    </row>
    <row r="149" spans="1:31" outlineLevel="1">
      <c r="A149" s="480">
        <f>ROW()</f>
        <v>149</v>
      </c>
      <c r="B149" s="191" t="s">
        <v>1503</v>
      </c>
      <c r="C149" s="151" t="s">
        <v>1504</v>
      </c>
      <c r="D149" s="151">
        <v>2025</v>
      </c>
      <c r="E149" s="153">
        <v>81910</v>
      </c>
      <c r="F149" s="192" t="s">
        <v>1505</v>
      </c>
      <c r="G149" s="697"/>
      <c r="H149" s="697">
        <f t="shared" ref="H149:M151" si="28">IF($D149&lt;=H$10,1,0)</f>
        <v>1</v>
      </c>
      <c r="I149" s="697">
        <f t="shared" si="28"/>
        <v>1</v>
      </c>
      <c r="J149" s="697">
        <f t="shared" si="28"/>
        <v>1</v>
      </c>
      <c r="K149" s="697">
        <f t="shared" si="28"/>
        <v>1</v>
      </c>
      <c r="L149" s="697">
        <f t="shared" si="28"/>
        <v>1</v>
      </c>
      <c r="M149" s="697">
        <f t="shared" si="28"/>
        <v>1</v>
      </c>
      <c r="O149" s="343" t="s">
        <v>1515</v>
      </c>
      <c r="Q149" s="50"/>
      <c r="R149" s="50"/>
      <c r="S149" s="50"/>
      <c r="T149" s="50"/>
      <c r="U149" s="50"/>
      <c r="V149" s="50"/>
      <c r="W149" s="50"/>
      <c r="X149" s="50"/>
      <c r="Y149" s="50"/>
      <c r="Z149" s="50"/>
      <c r="AA149" s="50"/>
      <c r="AB149" s="50"/>
      <c r="AC149" s="50"/>
      <c r="AD149" s="50"/>
      <c r="AE149" s="50"/>
    </row>
    <row r="150" spans="1:31" outlineLevel="1">
      <c r="A150" s="480">
        <f>ROW()</f>
        <v>150</v>
      </c>
      <c r="B150" s="191" t="s">
        <v>666</v>
      </c>
      <c r="C150" s="151" t="s">
        <v>1506</v>
      </c>
      <c r="D150" s="151">
        <v>2025</v>
      </c>
      <c r="E150" s="153">
        <v>124036.08</v>
      </c>
      <c r="F150" s="192" t="s">
        <v>1500</v>
      </c>
      <c r="G150" s="697"/>
      <c r="H150" s="697">
        <f t="shared" si="28"/>
        <v>1</v>
      </c>
      <c r="I150" s="697">
        <f t="shared" si="28"/>
        <v>1</v>
      </c>
      <c r="J150" s="697">
        <f t="shared" si="28"/>
        <v>1</v>
      </c>
      <c r="K150" s="697">
        <f t="shared" si="28"/>
        <v>1</v>
      </c>
      <c r="L150" s="697">
        <f t="shared" si="28"/>
        <v>1</v>
      </c>
      <c r="M150" s="697">
        <f t="shared" si="28"/>
        <v>1</v>
      </c>
      <c r="O150" s="343" t="s">
        <v>1516</v>
      </c>
      <c r="Q150" s="50"/>
      <c r="R150" s="50"/>
      <c r="S150" s="50"/>
      <c r="T150" s="50"/>
      <c r="U150" s="50"/>
      <c r="V150" s="50"/>
      <c r="W150" s="50"/>
      <c r="X150" s="50"/>
      <c r="Y150" s="50"/>
      <c r="Z150" s="50"/>
      <c r="AA150" s="50"/>
      <c r="AB150" s="50"/>
      <c r="AC150" s="50"/>
      <c r="AD150" s="50"/>
      <c r="AE150" s="50"/>
    </row>
    <row r="151" spans="1:31" outlineLevel="1">
      <c r="A151" s="480">
        <f>ROW()</f>
        <v>151</v>
      </c>
      <c r="B151" s="191" t="s">
        <v>1509</v>
      </c>
      <c r="C151" s="151" t="s">
        <v>1504</v>
      </c>
      <c r="D151" s="151">
        <v>2025</v>
      </c>
      <c r="E151" s="153">
        <v>92036.08</v>
      </c>
      <c r="F151" s="192" t="s">
        <v>1508</v>
      </c>
      <c r="G151" s="697"/>
      <c r="H151" s="697">
        <f t="shared" si="28"/>
        <v>1</v>
      </c>
      <c r="I151" s="697">
        <f t="shared" si="28"/>
        <v>1</v>
      </c>
      <c r="J151" s="697">
        <f t="shared" si="28"/>
        <v>1</v>
      </c>
      <c r="K151" s="697">
        <f t="shared" si="28"/>
        <v>1</v>
      </c>
      <c r="L151" s="697">
        <f t="shared" si="28"/>
        <v>1</v>
      </c>
      <c r="M151" s="697">
        <f t="shared" si="28"/>
        <v>1</v>
      </c>
      <c r="O151" s="343" t="s">
        <v>1517</v>
      </c>
      <c r="Q151" s="50"/>
      <c r="R151" s="50"/>
      <c r="S151" s="50"/>
      <c r="T151" s="50"/>
      <c r="U151" s="50"/>
      <c r="V151" s="50"/>
      <c r="W151" s="50"/>
      <c r="X151" s="50"/>
      <c r="Y151" s="50"/>
      <c r="Z151" s="50"/>
      <c r="AA151" s="50"/>
      <c r="AB151" s="50"/>
      <c r="AC151" s="50"/>
      <c r="AD151" s="50"/>
      <c r="AE151" s="50"/>
    </row>
    <row r="152" spans="1:31" outlineLevel="1">
      <c r="A152" s="480">
        <f>ROW()</f>
        <v>152</v>
      </c>
      <c r="B152" s="1390"/>
      <c r="C152" s="1391"/>
      <c r="D152" s="1391"/>
      <c r="E152" s="1394"/>
      <c r="F152" s="1394"/>
      <c r="G152" s="140"/>
      <c r="H152" s="140"/>
      <c r="I152" s="140"/>
      <c r="J152" s="140"/>
      <c r="K152" s="140"/>
      <c r="L152" s="140"/>
      <c r="M152" s="140"/>
      <c r="O152" s="343"/>
      <c r="Q152" s="50"/>
      <c r="R152" s="50"/>
      <c r="S152" s="50"/>
      <c r="T152" s="50"/>
      <c r="U152" s="50"/>
      <c r="V152" s="50"/>
      <c r="W152" s="50"/>
      <c r="X152" s="50"/>
      <c r="Y152" s="50"/>
      <c r="Z152" s="50"/>
      <c r="AA152" s="50"/>
      <c r="AB152" s="50"/>
      <c r="AC152" s="50"/>
      <c r="AD152" s="50"/>
      <c r="AE152" s="50"/>
    </row>
    <row r="153" spans="1:31" outlineLevel="1">
      <c r="A153" s="480">
        <f>ROW()</f>
        <v>153</v>
      </c>
      <c r="B153" s="191" t="s">
        <v>666</v>
      </c>
      <c r="C153" s="151" t="s">
        <v>1507</v>
      </c>
      <c r="D153" s="151">
        <v>2025</v>
      </c>
      <c r="E153" s="323">
        <v>132536.07999999999</v>
      </c>
      <c r="F153" s="192" t="s">
        <v>1500</v>
      </c>
      <c r="G153" s="697"/>
      <c r="H153" s="697">
        <f t="shared" ref="H153:M157" si="29">IF($D153&lt;=H$10,1,0)</f>
        <v>1</v>
      </c>
      <c r="I153" s="697">
        <f t="shared" si="29"/>
        <v>1</v>
      </c>
      <c r="J153" s="697">
        <f t="shared" si="29"/>
        <v>1</v>
      </c>
      <c r="K153" s="697">
        <f t="shared" si="29"/>
        <v>1</v>
      </c>
      <c r="L153" s="697">
        <f t="shared" si="29"/>
        <v>1</v>
      </c>
      <c r="M153" s="697">
        <f t="shared" si="29"/>
        <v>1</v>
      </c>
      <c r="O153" s="343" t="s">
        <v>1518</v>
      </c>
      <c r="Q153" s="50"/>
      <c r="R153" s="50"/>
      <c r="S153" s="50"/>
      <c r="T153" s="50"/>
      <c r="U153" s="50"/>
      <c r="V153" s="50"/>
      <c r="W153" s="50"/>
      <c r="X153" s="50"/>
      <c r="Y153" s="50"/>
      <c r="Z153" s="50"/>
      <c r="AA153" s="50"/>
      <c r="AB153" s="50"/>
      <c r="AC153" s="50"/>
      <c r="AD153" s="50"/>
      <c r="AE153" s="50"/>
    </row>
    <row r="154" spans="1:31" outlineLevel="1">
      <c r="A154" s="480">
        <f>ROW()</f>
        <v>154</v>
      </c>
      <c r="B154" s="191" t="s">
        <v>1519</v>
      </c>
      <c r="C154" s="151" t="s">
        <v>1504</v>
      </c>
      <c r="D154" s="151">
        <v>2025</v>
      </c>
      <c r="E154" s="153">
        <v>135911.07999999999</v>
      </c>
      <c r="F154" s="192" t="s">
        <v>1520</v>
      </c>
      <c r="G154" s="697"/>
      <c r="H154" s="697">
        <f t="shared" si="29"/>
        <v>1</v>
      </c>
      <c r="I154" s="697">
        <f t="shared" si="29"/>
        <v>1</v>
      </c>
      <c r="J154" s="697">
        <f t="shared" si="29"/>
        <v>1</v>
      </c>
      <c r="K154" s="697">
        <f t="shared" si="29"/>
        <v>1</v>
      </c>
      <c r="L154" s="697">
        <f t="shared" si="29"/>
        <v>1</v>
      </c>
      <c r="M154" s="697">
        <f t="shared" si="29"/>
        <v>1</v>
      </c>
      <c r="O154" s="343" t="s">
        <v>1522</v>
      </c>
      <c r="Q154" s="50"/>
      <c r="R154" s="50"/>
      <c r="S154" s="50"/>
      <c r="T154" s="50"/>
      <c r="U154" s="50"/>
      <c r="V154" s="50"/>
      <c r="W154" s="50"/>
      <c r="X154" s="50"/>
      <c r="Y154" s="50"/>
      <c r="Z154" s="50"/>
      <c r="AA154" s="50"/>
      <c r="AB154" s="50"/>
      <c r="AC154" s="50"/>
      <c r="AD154" s="50"/>
      <c r="AE154" s="50"/>
    </row>
    <row r="155" spans="1:31" outlineLevel="1">
      <c r="A155" s="480">
        <f>ROW()</f>
        <v>155</v>
      </c>
      <c r="B155" s="191" t="s">
        <v>1503</v>
      </c>
      <c r="C155" s="151" t="s">
        <v>1504</v>
      </c>
      <c r="D155" s="151">
        <v>2025</v>
      </c>
      <c r="E155" s="153">
        <v>56628</v>
      </c>
      <c r="F155" s="192" t="s">
        <v>668</v>
      </c>
      <c r="G155" s="697"/>
      <c r="H155" s="697">
        <f t="shared" si="29"/>
        <v>1</v>
      </c>
      <c r="I155" s="697">
        <f t="shared" si="29"/>
        <v>1</v>
      </c>
      <c r="J155" s="697">
        <f t="shared" si="29"/>
        <v>1</v>
      </c>
      <c r="K155" s="697">
        <f t="shared" si="29"/>
        <v>1</v>
      </c>
      <c r="L155" s="697">
        <f t="shared" si="29"/>
        <v>1</v>
      </c>
      <c r="M155" s="697">
        <f t="shared" si="29"/>
        <v>1</v>
      </c>
      <c r="O155" s="343" t="s">
        <v>1523</v>
      </c>
      <c r="Q155" s="50"/>
      <c r="R155" s="50"/>
      <c r="S155" s="50"/>
      <c r="T155" s="50"/>
      <c r="U155" s="50"/>
      <c r="V155" s="50"/>
      <c r="W155" s="50"/>
      <c r="X155" s="50"/>
      <c r="Y155" s="50"/>
      <c r="Z155" s="50"/>
      <c r="AA155" s="50"/>
      <c r="AB155" s="50"/>
      <c r="AC155" s="50"/>
      <c r="AD155" s="50"/>
      <c r="AE155" s="50"/>
    </row>
    <row r="156" spans="1:31" outlineLevel="1">
      <c r="A156" s="480">
        <f>ROW()</f>
        <v>156</v>
      </c>
      <c r="B156" s="191" t="s">
        <v>1497</v>
      </c>
      <c r="C156" s="151" t="s">
        <v>1504</v>
      </c>
      <c r="D156" s="151">
        <v>2025</v>
      </c>
      <c r="E156" s="153">
        <v>48017.5</v>
      </c>
      <c r="F156" s="192" t="s">
        <v>1521</v>
      </c>
      <c r="G156" s="697"/>
      <c r="H156" s="697">
        <f t="shared" si="29"/>
        <v>1</v>
      </c>
      <c r="I156" s="697">
        <f t="shared" si="29"/>
        <v>1</v>
      </c>
      <c r="J156" s="697">
        <f t="shared" si="29"/>
        <v>1</v>
      </c>
      <c r="K156" s="697">
        <f t="shared" si="29"/>
        <v>1</v>
      </c>
      <c r="L156" s="697">
        <f t="shared" si="29"/>
        <v>1</v>
      </c>
      <c r="M156" s="697">
        <f t="shared" si="29"/>
        <v>1</v>
      </c>
      <c r="O156" s="343" t="s">
        <v>1524</v>
      </c>
      <c r="Q156" s="50"/>
      <c r="R156" s="50"/>
      <c r="S156" s="50"/>
      <c r="T156" s="50"/>
      <c r="U156" s="50"/>
      <c r="V156" s="50"/>
      <c r="W156" s="50"/>
      <c r="X156" s="50"/>
      <c r="Y156" s="50"/>
      <c r="Z156" s="50"/>
      <c r="AA156" s="50"/>
      <c r="AB156" s="50"/>
      <c r="AC156" s="50"/>
      <c r="AD156" s="50"/>
      <c r="AE156" s="50"/>
    </row>
    <row r="157" spans="1:31" outlineLevel="1">
      <c r="A157" s="480">
        <f>ROW()</f>
        <v>157</v>
      </c>
      <c r="B157" s="191" t="s">
        <v>1526</v>
      </c>
      <c r="C157" s="151" t="s">
        <v>1504</v>
      </c>
      <c r="D157" s="151">
        <v>2025</v>
      </c>
      <c r="E157" s="153">
        <v>147724.12</v>
      </c>
      <c r="F157" s="192" t="s">
        <v>668</v>
      </c>
      <c r="G157" s="697"/>
      <c r="H157" s="697">
        <f t="shared" si="29"/>
        <v>1</v>
      </c>
      <c r="I157" s="697">
        <f t="shared" si="29"/>
        <v>1</v>
      </c>
      <c r="J157" s="697">
        <f t="shared" si="29"/>
        <v>1</v>
      </c>
      <c r="K157" s="697">
        <f t="shared" si="29"/>
        <v>1</v>
      </c>
      <c r="L157" s="697">
        <f t="shared" si="29"/>
        <v>1</v>
      </c>
      <c r="M157" s="697">
        <f t="shared" si="29"/>
        <v>1</v>
      </c>
      <c r="O157" s="343" t="s">
        <v>1525</v>
      </c>
      <c r="Q157" s="50"/>
      <c r="R157" s="50"/>
      <c r="S157" s="50"/>
      <c r="T157" s="50"/>
      <c r="U157" s="50"/>
      <c r="V157" s="50"/>
      <c r="W157" s="50"/>
      <c r="X157" s="50"/>
      <c r="Y157" s="50"/>
      <c r="Z157" s="50"/>
      <c r="AA157" s="50"/>
      <c r="AB157" s="50"/>
      <c r="AC157" s="50"/>
      <c r="AD157" s="50"/>
      <c r="AE157" s="50"/>
    </row>
    <row r="158" spans="1:31" outlineLevel="1">
      <c r="A158" s="480">
        <f>ROW()</f>
        <v>158</v>
      </c>
      <c r="B158" s="1390"/>
      <c r="C158" s="1391"/>
      <c r="D158" s="1393"/>
      <c r="E158" s="1394"/>
      <c r="F158" s="1394"/>
      <c r="G158" s="140"/>
      <c r="H158" s="140"/>
      <c r="I158" s="140"/>
      <c r="J158" s="140"/>
      <c r="K158" s="140"/>
      <c r="L158" s="140"/>
      <c r="M158" s="140"/>
      <c r="O158" s="343"/>
      <c r="Q158" s="50"/>
      <c r="R158" s="50"/>
      <c r="S158" s="50"/>
      <c r="T158" s="50"/>
      <c r="U158" s="50"/>
      <c r="V158" s="50"/>
      <c r="W158" s="50"/>
      <c r="X158" s="50"/>
      <c r="Y158" s="50"/>
      <c r="Z158" s="50"/>
      <c r="AA158" s="50"/>
      <c r="AB158" s="50"/>
      <c r="AC158" s="50"/>
      <c r="AD158" s="50"/>
      <c r="AE158" s="50"/>
    </row>
    <row r="159" spans="1:31" outlineLevel="1">
      <c r="A159" s="480">
        <f>ROW()</f>
        <v>159</v>
      </c>
      <c r="B159" s="191" t="s">
        <v>666</v>
      </c>
      <c r="C159" s="151">
        <v>6</v>
      </c>
      <c r="D159" s="151">
        <v>2025</v>
      </c>
      <c r="E159" s="323">
        <v>75386.080000000002</v>
      </c>
      <c r="F159" s="192" t="s">
        <v>1498</v>
      </c>
      <c r="G159" s="697"/>
      <c r="H159" s="697">
        <v>1.5</v>
      </c>
      <c r="I159" s="697">
        <v>1.5</v>
      </c>
      <c r="J159" s="697">
        <v>1.5</v>
      </c>
      <c r="K159" s="697">
        <v>1.5</v>
      </c>
      <c r="L159" s="697">
        <v>1.5</v>
      </c>
      <c r="M159" s="697">
        <v>1.5</v>
      </c>
      <c r="O159" s="343" t="s">
        <v>1530</v>
      </c>
      <c r="Q159" s="50"/>
      <c r="R159" s="50"/>
      <c r="S159" s="50"/>
      <c r="T159" s="50"/>
      <c r="U159" s="50"/>
      <c r="V159" s="50"/>
      <c r="W159" s="50"/>
      <c r="X159" s="50"/>
      <c r="Y159" s="50"/>
      <c r="Z159" s="50"/>
      <c r="AA159" s="50"/>
      <c r="AB159" s="50"/>
      <c r="AC159" s="50"/>
      <c r="AD159" s="50"/>
      <c r="AE159" s="50"/>
    </row>
    <row r="160" spans="1:31" outlineLevel="1">
      <c r="A160" s="480">
        <f>ROW()</f>
        <v>160</v>
      </c>
      <c r="B160" s="191" t="s">
        <v>1528</v>
      </c>
      <c r="C160" s="151">
        <v>6</v>
      </c>
      <c r="D160" s="151">
        <v>2025</v>
      </c>
      <c r="E160" s="153">
        <v>81910</v>
      </c>
      <c r="F160" s="192" t="s">
        <v>1527</v>
      </c>
      <c r="G160" s="697"/>
      <c r="H160" s="697">
        <v>1.5</v>
      </c>
      <c r="I160" s="697">
        <v>1.5</v>
      </c>
      <c r="J160" s="697">
        <v>1.5</v>
      </c>
      <c r="K160" s="697">
        <v>1.5</v>
      </c>
      <c r="L160" s="697">
        <v>1.5</v>
      </c>
      <c r="M160" s="697">
        <v>1.5</v>
      </c>
      <c r="O160" s="343" t="s">
        <v>1531</v>
      </c>
      <c r="Q160" s="50"/>
      <c r="R160" s="50"/>
      <c r="S160" s="50"/>
      <c r="T160" s="50"/>
      <c r="U160" s="50"/>
      <c r="V160" s="50"/>
      <c r="W160" s="50"/>
      <c r="X160" s="50"/>
      <c r="Y160" s="50"/>
      <c r="Z160" s="50"/>
      <c r="AA160" s="50"/>
      <c r="AB160" s="50"/>
      <c r="AC160" s="50"/>
      <c r="AD160" s="50"/>
      <c r="AE160" s="50"/>
    </row>
    <row r="161" spans="1:31" outlineLevel="1">
      <c r="A161" s="480">
        <f>ROW()</f>
        <v>161</v>
      </c>
      <c r="B161" s="191" t="s">
        <v>666</v>
      </c>
      <c r="C161" s="151" t="s">
        <v>1507</v>
      </c>
      <c r="D161" s="151">
        <v>2025</v>
      </c>
      <c r="E161" s="153">
        <v>93723.04</v>
      </c>
      <c r="F161" s="192" t="s">
        <v>1500</v>
      </c>
      <c r="G161" s="697"/>
      <c r="H161" s="697">
        <v>2</v>
      </c>
      <c r="I161" s="697">
        <v>2</v>
      </c>
      <c r="J161" s="697">
        <v>2</v>
      </c>
      <c r="K161" s="697">
        <v>2</v>
      </c>
      <c r="L161" s="697">
        <v>2</v>
      </c>
      <c r="M161" s="697">
        <v>2</v>
      </c>
      <c r="O161" s="343" t="s">
        <v>1532</v>
      </c>
      <c r="Q161" s="50"/>
      <c r="R161" s="50"/>
      <c r="S161" s="50"/>
      <c r="T161" s="50"/>
      <c r="U161" s="50"/>
      <c r="V161" s="50"/>
      <c r="W161" s="50"/>
      <c r="X161" s="50"/>
      <c r="Y161" s="50"/>
      <c r="Z161" s="50"/>
      <c r="AA161" s="50"/>
      <c r="AB161" s="50"/>
      <c r="AC161" s="50"/>
      <c r="AD161" s="50"/>
      <c r="AE161" s="50"/>
    </row>
    <row r="162" spans="1:31" outlineLevel="1">
      <c r="A162" s="480">
        <f>ROW()</f>
        <v>162</v>
      </c>
      <c r="B162" s="191" t="s">
        <v>1503</v>
      </c>
      <c r="C162" s="151" t="s">
        <v>1504</v>
      </c>
      <c r="D162" s="151">
        <v>2025</v>
      </c>
      <c r="E162" s="153">
        <v>93723.04</v>
      </c>
      <c r="F162" s="192" t="s">
        <v>1500</v>
      </c>
      <c r="G162" s="697"/>
      <c r="H162" s="697">
        <f t="shared" ref="H162:M162" si="30">IF($D162&lt;=H$10,1,0)</f>
        <v>1</v>
      </c>
      <c r="I162" s="697">
        <f t="shared" si="30"/>
        <v>1</v>
      </c>
      <c r="J162" s="697">
        <f t="shared" si="30"/>
        <v>1</v>
      </c>
      <c r="K162" s="697">
        <f t="shared" si="30"/>
        <v>1</v>
      </c>
      <c r="L162" s="697">
        <f t="shared" si="30"/>
        <v>1</v>
      </c>
      <c r="M162" s="697">
        <f t="shared" si="30"/>
        <v>1</v>
      </c>
      <c r="O162" s="343" t="s">
        <v>1561</v>
      </c>
      <c r="Q162" s="50"/>
      <c r="R162" s="50"/>
      <c r="S162" s="50"/>
      <c r="T162" s="50"/>
      <c r="U162" s="50"/>
      <c r="V162" s="50"/>
      <c r="W162" s="50"/>
      <c r="X162" s="50"/>
      <c r="Y162" s="50"/>
      <c r="Z162" s="50"/>
      <c r="AA162" s="50"/>
      <c r="AB162" s="50"/>
      <c r="AC162" s="50"/>
      <c r="AD162" s="50"/>
      <c r="AE162" s="50"/>
    </row>
    <row r="163" spans="1:31" outlineLevel="1">
      <c r="A163" s="480">
        <f>ROW()</f>
        <v>163</v>
      </c>
      <c r="B163" s="191" t="s">
        <v>1529</v>
      </c>
      <c r="C163" s="151" t="s">
        <v>1507</v>
      </c>
      <c r="D163" s="151">
        <v>2025</v>
      </c>
      <c r="E163" s="153">
        <v>81849.119999999995</v>
      </c>
      <c r="F163" s="192" t="s">
        <v>1498</v>
      </c>
      <c r="G163" s="697"/>
      <c r="H163" s="697">
        <v>2</v>
      </c>
      <c r="I163" s="697">
        <v>2</v>
      </c>
      <c r="J163" s="697">
        <v>2</v>
      </c>
      <c r="K163" s="697">
        <v>2</v>
      </c>
      <c r="L163" s="697">
        <v>2</v>
      </c>
      <c r="M163" s="697">
        <v>2</v>
      </c>
      <c r="O163" s="343" t="s">
        <v>1541</v>
      </c>
      <c r="Q163" s="50"/>
      <c r="R163" s="50"/>
      <c r="S163" s="50"/>
      <c r="T163" s="50"/>
      <c r="U163" s="50"/>
      <c r="V163" s="50"/>
      <c r="W163" s="50"/>
      <c r="X163" s="50"/>
      <c r="Y163" s="50"/>
      <c r="Z163" s="50"/>
      <c r="AA163" s="50"/>
      <c r="AB163" s="50"/>
      <c r="AC163" s="50"/>
      <c r="AD163" s="50"/>
      <c r="AE163" s="50"/>
    </row>
    <row r="164" spans="1:31" outlineLevel="1">
      <c r="A164" s="480">
        <f>ROW()</f>
        <v>164</v>
      </c>
      <c r="B164" s="1390"/>
      <c r="C164" s="1391"/>
      <c r="D164" s="1391"/>
      <c r="E164" s="1395"/>
      <c r="F164" s="1395"/>
      <c r="G164" s="140"/>
      <c r="H164" s="140"/>
      <c r="I164" s="140"/>
      <c r="J164" s="140"/>
      <c r="K164" s="140"/>
      <c r="L164" s="140"/>
      <c r="M164" s="140"/>
      <c r="O164" s="343"/>
      <c r="Q164" s="50"/>
      <c r="R164" s="50"/>
      <c r="S164" s="50"/>
      <c r="T164" s="50"/>
      <c r="U164" s="50"/>
      <c r="V164" s="50"/>
      <c r="W164" s="50"/>
      <c r="X164" s="50"/>
      <c r="Y164" s="50"/>
      <c r="Z164" s="50"/>
      <c r="AA164" s="50"/>
      <c r="AB164" s="50"/>
      <c r="AC164" s="50"/>
      <c r="AD164" s="50"/>
      <c r="AE164" s="50"/>
    </row>
    <row r="165" spans="1:31" outlineLevel="1">
      <c r="A165" s="480">
        <f>ROW()</f>
        <v>165</v>
      </c>
      <c r="B165" s="191" t="s">
        <v>666</v>
      </c>
      <c r="C165" s="151" t="s">
        <v>1506</v>
      </c>
      <c r="D165" s="151">
        <v>2025</v>
      </c>
      <c r="E165" s="323">
        <v>75161.08</v>
      </c>
      <c r="F165" s="192" t="s">
        <v>1498</v>
      </c>
      <c r="G165" s="697"/>
      <c r="H165" s="697">
        <f t="shared" ref="H165:M169" si="31">IF($D165&lt;=H$10,1,0)</f>
        <v>1</v>
      </c>
      <c r="I165" s="697">
        <f t="shared" si="31"/>
        <v>1</v>
      </c>
      <c r="J165" s="697">
        <f t="shared" si="31"/>
        <v>1</v>
      </c>
      <c r="K165" s="697">
        <f t="shared" si="31"/>
        <v>1</v>
      </c>
      <c r="L165" s="697">
        <f t="shared" si="31"/>
        <v>1</v>
      </c>
      <c r="M165" s="697">
        <f t="shared" si="31"/>
        <v>1</v>
      </c>
      <c r="O165" s="343" t="s">
        <v>1537</v>
      </c>
      <c r="Q165" s="50"/>
      <c r="R165" s="50"/>
      <c r="S165" s="50"/>
      <c r="T165" s="50"/>
      <c r="U165" s="50"/>
      <c r="V165" s="50"/>
      <c r="W165" s="50"/>
      <c r="X165" s="50"/>
      <c r="Y165" s="50"/>
      <c r="Z165" s="50"/>
      <c r="AA165" s="50"/>
      <c r="AB165" s="50"/>
      <c r="AC165" s="50"/>
      <c r="AD165" s="50"/>
      <c r="AE165" s="50"/>
    </row>
    <row r="166" spans="1:31" outlineLevel="1">
      <c r="A166" s="480">
        <f>ROW()</f>
        <v>166</v>
      </c>
      <c r="B166" s="191" t="s">
        <v>1534</v>
      </c>
      <c r="C166" s="151">
        <v>6</v>
      </c>
      <c r="D166" s="151">
        <v>2025</v>
      </c>
      <c r="E166" s="153">
        <v>117286.08</v>
      </c>
      <c r="F166" s="192" t="s">
        <v>1535</v>
      </c>
      <c r="G166" s="697"/>
      <c r="H166" s="697">
        <f t="shared" si="31"/>
        <v>1</v>
      </c>
      <c r="I166" s="697">
        <f t="shared" si="31"/>
        <v>1</v>
      </c>
      <c r="J166" s="697">
        <f t="shared" si="31"/>
        <v>1</v>
      </c>
      <c r="K166" s="697">
        <f t="shared" si="31"/>
        <v>1</v>
      </c>
      <c r="L166" s="697">
        <f t="shared" si="31"/>
        <v>1</v>
      </c>
      <c r="M166" s="697">
        <f t="shared" si="31"/>
        <v>1</v>
      </c>
      <c r="O166" s="343" t="s">
        <v>1538</v>
      </c>
      <c r="Q166" s="50"/>
      <c r="R166" s="50"/>
      <c r="S166" s="50"/>
      <c r="T166" s="50"/>
      <c r="U166" s="50"/>
      <c r="V166" s="50"/>
      <c r="W166" s="50"/>
      <c r="X166" s="50"/>
      <c r="Y166" s="50"/>
      <c r="Z166" s="50"/>
      <c r="AA166" s="50"/>
      <c r="AB166" s="50"/>
      <c r="AC166" s="50"/>
      <c r="AD166" s="50"/>
      <c r="AE166" s="50"/>
    </row>
    <row r="167" spans="1:31" outlineLevel="1">
      <c r="A167" s="480">
        <f>ROW()</f>
        <v>167</v>
      </c>
      <c r="B167" s="191" t="s">
        <v>666</v>
      </c>
      <c r="C167" s="151" t="s">
        <v>1504</v>
      </c>
      <c r="D167" s="151">
        <v>2025</v>
      </c>
      <c r="E167" s="153">
        <v>93723.04</v>
      </c>
      <c r="F167" s="192" t="s">
        <v>1536</v>
      </c>
      <c r="G167" s="697"/>
      <c r="H167" s="697">
        <f t="shared" si="31"/>
        <v>1</v>
      </c>
      <c r="I167" s="697">
        <f t="shared" si="31"/>
        <v>1</v>
      </c>
      <c r="J167" s="697">
        <f t="shared" si="31"/>
        <v>1</v>
      </c>
      <c r="K167" s="697">
        <f t="shared" si="31"/>
        <v>1</v>
      </c>
      <c r="L167" s="697">
        <f t="shared" si="31"/>
        <v>1</v>
      </c>
      <c r="M167" s="697">
        <f t="shared" si="31"/>
        <v>1</v>
      </c>
      <c r="O167" s="343" t="s">
        <v>1539</v>
      </c>
      <c r="Q167" s="50"/>
      <c r="R167" s="50"/>
      <c r="S167" s="50"/>
      <c r="T167" s="50"/>
      <c r="U167" s="50"/>
      <c r="V167" s="50"/>
      <c r="W167" s="50"/>
      <c r="X167" s="50"/>
      <c r="Y167" s="50"/>
      <c r="Z167" s="50"/>
      <c r="AA167" s="50"/>
      <c r="AB167" s="50"/>
      <c r="AC167" s="50"/>
      <c r="AD167" s="50"/>
      <c r="AE167" s="50"/>
    </row>
    <row r="168" spans="1:31" outlineLevel="1">
      <c r="A168" s="480">
        <f>ROW()</f>
        <v>168</v>
      </c>
      <c r="B168" s="191" t="s">
        <v>666</v>
      </c>
      <c r="C168" s="151" t="s">
        <v>1507</v>
      </c>
      <c r="D168" s="151">
        <v>2025</v>
      </c>
      <c r="E168" s="153">
        <v>130848.04</v>
      </c>
      <c r="F168" s="192" t="s">
        <v>1619</v>
      </c>
      <c r="G168" s="697"/>
      <c r="H168" s="697">
        <f t="shared" si="31"/>
        <v>1</v>
      </c>
      <c r="I168" s="697">
        <f t="shared" si="31"/>
        <v>1</v>
      </c>
      <c r="J168" s="697">
        <f t="shared" si="31"/>
        <v>1</v>
      </c>
      <c r="K168" s="697">
        <f t="shared" si="31"/>
        <v>1</v>
      </c>
      <c r="L168" s="697">
        <f t="shared" si="31"/>
        <v>1</v>
      </c>
      <c r="M168" s="697">
        <f t="shared" si="31"/>
        <v>1</v>
      </c>
      <c r="O168" s="343" t="s">
        <v>1489</v>
      </c>
      <c r="Q168" s="50"/>
      <c r="R168" s="50"/>
      <c r="S168" s="50"/>
      <c r="T168" s="50"/>
      <c r="U168" s="50"/>
      <c r="V168" s="50"/>
      <c r="W168" s="50"/>
      <c r="X168" s="50"/>
      <c r="Y168" s="50"/>
      <c r="Z168" s="50"/>
      <c r="AA168" s="50"/>
      <c r="AB168" s="50"/>
      <c r="AC168" s="50"/>
      <c r="AD168" s="50"/>
      <c r="AE168" s="50"/>
    </row>
    <row r="169" spans="1:31" outlineLevel="1">
      <c r="A169" s="480">
        <f>ROW()</f>
        <v>169</v>
      </c>
      <c r="B169" s="191"/>
      <c r="C169" s="151" t="s">
        <v>641</v>
      </c>
      <c r="D169" s="151" t="s">
        <v>667</v>
      </c>
      <c r="E169" s="153">
        <v>0</v>
      </c>
      <c r="F169" s="192"/>
      <c r="G169" s="697"/>
      <c r="H169" s="697">
        <f t="shared" si="31"/>
        <v>0</v>
      </c>
      <c r="I169" s="697">
        <f t="shared" si="31"/>
        <v>0</v>
      </c>
      <c r="J169" s="697">
        <f t="shared" si="31"/>
        <v>0</v>
      </c>
      <c r="K169" s="697">
        <f t="shared" si="31"/>
        <v>0</v>
      </c>
      <c r="L169" s="697">
        <f t="shared" si="31"/>
        <v>0</v>
      </c>
      <c r="M169" s="697">
        <f t="shared" si="31"/>
        <v>0</v>
      </c>
      <c r="O169" s="343"/>
      <c r="Q169" s="50"/>
      <c r="R169" s="50"/>
      <c r="S169" s="50"/>
      <c r="T169" s="50"/>
      <c r="U169" s="50"/>
      <c r="V169" s="50"/>
      <c r="W169" s="50"/>
      <c r="X169" s="50"/>
      <c r="Y169" s="50"/>
      <c r="Z169" s="50"/>
      <c r="AA169" s="50"/>
      <c r="AB169" s="50"/>
      <c r="AC169" s="50"/>
      <c r="AD169" s="50"/>
      <c r="AE169" s="50"/>
    </row>
    <row r="170" spans="1:31" outlineLevel="1">
      <c r="A170" s="480">
        <f>ROW()</f>
        <v>170</v>
      </c>
      <c r="B170" s="1390"/>
      <c r="C170" s="1391"/>
      <c r="D170" s="1393"/>
      <c r="E170" s="1394"/>
      <c r="F170" s="1395"/>
      <c r="G170" s="140"/>
      <c r="H170" s="140"/>
      <c r="I170" s="140"/>
      <c r="J170" s="140"/>
      <c r="K170" s="140"/>
      <c r="L170" s="140"/>
      <c r="M170" s="140"/>
      <c r="O170" s="343"/>
      <c r="Q170" s="50"/>
      <c r="R170" s="50"/>
      <c r="S170" s="50"/>
      <c r="T170" s="50"/>
      <c r="U170" s="50"/>
      <c r="V170" s="50"/>
      <c r="W170" s="50"/>
      <c r="X170" s="50"/>
      <c r="Y170" s="50"/>
      <c r="Z170" s="50"/>
      <c r="AA170" s="50"/>
      <c r="AB170" s="50"/>
      <c r="AC170" s="50"/>
      <c r="AD170" s="50"/>
      <c r="AE170" s="50"/>
    </row>
    <row r="171" spans="1:31" outlineLevel="1">
      <c r="A171" s="480">
        <f>ROW()</f>
        <v>171</v>
      </c>
      <c r="B171" s="191"/>
      <c r="C171" s="151" t="s">
        <v>641</v>
      </c>
      <c r="D171" s="151" t="s">
        <v>667</v>
      </c>
      <c r="E171" s="323">
        <v>0</v>
      </c>
      <c r="F171" s="192" t="s">
        <v>668</v>
      </c>
      <c r="G171" s="697"/>
      <c r="H171" s="697">
        <f t="shared" ref="G171:M175" si="32">IF($D171&lt;=H$10,1,0)</f>
        <v>0</v>
      </c>
      <c r="I171" s="697">
        <f t="shared" si="32"/>
        <v>0</v>
      </c>
      <c r="J171" s="697">
        <f t="shared" si="32"/>
        <v>0</v>
      </c>
      <c r="K171" s="697">
        <f t="shared" si="32"/>
        <v>0</v>
      </c>
      <c r="L171" s="697">
        <f t="shared" si="32"/>
        <v>0</v>
      </c>
      <c r="M171" s="697">
        <f t="shared" si="32"/>
        <v>0</v>
      </c>
      <c r="O171" s="343"/>
      <c r="Q171" s="50"/>
      <c r="R171" s="50"/>
      <c r="S171" s="50"/>
      <c r="T171" s="50"/>
      <c r="U171" s="50"/>
      <c r="V171" s="50"/>
      <c r="W171" s="50"/>
      <c r="X171" s="50"/>
      <c r="Y171" s="50"/>
      <c r="Z171" s="50"/>
      <c r="AA171" s="50"/>
      <c r="AB171" s="50"/>
      <c r="AC171" s="50"/>
      <c r="AD171" s="50"/>
      <c r="AE171" s="50"/>
    </row>
    <row r="172" spans="1:31" outlineLevel="1">
      <c r="A172" s="480">
        <f>ROW()</f>
        <v>172</v>
      </c>
      <c r="B172" s="191"/>
      <c r="C172" s="151" t="s">
        <v>641</v>
      </c>
      <c r="D172" s="151" t="s">
        <v>667</v>
      </c>
      <c r="E172" s="153">
        <v>0</v>
      </c>
      <c r="F172" s="192" t="s">
        <v>668</v>
      </c>
      <c r="G172" s="697"/>
      <c r="H172" s="697">
        <f t="shared" si="32"/>
        <v>0</v>
      </c>
      <c r="I172" s="697">
        <f t="shared" si="32"/>
        <v>0</v>
      </c>
      <c r="J172" s="697">
        <f t="shared" si="32"/>
        <v>0</v>
      </c>
      <c r="K172" s="697">
        <f t="shared" si="32"/>
        <v>0</v>
      </c>
      <c r="L172" s="697">
        <f t="shared" si="32"/>
        <v>0</v>
      </c>
      <c r="M172" s="697">
        <f t="shared" si="32"/>
        <v>0</v>
      </c>
      <c r="O172" s="343"/>
      <c r="Q172" s="50"/>
      <c r="R172" s="50"/>
      <c r="S172" s="50"/>
      <c r="T172" s="50"/>
      <c r="U172" s="50"/>
      <c r="V172" s="50"/>
      <c r="W172" s="50"/>
      <c r="X172" s="50"/>
      <c r="Y172" s="50"/>
      <c r="Z172" s="50"/>
      <c r="AA172" s="50"/>
      <c r="AB172" s="50"/>
      <c r="AC172" s="50"/>
      <c r="AD172" s="50"/>
      <c r="AE172" s="50"/>
    </row>
    <row r="173" spans="1:31" outlineLevel="1">
      <c r="A173" s="480">
        <f>ROW()</f>
        <v>173</v>
      </c>
      <c r="B173" s="191"/>
      <c r="C173" s="151" t="s">
        <v>641</v>
      </c>
      <c r="D173" s="151" t="s">
        <v>667</v>
      </c>
      <c r="E173" s="153">
        <v>0</v>
      </c>
      <c r="F173" s="192" t="s">
        <v>668</v>
      </c>
      <c r="G173" s="697">
        <f t="shared" si="32"/>
        <v>0</v>
      </c>
      <c r="H173" s="697">
        <f t="shared" si="32"/>
        <v>0</v>
      </c>
      <c r="I173" s="697">
        <f t="shared" si="32"/>
        <v>0</v>
      </c>
      <c r="J173" s="697">
        <f t="shared" si="32"/>
        <v>0</v>
      </c>
      <c r="K173" s="697">
        <f t="shared" si="32"/>
        <v>0</v>
      </c>
      <c r="L173" s="697">
        <f t="shared" si="32"/>
        <v>0</v>
      </c>
      <c r="M173" s="697">
        <f t="shared" si="32"/>
        <v>0</v>
      </c>
      <c r="O173" s="343"/>
      <c r="Q173" s="50"/>
      <c r="R173" s="50"/>
      <c r="S173" s="50"/>
      <c r="T173" s="50"/>
      <c r="U173" s="50"/>
      <c r="V173" s="50"/>
      <c r="W173" s="50"/>
      <c r="X173" s="50"/>
      <c r="Y173" s="50"/>
      <c r="Z173" s="50"/>
      <c r="AA173" s="50"/>
      <c r="AB173" s="50"/>
      <c r="AC173" s="50"/>
      <c r="AD173" s="50"/>
      <c r="AE173" s="50"/>
    </row>
    <row r="174" spans="1:31" outlineLevel="1">
      <c r="A174" s="480">
        <f>ROW()</f>
        <v>174</v>
      </c>
      <c r="B174" s="191"/>
      <c r="C174" s="151" t="s">
        <v>641</v>
      </c>
      <c r="D174" s="151" t="s">
        <v>667</v>
      </c>
      <c r="E174" s="153">
        <v>0</v>
      </c>
      <c r="F174" s="192" t="s">
        <v>668</v>
      </c>
      <c r="G174" s="697">
        <f t="shared" si="32"/>
        <v>0</v>
      </c>
      <c r="H174" s="697">
        <f t="shared" si="32"/>
        <v>0</v>
      </c>
      <c r="I174" s="697">
        <f t="shared" si="32"/>
        <v>0</v>
      </c>
      <c r="J174" s="697">
        <f t="shared" si="32"/>
        <v>0</v>
      </c>
      <c r="K174" s="697">
        <f t="shared" si="32"/>
        <v>0</v>
      </c>
      <c r="L174" s="697">
        <f t="shared" si="32"/>
        <v>0</v>
      </c>
      <c r="M174" s="697">
        <f t="shared" si="32"/>
        <v>0</v>
      </c>
      <c r="O174" s="343"/>
      <c r="Q174" s="50"/>
      <c r="R174" s="50"/>
      <c r="S174" s="50"/>
      <c r="T174" s="50"/>
      <c r="U174" s="50"/>
      <c r="V174" s="50"/>
      <c r="W174" s="50"/>
      <c r="X174" s="50"/>
      <c r="Y174" s="50"/>
      <c r="Z174" s="50"/>
      <c r="AA174" s="50"/>
      <c r="AB174" s="50"/>
      <c r="AC174" s="50"/>
      <c r="AD174" s="50"/>
      <c r="AE174" s="50"/>
    </row>
    <row r="175" spans="1:31" outlineLevel="1">
      <c r="A175" s="480">
        <f>ROW()</f>
        <v>175</v>
      </c>
      <c r="B175" s="191"/>
      <c r="C175" s="151" t="s">
        <v>641</v>
      </c>
      <c r="D175" s="151" t="s">
        <v>667</v>
      </c>
      <c r="E175" s="153">
        <v>0</v>
      </c>
      <c r="F175" s="192"/>
      <c r="G175" s="697">
        <f t="shared" si="32"/>
        <v>0</v>
      </c>
      <c r="H175" s="697">
        <f t="shared" si="32"/>
        <v>0</v>
      </c>
      <c r="I175" s="697">
        <f t="shared" si="32"/>
        <v>0</v>
      </c>
      <c r="J175" s="697">
        <f t="shared" si="32"/>
        <v>0</v>
      </c>
      <c r="K175" s="697">
        <f t="shared" si="32"/>
        <v>0</v>
      </c>
      <c r="L175" s="697">
        <f t="shared" si="32"/>
        <v>0</v>
      </c>
      <c r="M175" s="697">
        <f t="shared" si="32"/>
        <v>0</v>
      </c>
      <c r="O175" s="343"/>
      <c r="Q175" s="50"/>
      <c r="R175" s="50"/>
      <c r="S175" s="50"/>
      <c r="T175" s="50"/>
      <c r="U175" s="50"/>
      <c r="V175" s="50"/>
      <c r="W175" s="50"/>
      <c r="X175" s="50"/>
      <c r="Y175" s="50"/>
      <c r="Z175" s="50"/>
      <c r="AA175" s="50"/>
      <c r="AB175" s="50"/>
      <c r="AC175" s="50"/>
      <c r="AD175" s="50"/>
      <c r="AE175" s="50"/>
    </row>
    <row r="176" spans="1:31" outlineLevel="1">
      <c r="A176" s="480">
        <f>ROW()</f>
        <v>176</v>
      </c>
      <c r="B176" s="1390"/>
      <c r="C176" s="1391"/>
      <c r="D176" s="1391"/>
      <c r="E176" s="1394"/>
      <c r="F176" s="1395"/>
      <c r="G176" s="140"/>
      <c r="H176" s="140"/>
      <c r="I176" s="140"/>
      <c r="J176" s="140"/>
      <c r="K176" s="140"/>
      <c r="L176" s="140"/>
      <c r="M176" s="140"/>
      <c r="O176" s="343"/>
      <c r="Q176" s="50"/>
      <c r="R176" s="50"/>
      <c r="S176" s="50"/>
      <c r="T176" s="50"/>
      <c r="U176" s="50"/>
      <c r="V176" s="50"/>
      <c r="W176" s="50"/>
      <c r="X176" s="50"/>
      <c r="Y176" s="50"/>
      <c r="Z176" s="50"/>
      <c r="AA176" s="50"/>
      <c r="AB176" s="50"/>
      <c r="AC176" s="50"/>
      <c r="AD176" s="50"/>
      <c r="AE176" s="50"/>
    </row>
    <row r="177" spans="1:31" outlineLevel="1">
      <c r="A177" s="480">
        <f>ROW()</f>
        <v>177</v>
      </c>
      <c r="B177" s="191"/>
      <c r="C177" s="151" t="s">
        <v>641</v>
      </c>
      <c r="D177" s="151" t="s">
        <v>667</v>
      </c>
      <c r="E177" s="323">
        <v>0</v>
      </c>
      <c r="F177" s="192" t="s">
        <v>668</v>
      </c>
      <c r="G177" s="697">
        <f t="shared" ref="G177:M181" si="33">IF($D177&lt;=G$10,1,0)</f>
        <v>0</v>
      </c>
      <c r="H177" s="697">
        <f t="shared" si="33"/>
        <v>0</v>
      </c>
      <c r="I177" s="697">
        <f t="shared" si="33"/>
        <v>0</v>
      </c>
      <c r="J177" s="697">
        <f t="shared" si="33"/>
        <v>0</v>
      </c>
      <c r="K177" s="697">
        <f t="shared" si="33"/>
        <v>0</v>
      </c>
      <c r="L177" s="697">
        <f t="shared" si="33"/>
        <v>0</v>
      </c>
      <c r="M177" s="697">
        <f t="shared" si="33"/>
        <v>0</v>
      </c>
      <c r="O177" s="343"/>
      <c r="Q177" s="50"/>
      <c r="R177" s="50"/>
      <c r="S177" s="50"/>
      <c r="T177" s="50"/>
      <c r="U177" s="50"/>
      <c r="V177" s="50"/>
      <c r="W177" s="50"/>
      <c r="X177" s="50"/>
      <c r="Y177" s="50"/>
      <c r="Z177" s="50"/>
      <c r="AA177" s="50"/>
      <c r="AB177" s="50"/>
      <c r="AC177" s="50"/>
      <c r="AD177" s="50"/>
      <c r="AE177" s="50"/>
    </row>
    <row r="178" spans="1:31" outlineLevel="1">
      <c r="A178" s="480">
        <f>ROW()</f>
        <v>178</v>
      </c>
      <c r="B178" s="191"/>
      <c r="C178" s="151" t="s">
        <v>641</v>
      </c>
      <c r="D178" s="151" t="s">
        <v>667</v>
      </c>
      <c r="E178" s="153">
        <v>0</v>
      </c>
      <c r="F178" s="192" t="s">
        <v>668</v>
      </c>
      <c r="G178" s="697">
        <f t="shared" si="33"/>
        <v>0</v>
      </c>
      <c r="H178" s="697">
        <f t="shared" si="33"/>
        <v>0</v>
      </c>
      <c r="I178" s="697">
        <f t="shared" si="33"/>
        <v>0</v>
      </c>
      <c r="J178" s="697">
        <f t="shared" si="33"/>
        <v>0</v>
      </c>
      <c r="K178" s="697">
        <f t="shared" si="33"/>
        <v>0</v>
      </c>
      <c r="L178" s="697">
        <f t="shared" si="33"/>
        <v>0</v>
      </c>
      <c r="M178" s="697">
        <f t="shared" si="33"/>
        <v>0</v>
      </c>
      <c r="O178" s="343"/>
      <c r="Q178" s="50"/>
      <c r="R178" s="50"/>
      <c r="S178" s="50"/>
      <c r="T178" s="50"/>
      <c r="U178" s="50"/>
      <c r="V178" s="50"/>
      <c r="W178" s="50"/>
      <c r="X178" s="50"/>
      <c r="Y178" s="50"/>
      <c r="Z178" s="50"/>
      <c r="AA178" s="50"/>
      <c r="AB178" s="50"/>
      <c r="AC178" s="50"/>
      <c r="AD178" s="50"/>
      <c r="AE178" s="50"/>
    </row>
    <row r="179" spans="1:31" outlineLevel="1">
      <c r="A179" s="480">
        <f>ROW()</f>
        <v>179</v>
      </c>
      <c r="B179" s="191"/>
      <c r="C179" s="151" t="s">
        <v>641</v>
      </c>
      <c r="D179" s="151" t="s">
        <v>667</v>
      </c>
      <c r="E179" s="153">
        <v>0</v>
      </c>
      <c r="F179" s="192" t="s">
        <v>668</v>
      </c>
      <c r="G179" s="697">
        <f t="shared" si="33"/>
        <v>0</v>
      </c>
      <c r="H179" s="697">
        <f t="shared" si="33"/>
        <v>0</v>
      </c>
      <c r="I179" s="697">
        <f t="shared" si="33"/>
        <v>0</v>
      </c>
      <c r="J179" s="697">
        <f t="shared" si="33"/>
        <v>0</v>
      </c>
      <c r="K179" s="697">
        <f t="shared" si="33"/>
        <v>0</v>
      </c>
      <c r="L179" s="697">
        <f t="shared" si="33"/>
        <v>0</v>
      </c>
      <c r="M179" s="697">
        <f t="shared" si="33"/>
        <v>0</v>
      </c>
      <c r="O179" s="343"/>
      <c r="Q179" s="50"/>
      <c r="R179" s="50"/>
      <c r="S179" s="50"/>
      <c r="T179" s="50"/>
      <c r="U179" s="50"/>
      <c r="V179" s="50"/>
      <c r="W179" s="50"/>
      <c r="X179" s="50"/>
      <c r="Y179" s="50"/>
      <c r="Z179" s="50"/>
      <c r="AA179" s="50"/>
      <c r="AB179" s="50"/>
      <c r="AC179" s="50"/>
      <c r="AD179" s="50"/>
      <c r="AE179" s="50"/>
    </row>
    <row r="180" spans="1:31" outlineLevel="1">
      <c r="A180" s="480">
        <f>ROW()</f>
        <v>180</v>
      </c>
      <c r="B180" s="191"/>
      <c r="C180" s="151" t="s">
        <v>641</v>
      </c>
      <c r="D180" s="151" t="s">
        <v>667</v>
      </c>
      <c r="E180" s="153">
        <v>0</v>
      </c>
      <c r="F180" s="192" t="s">
        <v>668</v>
      </c>
      <c r="G180" s="697">
        <f t="shared" si="33"/>
        <v>0</v>
      </c>
      <c r="H180" s="697">
        <f t="shared" si="33"/>
        <v>0</v>
      </c>
      <c r="I180" s="697">
        <f t="shared" si="33"/>
        <v>0</v>
      </c>
      <c r="J180" s="697">
        <f t="shared" si="33"/>
        <v>0</v>
      </c>
      <c r="K180" s="697">
        <f t="shared" si="33"/>
        <v>0</v>
      </c>
      <c r="L180" s="697">
        <f t="shared" si="33"/>
        <v>0</v>
      </c>
      <c r="M180" s="697">
        <f t="shared" si="33"/>
        <v>0</v>
      </c>
      <c r="O180" s="343"/>
      <c r="Q180" s="50"/>
      <c r="R180" s="50"/>
      <c r="S180" s="50"/>
      <c r="T180" s="50"/>
      <c r="U180" s="50"/>
      <c r="V180" s="50"/>
      <c r="W180" s="50"/>
      <c r="X180" s="50"/>
      <c r="Y180" s="50"/>
      <c r="Z180" s="50"/>
      <c r="AA180" s="50"/>
      <c r="AB180" s="50"/>
      <c r="AC180" s="50"/>
      <c r="AD180" s="50"/>
      <c r="AE180" s="50"/>
    </row>
    <row r="181" spans="1:31" outlineLevel="1">
      <c r="A181" s="480">
        <f>ROW()</f>
        <v>181</v>
      </c>
      <c r="B181" s="191"/>
      <c r="C181" s="151" t="s">
        <v>641</v>
      </c>
      <c r="D181" s="151" t="s">
        <v>667</v>
      </c>
      <c r="E181" s="153">
        <v>0</v>
      </c>
      <c r="F181" s="192"/>
      <c r="G181" s="697">
        <f t="shared" si="33"/>
        <v>0</v>
      </c>
      <c r="H181" s="697">
        <f t="shared" si="33"/>
        <v>0</v>
      </c>
      <c r="I181" s="697">
        <f t="shared" si="33"/>
        <v>0</v>
      </c>
      <c r="J181" s="697">
        <f t="shared" si="33"/>
        <v>0</v>
      </c>
      <c r="K181" s="697">
        <f t="shared" si="33"/>
        <v>0</v>
      </c>
      <c r="L181" s="697">
        <f t="shared" si="33"/>
        <v>0</v>
      </c>
      <c r="M181" s="697">
        <f t="shared" si="33"/>
        <v>0</v>
      </c>
      <c r="O181" s="343"/>
      <c r="Q181" s="50"/>
      <c r="R181" s="50"/>
      <c r="S181" s="50"/>
      <c r="T181" s="50"/>
      <c r="U181" s="50"/>
      <c r="V181" s="50"/>
      <c r="W181" s="50"/>
      <c r="X181" s="50"/>
      <c r="Y181" s="50"/>
      <c r="Z181" s="50"/>
      <c r="AA181" s="50"/>
      <c r="AB181" s="50"/>
      <c r="AC181" s="50"/>
      <c r="AD181" s="50"/>
      <c r="AE181" s="50"/>
    </row>
    <row r="182" spans="1:31" outlineLevel="1">
      <c r="A182" s="480">
        <f>ROW()</f>
        <v>182</v>
      </c>
      <c r="B182" s="1390"/>
      <c r="C182" s="1395"/>
      <c r="D182" s="1393"/>
      <c r="E182" s="1394"/>
      <c r="F182" s="1395"/>
      <c r="G182" s="140"/>
      <c r="H182" s="140"/>
      <c r="I182" s="140"/>
      <c r="J182" s="140"/>
      <c r="K182" s="140"/>
      <c r="L182" s="140"/>
      <c r="M182" s="140"/>
      <c r="O182" s="343"/>
      <c r="Q182" s="50"/>
      <c r="R182" s="50"/>
      <c r="S182" s="50"/>
      <c r="T182" s="50"/>
      <c r="U182" s="50"/>
      <c r="V182" s="50"/>
      <c r="W182" s="50"/>
      <c r="X182" s="50"/>
      <c r="Y182" s="50"/>
      <c r="Z182" s="50"/>
      <c r="AA182" s="50"/>
      <c r="AB182" s="50"/>
      <c r="AC182" s="50"/>
      <c r="AD182" s="50"/>
      <c r="AE182" s="50"/>
    </row>
    <row r="183" spans="1:31" outlineLevel="1">
      <c r="A183" s="480">
        <f>ROW()</f>
        <v>183</v>
      </c>
      <c r="B183" s="191"/>
      <c r="C183" s="151" t="s">
        <v>641</v>
      </c>
      <c r="D183" s="151" t="s">
        <v>667</v>
      </c>
      <c r="E183" s="323">
        <v>0</v>
      </c>
      <c r="F183" s="192" t="s">
        <v>668</v>
      </c>
      <c r="G183" s="697">
        <f t="shared" ref="G183:M187" si="34">IF($D183&lt;=G$10,1,0)</f>
        <v>0</v>
      </c>
      <c r="H183" s="697">
        <f t="shared" si="34"/>
        <v>0</v>
      </c>
      <c r="I183" s="697">
        <f t="shared" si="34"/>
        <v>0</v>
      </c>
      <c r="J183" s="697">
        <f t="shared" si="34"/>
        <v>0</v>
      </c>
      <c r="K183" s="697">
        <f t="shared" si="34"/>
        <v>0</v>
      </c>
      <c r="L183" s="697">
        <f t="shared" si="34"/>
        <v>0</v>
      </c>
      <c r="M183" s="697">
        <f t="shared" si="34"/>
        <v>0</v>
      </c>
      <c r="O183" s="343"/>
      <c r="Q183" s="50"/>
      <c r="R183" s="50"/>
      <c r="S183" s="50"/>
      <c r="T183" s="50"/>
      <c r="U183" s="50"/>
      <c r="V183" s="50"/>
      <c r="W183" s="50"/>
      <c r="X183" s="50"/>
      <c r="Y183" s="50"/>
      <c r="Z183" s="50"/>
      <c r="AA183" s="50"/>
      <c r="AB183" s="50"/>
      <c r="AC183" s="50"/>
      <c r="AD183" s="50"/>
      <c r="AE183" s="50"/>
    </row>
    <row r="184" spans="1:31" outlineLevel="1">
      <c r="A184" s="480">
        <f>ROW()</f>
        <v>184</v>
      </c>
      <c r="B184" s="191"/>
      <c r="C184" s="151" t="s">
        <v>641</v>
      </c>
      <c r="D184" s="151" t="s">
        <v>667</v>
      </c>
      <c r="E184" s="153">
        <v>0</v>
      </c>
      <c r="F184" s="192" t="s">
        <v>668</v>
      </c>
      <c r="G184" s="697">
        <f t="shared" si="34"/>
        <v>0</v>
      </c>
      <c r="H184" s="697">
        <f t="shared" si="34"/>
        <v>0</v>
      </c>
      <c r="I184" s="697">
        <f t="shared" si="34"/>
        <v>0</v>
      </c>
      <c r="J184" s="697">
        <f t="shared" si="34"/>
        <v>0</v>
      </c>
      <c r="K184" s="697">
        <f t="shared" si="34"/>
        <v>0</v>
      </c>
      <c r="L184" s="697">
        <f t="shared" si="34"/>
        <v>0</v>
      </c>
      <c r="M184" s="697">
        <f t="shared" si="34"/>
        <v>0</v>
      </c>
      <c r="O184" s="343"/>
      <c r="Q184" s="50"/>
      <c r="R184" s="50"/>
      <c r="S184" s="50"/>
      <c r="T184" s="50"/>
      <c r="U184" s="50"/>
      <c r="V184" s="50"/>
      <c r="W184" s="50"/>
      <c r="X184" s="50"/>
      <c r="Y184" s="50"/>
      <c r="Z184" s="50"/>
      <c r="AA184" s="50"/>
      <c r="AB184" s="50"/>
      <c r="AC184" s="50"/>
      <c r="AD184" s="50"/>
      <c r="AE184" s="50"/>
    </row>
    <row r="185" spans="1:31" outlineLevel="1">
      <c r="A185" s="480">
        <f>ROW()</f>
        <v>185</v>
      </c>
      <c r="B185" s="191"/>
      <c r="C185" s="151" t="s">
        <v>641</v>
      </c>
      <c r="D185" s="151" t="s">
        <v>667</v>
      </c>
      <c r="E185" s="153">
        <v>0</v>
      </c>
      <c r="F185" s="192" t="s">
        <v>668</v>
      </c>
      <c r="G185" s="697">
        <f t="shared" si="34"/>
        <v>0</v>
      </c>
      <c r="H185" s="697">
        <f t="shared" si="34"/>
        <v>0</v>
      </c>
      <c r="I185" s="697">
        <f t="shared" si="34"/>
        <v>0</v>
      </c>
      <c r="J185" s="697">
        <f t="shared" si="34"/>
        <v>0</v>
      </c>
      <c r="K185" s="697">
        <f t="shared" si="34"/>
        <v>0</v>
      </c>
      <c r="L185" s="697">
        <f t="shared" si="34"/>
        <v>0</v>
      </c>
      <c r="M185" s="697">
        <f t="shared" si="34"/>
        <v>0</v>
      </c>
      <c r="O185" s="343"/>
      <c r="Q185" s="50"/>
      <c r="R185" s="50"/>
      <c r="S185" s="50"/>
      <c r="T185" s="50"/>
      <c r="U185" s="50"/>
      <c r="V185" s="50"/>
      <c r="W185" s="50"/>
      <c r="X185" s="50"/>
      <c r="Y185" s="50"/>
      <c r="Z185" s="50"/>
      <c r="AA185" s="50"/>
      <c r="AB185" s="50"/>
      <c r="AC185" s="50"/>
      <c r="AD185" s="50"/>
      <c r="AE185" s="50"/>
    </row>
    <row r="186" spans="1:31" outlineLevel="1">
      <c r="A186" s="480">
        <f>ROW()</f>
        <v>186</v>
      </c>
      <c r="B186" s="191"/>
      <c r="C186" s="151" t="s">
        <v>641</v>
      </c>
      <c r="D186" s="151" t="s">
        <v>667</v>
      </c>
      <c r="E186" s="153">
        <v>0</v>
      </c>
      <c r="F186" s="192" t="s">
        <v>668</v>
      </c>
      <c r="G186" s="697">
        <f t="shared" si="34"/>
        <v>0</v>
      </c>
      <c r="H186" s="697">
        <f t="shared" si="34"/>
        <v>0</v>
      </c>
      <c r="I186" s="697">
        <f t="shared" si="34"/>
        <v>0</v>
      </c>
      <c r="J186" s="697">
        <f t="shared" si="34"/>
        <v>0</v>
      </c>
      <c r="K186" s="697">
        <f t="shared" si="34"/>
        <v>0</v>
      </c>
      <c r="L186" s="697">
        <f t="shared" si="34"/>
        <v>0</v>
      </c>
      <c r="M186" s="697">
        <f t="shared" si="34"/>
        <v>0</v>
      </c>
      <c r="O186" s="343"/>
      <c r="Q186" s="50"/>
      <c r="R186" s="50"/>
      <c r="S186" s="50"/>
      <c r="T186" s="50"/>
      <c r="U186" s="50"/>
      <c r="V186" s="50"/>
      <c r="W186" s="50"/>
      <c r="X186" s="50"/>
      <c r="Y186" s="50"/>
      <c r="Z186" s="50"/>
      <c r="AA186" s="50"/>
      <c r="AB186" s="50"/>
      <c r="AC186" s="50"/>
      <c r="AD186" s="50"/>
      <c r="AE186" s="50"/>
    </row>
    <row r="187" spans="1:31" outlineLevel="1">
      <c r="A187" s="480">
        <f>ROW()</f>
        <v>187</v>
      </c>
      <c r="B187" s="191"/>
      <c r="C187" s="151" t="s">
        <v>641</v>
      </c>
      <c r="D187" s="151" t="s">
        <v>667</v>
      </c>
      <c r="E187" s="153">
        <v>0</v>
      </c>
      <c r="F187" s="192" t="s">
        <v>668</v>
      </c>
      <c r="G187" s="697">
        <f t="shared" si="34"/>
        <v>0</v>
      </c>
      <c r="H187" s="697">
        <f t="shared" si="34"/>
        <v>0</v>
      </c>
      <c r="I187" s="697">
        <f t="shared" si="34"/>
        <v>0</v>
      </c>
      <c r="J187" s="697">
        <f t="shared" si="34"/>
        <v>0</v>
      </c>
      <c r="K187" s="697">
        <f t="shared" si="34"/>
        <v>0</v>
      </c>
      <c r="L187" s="697">
        <f t="shared" si="34"/>
        <v>0</v>
      </c>
      <c r="M187" s="697">
        <f t="shared" si="34"/>
        <v>0</v>
      </c>
      <c r="O187" s="343"/>
      <c r="Q187" s="50"/>
      <c r="R187" s="50"/>
      <c r="S187" s="50"/>
      <c r="T187" s="50"/>
      <c r="U187" s="50"/>
      <c r="V187" s="50"/>
      <c r="W187" s="50"/>
      <c r="X187" s="50"/>
      <c r="Y187" s="50"/>
      <c r="Z187" s="50"/>
      <c r="AA187" s="50"/>
      <c r="AB187" s="50"/>
      <c r="AC187" s="50"/>
      <c r="AD187" s="50"/>
      <c r="AE187" s="50"/>
    </row>
    <row r="188" spans="1:31" outlineLevel="1">
      <c r="A188" s="480">
        <f>ROW()</f>
        <v>188</v>
      </c>
      <c r="B188" s="1390"/>
      <c r="C188" s="1391"/>
      <c r="D188" s="1391"/>
      <c r="E188" s="1394"/>
      <c r="F188" s="1395"/>
      <c r="G188" s="140"/>
      <c r="H188" s="140"/>
      <c r="I188" s="140"/>
      <c r="J188" s="140"/>
      <c r="K188" s="140"/>
      <c r="L188" s="140"/>
      <c r="M188" s="140"/>
      <c r="O188" s="343"/>
      <c r="Q188" s="50"/>
      <c r="R188" s="50"/>
      <c r="S188" s="50"/>
      <c r="T188" s="50"/>
      <c r="U188" s="50"/>
      <c r="V188" s="50"/>
      <c r="W188" s="50"/>
      <c r="X188" s="50"/>
      <c r="Y188" s="50"/>
      <c r="Z188" s="50"/>
      <c r="AA188" s="50"/>
      <c r="AB188" s="50"/>
      <c r="AC188" s="50"/>
      <c r="AD188" s="50"/>
      <c r="AE188" s="50"/>
    </row>
    <row r="189" spans="1:31" outlineLevel="1">
      <c r="A189" s="480">
        <f>ROW()</f>
        <v>189</v>
      </c>
      <c r="B189" s="191"/>
      <c r="C189" s="151" t="s">
        <v>641</v>
      </c>
      <c r="D189" s="151" t="s">
        <v>667</v>
      </c>
      <c r="E189" s="323">
        <v>0</v>
      </c>
      <c r="F189" s="192" t="s">
        <v>668</v>
      </c>
      <c r="G189" s="697">
        <f t="shared" ref="G189:M194" si="35">IF($D189&lt;=G$10,1,0)</f>
        <v>0</v>
      </c>
      <c r="H189" s="697">
        <f t="shared" si="35"/>
        <v>0</v>
      </c>
      <c r="I189" s="697">
        <f t="shared" si="35"/>
        <v>0</v>
      </c>
      <c r="J189" s="697">
        <f t="shared" si="35"/>
        <v>0</v>
      </c>
      <c r="K189" s="697">
        <f t="shared" si="35"/>
        <v>0</v>
      </c>
      <c r="L189" s="697">
        <f t="shared" si="35"/>
        <v>0</v>
      </c>
      <c r="M189" s="697">
        <f t="shared" si="35"/>
        <v>0</v>
      </c>
      <c r="O189" s="343"/>
      <c r="Q189" s="50"/>
      <c r="R189" s="50"/>
      <c r="S189" s="50"/>
      <c r="T189" s="50"/>
      <c r="U189" s="50"/>
      <c r="V189" s="50"/>
      <c r="W189" s="50"/>
      <c r="X189" s="50"/>
      <c r="Y189" s="50"/>
      <c r="Z189" s="50"/>
      <c r="AA189" s="50"/>
      <c r="AB189" s="50"/>
      <c r="AC189" s="50"/>
      <c r="AD189" s="50"/>
      <c r="AE189" s="50"/>
    </row>
    <row r="190" spans="1:31" outlineLevel="1">
      <c r="A190" s="480">
        <f>ROW()</f>
        <v>190</v>
      </c>
      <c r="B190" s="191"/>
      <c r="C190" s="151" t="s">
        <v>641</v>
      </c>
      <c r="D190" s="151" t="s">
        <v>667</v>
      </c>
      <c r="E190" s="153">
        <v>0</v>
      </c>
      <c r="F190" s="192" t="s">
        <v>668</v>
      </c>
      <c r="G190" s="697">
        <f t="shared" si="35"/>
        <v>0</v>
      </c>
      <c r="H190" s="697">
        <f t="shared" si="35"/>
        <v>0</v>
      </c>
      <c r="I190" s="697">
        <f t="shared" si="35"/>
        <v>0</v>
      </c>
      <c r="J190" s="697">
        <f t="shared" si="35"/>
        <v>0</v>
      </c>
      <c r="K190" s="697">
        <f t="shared" si="35"/>
        <v>0</v>
      </c>
      <c r="L190" s="697">
        <f t="shared" si="35"/>
        <v>0</v>
      </c>
      <c r="M190" s="697">
        <f t="shared" si="35"/>
        <v>0</v>
      </c>
      <c r="O190" s="343"/>
      <c r="Q190" s="50"/>
      <c r="R190" s="50"/>
      <c r="S190" s="50"/>
      <c r="T190" s="50"/>
      <c r="U190" s="50"/>
      <c r="V190" s="50"/>
      <c r="W190" s="50"/>
      <c r="X190" s="50"/>
      <c r="Y190" s="50"/>
      <c r="Z190" s="50"/>
      <c r="AA190" s="50"/>
      <c r="AB190" s="50"/>
      <c r="AC190" s="50"/>
      <c r="AD190" s="50"/>
      <c r="AE190" s="50"/>
    </row>
    <row r="191" spans="1:31" outlineLevel="1">
      <c r="A191" s="480">
        <f>ROW()</f>
        <v>191</v>
      </c>
      <c r="B191" s="191"/>
      <c r="C191" s="151" t="s">
        <v>641</v>
      </c>
      <c r="D191" s="151" t="s">
        <v>667</v>
      </c>
      <c r="E191" s="153">
        <v>0</v>
      </c>
      <c r="F191" s="192" t="s">
        <v>668</v>
      </c>
      <c r="G191" s="697">
        <f t="shared" si="35"/>
        <v>0</v>
      </c>
      <c r="H191" s="697">
        <f t="shared" si="35"/>
        <v>0</v>
      </c>
      <c r="I191" s="697">
        <f t="shared" si="35"/>
        <v>0</v>
      </c>
      <c r="J191" s="697">
        <f t="shared" si="35"/>
        <v>0</v>
      </c>
      <c r="K191" s="697">
        <f t="shared" si="35"/>
        <v>0</v>
      </c>
      <c r="L191" s="697">
        <f t="shared" si="35"/>
        <v>0</v>
      </c>
      <c r="M191" s="697">
        <f t="shared" si="35"/>
        <v>0</v>
      </c>
      <c r="O191" s="343"/>
      <c r="Q191" s="50"/>
      <c r="R191" s="50"/>
      <c r="S191" s="50"/>
      <c r="T191" s="50"/>
      <c r="U191" s="50"/>
      <c r="V191" s="50"/>
      <c r="W191" s="50"/>
      <c r="X191" s="50"/>
      <c r="Y191" s="50"/>
      <c r="Z191" s="50"/>
      <c r="AA191" s="50"/>
      <c r="AB191" s="50"/>
      <c r="AC191" s="50"/>
      <c r="AD191" s="50"/>
      <c r="AE191" s="50"/>
    </row>
    <row r="192" spans="1:31" outlineLevel="1">
      <c r="A192" s="480">
        <f>ROW()</f>
        <v>192</v>
      </c>
      <c r="B192" s="191"/>
      <c r="C192" s="151" t="s">
        <v>641</v>
      </c>
      <c r="D192" s="151" t="s">
        <v>667</v>
      </c>
      <c r="E192" s="153">
        <v>0</v>
      </c>
      <c r="F192" s="192" t="s">
        <v>668</v>
      </c>
      <c r="G192" s="697">
        <f t="shared" si="35"/>
        <v>0</v>
      </c>
      <c r="H192" s="697">
        <f t="shared" si="35"/>
        <v>0</v>
      </c>
      <c r="I192" s="697">
        <f t="shared" si="35"/>
        <v>0</v>
      </c>
      <c r="J192" s="697">
        <f t="shared" si="35"/>
        <v>0</v>
      </c>
      <c r="K192" s="697">
        <f t="shared" si="35"/>
        <v>0</v>
      </c>
      <c r="L192" s="697">
        <f t="shared" si="35"/>
        <v>0</v>
      </c>
      <c r="M192" s="697">
        <f t="shared" si="35"/>
        <v>0</v>
      </c>
      <c r="O192" s="343"/>
      <c r="Q192" s="50"/>
      <c r="R192" s="50"/>
      <c r="S192" s="50"/>
      <c r="T192" s="50"/>
      <c r="U192" s="50"/>
      <c r="V192" s="50"/>
      <c r="W192" s="50"/>
      <c r="X192" s="50"/>
      <c r="Y192" s="50"/>
      <c r="Z192" s="50"/>
      <c r="AA192" s="50"/>
      <c r="AB192" s="50"/>
      <c r="AC192" s="50"/>
      <c r="AD192" s="50"/>
      <c r="AE192" s="50"/>
    </row>
    <row r="193" spans="1:31" outlineLevel="1">
      <c r="A193" s="480">
        <f>ROW()</f>
        <v>193</v>
      </c>
      <c r="B193" s="191"/>
      <c r="C193" s="151" t="s">
        <v>641</v>
      </c>
      <c r="D193" s="151" t="s">
        <v>667</v>
      </c>
      <c r="E193" s="153">
        <v>0</v>
      </c>
      <c r="F193" s="192" t="s">
        <v>668</v>
      </c>
      <c r="G193" s="697">
        <f t="shared" si="35"/>
        <v>0</v>
      </c>
      <c r="H193" s="697">
        <f t="shared" si="35"/>
        <v>0</v>
      </c>
      <c r="I193" s="697">
        <f t="shared" si="35"/>
        <v>0</v>
      </c>
      <c r="J193" s="697">
        <f t="shared" si="35"/>
        <v>0</v>
      </c>
      <c r="K193" s="697">
        <f t="shared" si="35"/>
        <v>0</v>
      </c>
      <c r="L193" s="697">
        <f t="shared" si="35"/>
        <v>0</v>
      </c>
      <c r="M193" s="697">
        <f t="shared" si="35"/>
        <v>0</v>
      </c>
      <c r="O193" s="343"/>
      <c r="Q193" s="50"/>
      <c r="R193" s="50"/>
      <c r="S193" s="50"/>
      <c r="T193" s="50"/>
      <c r="U193" s="50"/>
      <c r="V193" s="50"/>
      <c r="W193" s="50"/>
      <c r="X193" s="50"/>
      <c r="Y193" s="50"/>
      <c r="Z193" s="50"/>
      <c r="AA193" s="50"/>
      <c r="AB193" s="50"/>
      <c r="AC193" s="50"/>
      <c r="AD193" s="50"/>
      <c r="AE193" s="50"/>
    </row>
    <row r="194" spans="1:31" outlineLevel="1">
      <c r="A194" s="480">
        <f>ROW()</f>
        <v>194</v>
      </c>
      <c r="B194" s="191"/>
      <c r="C194" s="151" t="s">
        <v>641</v>
      </c>
      <c r="D194" s="151" t="s">
        <v>667</v>
      </c>
      <c r="E194" s="192"/>
      <c r="F194" s="192" t="s">
        <v>668</v>
      </c>
      <c r="G194" s="697">
        <f t="shared" si="35"/>
        <v>0</v>
      </c>
      <c r="H194" s="697">
        <f t="shared" si="35"/>
        <v>0</v>
      </c>
      <c r="I194" s="697">
        <f t="shared" si="35"/>
        <v>0</v>
      </c>
      <c r="J194" s="697">
        <f t="shared" si="35"/>
        <v>0</v>
      </c>
      <c r="K194" s="697">
        <f t="shared" si="35"/>
        <v>0</v>
      </c>
      <c r="L194" s="697">
        <f t="shared" si="35"/>
        <v>0</v>
      </c>
      <c r="M194" s="697">
        <f t="shared" si="35"/>
        <v>0</v>
      </c>
      <c r="O194" s="343"/>
      <c r="Q194" s="50"/>
      <c r="R194" s="50"/>
      <c r="S194" s="50"/>
      <c r="T194" s="50"/>
      <c r="U194" s="50"/>
      <c r="V194" s="50"/>
      <c r="W194" s="50"/>
      <c r="X194" s="50"/>
      <c r="Y194" s="50"/>
      <c r="Z194" s="50"/>
      <c r="AA194" s="50"/>
      <c r="AB194" s="50"/>
      <c r="AC194" s="50"/>
      <c r="AD194" s="50"/>
      <c r="AE194" s="50"/>
    </row>
    <row r="195" spans="1:31" outlineLevel="1">
      <c r="A195" s="480">
        <f>ROW()</f>
        <v>195</v>
      </c>
      <c r="B195" s="1377"/>
      <c r="C195" s="1396"/>
      <c r="D195" s="1396"/>
      <c r="E195" s="1397"/>
      <c r="F195" s="1395"/>
      <c r="G195" s="140"/>
      <c r="H195" s="140"/>
      <c r="I195" s="140"/>
      <c r="J195" s="140"/>
      <c r="K195" s="140"/>
      <c r="L195" s="140"/>
      <c r="M195" s="140"/>
      <c r="O195" s="343"/>
      <c r="Q195" s="50"/>
      <c r="R195" s="50"/>
      <c r="S195" s="50"/>
      <c r="T195" s="50"/>
      <c r="U195" s="50"/>
      <c r="V195" s="50"/>
      <c r="W195" s="50"/>
      <c r="X195" s="50"/>
      <c r="Y195" s="50"/>
      <c r="Z195" s="50"/>
      <c r="AA195" s="50"/>
      <c r="AB195" s="50"/>
      <c r="AC195" s="50"/>
      <c r="AD195" s="50"/>
      <c r="AE195" s="50"/>
    </row>
    <row r="196" spans="1:31" outlineLevel="1">
      <c r="A196" s="480">
        <f>ROW()</f>
        <v>196</v>
      </c>
      <c r="B196" s="191"/>
      <c r="C196" s="151" t="s">
        <v>641</v>
      </c>
      <c r="D196" s="151" t="s">
        <v>667</v>
      </c>
      <c r="E196" s="323">
        <v>0</v>
      </c>
      <c r="F196" s="192" t="s">
        <v>668</v>
      </c>
      <c r="G196" s="697">
        <f t="shared" ref="G196:M200" si="36">IF($D196&lt;=G$10,1,0)</f>
        <v>0</v>
      </c>
      <c r="H196" s="697">
        <f t="shared" si="36"/>
        <v>0</v>
      </c>
      <c r="I196" s="697">
        <f t="shared" si="36"/>
        <v>0</v>
      </c>
      <c r="J196" s="697">
        <f t="shared" si="36"/>
        <v>0</v>
      </c>
      <c r="K196" s="697">
        <f t="shared" si="36"/>
        <v>0</v>
      </c>
      <c r="L196" s="697">
        <f t="shared" si="36"/>
        <v>0</v>
      </c>
      <c r="M196" s="697">
        <f t="shared" si="36"/>
        <v>0</v>
      </c>
      <c r="O196" s="343"/>
      <c r="Q196" s="50"/>
      <c r="R196" s="50"/>
      <c r="S196" s="50"/>
      <c r="T196" s="50"/>
      <c r="U196" s="50"/>
      <c r="V196" s="50"/>
      <c r="W196" s="50"/>
      <c r="X196" s="50"/>
      <c r="Y196" s="50"/>
      <c r="Z196" s="50"/>
      <c r="AA196" s="50"/>
      <c r="AB196" s="50"/>
      <c r="AC196" s="50"/>
      <c r="AD196" s="50"/>
      <c r="AE196" s="50"/>
    </row>
    <row r="197" spans="1:31" outlineLevel="1">
      <c r="A197" s="480">
        <f>ROW()</f>
        <v>197</v>
      </c>
      <c r="B197" s="191"/>
      <c r="C197" s="151" t="s">
        <v>641</v>
      </c>
      <c r="D197" s="151" t="s">
        <v>667</v>
      </c>
      <c r="E197" s="153">
        <v>0</v>
      </c>
      <c r="F197" s="192" t="s">
        <v>668</v>
      </c>
      <c r="G197" s="697">
        <f t="shared" si="36"/>
        <v>0</v>
      </c>
      <c r="H197" s="697">
        <f t="shared" si="36"/>
        <v>0</v>
      </c>
      <c r="I197" s="697">
        <f t="shared" si="36"/>
        <v>0</v>
      </c>
      <c r="J197" s="697">
        <f t="shared" si="36"/>
        <v>0</v>
      </c>
      <c r="K197" s="697">
        <f t="shared" si="36"/>
        <v>0</v>
      </c>
      <c r="L197" s="697">
        <f t="shared" si="36"/>
        <v>0</v>
      </c>
      <c r="M197" s="697">
        <f t="shared" si="36"/>
        <v>0</v>
      </c>
      <c r="O197" s="343"/>
      <c r="Q197" s="50"/>
      <c r="R197" s="50"/>
      <c r="S197" s="50"/>
      <c r="T197" s="50"/>
      <c r="U197" s="50"/>
      <c r="V197" s="50"/>
      <c r="W197" s="50"/>
      <c r="X197" s="50"/>
      <c r="Y197" s="50"/>
      <c r="Z197" s="50"/>
      <c r="AA197" s="50"/>
      <c r="AB197" s="50"/>
      <c r="AC197" s="50"/>
      <c r="AD197" s="50"/>
      <c r="AE197" s="50"/>
    </row>
    <row r="198" spans="1:31" outlineLevel="1">
      <c r="A198" s="480">
        <f>ROW()</f>
        <v>198</v>
      </c>
      <c r="B198" s="191"/>
      <c r="C198" s="151" t="s">
        <v>641</v>
      </c>
      <c r="D198" s="151" t="s">
        <v>667</v>
      </c>
      <c r="E198" s="153">
        <v>0</v>
      </c>
      <c r="F198" s="192" t="s">
        <v>668</v>
      </c>
      <c r="G198" s="697">
        <f t="shared" si="36"/>
        <v>0</v>
      </c>
      <c r="H198" s="697">
        <f t="shared" si="36"/>
        <v>0</v>
      </c>
      <c r="I198" s="697">
        <f t="shared" si="36"/>
        <v>0</v>
      </c>
      <c r="J198" s="697">
        <f t="shared" si="36"/>
        <v>0</v>
      </c>
      <c r="K198" s="697">
        <f t="shared" si="36"/>
        <v>0</v>
      </c>
      <c r="L198" s="697">
        <f t="shared" si="36"/>
        <v>0</v>
      </c>
      <c r="M198" s="697">
        <f t="shared" si="36"/>
        <v>0</v>
      </c>
      <c r="O198" s="343"/>
      <c r="Q198" s="50"/>
      <c r="R198" s="50"/>
      <c r="S198" s="50"/>
      <c r="T198" s="50"/>
      <c r="U198" s="50"/>
      <c r="V198" s="50"/>
      <c r="W198" s="50"/>
      <c r="X198" s="50"/>
      <c r="Y198" s="50"/>
      <c r="Z198" s="50"/>
      <c r="AA198" s="50"/>
      <c r="AB198" s="50"/>
      <c r="AC198" s="50"/>
      <c r="AD198" s="50"/>
      <c r="AE198" s="50"/>
    </row>
    <row r="199" spans="1:31" outlineLevel="1">
      <c r="A199" s="480">
        <f>ROW()</f>
        <v>199</v>
      </c>
      <c r="B199" s="191"/>
      <c r="C199" s="151" t="s">
        <v>641</v>
      </c>
      <c r="D199" s="151" t="s">
        <v>667</v>
      </c>
      <c r="E199" s="153">
        <v>0</v>
      </c>
      <c r="F199" s="192" t="s">
        <v>668</v>
      </c>
      <c r="G199" s="697">
        <f t="shared" si="36"/>
        <v>0</v>
      </c>
      <c r="H199" s="697">
        <f t="shared" si="36"/>
        <v>0</v>
      </c>
      <c r="I199" s="697">
        <f t="shared" si="36"/>
        <v>0</v>
      </c>
      <c r="J199" s="697">
        <f t="shared" si="36"/>
        <v>0</v>
      </c>
      <c r="K199" s="697">
        <f t="shared" si="36"/>
        <v>0</v>
      </c>
      <c r="L199" s="697">
        <f t="shared" si="36"/>
        <v>0</v>
      </c>
      <c r="M199" s="697">
        <f t="shared" si="36"/>
        <v>0</v>
      </c>
      <c r="O199" s="343"/>
      <c r="Q199" s="50"/>
      <c r="R199" s="50"/>
      <c r="S199" s="50"/>
      <c r="T199" s="50"/>
      <c r="U199" s="50"/>
      <c r="V199" s="50"/>
      <c r="W199" s="50"/>
      <c r="X199" s="50"/>
      <c r="Y199" s="50"/>
      <c r="Z199" s="50"/>
      <c r="AA199" s="50"/>
      <c r="AB199" s="50"/>
      <c r="AC199" s="50"/>
      <c r="AD199" s="50"/>
      <c r="AE199" s="50"/>
    </row>
    <row r="200" spans="1:31" outlineLevel="1">
      <c r="A200" s="480">
        <f>ROW()</f>
        <v>200</v>
      </c>
      <c r="B200" s="191"/>
      <c r="C200" s="151" t="s">
        <v>641</v>
      </c>
      <c r="D200" s="151" t="s">
        <v>667</v>
      </c>
      <c r="E200" s="153">
        <v>0</v>
      </c>
      <c r="F200" s="192" t="s">
        <v>668</v>
      </c>
      <c r="G200" s="697">
        <f t="shared" si="36"/>
        <v>0</v>
      </c>
      <c r="H200" s="697">
        <f t="shared" si="36"/>
        <v>0</v>
      </c>
      <c r="I200" s="697">
        <f t="shared" si="36"/>
        <v>0</v>
      </c>
      <c r="J200" s="697">
        <f t="shared" si="36"/>
        <v>0</v>
      </c>
      <c r="K200" s="697">
        <f t="shared" si="36"/>
        <v>0</v>
      </c>
      <c r="L200" s="697">
        <f t="shared" si="36"/>
        <v>0</v>
      </c>
      <c r="M200" s="697">
        <f t="shared" si="36"/>
        <v>0</v>
      </c>
      <c r="O200" s="343"/>
      <c r="Q200" s="50"/>
      <c r="R200" s="50"/>
      <c r="S200" s="50"/>
      <c r="T200" s="50"/>
      <c r="U200" s="50"/>
      <c r="V200" s="50"/>
      <c r="W200" s="50"/>
      <c r="X200" s="50"/>
      <c r="Y200" s="50"/>
      <c r="Z200" s="50"/>
      <c r="AA200" s="50"/>
      <c r="AB200" s="50"/>
      <c r="AC200" s="50"/>
      <c r="AD200" s="50"/>
      <c r="AE200" s="50"/>
    </row>
    <row r="201" spans="1:31" outlineLevel="1">
      <c r="A201" s="480">
        <f>ROW()</f>
        <v>201</v>
      </c>
      <c r="B201" s="307"/>
      <c r="C201" s="1393"/>
      <c r="D201" s="1393"/>
      <c r="E201" s="1394"/>
      <c r="F201" s="1395"/>
      <c r="G201" s="140"/>
      <c r="H201" s="140"/>
      <c r="I201" s="140"/>
      <c r="J201" s="140"/>
      <c r="K201" s="140"/>
      <c r="L201" s="140"/>
      <c r="M201" s="140"/>
      <c r="O201" s="343"/>
      <c r="Q201" s="50"/>
      <c r="R201" s="50"/>
      <c r="S201" s="50"/>
      <c r="T201" s="50"/>
      <c r="U201" s="50"/>
      <c r="V201" s="50"/>
      <c r="W201" s="50"/>
      <c r="X201" s="50"/>
      <c r="Y201" s="50"/>
      <c r="Z201" s="50"/>
      <c r="AA201" s="50"/>
      <c r="AB201" s="50"/>
      <c r="AC201" s="50"/>
      <c r="AD201" s="50"/>
      <c r="AE201" s="50"/>
    </row>
    <row r="202" spans="1:31" outlineLevel="1">
      <c r="A202" s="480">
        <f>ROW()</f>
        <v>202</v>
      </c>
      <c r="B202" s="191"/>
      <c r="C202" s="151" t="s">
        <v>641</v>
      </c>
      <c r="D202" s="151" t="s">
        <v>667</v>
      </c>
      <c r="E202" s="323">
        <v>0</v>
      </c>
      <c r="F202" s="192" t="s">
        <v>668</v>
      </c>
      <c r="G202" s="697">
        <f t="shared" ref="G202:M206" si="37">IF($D202&lt;=G$10,1,0)</f>
        <v>0</v>
      </c>
      <c r="H202" s="697">
        <f t="shared" si="37"/>
        <v>0</v>
      </c>
      <c r="I202" s="697">
        <f t="shared" si="37"/>
        <v>0</v>
      </c>
      <c r="J202" s="697">
        <f t="shared" si="37"/>
        <v>0</v>
      </c>
      <c r="K202" s="697">
        <f t="shared" si="37"/>
        <v>0</v>
      </c>
      <c r="L202" s="697">
        <f t="shared" si="37"/>
        <v>0</v>
      </c>
      <c r="M202" s="697">
        <f t="shared" si="37"/>
        <v>0</v>
      </c>
      <c r="O202" s="343"/>
      <c r="Q202" s="50"/>
      <c r="R202" s="50"/>
      <c r="S202" s="50"/>
      <c r="T202" s="50"/>
      <c r="U202" s="50"/>
      <c r="V202" s="50"/>
      <c r="W202" s="50"/>
      <c r="X202" s="50"/>
      <c r="Y202" s="50"/>
      <c r="Z202" s="50"/>
      <c r="AA202" s="50"/>
      <c r="AB202" s="50"/>
      <c r="AC202" s="50"/>
      <c r="AD202" s="50"/>
      <c r="AE202" s="50"/>
    </row>
    <row r="203" spans="1:31" outlineLevel="1">
      <c r="A203" s="480">
        <f>ROW()</f>
        <v>203</v>
      </c>
      <c r="B203" s="191"/>
      <c r="C203" s="151" t="s">
        <v>641</v>
      </c>
      <c r="D203" s="151" t="s">
        <v>667</v>
      </c>
      <c r="E203" s="153">
        <v>0</v>
      </c>
      <c r="F203" s="192" t="s">
        <v>668</v>
      </c>
      <c r="G203" s="697">
        <f t="shared" si="37"/>
        <v>0</v>
      </c>
      <c r="H203" s="697">
        <f t="shared" si="37"/>
        <v>0</v>
      </c>
      <c r="I203" s="697">
        <f t="shared" si="37"/>
        <v>0</v>
      </c>
      <c r="J203" s="697">
        <f t="shared" si="37"/>
        <v>0</v>
      </c>
      <c r="K203" s="697">
        <f t="shared" si="37"/>
        <v>0</v>
      </c>
      <c r="L203" s="697">
        <f t="shared" si="37"/>
        <v>0</v>
      </c>
      <c r="M203" s="697">
        <f t="shared" si="37"/>
        <v>0</v>
      </c>
      <c r="O203" s="343"/>
      <c r="Q203" s="50"/>
      <c r="R203" s="50"/>
      <c r="S203" s="50"/>
      <c r="T203" s="50"/>
      <c r="U203" s="50"/>
      <c r="V203" s="50"/>
      <c r="W203" s="50"/>
      <c r="X203" s="50"/>
      <c r="Y203" s="50"/>
      <c r="Z203" s="50"/>
      <c r="AA203" s="50"/>
      <c r="AB203" s="50"/>
      <c r="AC203" s="50"/>
      <c r="AD203" s="50"/>
      <c r="AE203" s="50"/>
    </row>
    <row r="204" spans="1:31" outlineLevel="1">
      <c r="A204" s="480">
        <f>ROW()</f>
        <v>204</v>
      </c>
      <c r="B204" s="191"/>
      <c r="C204" s="151" t="s">
        <v>641</v>
      </c>
      <c r="D204" s="151" t="s">
        <v>667</v>
      </c>
      <c r="E204" s="153">
        <v>0</v>
      </c>
      <c r="F204" s="192" t="s">
        <v>668</v>
      </c>
      <c r="G204" s="697">
        <f t="shared" si="37"/>
        <v>0</v>
      </c>
      <c r="H204" s="697">
        <f t="shared" si="37"/>
        <v>0</v>
      </c>
      <c r="I204" s="697">
        <f t="shared" si="37"/>
        <v>0</v>
      </c>
      <c r="J204" s="697">
        <f t="shared" si="37"/>
        <v>0</v>
      </c>
      <c r="K204" s="697">
        <f t="shared" si="37"/>
        <v>0</v>
      </c>
      <c r="L204" s="697">
        <f t="shared" si="37"/>
        <v>0</v>
      </c>
      <c r="M204" s="697">
        <f t="shared" si="37"/>
        <v>0</v>
      </c>
      <c r="O204" s="343"/>
      <c r="Q204" s="50"/>
      <c r="R204" s="50"/>
      <c r="S204" s="50"/>
      <c r="T204" s="50"/>
      <c r="U204" s="50"/>
      <c r="V204" s="50"/>
      <c r="W204" s="50"/>
      <c r="X204" s="50"/>
      <c r="Y204" s="50"/>
      <c r="Z204" s="50"/>
      <c r="AA204" s="50"/>
      <c r="AB204" s="50"/>
      <c r="AC204" s="50"/>
      <c r="AD204" s="50"/>
      <c r="AE204" s="50"/>
    </row>
    <row r="205" spans="1:31" outlineLevel="1">
      <c r="A205" s="480">
        <f>ROW()</f>
        <v>205</v>
      </c>
      <c r="B205" s="191"/>
      <c r="C205" s="151" t="s">
        <v>641</v>
      </c>
      <c r="D205" s="151" t="s">
        <v>667</v>
      </c>
      <c r="E205" s="153">
        <v>0</v>
      </c>
      <c r="F205" s="192" t="s">
        <v>668</v>
      </c>
      <c r="G205" s="697">
        <f t="shared" si="37"/>
        <v>0</v>
      </c>
      <c r="H205" s="697">
        <f t="shared" si="37"/>
        <v>0</v>
      </c>
      <c r="I205" s="697">
        <f t="shared" si="37"/>
        <v>0</v>
      </c>
      <c r="J205" s="697">
        <f t="shared" si="37"/>
        <v>0</v>
      </c>
      <c r="K205" s="697">
        <f t="shared" si="37"/>
        <v>0</v>
      </c>
      <c r="L205" s="697">
        <f t="shared" si="37"/>
        <v>0</v>
      </c>
      <c r="M205" s="697">
        <f t="shared" si="37"/>
        <v>0</v>
      </c>
      <c r="O205" s="343"/>
      <c r="Q205" s="50"/>
      <c r="R205" s="50"/>
      <c r="S205" s="50"/>
      <c r="T205" s="50"/>
      <c r="U205" s="50"/>
      <c r="V205" s="50"/>
      <c r="W205" s="50"/>
      <c r="X205" s="50"/>
      <c r="Y205" s="50"/>
      <c r="Z205" s="50"/>
      <c r="AA205" s="50"/>
      <c r="AB205" s="50"/>
      <c r="AC205" s="50"/>
      <c r="AD205" s="50"/>
      <c r="AE205" s="50"/>
    </row>
    <row r="206" spans="1:31" outlineLevel="1">
      <c r="A206" s="480">
        <f>ROW()</f>
        <v>206</v>
      </c>
      <c r="B206" s="191"/>
      <c r="C206" s="151" t="s">
        <v>641</v>
      </c>
      <c r="D206" s="151" t="s">
        <v>667</v>
      </c>
      <c r="E206" s="153">
        <v>0</v>
      </c>
      <c r="F206" s="192" t="s">
        <v>668</v>
      </c>
      <c r="G206" s="697">
        <f t="shared" si="37"/>
        <v>0</v>
      </c>
      <c r="H206" s="697">
        <f t="shared" si="37"/>
        <v>0</v>
      </c>
      <c r="I206" s="697">
        <f t="shared" si="37"/>
        <v>0</v>
      </c>
      <c r="J206" s="697">
        <f t="shared" si="37"/>
        <v>0</v>
      </c>
      <c r="K206" s="697">
        <f t="shared" si="37"/>
        <v>0</v>
      </c>
      <c r="L206" s="697">
        <f t="shared" si="37"/>
        <v>0</v>
      </c>
      <c r="M206" s="697">
        <f t="shared" si="37"/>
        <v>0</v>
      </c>
      <c r="O206" s="343"/>
      <c r="Q206" s="50"/>
      <c r="R206" s="50"/>
      <c r="S206" s="50"/>
      <c r="T206" s="50"/>
      <c r="U206" s="50"/>
      <c r="V206" s="50"/>
      <c r="W206" s="50"/>
      <c r="X206" s="50"/>
      <c r="Y206" s="50"/>
      <c r="Z206" s="50"/>
      <c r="AA206" s="50"/>
      <c r="AB206" s="50"/>
      <c r="AC206" s="50"/>
      <c r="AD206" s="50"/>
      <c r="AE206" s="50"/>
    </row>
    <row r="207" spans="1:31" outlineLevel="1">
      <c r="A207" s="480">
        <f>ROW()</f>
        <v>207</v>
      </c>
      <c r="B207" s="307"/>
      <c r="C207" s="1393"/>
      <c r="D207" s="1393"/>
      <c r="E207" s="1394"/>
      <c r="F207" s="1395"/>
      <c r="G207" s="140"/>
      <c r="H207" s="140"/>
      <c r="I207" s="140"/>
      <c r="J207" s="140"/>
      <c r="K207" s="140"/>
      <c r="L207" s="140"/>
      <c r="M207" s="140"/>
      <c r="O207" s="343"/>
      <c r="Q207" s="50"/>
      <c r="R207" s="50"/>
      <c r="S207" s="50"/>
      <c r="T207" s="50"/>
      <c r="U207" s="50"/>
      <c r="V207" s="50"/>
      <c r="W207" s="50"/>
      <c r="X207" s="50"/>
      <c r="Y207" s="50"/>
      <c r="Z207" s="50"/>
      <c r="AA207" s="50"/>
      <c r="AB207" s="50"/>
      <c r="AC207" s="50"/>
      <c r="AD207" s="50"/>
      <c r="AE207" s="50"/>
    </row>
    <row r="208" spans="1:31" outlineLevel="1">
      <c r="A208" s="480">
        <f>ROW()</f>
        <v>208</v>
      </c>
      <c r="B208" s="191"/>
      <c r="C208" s="151" t="s">
        <v>641</v>
      </c>
      <c r="D208" s="151" t="s">
        <v>667</v>
      </c>
      <c r="E208" s="323">
        <v>0</v>
      </c>
      <c r="F208" s="192" t="s">
        <v>668</v>
      </c>
      <c r="G208" s="697">
        <f t="shared" ref="G208:M212" si="38">IF($D208&lt;=G$10,1,0)</f>
        <v>0</v>
      </c>
      <c r="H208" s="697">
        <f t="shared" si="38"/>
        <v>0</v>
      </c>
      <c r="I208" s="697">
        <f t="shared" si="38"/>
        <v>0</v>
      </c>
      <c r="J208" s="697">
        <f t="shared" si="38"/>
        <v>0</v>
      </c>
      <c r="K208" s="697">
        <f t="shared" si="38"/>
        <v>0</v>
      </c>
      <c r="L208" s="697">
        <f t="shared" si="38"/>
        <v>0</v>
      </c>
      <c r="M208" s="697">
        <f t="shared" si="38"/>
        <v>0</v>
      </c>
      <c r="O208" s="343"/>
      <c r="Q208" s="50"/>
      <c r="R208" s="50"/>
      <c r="S208" s="50"/>
      <c r="T208" s="50"/>
      <c r="U208" s="50"/>
      <c r="V208" s="50"/>
      <c r="W208" s="50"/>
      <c r="X208" s="50"/>
      <c r="Y208" s="50"/>
      <c r="Z208" s="50"/>
      <c r="AA208" s="50"/>
      <c r="AB208" s="50"/>
      <c r="AC208" s="50"/>
      <c r="AD208" s="50"/>
      <c r="AE208" s="50"/>
    </row>
    <row r="209" spans="1:31" outlineLevel="1">
      <c r="A209" s="480">
        <f>ROW()</f>
        <v>209</v>
      </c>
      <c r="B209" s="191"/>
      <c r="C209" s="151" t="s">
        <v>641</v>
      </c>
      <c r="D209" s="151" t="s">
        <v>667</v>
      </c>
      <c r="E209" s="153">
        <v>0</v>
      </c>
      <c r="F209" s="192" t="s">
        <v>668</v>
      </c>
      <c r="G209" s="697">
        <f t="shared" si="38"/>
        <v>0</v>
      </c>
      <c r="H209" s="697">
        <f t="shared" si="38"/>
        <v>0</v>
      </c>
      <c r="I209" s="697">
        <f t="shared" si="38"/>
        <v>0</v>
      </c>
      <c r="J209" s="697">
        <f t="shared" si="38"/>
        <v>0</v>
      </c>
      <c r="K209" s="697">
        <f t="shared" si="38"/>
        <v>0</v>
      </c>
      <c r="L209" s="697">
        <f t="shared" si="38"/>
        <v>0</v>
      </c>
      <c r="M209" s="697">
        <f t="shared" si="38"/>
        <v>0</v>
      </c>
      <c r="O209" s="343"/>
      <c r="Q209" s="50"/>
      <c r="R209" s="50"/>
      <c r="S209" s="50"/>
      <c r="T209" s="50"/>
      <c r="U209" s="50"/>
      <c r="V209" s="50"/>
      <c r="W209" s="50"/>
      <c r="X209" s="50"/>
      <c r="Y209" s="50"/>
      <c r="Z209" s="50"/>
      <c r="AA209" s="50"/>
      <c r="AB209" s="50"/>
      <c r="AC209" s="50"/>
      <c r="AD209" s="50"/>
      <c r="AE209" s="50"/>
    </row>
    <row r="210" spans="1:31" outlineLevel="1">
      <c r="A210" s="480">
        <f>ROW()</f>
        <v>210</v>
      </c>
      <c r="B210" s="191"/>
      <c r="C210" s="151" t="s">
        <v>641</v>
      </c>
      <c r="D210" s="151" t="s">
        <v>667</v>
      </c>
      <c r="E210" s="153">
        <v>0</v>
      </c>
      <c r="F210" s="192" t="s">
        <v>668</v>
      </c>
      <c r="G210" s="697">
        <f t="shared" si="38"/>
        <v>0</v>
      </c>
      <c r="H210" s="697">
        <f t="shared" si="38"/>
        <v>0</v>
      </c>
      <c r="I210" s="697">
        <f t="shared" si="38"/>
        <v>0</v>
      </c>
      <c r="J210" s="697">
        <f t="shared" si="38"/>
        <v>0</v>
      </c>
      <c r="K210" s="697">
        <f t="shared" si="38"/>
        <v>0</v>
      </c>
      <c r="L210" s="697">
        <f t="shared" si="38"/>
        <v>0</v>
      </c>
      <c r="M210" s="697">
        <f t="shared" si="38"/>
        <v>0</v>
      </c>
      <c r="O210" s="343"/>
      <c r="Q210" s="50"/>
      <c r="R210" s="50"/>
      <c r="S210" s="50"/>
      <c r="T210" s="50"/>
      <c r="U210" s="50"/>
      <c r="V210" s="50"/>
      <c r="W210" s="50"/>
      <c r="X210" s="50"/>
      <c r="Y210" s="50"/>
      <c r="Z210" s="50"/>
      <c r="AA210" s="50"/>
      <c r="AB210" s="50"/>
      <c r="AC210" s="50"/>
      <c r="AD210" s="50"/>
      <c r="AE210" s="50"/>
    </row>
    <row r="211" spans="1:31" outlineLevel="1">
      <c r="A211" s="480">
        <f>ROW()</f>
        <v>211</v>
      </c>
      <c r="B211" s="191"/>
      <c r="C211" s="151" t="s">
        <v>641</v>
      </c>
      <c r="D211" s="151" t="s">
        <v>667</v>
      </c>
      <c r="E211" s="153">
        <v>0</v>
      </c>
      <c r="F211" s="192" t="s">
        <v>668</v>
      </c>
      <c r="G211" s="697">
        <f t="shared" si="38"/>
        <v>0</v>
      </c>
      <c r="H211" s="697">
        <f t="shared" si="38"/>
        <v>0</v>
      </c>
      <c r="I211" s="697">
        <f t="shared" si="38"/>
        <v>0</v>
      </c>
      <c r="J211" s="697">
        <f t="shared" si="38"/>
        <v>0</v>
      </c>
      <c r="K211" s="697">
        <f t="shared" si="38"/>
        <v>0</v>
      </c>
      <c r="L211" s="697">
        <f t="shared" si="38"/>
        <v>0</v>
      </c>
      <c r="M211" s="697">
        <f t="shared" si="38"/>
        <v>0</v>
      </c>
      <c r="O211" s="343"/>
      <c r="Q211" s="50"/>
      <c r="R211" s="50"/>
      <c r="S211" s="50"/>
      <c r="T211" s="50"/>
      <c r="U211" s="50"/>
      <c r="V211" s="50"/>
      <c r="W211" s="50"/>
      <c r="X211" s="50"/>
      <c r="Y211" s="50"/>
      <c r="Z211" s="50"/>
      <c r="AA211" s="50"/>
      <c r="AB211" s="50"/>
      <c r="AC211" s="50"/>
      <c r="AD211" s="50"/>
      <c r="AE211" s="50"/>
    </row>
    <row r="212" spans="1:31" outlineLevel="1">
      <c r="A212" s="480">
        <f>ROW()</f>
        <v>212</v>
      </c>
      <c r="B212" s="191"/>
      <c r="C212" s="151" t="s">
        <v>641</v>
      </c>
      <c r="D212" s="151" t="s">
        <v>667</v>
      </c>
      <c r="E212" s="153">
        <v>0</v>
      </c>
      <c r="F212" s="192" t="s">
        <v>668</v>
      </c>
      <c r="G212" s="697">
        <f t="shared" si="38"/>
        <v>0</v>
      </c>
      <c r="H212" s="697">
        <f t="shared" si="38"/>
        <v>0</v>
      </c>
      <c r="I212" s="697">
        <f t="shared" si="38"/>
        <v>0</v>
      </c>
      <c r="J212" s="697">
        <f t="shared" si="38"/>
        <v>0</v>
      </c>
      <c r="K212" s="697">
        <f t="shared" si="38"/>
        <v>0</v>
      </c>
      <c r="L212" s="697">
        <f t="shared" si="38"/>
        <v>0</v>
      </c>
      <c r="M212" s="697">
        <f t="shared" si="38"/>
        <v>0</v>
      </c>
      <c r="O212" s="343"/>
      <c r="Q212" s="50"/>
      <c r="R212" s="50"/>
      <c r="S212" s="50"/>
      <c r="T212" s="50"/>
      <c r="U212" s="50"/>
      <c r="V212" s="50"/>
      <c r="W212" s="50"/>
      <c r="X212" s="50"/>
      <c r="Y212" s="50"/>
      <c r="Z212" s="50"/>
      <c r="AA212" s="50"/>
      <c r="AB212" s="50"/>
      <c r="AC212" s="50"/>
      <c r="AD212" s="50"/>
      <c r="AE212" s="50"/>
    </row>
    <row r="213" spans="1:31" outlineLevel="1">
      <c r="A213" s="480">
        <f>ROW()</f>
        <v>213</v>
      </c>
      <c r="B213" s="307"/>
      <c r="C213" s="1395"/>
      <c r="D213" s="1395"/>
      <c r="E213" s="1398"/>
      <c r="F213" s="1395"/>
      <c r="G213" s="140"/>
      <c r="H213" s="140"/>
      <c r="I213" s="140"/>
      <c r="J213" s="140"/>
      <c r="K213" s="140"/>
      <c r="L213" s="140"/>
      <c r="M213" s="140"/>
      <c r="O213" s="343"/>
      <c r="Q213" s="50"/>
      <c r="R213" s="50"/>
      <c r="S213" s="50"/>
      <c r="T213" s="50"/>
      <c r="U213" s="50"/>
      <c r="V213" s="50"/>
      <c r="W213" s="50"/>
      <c r="X213" s="50"/>
      <c r="Y213" s="50"/>
      <c r="Z213" s="50"/>
      <c r="AA213" s="50"/>
      <c r="AB213" s="50"/>
      <c r="AC213" s="50"/>
      <c r="AD213" s="50"/>
      <c r="AE213" s="50"/>
    </row>
    <row r="214" spans="1:31" outlineLevel="1">
      <c r="A214" s="480">
        <f>ROW()</f>
        <v>214</v>
      </c>
      <c r="B214" s="191"/>
      <c r="C214" s="151" t="s">
        <v>641</v>
      </c>
      <c r="D214" s="151" t="s">
        <v>667</v>
      </c>
      <c r="E214" s="323">
        <v>0</v>
      </c>
      <c r="F214" s="192" t="s">
        <v>668</v>
      </c>
      <c r="G214" s="697">
        <f t="shared" ref="G214:M218" si="39">IF($D214&lt;=G$10,1,0)</f>
        <v>0</v>
      </c>
      <c r="H214" s="697">
        <f t="shared" si="39"/>
        <v>0</v>
      </c>
      <c r="I214" s="697">
        <f t="shared" si="39"/>
        <v>0</v>
      </c>
      <c r="J214" s="697">
        <f t="shared" si="39"/>
        <v>0</v>
      </c>
      <c r="K214" s="697">
        <f t="shared" si="39"/>
        <v>0</v>
      </c>
      <c r="L214" s="697">
        <f t="shared" si="39"/>
        <v>0</v>
      </c>
      <c r="M214" s="697">
        <f t="shared" si="39"/>
        <v>0</v>
      </c>
      <c r="O214" s="343"/>
      <c r="Q214" s="50"/>
      <c r="R214" s="50"/>
      <c r="S214" s="50"/>
      <c r="T214" s="50"/>
      <c r="U214" s="50"/>
      <c r="V214" s="50"/>
      <c r="W214" s="50"/>
      <c r="X214" s="50"/>
      <c r="Y214" s="50"/>
      <c r="Z214" s="50"/>
      <c r="AA214" s="50"/>
      <c r="AB214" s="50"/>
      <c r="AC214" s="50"/>
      <c r="AD214" s="50"/>
      <c r="AE214" s="50"/>
    </row>
    <row r="215" spans="1:31" outlineLevel="1">
      <c r="A215" s="480">
        <f>ROW()</f>
        <v>215</v>
      </c>
      <c r="B215" s="191"/>
      <c r="C215" s="151" t="s">
        <v>641</v>
      </c>
      <c r="D215" s="151" t="s">
        <v>667</v>
      </c>
      <c r="E215" s="153">
        <v>0</v>
      </c>
      <c r="F215" s="192" t="s">
        <v>668</v>
      </c>
      <c r="G215" s="697">
        <f t="shared" si="39"/>
        <v>0</v>
      </c>
      <c r="H215" s="697">
        <f t="shared" si="39"/>
        <v>0</v>
      </c>
      <c r="I215" s="697">
        <f t="shared" si="39"/>
        <v>0</v>
      </c>
      <c r="J215" s="697">
        <f t="shared" si="39"/>
        <v>0</v>
      </c>
      <c r="K215" s="697">
        <f t="shared" si="39"/>
        <v>0</v>
      </c>
      <c r="L215" s="697">
        <f t="shared" si="39"/>
        <v>0</v>
      </c>
      <c r="M215" s="697">
        <f t="shared" si="39"/>
        <v>0</v>
      </c>
      <c r="O215" s="343"/>
      <c r="Q215" s="50"/>
      <c r="R215" s="50"/>
      <c r="S215" s="50"/>
      <c r="T215" s="50"/>
      <c r="U215" s="50"/>
      <c r="V215" s="50"/>
      <c r="W215" s="50"/>
      <c r="X215" s="50"/>
      <c r="Y215" s="50"/>
      <c r="Z215" s="50"/>
      <c r="AA215" s="50"/>
      <c r="AB215" s="50"/>
      <c r="AC215" s="50"/>
      <c r="AD215" s="50"/>
      <c r="AE215" s="50"/>
    </row>
    <row r="216" spans="1:31" outlineLevel="1">
      <c r="A216" s="480">
        <f>ROW()</f>
        <v>216</v>
      </c>
      <c r="B216" s="191"/>
      <c r="C216" s="151" t="s">
        <v>641</v>
      </c>
      <c r="D216" s="151" t="s">
        <v>667</v>
      </c>
      <c r="E216" s="153">
        <v>0</v>
      </c>
      <c r="F216" s="192" t="s">
        <v>668</v>
      </c>
      <c r="G216" s="697">
        <f t="shared" si="39"/>
        <v>0</v>
      </c>
      <c r="H216" s="697">
        <f t="shared" si="39"/>
        <v>0</v>
      </c>
      <c r="I216" s="697">
        <f t="shared" si="39"/>
        <v>0</v>
      </c>
      <c r="J216" s="697">
        <f t="shared" si="39"/>
        <v>0</v>
      </c>
      <c r="K216" s="697">
        <f t="shared" si="39"/>
        <v>0</v>
      </c>
      <c r="L216" s="697">
        <f t="shared" si="39"/>
        <v>0</v>
      </c>
      <c r="M216" s="697">
        <f t="shared" si="39"/>
        <v>0</v>
      </c>
      <c r="O216" s="343"/>
      <c r="Q216" s="50"/>
      <c r="R216" s="50"/>
      <c r="S216" s="50"/>
      <c r="T216" s="50"/>
      <c r="U216" s="50"/>
      <c r="V216" s="50"/>
      <c r="W216" s="50"/>
      <c r="X216" s="50"/>
      <c r="Y216" s="50"/>
      <c r="Z216" s="50"/>
      <c r="AA216" s="50"/>
      <c r="AB216" s="50"/>
      <c r="AC216" s="50"/>
      <c r="AD216" s="50"/>
      <c r="AE216" s="50"/>
    </row>
    <row r="217" spans="1:31" outlineLevel="1">
      <c r="A217" s="480">
        <f>ROW()</f>
        <v>217</v>
      </c>
      <c r="B217" s="191"/>
      <c r="C217" s="151" t="s">
        <v>641</v>
      </c>
      <c r="D217" s="151" t="s">
        <v>667</v>
      </c>
      <c r="E217" s="153">
        <v>0</v>
      </c>
      <c r="F217" s="192" t="s">
        <v>668</v>
      </c>
      <c r="G217" s="697">
        <f t="shared" si="39"/>
        <v>0</v>
      </c>
      <c r="H217" s="697">
        <f t="shared" si="39"/>
        <v>0</v>
      </c>
      <c r="I217" s="697">
        <f t="shared" si="39"/>
        <v>0</v>
      </c>
      <c r="J217" s="697">
        <f t="shared" si="39"/>
        <v>0</v>
      </c>
      <c r="K217" s="697">
        <f t="shared" si="39"/>
        <v>0</v>
      </c>
      <c r="L217" s="697">
        <f t="shared" si="39"/>
        <v>0</v>
      </c>
      <c r="M217" s="697">
        <f t="shared" si="39"/>
        <v>0</v>
      </c>
      <c r="O217" s="343"/>
      <c r="Q217" s="50"/>
      <c r="R217" s="50"/>
      <c r="S217" s="50"/>
      <c r="T217" s="50"/>
      <c r="U217" s="50"/>
      <c r="V217" s="50"/>
      <c r="W217" s="50"/>
      <c r="X217" s="50"/>
      <c r="Y217" s="50"/>
      <c r="Z217" s="50"/>
      <c r="AA217" s="50"/>
      <c r="AB217" s="50"/>
      <c r="AC217" s="50"/>
      <c r="AD217" s="50"/>
      <c r="AE217" s="50"/>
    </row>
    <row r="218" spans="1:31" outlineLevel="1">
      <c r="A218" s="480">
        <f>ROW()</f>
        <v>218</v>
      </c>
      <c r="B218" s="191"/>
      <c r="C218" s="151" t="s">
        <v>641</v>
      </c>
      <c r="D218" s="151" t="s">
        <v>667</v>
      </c>
      <c r="E218" s="153">
        <v>0</v>
      </c>
      <c r="F218" s="192" t="s">
        <v>668</v>
      </c>
      <c r="G218" s="697">
        <f t="shared" si="39"/>
        <v>0</v>
      </c>
      <c r="H218" s="697">
        <f t="shared" si="39"/>
        <v>0</v>
      </c>
      <c r="I218" s="697">
        <f t="shared" si="39"/>
        <v>0</v>
      </c>
      <c r="J218" s="697">
        <f t="shared" si="39"/>
        <v>0</v>
      </c>
      <c r="K218" s="697">
        <f t="shared" si="39"/>
        <v>0</v>
      </c>
      <c r="L218" s="697">
        <f t="shared" si="39"/>
        <v>0</v>
      </c>
      <c r="M218" s="697">
        <f t="shared" si="39"/>
        <v>0</v>
      </c>
      <c r="O218" s="343"/>
      <c r="Q218" s="50"/>
      <c r="R218" s="50"/>
      <c r="S218" s="50"/>
      <c r="T218" s="50"/>
      <c r="U218" s="50"/>
      <c r="V218" s="50"/>
      <c r="W218" s="50"/>
      <c r="X218" s="50"/>
      <c r="Y218" s="50"/>
      <c r="Z218" s="50"/>
      <c r="AA218" s="50"/>
      <c r="AB218" s="50"/>
      <c r="AC218" s="50"/>
      <c r="AD218" s="50"/>
      <c r="AE218" s="50"/>
    </row>
    <row r="219" spans="1:31" outlineLevel="1">
      <c r="A219" s="480">
        <f>ROW()</f>
        <v>219</v>
      </c>
      <c r="B219" s="307"/>
      <c r="C219" s="1395"/>
      <c r="D219" s="1395"/>
      <c r="E219" s="1394"/>
      <c r="F219" s="1395"/>
      <c r="G219" s="140"/>
      <c r="H219" s="140"/>
      <c r="I219" s="140"/>
      <c r="J219" s="140"/>
      <c r="K219" s="140"/>
      <c r="L219" s="140"/>
      <c r="M219" s="140"/>
      <c r="O219" s="343"/>
      <c r="Q219" s="50"/>
      <c r="R219" s="50"/>
      <c r="S219" s="50"/>
      <c r="T219" s="50"/>
      <c r="U219" s="50"/>
      <c r="V219" s="50"/>
      <c r="W219" s="50"/>
      <c r="X219" s="50"/>
      <c r="Y219" s="50"/>
      <c r="Z219" s="50"/>
      <c r="AA219" s="50"/>
      <c r="AB219" s="50"/>
      <c r="AC219" s="50"/>
      <c r="AD219" s="50"/>
      <c r="AE219" s="50"/>
    </row>
    <row r="220" spans="1:31" outlineLevel="1">
      <c r="A220" s="480">
        <f>ROW()</f>
        <v>220</v>
      </c>
      <c r="B220" s="191"/>
      <c r="C220" s="151" t="s">
        <v>641</v>
      </c>
      <c r="D220" s="151" t="s">
        <v>667</v>
      </c>
      <c r="E220" s="323">
        <v>0</v>
      </c>
      <c r="F220" s="192" t="s">
        <v>668</v>
      </c>
      <c r="G220" s="697">
        <f t="shared" ref="G220:M224" si="40">IF($D220&lt;=G$10,1,0)</f>
        <v>0</v>
      </c>
      <c r="H220" s="697">
        <f t="shared" si="40"/>
        <v>0</v>
      </c>
      <c r="I220" s="697">
        <f t="shared" si="40"/>
        <v>0</v>
      </c>
      <c r="J220" s="697">
        <f t="shared" si="40"/>
        <v>0</v>
      </c>
      <c r="K220" s="697">
        <f t="shared" si="40"/>
        <v>0</v>
      </c>
      <c r="L220" s="697">
        <f t="shared" si="40"/>
        <v>0</v>
      </c>
      <c r="M220" s="697">
        <f t="shared" si="40"/>
        <v>0</v>
      </c>
      <c r="O220" s="343"/>
      <c r="Q220" s="50"/>
      <c r="R220" s="50"/>
      <c r="S220" s="50"/>
      <c r="T220" s="50"/>
      <c r="U220" s="50"/>
      <c r="V220" s="50"/>
      <c r="W220" s="50"/>
      <c r="X220" s="50"/>
      <c r="Y220" s="50"/>
      <c r="Z220" s="50"/>
      <c r="AA220" s="50"/>
      <c r="AB220" s="50"/>
      <c r="AC220" s="50"/>
      <c r="AD220" s="50"/>
      <c r="AE220" s="50"/>
    </row>
    <row r="221" spans="1:31" outlineLevel="1">
      <c r="A221" s="480">
        <f>ROW()</f>
        <v>221</v>
      </c>
      <c r="B221" s="191"/>
      <c r="C221" s="151" t="s">
        <v>641</v>
      </c>
      <c r="D221" s="151" t="s">
        <v>667</v>
      </c>
      <c r="E221" s="153">
        <v>0</v>
      </c>
      <c r="F221" s="192" t="s">
        <v>668</v>
      </c>
      <c r="G221" s="697">
        <f t="shared" si="40"/>
        <v>0</v>
      </c>
      <c r="H221" s="697">
        <f t="shared" si="40"/>
        <v>0</v>
      </c>
      <c r="I221" s="697">
        <f t="shared" si="40"/>
        <v>0</v>
      </c>
      <c r="J221" s="697">
        <f t="shared" si="40"/>
        <v>0</v>
      </c>
      <c r="K221" s="697">
        <f t="shared" si="40"/>
        <v>0</v>
      </c>
      <c r="L221" s="697">
        <f t="shared" si="40"/>
        <v>0</v>
      </c>
      <c r="M221" s="697">
        <f t="shared" si="40"/>
        <v>0</v>
      </c>
      <c r="O221" s="343"/>
      <c r="Q221" s="50"/>
      <c r="R221" s="50"/>
      <c r="S221" s="50"/>
      <c r="T221" s="50"/>
      <c r="U221" s="50"/>
      <c r="V221" s="50"/>
      <c r="W221" s="50"/>
      <c r="X221" s="50"/>
      <c r="Y221" s="50"/>
      <c r="Z221" s="50"/>
      <c r="AA221" s="50"/>
      <c r="AB221" s="50"/>
      <c r="AC221" s="50"/>
      <c r="AD221" s="50"/>
      <c r="AE221" s="50"/>
    </row>
    <row r="222" spans="1:31" outlineLevel="1">
      <c r="A222" s="480">
        <f>ROW()</f>
        <v>222</v>
      </c>
      <c r="B222" s="191"/>
      <c r="C222" s="151" t="s">
        <v>641</v>
      </c>
      <c r="D222" s="151" t="s">
        <v>667</v>
      </c>
      <c r="E222" s="153">
        <v>0</v>
      </c>
      <c r="F222" s="192" t="s">
        <v>668</v>
      </c>
      <c r="G222" s="697">
        <f t="shared" si="40"/>
        <v>0</v>
      </c>
      <c r="H222" s="697">
        <f t="shared" si="40"/>
        <v>0</v>
      </c>
      <c r="I222" s="697">
        <f t="shared" si="40"/>
        <v>0</v>
      </c>
      <c r="J222" s="697">
        <f t="shared" si="40"/>
        <v>0</v>
      </c>
      <c r="K222" s="697">
        <f t="shared" si="40"/>
        <v>0</v>
      </c>
      <c r="L222" s="697">
        <f t="shared" si="40"/>
        <v>0</v>
      </c>
      <c r="M222" s="697">
        <f t="shared" si="40"/>
        <v>0</v>
      </c>
      <c r="O222" s="343"/>
      <c r="Q222" s="50"/>
      <c r="R222" s="50"/>
      <c r="S222" s="50"/>
      <c r="T222" s="50"/>
      <c r="U222" s="50"/>
      <c r="V222" s="50"/>
      <c r="W222" s="50"/>
      <c r="X222" s="50"/>
      <c r="Y222" s="50"/>
      <c r="Z222" s="50"/>
      <c r="AA222" s="50"/>
      <c r="AB222" s="50"/>
      <c r="AC222" s="50"/>
      <c r="AD222" s="50"/>
      <c r="AE222" s="50"/>
    </row>
    <row r="223" spans="1:31" outlineLevel="1">
      <c r="A223" s="480">
        <f>ROW()</f>
        <v>223</v>
      </c>
      <c r="B223" s="191"/>
      <c r="C223" s="151" t="s">
        <v>641</v>
      </c>
      <c r="D223" s="151" t="s">
        <v>667</v>
      </c>
      <c r="E223" s="153">
        <v>0</v>
      </c>
      <c r="F223" s="192" t="s">
        <v>668</v>
      </c>
      <c r="G223" s="697">
        <f t="shared" si="40"/>
        <v>0</v>
      </c>
      <c r="H223" s="697">
        <f t="shared" si="40"/>
        <v>0</v>
      </c>
      <c r="I223" s="697">
        <f t="shared" si="40"/>
        <v>0</v>
      </c>
      <c r="J223" s="697">
        <f t="shared" si="40"/>
        <v>0</v>
      </c>
      <c r="K223" s="697">
        <f t="shared" si="40"/>
        <v>0</v>
      </c>
      <c r="L223" s="697">
        <f t="shared" si="40"/>
        <v>0</v>
      </c>
      <c r="M223" s="697">
        <f t="shared" si="40"/>
        <v>0</v>
      </c>
      <c r="O223" s="343"/>
      <c r="Q223" s="50"/>
      <c r="R223" s="50"/>
      <c r="S223" s="50"/>
      <c r="T223" s="50"/>
      <c r="U223" s="50"/>
      <c r="V223" s="50"/>
      <c r="W223" s="50"/>
      <c r="X223" s="50"/>
      <c r="Y223" s="50"/>
      <c r="Z223" s="50"/>
      <c r="AA223" s="50"/>
      <c r="AB223" s="50"/>
      <c r="AC223" s="50"/>
      <c r="AD223" s="50"/>
      <c r="AE223" s="50"/>
    </row>
    <row r="224" spans="1:31" outlineLevel="1">
      <c r="A224" s="480">
        <f>ROW()</f>
        <v>224</v>
      </c>
      <c r="B224" s="191"/>
      <c r="C224" s="151" t="s">
        <v>641</v>
      </c>
      <c r="D224" s="151" t="s">
        <v>667</v>
      </c>
      <c r="E224" s="153">
        <v>0</v>
      </c>
      <c r="F224" s="192" t="s">
        <v>668</v>
      </c>
      <c r="G224" s="697">
        <f t="shared" si="40"/>
        <v>0</v>
      </c>
      <c r="H224" s="697">
        <f t="shared" si="40"/>
        <v>0</v>
      </c>
      <c r="I224" s="697">
        <f t="shared" si="40"/>
        <v>0</v>
      </c>
      <c r="J224" s="697">
        <f t="shared" si="40"/>
        <v>0</v>
      </c>
      <c r="K224" s="697">
        <f t="shared" si="40"/>
        <v>0</v>
      </c>
      <c r="L224" s="697">
        <f t="shared" si="40"/>
        <v>0</v>
      </c>
      <c r="M224" s="697">
        <f t="shared" si="40"/>
        <v>0</v>
      </c>
      <c r="O224" s="343"/>
      <c r="Q224" s="50"/>
      <c r="R224" s="50"/>
      <c r="S224" s="50"/>
      <c r="T224" s="50"/>
      <c r="U224" s="50"/>
      <c r="V224" s="50"/>
      <c r="W224" s="50"/>
      <c r="X224" s="50"/>
      <c r="Y224" s="50"/>
      <c r="Z224" s="50"/>
      <c r="AA224" s="50"/>
      <c r="AB224" s="50"/>
      <c r="AC224" s="50"/>
      <c r="AD224" s="50"/>
      <c r="AE224" s="50"/>
    </row>
    <row r="225" spans="1:31" outlineLevel="1">
      <c r="A225" s="480">
        <f>ROW()</f>
        <v>225</v>
      </c>
      <c r="B225" s="307"/>
      <c r="C225" s="1393"/>
      <c r="D225" s="1393"/>
      <c r="E225" s="1394"/>
      <c r="F225" s="1395"/>
      <c r="G225" s="140"/>
      <c r="H225" s="140"/>
      <c r="I225" s="140"/>
      <c r="J225" s="140"/>
      <c r="K225" s="140"/>
      <c r="L225" s="140"/>
      <c r="M225" s="140"/>
      <c r="O225" s="343"/>
      <c r="Q225" s="50"/>
      <c r="R225" s="50"/>
      <c r="S225" s="50"/>
      <c r="T225" s="50"/>
      <c r="U225" s="50"/>
      <c r="V225" s="50"/>
      <c r="W225" s="50"/>
      <c r="X225" s="50"/>
      <c r="Y225" s="50"/>
      <c r="Z225" s="50"/>
      <c r="AA225" s="50"/>
      <c r="AB225" s="50"/>
      <c r="AC225" s="50"/>
      <c r="AD225" s="50"/>
      <c r="AE225" s="50"/>
    </row>
    <row r="226" spans="1:31" outlineLevel="1">
      <c r="A226" s="480">
        <f>ROW()</f>
        <v>226</v>
      </c>
      <c r="B226" s="191"/>
      <c r="C226" s="151" t="s">
        <v>641</v>
      </c>
      <c r="D226" s="151" t="s">
        <v>667</v>
      </c>
      <c r="E226" s="323">
        <v>0</v>
      </c>
      <c r="F226" s="192" t="s">
        <v>668</v>
      </c>
      <c r="G226" s="697">
        <f t="shared" ref="G226:M230" si="41">IF($D226&lt;=G$10,1,0)</f>
        <v>0</v>
      </c>
      <c r="H226" s="697">
        <f t="shared" si="41"/>
        <v>0</v>
      </c>
      <c r="I226" s="697">
        <f t="shared" si="41"/>
        <v>0</v>
      </c>
      <c r="J226" s="697">
        <f t="shared" si="41"/>
        <v>0</v>
      </c>
      <c r="K226" s="697">
        <f t="shared" si="41"/>
        <v>0</v>
      </c>
      <c r="L226" s="697">
        <f t="shared" si="41"/>
        <v>0</v>
      </c>
      <c r="M226" s="697">
        <f t="shared" si="41"/>
        <v>0</v>
      </c>
      <c r="O226" s="343"/>
      <c r="Q226" s="50"/>
      <c r="R226" s="50"/>
      <c r="S226" s="50"/>
      <c r="T226" s="50"/>
      <c r="U226" s="50"/>
      <c r="V226" s="50"/>
      <c r="W226" s="50"/>
      <c r="X226" s="50"/>
      <c r="Y226" s="50"/>
      <c r="Z226" s="50"/>
      <c r="AA226" s="50"/>
      <c r="AB226" s="50"/>
      <c r="AC226" s="50"/>
      <c r="AD226" s="50"/>
      <c r="AE226" s="50"/>
    </row>
    <row r="227" spans="1:31" outlineLevel="1">
      <c r="A227" s="480">
        <f>ROW()</f>
        <v>227</v>
      </c>
      <c r="B227" s="191"/>
      <c r="C227" s="151" t="s">
        <v>641</v>
      </c>
      <c r="D227" s="151" t="s">
        <v>667</v>
      </c>
      <c r="E227" s="153">
        <v>0</v>
      </c>
      <c r="F227" s="192" t="s">
        <v>668</v>
      </c>
      <c r="G227" s="697">
        <f t="shared" si="41"/>
        <v>0</v>
      </c>
      <c r="H227" s="697">
        <f t="shared" si="41"/>
        <v>0</v>
      </c>
      <c r="I227" s="697">
        <f t="shared" si="41"/>
        <v>0</v>
      </c>
      <c r="J227" s="697">
        <f t="shared" si="41"/>
        <v>0</v>
      </c>
      <c r="K227" s="697">
        <f t="shared" si="41"/>
        <v>0</v>
      </c>
      <c r="L227" s="697">
        <f t="shared" si="41"/>
        <v>0</v>
      </c>
      <c r="M227" s="697">
        <f t="shared" si="41"/>
        <v>0</v>
      </c>
      <c r="O227" s="343"/>
      <c r="Q227" s="50"/>
      <c r="R227" s="50"/>
      <c r="S227" s="50"/>
      <c r="T227" s="50"/>
      <c r="U227" s="50"/>
      <c r="V227" s="50"/>
      <c r="W227" s="50"/>
      <c r="X227" s="50"/>
      <c r="Y227" s="50"/>
      <c r="Z227" s="50"/>
      <c r="AA227" s="50"/>
      <c r="AB227" s="50"/>
      <c r="AC227" s="50"/>
      <c r="AD227" s="50"/>
      <c r="AE227" s="50"/>
    </row>
    <row r="228" spans="1:31" outlineLevel="1">
      <c r="A228" s="480">
        <f>ROW()</f>
        <v>228</v>
      </c>
      <c r="B228" s="191"/>
      <c r="C228" s="151" t="s">
        <v>641</v>
      </c>
      <c r="D228" s="151" t="s">
        <v>667</v>
      </c>
      <c r="E228" s="153">
        <v>0</v>
      </c>
      <c r="F228" s="192" t="s">
        <v>668</v>
      </c>
      <c r="G228" s="697">
        <f t="shared" si="41"/>
        <v>0</v>
      </c>
      <c r="H228" s="697">
        <f t="shared" si="41"/>
        <v>0</v>
      </c>
      <c r="I228" s="697">
        <f t="shared" si="41"/>
        <v>0</v>
      </c>
      <c r="J228" s="697">
        <f t="shared" si="41"/>
        <v>0</v>
      </c>
      <c r="K228" s="697">
        <f t="shared" si="41"/>
        <v>0</v>
      </c>
      <c r="L228" s="697">
        <f t="shared" si="41"/>
        <v>0</v>
      </c>
      <c r="M228" s="697">
        <f t="shared" si="41"/>
        <v>0</v>
      </c>
      <c r="O228" s="343"/>
      <c r="Q228" s="50"/>
      <c r="R228" s="50"/>
      <c r="S228" s="50"/>
      <c r="T228" s="50"/>
      <c r="U228" s="50"/>
      <c r="V228" s="50"/>
      <c r="W228" s="50"/>
      <c r="X228" s="50"/>
      <c r="Y228" s="50"/>
      <c r="Z228" s="50"/>
      <c r="AA228" s="50"/>
      <c r="AB228" s="50"/>
      <c r="AC228" s="50"/>
      <c r="AD228" s="50"/>
      <c r="AE228" s="50"/>
    </row>
    <row r="229" spans="1:31" outlineLevel="1">
      <c r="A229" s="480">
        <f>ROW()</f>
        <v>229</v>
      </c>
      <c r="B229" s="191"/>
      <c r="C229" s="151" t="s">
        <v>641</v>
      </c>
      <c r="D229" s="151" t="s">
        <v>667</v>
      </c>
      <c r="E229" s="153">
        <v>0</v>
      </c>
      <c r="F229" s="192" t="s">
        <v>668</v>
      </c>
      <c r="G229" s="697">
        <f t="shared" si="41"/>
        <v>0</v>
      </c>
      <c r="H229" s="697">
        <f t="shared" si="41"/>
        <v>0</v>
      </c>
      <c r="I229" s="697">
        <f t="shared" si="41"/>
        <v>0</v>
      </c>
      <c r="J229" s="697">
        <f t="shared" si="41"/>
        <v>0</v>
      </c>
      <c r="K229" s="697">
        <f t="shared" si="41"/>
        <v>0</v>
      </c>
      <c r="L229" s="697">
        <f t="shared" si="41"/>
        <v>0</v>
      </c>
      <c r="M229" s="697">
        <f t="shared" si="41"/>
        <v>0</v>
      </c>
      <c r="O229" s="343"/>
      <c r="Q229" s="50"/>
      <c r="R229" s="50"/>
      <c r="S229" s="50"/>
      <c r="T229" s="50"/>
      <c r="U229" s="50"/>
      <c r="V229" s="50"/>
      <c r="W229" s="50"/>
      <c r="X229" s="50"/>
      <c r="Y229" s="50"/>
      <c r="Z229" s="50"/>
      <c r="AA229" s="50"/>
      <c r="AB229" s="50"/>
      <c r="AC229" s="50"/>
      <c r="AD229" s="50"/>
      <c r="AE229" s="50"/>
    </row>
    <row r="230" spans="1:31" outlineLevel="1">
      <c r="A230" s="480">
        <f>ROW()</f>
        <v>230</v>
      </c>
      <c r="B230" s="191"/>
      <c r="C230" s="151" t="s">
        <v>641</v>
      </c>
      <c r="D230" s="151" t="s">
        <v>667</v>
      </c>
      <c r="E230" s="153">
        <v>0</v>
      </c>
      <c r="F230" s="192" t="s">
        <v>668</v>
      </c>
      <c r="G230" s="697">
        <f t="shared" si="41"/>
        <v>0</v>
      </c>
      <c r="H230" s="697">
        <f t="shared" si="41"/>
        <v>0</v>
      </c>
      <c r="I230" s="697">
        <f t="shared" si="41"/>
        <v>0</v>
      </c>
      <c r="J230" s="697">
        <f t="shared" si="41"/>
        <v>0</v>
      </c>
      <c r="K230" s="697">
        <f t="shared" si="41"/>
        <v>0</v>
      </c>
      <c r="L230" s="697">
        <f t="shared" si="41"/>
        <v>0</v>
      </c>
      <c r="M230" s="697">
        <f t="shared" si="41"/>
        <v>0</v>
      </c>
      <c r="O230" s="343"/>
      <c r="Q230" s="50"/>
      <c r="R230" s="50"/>
      <c r="S230" s="50"/>
      <c r="T230" s="50"/>
      <c r="U230" s="50"/>
      <c r="V230" s="50"/>
      <c r="W230" s="50"/>
      <c r="X230" s="50"/>
      <c r="Y230" s="50"/>
      <c r="Z230" s="50"/>
      <c r="AA230" s="50"/>
      <c r="AB230" s="50"/>
      <c r="AC230" s="50"/>
      <c r="AD230" s="50"/>
      <c r="AE230" s="50"/>
    </row>
    <row r="231" spans="1:31" outlineLevel="1">
      <c r="A231" s="480">
        <f>ROW()</f>
        <v>231</v>
      </c>
      <c r="B231" s="307"/>
      <c r="C231" s="1393"/>
      <c r="D231" s="1393"/>
      <c r="E231" s="1394"/>
      <c r="F231" s="1395"/>
      <c r="G231" s="140"/>
      <c r="H231" s="140"/>
      <c r="I231" s="140"/>
      <c r="J231" s="140"/>
      <c r="K231" s="140"/>
      <c r="L231" s="140"/>
      <c r="M231" s="140"/>
      <c r="O231" s="343"/>
      <c r="Q231" s="50"/>
      <c r="R231" s="50"/>
      <c r="S231" s="50"/>
      <c r="T231" s="50"/>
      <c r="U231" s="50"/>
      <c r="V231" s="50"/>
      <c r="W231" s="50"/>
      <c r="X231" s="50"/>
      <c r="Y231" s="50"/>
      <c r="Z231" s="50"/>
      <c r="AA231" s="50"/>
      <c r="AB231" s="50"/>
      <c r="AC231" s="50"/>
      <c r="AD231" s="50"/>
      <c r="AE231" s="50"/>
    </row>
    <row r="232" spans="1:31" outlineLevel="1">
      <c r="A232" s="480">
        <f>ROW()</f>
        <v>232</v>
      </c>
      <c r="B232" s="191"/>
      <c r="C232" s="151" t="s">
        <v>641</v>
      </c>
      <c r="D232" s="151" t="s">
        <v>667</v>
      </c>
      <c r="E232" s="323">
        <v>0</v>
      </c>
      <c r="F232" s="192" t="s">
        <v>668</v>
      </c>
      <c r="G232" s="697">
        <f t="shared" ref="G232:M236" si="42">IF($D232&lt;=G$10,1,0)</f>
        <v>0</v>
      </c>
      <c r="H232" s="697">
        <f t="shared" si="42"/>
        <v>0</v>
      </c>
      <c r="I232" s="697">
        <f t="shared" si="42"/>
        <v>0</v>
      </c>
      <c r="J232" s="697">
        <f t="shared" si="42"/>
        <v>0</v>
      </c>
      <c r="K232" s="697">
        <f t="shared" si="42"/>
        <v>0</v>
      </c>
      <c r="L232" s="697">
        <f t="shared" si="42"/>
        <v>0</v>
      </c>
      <c r="M232" s="697">
        <f t="shared" si="42"/>
        <v>0</v>
      </c>
      <c r="O232" s="343"/>
      <c r="Q232" s="50"/>
      <c r="R232" s="50"/>
      <c r="S232" s="50"/>
      <c r="T232" s="50"/>
      <c r="U232" s="50"/>
      <c r="V232" s="50"/>
      <c r="W232" s="50"/>
      <c r="X232" s="50"/>
      <c r="Y232" s="50"/>
      <c r="Z232" s="50"/>
      <c r="AA232" s="50"/>
      <c r="AB232" s="50"/>
      <c r="AC232" s="50"/>
      <c r="AD232" s="50"/>
      <c r="AE232" s="50"/>
    </row>
    <row r="233" spans="1:31" outlineLevel="1">
      <c r="A233" s="480">
        <f>ROW()</f>
        <v>233</v>
      </c>
      <c r="B233" s="191"/>
      <c r="C233" s="151" t="s">
        <v>641</v>
      </c>
      <c r="D233" s="151" t="s">
        <v>667</v>
      </c>
      <c r="E233" s="153">
        <v>0</v>
      </c>
      <c r="F233" s="192" t="s">
        <v>668</v>
      </c>
      <c r="G233" s="697">
        <f t="shared" si="42"/>
        <v>0</v>
      </c>
      <c r="H233" s="697">
        <f t="shared" si="42"/>
        <v>0</v>
      </c>
      <c r="I233" s="697">
        <f t="shared" si="42"/>
        <v>0</v>
      </c>
      <c r="J233" s="697">
        <f t="shared" si="42"/>
        <v>0</v>
      </c>
      <c r="K233" s="697">
        <f t="shared" si="42"/>
        <v>0</v>
      </c>
      <c r="L233" s="697">
        <f t="shared" si="42"/>
        <v>0</v>
      </c>
      <c r="M233" s="697">
        <f t="shared" si="42"/>
        <v>0</v>
      </c>
      <c r="O233" s="343"/>
      <c r="Q233" s="50"/>
      <c r="R233" s="50"/>
      <c r="S233" s="50"/>
      <c r="T233" s="50"/>
      <c r="U233" s="50"/>
      <c r="V233" s="50"/>
      <c r="W233" s="50"/>
      <c r="X233" s="50"/>
      <c r="Y233" s="50"/>
      <c r="Z233" s="50"/>
      <c r="AA233" s="50"/>
      <c r="AB233" s="50"/>
      <c r="AC233" s="50"/>
      <c r="AD233" s="50"/>
      <c r="AE233" s="50"/>
    </row>
    <row r="234" spans="1:31" outlineLevel="1">
      <c r="A234" s="480">
        <f>ROW()</f>
        <v>234</v>
      </c>
      <c r="B234" s="191"/>
      <c r="C234" s="151" t="s">
        <v>641</v>
      </c>
      <c r="D234" s="151" t="s">
        <v>667</v>
      </c>
      <c r="E234" s="153">
        <v>0</v>
      </c>
      <c r="F234" s="192" t="s">
        <v>668</v>
      </c>
      <c r="G234" s="697">
        <f t="shared" si="42"/>
        <v>0</v>
      </c>
      <c r="H234" s="697">
        <f t="shared" si="42"/>
        <v>0</v>
      </c>
      <c r="I234" s="697">
        <f t="shared" si="42"/>
        <v>0</v>
      </c>
      <c r="J234" s="697">
        <f t="shared" si="42"/>
        <v>0</v>
      </c>
      <c r="K234" s="697">
        <f t="shared" si="42"/>
        <v>0</v>
      </c>
      <c r="L234" s="697">
        <f t="shared" si="42"/>
        <v>0</v>
      </c>
      <c r="M234" s="697">
        <f t="shared" si="42"/>
        <v>0</v>
      </c>
      <c r="O234" s="343"/>
      <c r="Q234" s="50"/>
      <c r="R234" s="50"/>
      <c r="S234" s="50"/>
      <c r="T234" s="50"/>
      <c r="U234" s="50"/>
      <c r="V234" s="50"/>
      <c r="W234" s="50"/>
      <c r="X234" s="50"/>
      <c r="Y234" s="50"/>
      <c r="Z234" s="50"/>
      <c r="AA234" s="50"/>
      <c r="AB234" s="50"/>
      <c r="AC234" s="50"/>
      <c r="AD234" s="50"/>
      <c r="AE234" s="50"/>
    </row>
    <row r="235" spans="1:31" outlineLevel="1">
      <c r="A235" s="480">
        <f>ROW()</f>
        <v>235</v>
      </c>
      <c r="B235" s="191"/>
      <c r="C235" s="151" t="s">
        <v>641</v>
      </c>
      <c r="D235" s="151" t="s">
        <v>667</v>
      </c>
      <c r="E235" s="153">
        <v>0</v>
      </c>
      <c r="F235" s="192" t="s">
        <v>668</v>
      </c>
      <c r="G235" s="697">
        <f t="shared" si="42"/>
        <v>0</v>
      </c>
      <c r="H235" s="697">
        <f t="shared" si="42"/>
        <v>0</v>
      </c>
      <c r="I235" s="697">
        <f t="shared" si="42"/>
        <v>0</v>
      </c>
      <c r="J235" s="697">
        <f t="shared" si="42"/>
        <v>0</v>
      </c>
      <c r="K235" s="697">
        <f t="shared" si="42"/>
        <v>0</v>
      </c>
      <c r="L235" s="697">
        <f t="shared" si="42"/>
        <v>0</v>
      </c>
      <c r="M235" s="697">
        <f t="shared" si="42"/>
        <v>0</v>
      </c>
      <c r="O235" s="343"/>
      <c r="Q235" s="50"/>
      <c r="R235" s="50"/>
      <c r="S235" s="50"/>
      <c r="T235" s="50"/>
      <c r="U235" s="50"/>
      <c r="V235" s="50"/>
      <c r="W235" s="50"/>
      <c r="X235" s="50"/>
      <c r="Y235" s="50"/>
      <c r="Z235" s="50"/>
      <c r="AA235" s="50"/>
      <c r="AB235" s="50"/>
      <c r="AC235" s="50"/>
      <c r="AD235" s="50"/>
      <c r="AE235" s="50"/>
    </row>
    <row r="236" spans="1:31" outlineLevel="1">
      <c r="A236" s="480">
        <f>ROW()</f>
        <v>236</v>
      </c>
      <c r="B236" s="191"/>
      <c r="C236" s="151" t="s">
        <v>641</v>
      </c>
      <c r="D236" s="151" t="s">
        <v>667</v>
      </c>
      <c r="E236" s="153">
        <v>0</v>
      </c>
      <c r="F236" s="192" t="s">
        <v>668</v>
      </c>
      <c r="G236" s="697">
        <f t="shared" si="42"/>
        <v>0</v>
      </c>
      <c r="H236" s="697">
        <f t="shared" si="42"/>
        <v>0</v>
      </c>
      <c r="I236" s="697">
        <f t="shared" si="42"/>
        <v>0</v>
      </c>
      <c r="J236" s="697">
        <f t="shared" si="42"/>
        <v>0</v>
      </c>
      <c r="K236" s="697">
        <f t="shared" si="42"/>
        <v>0</v>
      </c>
      <c r="L236" s="697">
        <f t="shared" si="42"/>
        <v>0</v>
      </c>
      <c r="M236" s="697">
        <f t="shared" si="42"/>
        <v>0</v>
      </c>
      <c r="O236" s="343"/>
      <c r="Q236" s="50"/>
      <c r="R236" s="50"/>
      <c r="S236" s="50"/>
      <c r="T236" s="50"/>
      <c r="U236" s="50"/>
      <c r="V236" s="50"/>
      <c r="W236" s="50"/>
      <c r="X236" s="50"/>
      <c r="Y236" s="50"/>
      <c r="Z236" s="50"/>
      <c r="AA236" s="50"/>
      <c r="AB236" s="50"/>
      <c r="AC236" s="50"/>
      <c r="AD236" s="50"/>
      <c r="AE236" s="50"/>
    </row>
    <row r="237" spans="1:31">
      <c r="A237" s="480">
        <f>ROW()</f>
        <v>237</v>
      </c>
      <c r="C237" s="104"/>
      <c r="D237" s="104"/>
      <c r="E237" s="95"/>
      <c r="F237" s="95"/>
      <c r="G237" s="103"/>
      <c r="H237" s="103"/>
      <c r="I237" s="103"/>
      <c r="J237" s="103"/>
      <c r="K237" s="54"/>
      <c r="L237" s="54"/>
      <c r="M237" s="54"/>
      <c r="O237" s="343"/>
      <c r="Q237" s="50"/>
      <c r="R237" s="50"/>
      <c r="S237" s="50"/>
      <c r="T237" s="50"/>
      <c r="U237" s="50"/>
      <c r="V237" s="50"/>
      <c r="W237" s="50"/>
      <c r="X237" s="50"/>
      <c r="Y237" s="50"/>
      <c r="Z237" s="50"/>
      <c r="AA237" s="50"/>
      <c r="AB237" s="50"/>
      <c r="AC237" s="50"/>
      <c r="AD237" s="50"/>
      <c r="AE237" s="50"/>
    </row>
    <row r="238" spans="1:31">
      <c r="A238" s="480">
        <f>ROW()</f>
        <v>238</v>
      </c>
      <c r="B238" s="127" t="s">
        <v>669</v>
      </c>
      <c r="C238" s="128"/>
      <c r="D238" s="128"/>
      <c r="E238" s="127"/>
      <c r="F238" s="127"/>
      <c r="G238" s="1202">
        <f t="shared" ref="G238:M238" si="43">SUM(G143:G236)</f>
        <v>0</v>
      </c>
      <c r="H238" s="344">
        <f t="shared" si="43"/>
        <v>29</v>
      </c>
      <c r="I238" s="344">
        <f t="shared" si="43"/>
        <v>29</v>
      </c>
      <c r="J238" s="344">
        <f t="shared" si="43"/>
        <v>29</v>
      </c>
      <c r="K238" s="344">
        <f t="shared" si="43"/>
        <v>32</v>
      </c>
      <c r="L238" s="344">
        <f t="shared" si="43"/>
        <v>32</v>
      </c>
      <c r="M238" s="344">
        <f t="shared" si="43"/>
        <v>32</v>
      </c>
      <c r="N238" s="31"/>
      <c r="O238" s="343"/>
      <c r="Q238" s="50"/>
      <c r="R238" s="50"/>
      <c r="S238" s="50"/>
      <c r="T238" s="50"/>
      <c r="U238" s="50"/>
      <c r="V238" s="50"/>
      <c r="W238" s="50"/>
      <c r="X238" s="50"/>
      <c r="Y238" s="50"/>
      <c r="Z238" s="50"/>
      <c r="AA238" s="50"/>
      <c r="AB238" s="50"/>
      <c r="AC238" s="50"/>
      <c r="AD238" s="50"/>
      <c r="AE238" s="50"/>
    </row>
    <row r="239" spans="1:31">
      <c r="A239" s="480">
        <f>ROW()</f>
        <v>239</v>
      </c>
      <c r="B239" s="33" t="s">
        <v>670</v>
      </c>
      <c r="G239" s="309">
        <f t="shared" ref="G239:M239" si="44">+G238+G136</f>
        <v>0</v>
      </c>
      <c r="H239" s="309">
        <f t="shared" si="44"/>
        <v>42</v>
      </c>
      <c r="I239" s="309">
        <f t="shared" si="44"/>
        <v>43</v>
      </c>
      <c r="J239" s="309">
        <f t="shared" si="44"/>
        <v>43</v>
      </c>
      <c r="K239" s="309">
        <f t="shared" si="44"/>
        <v>47</v>
      </c>
      <c r="L239" s="309">
        <f t="shared" si="44"/>
        <v>47</v>
      </c>
      <c r="M239" s="309">
        <f t="shared" si="44"/>
        <v>49</v>
      </c>
      <c r="O239" s="343"/>
      <c r="Q239" s="50"/>
      <c r="R239" s="50"/>
      <c r="S239" s="50"/>
      <c r="T239" s="50"/>
      <c r="U239" s="50"/>
      <c r="V239" s="50"/>
      <c r="W239" s="50"/>
      <c r="X239" s="50"/>
      <c r="Y239" s="50"/>
      <c r="Z239" s="50"/>
      <c r="AA239" s="50"/>
      <c r="AB239" s="50"/>
      <c r="AC239" s="50"/>
      <c r="AD239" s="50"/>
      <c r="AE239" s="50"/>
    </row>
    <row r="240" spans="1:31">
      <c r="A240" s="480">
        <f>ROW()</f>
        <v>240</v>
      </c>
      <c r="G240" s="103"/>
      <c r="H240" s="103"/>
      <c r="I240" s="103"/>
      <c r="J240" s="103"/>
      <c r="K240" s="103"/>
      <c r="L240" s="51"/>
      <c r="M240" s="51"/>
      <c r="O240" s="343"/>
      <c r="Q240" s="50"/>
      <c r="R240" s="50"/>
      <c r="S240" s="50"/>
      <c r="T240" s="50"/>
      <c r="U240" s="50"/>
      <c r="V240" s="50"/>
      <c r="W240" s="50"/>
      <c r="X240" s="50"/>
      <c r="Y240" s="50"/>
      <c r="Z240" s="50"/>
      <c r="AA240" s="50"/>
      <c r="AB240" s="50"/>
      <c r="AC240" s="50"/>
      <c r="AD240" s="50"/>
      <c r="AE240" s="50"/>
    </row>
    <row r="241" spans="1:31" ht="15.6">
      <c r="A241" s="480">
        <f>ROW()</f>
        <v>241</v>
      </c>
      <c r="B241" s="105" t="s">
        <v>671</v>
      </c>
      <c r="C241" s="105"/>
      <c r="D241" s="105"/>
      <c r="E241" s="105"/>
      <c r="F241" s="105"/>
      <c r="G241" s="315"/>
      <c r="H241" s="315"/>
      <c r="I241" s="315"/>
      <c r="J241" s="315"/>
      <c r="K241" s="315"/>
      <c r="L241" s="316"/>
      <c r="M241" s="316"/>
      <c r="O241" s="343"/>
      <c r="Q241" s="50"/>
      <c r="R241" s="50"/>
      <c r="S241" s="50"/>
      <c r="T241" s="50"/>
      <c r="U241" s="50"/>
      <c r="V241" s="50"/>
      <c r="W241" s="50"/>
      <c r="X241" s="50"/>
      <c r="Y241" s="50"/>
      <c r="Z241" s="50"/>
      <c r="AA241" s="50"/>
      <c r="AB241" s="50"/>
      <c r="AC241" s="50"/>
      <c r="AD241" s="50"/>
      <c r="AE241" s="50"/>
    </row>
    <row r="242" spans="1:31" outlineLevel="1">
      <c r="A242" s="480">
        <f>ROW()</f>
        <v>242</v>
      </c>
      <c r="B242" s="106"/>
      <c r="G242" s="103"/>
      <c r="H242" s="103"/>
      <c r="I242" s="103"/>
      <c r="J242" s="103"/>
      <c r="K242" s="103"/>
      <c r="L242" s="51"/>
      <c r="N242" s="51"/>
      <c r="O242" s="343"/>
      <c r="Q242" s="50"/>
      <c r="R242" s="50"/>
      <c r="S242" s="50"/>
      <c r="T242" s="50"/>
      <c r="U242" s="50"/>
      <c r="V242" s="50"/>
      <c r="W242" s="50"/>
      <c r="X242" s="50"/>
      <c r="Y242" s="50"/>
      <c r="Z242" s="50"/>
      <c r="AA242" s="50"/>
      <c r="AB242" s="50"/>
      <c r="AC242" s="50"/>
      <c r="AD242" s="50"/>
      <c r="AE242" s="50"/>
    </row>
    <row r="243" spans="1:31" outlineLevel="1">
      <c r="A243" s="480">
        <f>ROW()</f>
        <v>243</v>
      </c>
      <c r="B243" s="1650" t="str">
        <f>$B$79</f>
        <v>Administrators (Full-time &amp; Part-Time w/benefits)</v>
      </c>
      <c r="C243" s="63"/>
      <c r="D243" s="63"/>
      <c r="E243" s="63"/>
      <c r="F243" s="63"/>
      <c r="G243" s="103"/>
      <c r="H243" s="103"/>
      <c r="I243" s="103"/>
      <c r="J243" s="103"/>
      <c r="K243" s="103"/>
      <c r="L243" s="51"/>
      <c r="N243" s="51"/>
      <c r="O243" s="343" t="s">
        <v>1600</v>
      </c>
      <c r="Q243" s="50"/>
      <c r="R243" s="50"/>
      <c r="S243" s="50"/>
      <c r="T243" s="50"/>
      <c r="U243" s="50"/>
      <c r="V243" s="50"/>
      <c r="W243" s="50"/>
      <c r="X243" s="50"/>
      <c r="Y243" s="50"/>
      <c r="Z243" s="50"/>
      <c r="AA243" s="50"/>
      <c r="AB243" s="50"/>
      <c r="AC243" s="50"/>
      <c r="AD243" s="50"/>
      <c r="AE243" s="50"/>
    </row>
    <row r="244" spans="1:31" outlineLevel="1">
      <c r="A244" s="480">
        <f>ROW()</f>
        <v>244</v>
      </c>
      <c r="B244" s="33" t="str">
        <f>$B80</f>
        <v>Middle School Principal</v>
      </c>
      <c r="C244" s="130">
        <f t="shared" ref="C244:C249" si="45">SUM(G244:M244)</f>
        <v>1026212.3872509102</v>
      </c>
      <c r="D244" s="107"/>
      <c r="E244" s="107"/>
      <c r="F244" s="107"/>
      <c r="G244" s="700">
        <f>G80*$D80</f>
        <v>0</v>
      </c>
      <c r="H244" s="700">
        <f>(H80*$D80)*1.03</f>
        <v>158649.87</v>
      </c>
      <c r="I244" s="700">
        <f>H244*1.03</f>
        <v>163409.36610000001</v>
      </c>
      <c r="J244" s="700">
        <f t="shared" ref="J244:M244" si="46">I244*1.03</f>
        <v>168311.64708300002</v>
      </c>
      <c r="K244" s="700">
        <f t="shared" si="46"/>
        <v>173360.99649549002</v>
      </c>
      <c r="L244" s="700">
        <f t="shared" si="46"/>
        <v>178561.82639035472</v>
      </c>
      <c r="M244" s="700">
        <f t="shared" si="46"/>
        <v>183918.68118206537</v>
      </c>
      <c r="O244" s="343" t="s">
        <v>1488</v>
      </c>
      <c r="Q244" s="50"/>
      <c r="R244" s="50"/>
      <c r="S244" s="50"/>
      <c r="T244" s="50"/>
      <c r="U244" s="50"/>
      <c r="V244" s="50"/>
      <c r="W244" s="50"/>
      <c r="X244" s="50"/>
      <c r="Y244" s="50"/>
      <c r="Z244" s="50"/>
      <c r="AA244" s="50"/>
      <c r="AB244" s="50"/>
      <c r="AC244" s="50"/>
      <c r="AD244" s="50"/>
      <c r="AE244" s="50"/>
    </row>
    <row r="245" spans="1:31" outlineLevel="1">
      <c r="A245" s="480">
        <f>ROW()</f>
        <v>245</v>
      </c>
      <c r="B245" s="33" t="str">
        <f>$B81</f>
        <v>High School Principal</v>
      </c>
      <c r="C245" s="138">
        <f t="shared" si="45"/>
        <v>1142532.3144660036</v>
      </c>
      <c r="D245" s="51"/>
      <c r="E245" s="51"/>
      <c r="F245" s="107"/>
      <c r="G245" s="653">
        <f>G81*$D81</f>
        <v>0</v>
      </c>
      <c r="H245" s="653">
        <f>(H81*$D81)*1.03</f>
        <v>176632.64</v>
      </c>
      <c r="I245" s="653">
        <f t="shared" ref="I245:M248" si="47">H245*1.03</f>
        <v>181931.61920000002</v>
      </c>
      <c r="J245" s="653">
        <f t="shared" si="47"/>
        <v>187389.56777600001</v>
      </c>
      <c r="K245" s="653">
        <f t="shared" si="47"/>
        <v>193011.25480928001</v>
      </c>
      <c r="L245" s="653">
        <f t="shared" si="47"/>
        <v>198801.59245355841</v>
      </c>
      <c r="M245" s="653">
        <f t="shared" si="47"/>
        <v>204765.64022716516</v>
      </c>
      <c r="O245" s="343" t="s">
        <v>1487</v>
      </c>
      <c r="Q245" s="50"/>
      <c r="R245" s="50"/>
      <c r="S245" s="50"/>
      <c r="T245" s="50"/>
      <c r="U245" s="50"/>
      <c r="V245" s="50"/>
      <c r="W245" s="50"/>
      <c r="X245" s="50"/>
      <c r="Y245" s="50"/>
      <c r="Z245" s="50"/>
      <c r="AA245" s="50"/>
      <c r="AB245" s="50"/>
      <c r="AC245" s="50"/>
      <c r="AD245" s="50"/>
      <c r="AE245" s="50"/>
    </row>
    <row r="246" spans="1:31" outlineLevel="1">
      <c r="A246" s="480">
        <f>ROW()</f>
        <v>246</v>
      </c>
      <c r="B246" s="33" t="str">
        <f>$B82</f>
        <v>Superintendent</v>
      </c>
      <c r="C246" s="138">
        <f t="shared" si="45"/>
        <v>1523171.570784152</v>
      </c>
      <c r="D246" s="51"/>
      <c r="E246" s="51"/>
      <c r="F246" s="107"/>
      <c r="G246" s="653">
        <f>G82*$D82</f>
        <v>0</v>
      </c>
      <c r="H246" s="653">
        <f>(H82*$D82)*1.03</f>
        <v>235478.51760000002</v>
      </c>
      <c r="I246" s="653">
        <f t="shared" si="47"/>
        <v>242542.87312800004</v>
      </c>
      <c r="J246" s="653">
        <f t="shared" si="47"/>
        <v>249819.15932184004</v>
      </c>
      <c r="K246" s="653">
        <f t="shared" si="47"/>
        <v>257313.73410149524</v>
      </c>
      <c r="L246" s="653">
        <f t="shared" si="47"/>
        <v>265033.14612454013</v>
      </c>
      <c r="M246" s="653">
        <f t="shared" si="47"/>
        <v>272984.14050827635</v>
      </c>
      <c r="O246" s="343" t="s">
        <v>1470</v>
      </c>
      <c r="Q246" s="50"/>
      <c r="R246" s="50"/>
      <c r="S246" s="50"/>
      <c r="T246" s="50"/>
      <c r="U246" s="50"/>
      <c r="V246" s="50"/>
      <c r="W246" s="50"/>
      <c r="X246" s="50"/>
      <c r="Y246" s="50"/>
      <c r="Z246" s="50"/>
      <c r="AA246" s="50"/>
      <c r="AB246" s="50"/>
      <c r="AC246" s="50"/>
      <c r="AD246" s="50"/>
      <c r="AE246" s="50"/>
    </row>
    <row r="247" spans="1:31" outlineLevel="1">
      <c r="A247" s="480">
        <f>ROW()</f>
        <v>247</v>
      </c>
      <c r="B247" s="33" t="str">
        <f>$B83</f>
        <v>Admin</v>
      </c>
      <c r="C247" s="138">
        <f t="shared" si="45"/>
        <v>936475.68413732457</v>
      </c>
      <c r="D247" s="51"/>
      <c r="E247" s="51"/>
      <c r="F247" s="107"/>
      <c r="G247" s="653">
        <f>G83*$D83</f>
        <v>0</v>
      </c>
      <c r="H247" s="653">
        <f>(H83*$D83)*1.03</f>
        <v>144776.80000000002</v>
      </c>
      <c r="I247" s="653">
        <f t="shared" si="47"/>
        <v>149120.10400000002</v>
      </c>
      <c r="J247" s="653">
        <f t="shared" si="47"/>
        <v>153593.70712000004</v>
      </c>
      <c r="K247" s="653">
        <f t="shared" si="47"/>
        <v>158201.51833360005</v>
      </c>
      <c r="L247" s="653">
        <f t="shared" si="47"/>
        <v>162947.56388360806</v>
      </c>
      <c r="M247" s="653">
        <f t="shared" si="47"/>
        <v>167835.9908001163</v>
      </c>
      <c r="O247" s="343" t="s">
        <v>1471</v>
      </c>
      <c r="Q247" s="50"/>
      <c r="R247" s="50"/>
      <c r="S247" s="50"/>
      <c r="T247" s="50"/>
      <c r="U247" s="50"/>
      <c r="V247" s="50"/>
      <c r="W247" s="50"/>
      <c r="X247" s="50"/>
      <c r="Y247" s="50"/>
      <c r="Z247" s="50"/>
      <c r="AA247" s="50"/>
      <c r="AB247" s="50"/>
      <c r="AC247" s="50"/>
      <c r="AD247" s="50"/>
      <c r="AE247" s="50"/>
    </row>
    <row r="248" spans="1:31" outlineLevel="1">
      <c r="A248" s="480">
        <f>ROW()</f>
        <v>248</v>
      </c>
      <c r="B248" s="63">
        <f>$B84</f>
        <v>0</v>
      </c>
      <c r="C248" s="139">
        <f t="shared" si="45"/>
        <v>0</v>
      </c>
      <c r="D248" s="108"/>
      <c r="E248" s="108"/>
      <c r="F248" s="108"/>
      <c r="G248" s="654">
        <f>G84*$D84</f>
        <v>0</v>
      </c>
      <c r="H248" s="654">
        <f>(H84*$D84)*1.03</f>
        <v>0</v>
      </c>
      <c r="I248" s="654">
        <f t="shared" si="47"/>
        <v>0</v>
      </c>
      <c r="J248" s="654">
        <f t="shared" si="47"/>
        <v>0</v>
      </c>
      <c r="K248" s="654">
        <f t="shared" si="47"/>
        <v>0</v>
      </c>
      <c r="L248" s="654">
        <f t="shared" si="47"/>
        <v>0</v>
      </c>
      <c r="M248" s="654">
        <f t="shared" si="47"/>
        <v>0</v>
      </c>
      <c r="O248" s="343"/>
      <c r="Q248" s="50"/>
      <c r="R248" s="50"/>
      <c r="S248" s="50"/>
      <c r="T248" s="50"/>
      <c r="U248" s="50"/>
      <c r="V248" s="50"/>
      <c r="W248" s="50"/>
      <c r="X248" s="50"/>
      <c r="Y248" s="50"/>
      <c r="Z248" s="50"/>
      <c r="AA248" s="50"/>
      <c r="AB248" s="50"/>
      <c r="AC248" s="50"/>
      <c r="AD248" s="50"/>
      <c r="AE248" s="50"/>
    </row>
    <row r="249" spans="1:31" outlineLevel="1">
      <c r="A249" s="480">
        <f>ROW()</f>
        <v>249</v>
      </c>
      <c r="B249" s="31" t="s">
        <v>672</v>
      </c>
      <c r="C249" s="138">
        <f t="shared" si="45"/>
        <v>4628391.9566383902</v>
      </c>
      <c r="D249" s="51"/>
      <c r="E249" s="51"/>
      <c r="F249" s="51"/>
      <c r="G249" s="351">
        <f t="shared" ref="G249:M249" si="48">SUM(G244:G248)</f>
        <v>0</v>
      </c>
      <c r="H249" s="351">
        <f t="shared" si="48"/>
        <v>715537.82760000008</v>
      </c>
      <c r="I249" s="351">
        <f t="shared" si="48"/>
        <v>737003.96242800017</v>
      </c>
      <c r="J249" s="351">
        <f t="shared" si="48"/>
        <v>759114.08130084013</v>
      </c>
      <c r="K249" s="351">
        <f t="shared" si="48"/>
        <v>781887.50373986526</v>
      </c>
      <c r="L249" s="351">
        <f t="shared" si="48"/>
        <v>805344.12885206135</v>
      </c>
      <c r="M249" s="351">
        <f t="shared" si="48"/>
        <v>829504.45271762321</v>
      </c>
      <c r="O249" s="343"/>
      <c r="Q249" s="50"/>
      <c r="R249" s="50"/>
      <c r="S249" s="50"/>
      <c r="T249" s="50"/>
      <c r="U249" s="50"/>
      <c r="V249" s="50"/>
      <c r="W249" s="50"/>
      <c r="X249" s="50"/>
      <c r="Y249" s="50"/>
      <c r="Z249" s="50"/>
      <c r="AA249" s="50"/>
      <c r="AB249" s="50"/>
      <c r="AC249" s="50"/>
      <c r="AD249" s="50"/>
      <c r="AE249" s="50"/>
    </row>
    <row r="250" spans="1:31" outlineLevel="1">
      <c r="A250" s="480">
        <f>ROW()</f>
        <v>250</v>
      </c>
      <c r="B250" s="31"/>
      <c r="C250" s="138"/>
      <c r="D250" s="51"/>
      <c r="E250" s="51"/>
      <c r="F250" s="51"/>
      <c r="G250" s="138"/>
      <c r="H250" s="138"/>
      <c r="I250" s="138"/>
      <c r="J250" s="138"/>
      <c r="K250" s="138"/>
      <c r="L250" s="138"/>
      <c r="M250" s="138"/>
      <c r="O250" s="343"/>
      <c r="Q250" s="50"/>
      <c r="R250" s="50"/>
      <c r="S250" s="50"/>
      <c r="T250" s="50"/>
      <c r="U250" s="50"/>
      <c r="V250" s="50"/>
      <c r="W250" s="50"/>
      <c r="X250" s="50"/>
      <c r="Y250" s="50"/>
      <c r="Z250" s="50"/>
      <c r="AA250" s="50"/>
      <c r="AB250" s="50"/>
      <c r="AC250" s="50"/>
      <c r="AD250" s="50"/>
      <c r="AE250" s="50"/>
    </row>
    <row r="251" spans="1:31" outlineLevel="1">
      <c r="A251" s="480">
        <f>ROW()</f>
        <v>251</v>
      </c>
      <c r="B251" s="1650" t="str">
        <f>$B$88</f>
        <v>Office Staff (Full-time &amp; Part-Time w/benefits)</v>
      </c>
      <c r="C251" s="139"/>
      <c r="D251" s="108"/>
      <c r="E251" s="108"/>
      <c r="F251" s="108"/>
      <c r="G251" s="139"/>
      <c r="H251" s="139"/>
      <c r="I251" s="139"/>
      <c r="J251" s="139"/>
      <c r="K251" s="139"/>
      <c r="L251" s="139"/>
      <c r="M251" s="139"/>
      <c r="O251" s="343"/>
      <c r="Q251" s="50"/>
      <c r="R251" s="50"/>
      <c r="S251" s="50"/>
      <c r="T251" s="50"/>
      <c r="U251" s="50"/>
      <c r="V251" s="50"/>
      <c r="W251" s="50"/>
      <c r="X251" s="50"/>
      <c r="Y251" s="50"/>
      <c r="Z251" s="50"/>
      <c r="AA251" s="50"/>
      <c r="AB251" s="50"/>
      <c r="AC251" s="50"/>
      <c r="AD251" s="50"/>
      <c r="AE251" s="50"/>
    </row>
    <row r="252" spans="1:31" outlineLevel="1">
      <c r="A252" s="480">
        <f>ROW()</f>
        <v>252</v>
      </c>
      <c r="B252" s="33" t="str">
        <f>$B89</f>
        <v>Office Manager</v>
      </c>
      <c r="C252" s="138">
        <f>SUM(G252:M252)</f>
        <v>0</v>
      </c>
      <c r="D252" s="51"/>
      <c r="E252" s="51"/>
      <c r="F252" s="51"/>
      <c r="G252" s="653">
        <f>G89*$D89</f>
        <v>0</v>
      </c>
      <c r="H252" s="653">
        <f t="shared" ref="H252:M252" si="49">(H89*$D89)</f>
        <v>0</v>
      </c>
      <c r="I252" s="653">
        <f t="shared" si="49"/>
        <v>0</v>
      </c>
      <c r="J252" s="653">
        <f t="shared" si="49"/>
        <v>0</v>
      </c>
      <c r="K252" s="653">
        <f t="shared" si="49"/>
        <v>0</v>
      </c>
      <c r="L252" s="653">
        <f t="shared" si="49"/>
        <v>0</v>
      </c>
      <c r="M252" s="653">
        <f t="shared" si="49"/>
        <v>0</v>
      </c>
      <c r="O252" s="343"/>
      <c r="Q252" s="50"/>
      <c r="R252" s="50"/>
      <c r="S252" s="50"/>
      <c r="T252" s="50"/>
      <c r="U252" s="50"/>
      <c r="V252" s="50"/>
      <c r="W252" s="50"/>
      <c r="X252" s="50"/>
      <c r="Y252" s="50"/>
      <c r="Z252" s="50"/>
      <c r="AA252" s="50"/>
      <c r="AB252" s="50"/>
      <c r="AC252" s="50"/>
      <c r="AD252" s="50"/>
      <c r="AE252" s="50"/>
    </row>
    <row r="253" spans="1:31" outlineLevel="1">
      <c r="A253" s="480">
        <f>ROW()</f>
        <v>253</v>
      </c>
      <c r="B253" s="33" t="str">
        <f>$B90</f>
        <v>Office 2</v>
      </c>
      <c r="C253" s="138">
        <f>SUM(G253:M253)</f>
        <v>0</v>
      </c>
      <c r="D253" s="51"/>
      <c r="E253" s="51"/>
      <c r="F253" s="51"/>
      <c r="G253" s="653">
        <f>G90*$D90</f>
        <v>0</v>
      </c>
      <c r="H253" s="653">
        <f>(H90*$D90)</f>
        <v>0</v>
      </c>
      <c r="I253" s="653">
        <f t="shared" ref="I253:M253" si="50">(I90*$D90)</f>
        <v>0</v>
      </c>
      <c r="J253" s="653">
        <f t="shared" si="50"/>
        <v>0</v>
      </c>
      <c r="K253" s="653">
        <f t="shared" si="50"/>
        <v>0</v>
      </c>
      <c r="L253" s="653">
        <f t="shared" si="50"/>
        <v>0</v>
      </c>
      <c r="M253" s="653">
        <f t="shared" si="50"/>
        <v>0</v>
      </c>
      <c r="O253" s="343"/>
      <c r="Q253" s="50"/>
      <c r="R253" s="50"/>
      <c r="S253" s="50"/>
      <c r="T253" s="50"/>
      <c r="U253" s="50"/>
      <c r="V253" s="50"/>
      <c r="W253" s="50"/>
      <c r="X253" s="50"/>
      <c r="Y253" s="50"/>
      <c r="Z253" s="50"/>
      <c r="AA253" s="50"/>
      <c r="AB253" s="50"/>
      <c r="AC253" s="50"/>
      <c r="AD253" s="50"/>
      <c r="AE253" s="50"/>
    </row>
    <row r="254" spans="1:31" outlineLevel="1">
      <c r="A254" s="480"/>
      <c r="B254" s="33" t="str">
        <f>$B91</f>
        <v>Office 3</v>
      </c>
      <c r="C254" s="138">
        <f>SUM(G254:M254)</f>
        <v>0</v>
      </c>
      <c r="D254" s="51"/>
      <c r="E254" s="51"/>
      <c r="F254" s="51"/>
      <c r="G254" s="653">
        <f>G91*$D91</f>
        <v>0</v>
      </c>
      <c r="H254" s="653">
        <f>(H91*$D91)</f>
        <v>0</v>
      </c>
      <c r="I254" s="653">
        <f t="shared" ref="I254:M255" si="51">(I91*$D91)</f>
        <v>0</v>
      </c>
      <c r="J254" s="653">
        <f t="shared" si="51"/>
        <v>0</v>
      </c>
      <c r="K254" s="653">
        <f t="shared" si="51"/>
        <v>0</v>
      </c>
      <c r="L254" s="653">
        <f t="shared" si="51"/>
        <v>0</v>
      </c>
      <c r="M254" s="653">
        <f t="shared" si="51"/>
        <v>0</v>
      </c>
      <c r="O254" s="343"/>
      <c r="Q254" s="50"/>
      <c r="R254" s="50"/>
      <c r="S254" s="50"/>
      <c r="T254" s="50"/>
      <c r="U254" s="50"/>
      <c r="V254" s="50"/>
      <c r="W254" s="50"/>
      <c r="X254" s="50"/>
      <c r="Y254" s="50"/>
      <c r="Z254" s="50"/>
      <c r="AA254" s="50"/>
      <c r="AB254" s="50"/>
      <c r="AC254" s="50"/>
      <c r="AD254" s="50"/>
      <c r="AE254" s="50"/>
    </row>
    <row r="255" spans="1:31" outlineLevel="1">
      <c r="A255" s="480">
        <f>ROW()</f>
        <v>255</v>
      </c>
      <c r="B255" s="63" t="str">
        <f>$B92</f>
        <v>Office 4</v>
      </c>
      <c r="C255" s="139">
        <f>SUM(G255:M255)</f>
        <v>0</v>
      </c>
      <c r="D255" s="108"/>
      <c r="E255" s="108"/>
      <c r="F255" s="108"/>
      <c r="G255" s="653">
        <f>G92*$D92</f>
        <v>0</v>
      </c>
      <c r="H255" s="653">
        <f>(H92*$D92)</f>
        <v>0</v>
      </c>
      <c r="I255" s="653">
        <f t="shared" si="51"/>
        <v>0</v>
      </c>
      <c r="J255" s="653">
        <f t="shared" si="51"/>
        <v>0</v>
      </c>
      <c r="K255" s="653">
        <f t="shared" si="51"/>
        <v>0</v>
      </c>
      <c r="L255" s="653">
        <f t="shared" si="51"/>
        <v>0</v>
      </c>
      <c r="M255" s="653">
        <f t="shared" si="51"/>
        <v>0</v>
      </c>
      <c r="O255" s="343"/>
      <c r="Q255" s="50"/>
      <c r="R255" s="50"/>
      <c r="S255" s="50"/>
      <c r="T255" s="50"/>
      <c r="U255" s="50"/>
      <c r="V255" s="50"/>
      <c r="W255" s="50"/>
      <c r="X255" s="50"/>
      <c r="Y255" s="50"/>
      <c r="Z255" s="50"/>
      <c r="AA255" s="50"/>
      <c r="AB255" s="50"/>
      <c r="AC255" s="50"/>
      <c r="AD255" s="50"/>
      <c r="AE255" s="50"/>
    </row>
    <row r="256" spans="1:31" outlineLevel="1">
      <c r="A256" s="480">
        <f>ROW()</f>
        <v>256</v>
      </c>
      <c r="B256" s="31" t="s">
        <v>673</v>
      </c>
      <c r="C256" s="138">
        <f>SUM(G256:M256)</f>
        <v>0</v>
      </c>
      <c r="D256" s="51"/>
      <c r="E256" s="51"/>
      <c r="F256" s="51"/>
      <c r="G256" s="351">
        <f t="shared" ref="G256:M256" si="52">SUM(G252:G255)</f>
        <v>0</v>
      </c>
      <c r="H256" s="351">
        <f t="shared" si="52"/>
        <v>0</v>
      </c>
      <c r="I256" s="351">
        <f t="shared" si="52"/>
        <v>0</v>
      </c>
      <c r="J256" s="351">
        <f t="shared" si="52"/>
        <v>0</v>
      </c>
      <c r="K256" s="351">
        <f t="shared" si="52"/>
        <v>0</v>
      </c>
      <c r="L256" s="351">
        <f t="shared" si="52"/>
        <v>0</v>
      </c>
      <c r="M256" s="351">
        <f t="shared" si="52"/>
        <v>0</v>
      </c>
      <c r="O256" s="343"/>
      <c r="Q256" s="50"/>
      <c r="R256" s="50"/>
      <c r="S256" s="50"/>
      <c r="T256" s="50"/>
      <c r="U256" s="50"/>
      <c r="V256" s="50"/>
      <c r="W256" s="50"/>
      <c r="X256" s="50"/>
      <c r="Y256" s="50"/>
      <c r="Z256" s="50"/>
      <c r="AA256" s="50"/>
      <c r="AB256" s="50"/>
      <c r="AC256" s="50"/>
      <c r="AD256" s="50"/>
      <c r="AE256" s="50"/>
    </row>
    <row r="257" spans="1:31" outlineLevel="1">
      <c r="A257" s="480">
        <f>ROW()</f>
        <v>257</v>
      </c>
      <c r="C257" s="138"/>
      <c r="D257" s="51"/>
      <c r="E257" s="51"/>
      <c r="F257" s="51"/>
      <c r="G257" s="138"/>
      <c r="H257" s="138"/>
      <c r="I257" s="138"/>
      <c r="J257" s="138"/>
      <c r="K257" s="138"/>
      <c r="L257" s="138"/>
      <c r="M257" s="138"/>
      <c r="O257" s="343"/>
      <c r="Q257" s="50"/>
      <c r="R257" s="50"/>
      <c r="S257" s="50"/>
      <c r="T257" s="50"/>
      <c r="U257" s="50"/>
      <c r="V257" s="50"/>
      <c r="W257" s="50"/>
      <c r="X257" s="50"/>
      <c r="Y257" s="50"/>
      <c r="Z257" s="50"/>
      <c r="AA257" s="50"/>
      <c r="AB257" s="50"/>
      <c r="AC257" s="50"/>
      <c r="AD257" s="50"/>
      <c r="AE257" s="50"/>
    </row>
    <row r="258" spans="1:31" outlineLevel="1">
      <c r="A258" s="480">
        <f>ROW()</f>
        <v>258</v>
      </c>
      <c r="B258" s="973" t="str">
        <f>$B$94</f>
        <v>Total Administrators and Office Staff</v>
      </c>
      <c r="C258" s="1203">
        <f>SUM(G258:M258)</f>
        <v>4628391.9566383902</v>
      </c>
      <c r="D258" s="972"/>
      <c r="E258" s="972"/>
      <c r="F258" s="972"/>
      <c r="G258" s="976">
        <f t="shared" ref="G258:M258" si="53">+G249+G256</f>
        <v>0</v>
      </c>
      <c r="H258" s="976">
        <f t="shared" si="53"/>
        <v>715537.82760000008</v>
      </c>
      <c r="I258" s="976">
        <f t="shared" si="53"/>
        <v>737003.96242800017</v>
      </c>
      <c r="J258" s="976">
        <f t="shared" si="53"/>
        <v>759114.08130084013</v>
      </c>
      <c r="K258" s="976">
        <f t="shared" si="53"/>
        <v>781887.50373986526</v>
      </c>
      <c r="L258" s="976">
        <f t="shared" si="53"/>
        <v>805344.12885206135</v>
      </c>
      <c r="M258" s="976">
        <f t="shared" si="53"/>
        <v>829504.45271762321</v>
      </c>
      <c r="O258" s="343"/>
      <c r="Q258" s="50"/>
      <c r="R258" s="50"/>
      <c r="S258" s="50"/>
      <c r="T258" s="50"/>
      <c r="U258" s="50"/>
      <c r="V258" s="50"/>
      <c r="W258" s="50"/>
      <c r="X258" s="50"/>
      <c r="Y258" s="50"/>
      <c r="Z258" s="50"/>
      <c r="AA258" s="50"/>
      <c r="AB258" s="50"/>
      <c r="AC258" s="50"/>
      <c r="AD258" s="50"/>
      <c r="AE258" s="50"/>
    </row>
    <row r="259" spans="1:31" outlineLevel="1">
      <c r="A259" s="480">
        <f>ROW()</f>
        <v>259</v>
      </c>
      <c r="G259" s="503"/>
      <c r="H259" s="503"/>
      <c r="I259" s="503"/>
      <c r="J259" s="503"/>
      <c r="K259" s="503"/>
      <c r="L259" s="503"/>
      <c r="M259" s="503"/>
      <c r="O259" s="343"/>
      <c r="Q259" s="50"/>
      <c r="R259" s="50"/>
      <c r="S259" s="50"/>
      <c r="T259" s="50"/>
      <c r="U259" s="50"/>
      <c r="V259" s="50"/>
      <c r="W259" s="50"/>
      <c r="X259" s="50"/>
      <c r="Y259" s="50"/>
      <c r="Z259" s="50"/>
      <c r="AA259" s="50"/>
      <c r="AB259" s="50"/>
      <c r="AC259" s="50"/>
      <c r="AD259" s="50"/>
      <c r="AE259" s="50"/>
    </row>
    <row r="260" spans="1:31" outlineLevel="1">
      <c r="A260" s="480">
        <f>ROW()</f>
        <v>260</v>
      </c>
      <c r="B260" s="31"/>
      <c r="C260" s="138"/>
      <c r="D260" s="51"/>
      <c r="E260" s="51"/>
      <c r="F260" s="51"/>
      <c r="G260" s="138"/>
      <c r="H260" s="138"/>
      <c r="I260" s="138"/>
      <c r="J260" s="138"/>
      <c r="K260" s="138"/>
      <c r="L260" s="138"/>
      <c r="M260" s="138"/>
      <c r="O260" s="343"/>
      <c r="Q260" s="50"/>
      <c r="R260" s="50"/>
      <c r="S260" s="50"/>
      <c r="T260" s="50"/>
      <c r="U260" s="50"/>
      <c r="V260" s="50"/>
      <c r="W260" s="50"/>
      <c r="X260" s="50"/>
      <c r="Y260" s="50"/>
      <c r="Z260" s="50"/>
      <c r="AA260" s="50"/>
      <c r="AB260" s="50"/>
      <c r="AC260" s="50"/>
      <c r="AD260" s="50"/>
      <c r="AE260" s="50"/>
    </row>
    <row r="261" spans="1:31" outlineLevel="1">
      <c r="A261" s="480">
        <f>ROW()</f>
        <v>261</v>
      </c>
      <c r="B261" s="1650" t="str">
        <f>$B$96</f>
        <v>Special Education (SPED) Teachers (Full-time &amp; Part-Time w/benefits)</v>
      </c>
      <c r="C261" s="139"/>
      <c r="D261" s="108"/>
      <c r="E261" s="108"/>
      <c r="F261" s="108"/>
      <c r="G261" s="139"/>
      <c r="H261" s="139"/>
      <c r="I261" s="139"/>
      <c r="J261" s="139"/>
      <c r="K261" s="139"/>
      <c r="L261" s="139"/>
      <c r="M261" s="139"/>
      <c r="Q261" s="50"/>
      <c r="R261" s="50"/>
      <c r="S261" s="50"/>
      <c r="T261" s="50"/>
      <c r="U261" s="50"/>
      <c r="V261" s="50"/>
      <c r="W261" s="50"/>
      <c r="X261" s="50"/>
      <c r="Y261" s="50"/>
      <c r="Z261" s="50"/>
      <c r="AA261" s="50"/>
      <c r="AB261" s="50"/>
      <c r="AC261" s="50"/>
      <c r="AD261" s="50"/>
      <c r="AE261" s="50"/>
    </row>
    <row r="262" spans="1:31" outlineLevel="1">
      <c r="A262" s="480">
        <f>ROW()</f>
        <v>262</v>
      </c>
      <c r="B262" s="164" t="str">
        <f>$B$97</f>
        <v>Special Education Instructional Facilitator</v>
      </c>
      <c r="C262" s="138">
        <f t="shared" ref="C262:C271" si="54">SUM(G262:M262)</f>
        <v>939840.76053561748</v>
      </c>
      <c r="D262" s="51"/>
      <c r="E262" s="51"/>
      <c r="F262" s="51"/>
      <c r="G262" s="653">
        <f t="shared" ref="G262:G270" si="55">G97*$D97</f>
        <v>0</v>
      </c>
      <c r="H262" s="653">
        <f>(H97*$D97)*1.03</f>
        <v>145297.0324</v>
      </c>
      <c r="I262" s="653">
        <f>H262*1.03</f>
        <v>149655.94337200001</v>
      </c>
      <c r="J262" s="653">
        <f t="shared" ref="J262:M262" si="56">I262*1.03</f>
        <v>154145.62167316</v>
      </c>
      <c r="K262" s="653">
        <f t="shared" si="56"/>
        <v>158769.99032335481</v>
      </c>
      <c r="L262" s="653">
        <f t="shared" si="56"/>
        <v>163533.09003305546</v>
      </c>
      <c r="M262" s="653">
        <f t="shared" si="56"/>
        <v>168439.08273404712</v>
      </c>
      <c r="O262" s="343" t="s">
        <v>1474</v>
      </c>
      <c r="Q262" s="50"/>
      <c r="R262" s="50"/>
      <c r="S262" s="50"/>
      <c r="T262" s="50"/>
      <c r="U262" s="50"/>
      <c r="V262" s="50"/>
      <c r="W262" s="50"/>
      <c r="X262" s="50"/>
      <c r="Y262" s="50"/>
      <c r="Z262" s="50"/>
      <c r="AA262" s="50"/>
      <c r="AB262" s="50"/>
      <c r="AC262" s="50"/>
      <c r="AD262" s="50"/>
      <c r="AE262" s="50"/>
    </row>
    <row r="263" spans="1:31" outlineLevel="1">
      <c r="A263" s="480">
        <f>ROW()</f>
        <v>263</v>
      </c>
      <c r="B263" s="164" t="str">
        <f>$B$98</f>
        <v>Special Education Teacher</v>
      </c>
      <c r="C263" s="138">
        <f t="shared" si="54"/>
        <v>1116110.0554507845</v>
      </c>
      <c r="D263" s="51"/>
      <c r="E263" s="51"/>
      <c r="F263" s="51"/>
      <c r="G263" s="653">
        <f t="shared" si="55"/>
        <v>0</v>
      </c>
      <c r="H263" s="653">
        <f t="shared" ref="H263:H270" si="57">(H98*$D98)*1.03</f>
        <v>172547.8248</v>
      </c>
      <c r="I263" s="653">
        <f t="shared" ref="I263:M270" si="58">H263*1.03</f>
        <v>177724.259544</v>
      </c>
      <c r="J263" s="653">
        <f t="shared" si="58"/>
        <v>183055.98733032</v>
      </c>
      <c r="K263" s="653">
        <f t="shared" si="58"/>
        <v>188547.66695022961</v>
      </c>
      <c r="L263" s="653">
        <f t="shared" si="58"/>
        <v>194204.09695873651</v>
      </c>
      <c r="M263" s="653">
        <f t="shared" si="58"/>
        <v>200030.21986749861</v>
      </c>
      <c r="O263" s="343" t="s">
        <v>1482</v>
      </c>
      <c r="Q263" s="50"/>
      <c r="R263" s="50"/>
      <c r="S263" s="50"/>
      <c r="T263" s="50"/>
      <c r="U263" s="50"/>
      <c r="V263" s="50"/>
      <c r="W263" s="50"/>
      <c r="X263" s="50"/>
      <c r="Y263" s="50"/>
      <c r="Z263" s="50"/>
      <c r="AA263" s="50"/>
      <c r="AB263" s="50"/>
      <c r="AC263" s="50"/>
      <c r="AD263" s="50"/>
      <c r="AE263" s="50"/>
    </row>
    <row r="264" spans="1:31" outlineLevel="1">
      <c r="A264" s="480">
        <f>ROW()</f>
        <v>264</v>
      </c>
      <c r="B264" s="164" t="str">
        <f>$B$99</f>
        <v>Special Education Teacher</v>
      </c>
      <c r="C264" s="138">
        <f t="shared" si="54"/>
        <v>770174.76513711328</v>
      </c>
      <c r="D264" s="51"/>
      <c r="E264" s="51"/>
      <c r="F264" s="51"/>
      <c r="G264" s="653">
        <f t="shared" si="55"/>
        <v>0</v>
      </c>
      <c r="H264" s="653">
        <f t="shared" si="57"/>
        <v>119067.09359999999</v>
      </c>
      <c r="I264" s="653">
        <f t="shared" si="58"/>
        <v>122639.10640799999</v>
      </c>
      <c r="J264" s="653">
        <f t="shared" si="58"/>
        <v>126318.27960024</v>
      </c>
      <c r="K264" s="653">
        <f t="shared" si="58"/>
        <v>130107.8279882472</v>
      </c>
      <c r="L264" s="653">
        <f t="shared" si="58"/>
        <v>134011.06282789461</v>
      </c>
      <c r="M264" s="653">
        <f t="shared" si="58"/>
        <v>138031.39471273145</v>
      </c>
      <c r="O264" s="343" t="s">
        <v>1484</v>
      </c>
      <c r="Q264" s="50"/>
      <c r="R264" s="50"/>
      <c r="S264" s="50"/>
      <c r="T264" s="50"/>
      <c r="U264" s="50"/>
      <c r="V264" s="50"/>
      <c r="W264" s="50"/>
      <c r="X264" s="50"/>
      <c r="Y264" s="50"/>
      <c r="Z264" s="50"/>
      <c r="AA264" s="50"/>
      <c r="AB264" s="50"/>
      <c r="AC264" s="50"/>
      <c r="AD264" s="50"/>
      <c r="AE264" s="50"/>
    </row>
    <row r="265" spans="1:31" outlineLevel="1">
      <c r="A265" s="480">
        <f>ROW()</f>
        <v>265</v>
      </c>
      <c r="B265" s="164" t="str">
        <f>$B$100</f>
        <v>Special Education Teacher</v>
      </c>
      <c r="C265" s="138">
        <f t="shared" si="54"/>
        <v>534070.163874408</v>
      </c>
      <c r="D265" s="51"/>
      <c r="E265" s="51"/>
      <c r="F265" s="51"/>
      <c r="G265" s="653">
        <f t="shared" si="55"/>
        <v>0</v>
      </c>
      <c r="H265" s="653">
        <f t="shared" si="57"/>
        <v>82565.912400000001</v>
      </c>
      <c r="I265" s="653">
        <f t="shared" si="58"/>
        <v>85042.88977200001</v>
      </c>
      <c r="J265" s="653">
        <f t="shared" si="58"/>
        <v>87594.17646516001</v>
      </c>
      <c r="K265" s="653">
        <f t="shared" si="58"/>
        <v>90222.001759114806</v>
      </c>
      <c r="L265" s="653">
        <f t="shared" si="58"/>
        <v>92928.661811888247</v>
      </c>
      <c r="M265" s="653">
        <f t="shared" si="58"/>
        <v>95716.521666244895</v>
      </c>
      <c r="O265" s="343" t="s">
        <v>1483</v>
      </c>
      <c r="Q265" s="50"/>
      <c r="R265" s="50"/>
      <c r="S265" s="50"/>
      <c r="T265" s="50"/>
      <c r="U265" s="50"/>
      <c r="V265" s="50"/>
      <c r="W265" s="50"/>
      <c r="X265" s="50"/>
      <c r="Y265" s="50"/>
      <c r="Z265" s="50"/>
      <c r="AA265" s="50"/>
      <c r="AB265" s="50"/>
      <c r="AC265" s="50"/>
      <c r="AD265" s="50"/>
      <c r="AE265" s="50"/>
    </row>
    <row r="266" spans="1:31" outlineLevel="1">
      <c r="A266" s="480">
        <f>ROW()</f>
        <v>266</v>
      </c>
      <c r="B266" s="164" t="str">
        <f>$B$101</f>
        <v>Special Education Teacher</v>
      </c>
      <c r="C266" s="138">
        <f t="shared" si="54"/>
        <v>489084.15323550167</v>
      </c>
      <c r="D266" s="51"/>
      <c r="E266" s="51"/>
      <c r="F266" s="51"/>
      <c r="G266" s="653">
        <f t="shared" si="55"/>
        <v>0</v>
      </c>
      <c r="H266" s="653">
        <f t="shared" si="57"/>
        <v>75611.187600000005</v>
      </c>
      <c r="I266" s="653">
        <f t="shared" si="58"/>
        <v>77879.523228000005</v>
      </c>
      <c r="J266" s="653">
        <f t="shared" si="58"/>
        <v>80215.908924840012</v>
      </c>
      <c r="K266" s="653">
        <f t="shared" si="58"/>
        <v>82622.386192585211</v>
      </c>
      <c r="L266" s="653">
        <f t="shared" si="58"/>
        <v>85101.057778362767</v>
      </c>
      <c r="M266" s="653">
        <f t="shared" si="58"/>
        <v>87654.089511713653</v>
      </c>
      <c r="O266" s="343" t="s">
        <v>1477</v>
      </c>
      <c r="Q266" s="50"/>
      <c r="R266" s="50"/>
      <c r="S266" s="50"/>
      <c r="T266" s="50"/>
      <c r="U266" s="50"/>
      <c r="V266" s="50"/>
      <c r="W266" s="50"/>
      <c r="X266" s="50"/>
      <c r="Y266" s="50"/>
      <c r="Z266" s="50"/>
      <c r="AA266" s="50"/>
      <c r="AB266" s="50"/>
      <c r="AC266" s="50"/>
      <c r="AD266" s="50"/>
      <c r="AE266" s="50"/>
    </row>
    <row r="267" spans="1:31" outlineLevel="1">
      <c r="A267" s="480">
        <f>ROW()</f>
        <v>267</v>
      </c>
      <c r="B267" s="164" t="str">
        <f>$B102</f>
        <v>Special Education Teacher</v>
      </c>
      <c r="C267" s="138">
        <f t="shared" si="54"/>
        <v>477859.23695324082</v>
      </c>
      <c r="D267" s="51"/>
      <c r="E267" s="51"/>
      <c r="F267" s="51"/>
      <c r="G267" s="653">
        <f t="shared" si="55"/>
        <v>0</v>
      </c>
      <c r="H267" s="653">
        <f t="shared" si="57"/>
        <v>73875.843599999993</v>
      </c>
      <c r="I267" s="653">
        <f t="shared" si="58"/>
        <v>76092.118907999989</v>
      </c>
      <c r="J267" s="653">
        <f t="shared" si="58"/>
        <v>78374.882475239996</v>
      </c>
      <c r="K267" s="653">
        <f t="shared" si="58"/>
        <v>80726.128949497201</v>
      </c>
      <c r="L267" s="653">
        <f t="shared" si="58"/>
        <v>83147.912817982113</v>
      </c>
      <c r="M267" s="653">
        <f t="shared" si="58"/>
        <v>85642.350202521571</v>
      </c>
      <c r="O267" s="343" t="s">
        <v>1485</v>
      </c>
      <c r="Q267" s="50"/>
      <c r="R267" s="50"/>
      <c r="S267" s="50"/>
      <c r="T267" s="50"/>
      <c r="U267" s="50"/>
      <c r="V267" s="50"/>
      <c r="W267" s="50"/>
      <c r="X267" s="50"/>
      <c r="Y267" s="50"/>
      <c r="Z267" s="50"/>
      <c r="AA267" s="50"/>
      <c r="AB267" s="50"/>
      <c r="AC267" s="50"/>
      <c r="AD267" s="50"/>
      <c r="AE267" s="50"/>
    </row>
    <row r="268" spans="1:31" outlineLevel="1">
      <c r="A268" s="480">
        <f>ROW()</f>
        <v>268</v>
      </c>
      <c r="B268" s="164" t="str">
        <f>$B103</f>
        <v>Special Education Teacher</v>
      </c>
      <c r="C268" s="138">
        <f t="shared" si="54"/>
        <v>725203.14541651751</v>
      </c>
      <c r="D268" s="51"/>
      <c r="E268" s="51"/>
      <c r="F268" s="51"/>
      <c r="G268" s="653">
        <f t="shared" si="55"/>
        <v>0</v>
      </c>
      <c r="H268" s="653">
        <f t="shared" si="57"/>
        <v>112114.59359999999</v>
      </c>
      <c r="I268" s="653">
        <f t="shared" si="58"/>
        <v>115478.031408</v>
      </c>
      <c r="J268" s="653">
        <f t="shared" si="58"/>
        <v>118942.37235024</v>
      </c>
      <c r="K268" s="653">
        <f t="shared" si="58"/>
        <v>122510.64352074719</v>
      </c>
      <c r="L268" s="653">
        <f t="shared" si="58"/>
        <v>126185.96282636962</v>
      </c>
      <c r="M268" s="653">
        <f t="shared" si="58"/>
        <v>129971.54171116071</v>
      </c>
      <c r="O268" s="343" t="s">
        <v>1478</v>
      </c>
      <c r="Q268" s="50"/>
      <c r="R268" s="50"/>
      <c r="S268" s="50"/>
      <c r="T268" s="50"/>
      <c r="U268" s="50"/>
      <c r="V268" s="50"/>
      <c r="W268" s="50"/>
      <c r="X268" s="50"/>
      <c r="Y268" s="50"/>
      <c r="Z268" s="50"/>
      <c r="AA268" s="50"/>
      <c r="AB268" s="50"/>
      <c r="AC268" s="50"/>
      <c r="AD268" s="50"/>
      <c r="AE268" s="50"/>
    </row>
    <row r="269" spans="1:31" outlineLevel="1">
      <c r="A269" s="480">
        <f>ROW()</f>
        <v>269</v>
      </c>
      <c r="B269" s="164" t="str">
        <f>$B104</f>
        <v>Special Education Teacher</v>
      </c>
      <c r="C269" s="138">
        <f t="shared" si="54"/>
        <v>340677.14191131754</v>
      </c>
      <c r="D269" s="51"/>
      <c r="E269" s="51"/>
      <c r="F269" s="51"/>
      <c r="G269" s="653">
        <f t="shared" si="55"/>
        <v>0</v>
      </c>
      <c r="H269" s="653">
        <f t="shared" si="57"/>
        <v>52667.834600000002</v>
      </c>
      <c r="I269" s="653">
        <f t="shared" si="58"/>
        <v>54247.869638000004</v>
      </c>
      <c r="J269" s="653">
        <f t="shared" si="58"/>
        <v>55875.305727140003</v>
      </c>
      <c r="K269" s="653">
        <f t="shared" si="58"/>
        <v>57551.564898954202</v>
      </c>
      <c r="L269" s="653">
        <f t="shared" si="58"/>
        <v>59278.111845922831</v>
      </c>
      <c r="M269" s="653">
        <f t="shared" si="58"/>
        <v>61056.455201300516</v>
      </c>
      <c r="O269" s="343" t="s">
        <v>1479</v>
      </c>
      <c r="Q269" s="50"/>
      <c r="R269" s="50"/>
      <c r="S269" s="50"/>
      <c r="T269" s="50"/>
      <c r="U269" s="50"/>
      <c r="V269" s="50"/>
      <c r="W269" s="50"/>
      <c r="X269" s="50"/>
      <c r="Y269" s="50"/>
      <c r="Z269" s="50"/>
      <c r="AA269" s="50"/>
      <c r="AB269" s="50"/>
      <c r="AC269" s="50"/>
      <c r="AD269" s="50"/>
      <c r="AE269" s="50"/>
    </row>
    <row r="270" spans="1:31" outlineLevel="1">
      <c r="A270" s="480">
        <f>ROW()</f>
        <v>270</v>
      </c>
      <c r="B270" s="164" t="str">
        <f>$B105</f>
        <v>Special Education Teacher</v>
      </c>
      <c r="C270" s="138">
        <f t="shared" si="54"/>
        <v>725203.14541651751</v>
      </c>
      <c r="D270" s="51"/>
      <c r="E270" s="51"/>
      <c r="F270" s="51"/>
      <c r="G270" s="653">
        <f t="shared" si="55"/>
        <v>0</v>
      </c>
      <c r="H270" s="653">
        <f t="shared" si="57"/>
        <v>112114.59359999999</v>
      </c>
      <c r="I270" s="653">
        <f t="shared" si="58"/>
        <v>115478.031408</v>
      </c>
      <c r="J270" s="653">
        <f t="shared" si="58"/>
        <v>118942.37235024</v>
      </c>
      <c r="K270" s="653">
        <f t="shared" si="58"/>
        <v>122510.64352074719</v>
      </c>
      <c r="L270" s="653">
        <f t="shared" si="58"/>
        <v>126185.96282636962</v>
      </c>
      <c r="M270" s="653">
        <f t="shared" si="58"/>
        <v>129971.54171116071</v>
      </c>
      <c r="O270" s="343" t="s">
        <v>1486</v>
      </c>
      <c r="Q270" s="50"/>
      <c r="R270" s="50"/>
      <c r="S270" s="50"/>
      <c r="T270" s="50"/>
      <c r="U270" s="50"/>
      <c r="V270" s="50"/>
      <c r="W270" s="50"/>
      <c r="X270" s="50"/>
      <c r="Y270" s="50"/>
      <c r="Z270" s="50"/>
      <c r="AA270" s="50"/>
      <c r="AB270" s="50"/>
      <c r="AC270" s="50"/>
      <c r="AD270" s="50"/>
      <c r="AE270" s="50"/>
    </row>
    <row r="271" spans="1:31" outlineLevel="1">
      <c r="A271" s="480">
        <f>ROW()</f>
        <v>271</v>
      </c>
      <c r="B271" s="973" t="str">
        <f>$B106</f>
        <v>Total Special EducationTeachers</v>
      </c>
      <c r="C271" s="974">
        <f t="shared" si="54"/>
        <v>6118222.5679310188</v>
      </c>
      <c r="D271" s="975"/>
      <c r="E271" s="975"/>
      <c r="F271" s="975"/>
      <c r="G271" s="976">
        <f t="shared" ref="G271:M271" si="59">SUM(G262:G270)</f>
        <v>0</v>
      </c>
      <c r="H271" s="976">
        <f t="shared" si="59"/>
        <v>945861.91620000009</v>
      </c>
      <c r="I271" s="976">
        <f t="shared" si="59"/>
        <v>974237.77368600015</v>
      </c>
      <c r="J271" s="976">
        <f t="shared" si="59"/>
        <v>1003464.9068965801</v>
      </c>
      <c r="K271" s="976">
        <f t="shared" si="59"/>
        <v>1033568.8541034776</v>
      </c>
      <c r="L271" s="976">
        <f t="shared" si="59"/>
        <v>1064575.9197265818</v>
      </c>
      <c r="M271" s="976">
        <f t="shared" si="59"/>
        <v>1096513.1973183793</v>
      </c>
      <c r="O271" s="343"/>
      <c r="Q271" s="50"/>
      <c r="R271" s="50"/>
      <c r="S271" s="50"/>
      <c r="T271" s="50"/>
      <c r="U271" s="50"/>
      <c r="V271" s="50"/>
      <c r="W271" s="50"/>
      <c r="X271" s="50"/>
      <c r="Y271" s="50"/>
      <c r="Z271" s="50"/>
      <c r="AA271" s="50"/>
      <c r="AB271" s="50"/>
      <c r="AC271" s="50"/>
      <c r="AD271" s="50"/>
      <c r="AE271" s="50"/>
    </row>
    <row r="272" spans="1:31" outlineLevel="1">
      <c r="A272" s="480">
        <f>ROW()</f>
        <v>272</v>
      </c>
      <c r="C272" s="138"/>
      <c r="D272" s="51"/>
      <c r="E272" s="51"/>
      <c r="F272" s="51"/>
      <c r="G272" s="138"/>
      <c r="H272" s="138"/>
      <c r="I272" s="138"/>
      <c r="J272" s="138"/>
      <c r="K272" s="138"/>
      <c r="L272" s="138"/>
      <c r="M272" s="138"/>
      <c r="O272" s="343"/>
      <c r="Q272" s="50"/>
      <c r="R272" s="50"/>
      <c r="S272" s="50"/>
      <c r="T272" s="50"/>
      <c r="U272" s="50"/>
      <c r="V272" s="50"/>
      <c r="W272" s="50"/>
      <c r="X272" s="50"/>
      <c r="Y272" s="50"/>
      <c r="Z272" s="50"/>
      <c r="AA272" s="50"/>
      <c r="AB272" s="50"/>
      <c r="AC272" s="50"/>
      <c r="AD272" s="50"/>
      <c r="AE272" s="50"/>
    </row>
    <row r="273" spans="1:31" outlineLevel="1">
      <c r="A273" s="480">
        <f>ROW()</f>
        <v>273</v>
      </c>
      <c r="B273" s="1650" t="str">
        <f t="shared" ref="B273:B283" si="60">$B110</f>
        <v>English Language Learner (ELL) Teachers (Full-time &amp; Part-Time w/benefits)</v>
      </c>
      <c r="C273" s="139"/>
      <c r="D273" s="108"/>
      <c r="E273" s="108"/>
      <c r="F273" s="108"/>
      <c r="G273" s="139"/>
      <c r="H273" s="139"/>
      <c r="I273" s="139"/>
      <c r="J273" s="139"/>
      <c r="K273" s="139"/>
      <c r="L273" s="139"/>
      <c r="M273" s="139"/>
      <c r="O273" s="343"/>
      <c r="Q273" s="50"/>
      <c r="R273" s="50"/>
      <c r="S273" s="50"/>
      <c r="T273" s="50"/>
      <c r="U273" s="50"/>
      <c r="V273" s="50"/>
      <c r="W273" s="50"/>
      <c r="X273" s="50"/>
      <c r="Y273" s="50"/>
      <c r="Z273" s="50"/>
      <c r="AA273" s="50"/>
      <c r="AB273" s="50"/>
      <c r="AC273" s="50"/>
      <c r="AD273" s="50"/>
      <c r="AE273" s="50"/>
    </row>
    <row r="274" spans="1:31" outlineLevel="1">
      <c r="A274" s="480">
        <f>ROW()</f>
        <v>274</v>
      </c>
      <c r="B274" s="164">
        <f t="shared" si="60"/>
        <v>0</v>
      </c>
      <c r="C274" s="138">
        <f t="shared" ref="C274:C283" si="61">SUM(G274:M274)</f>
        <v>0</v>
      </c>
      <c r="D274" s="51"/>
      <c r="E274" s="51"/>
      <c r="F274" s="51"/>
      <c r="G274" s="653">
        <f t="shared" ref="G274:G282" si="62">G111*$D111</f>
        <v>0</v>
      </c>
      <c r="H274" s="653">
        <f>(H111*$D111)*1.03</f>
        <v>0</v>
      </c>
      <c r="I274" s="653">
        <f>H274*1.03</f>
        <v>0</v>
      </c>
      <c r="J274" s="653">
        <f t="shared" ref="J274:M274" si="63">I274*1.03</f>
        <v>0</v>
      </c>
      <c r="K274" s="653">
        <f t="shared" si="63"/>
        <v>0</v>
      </c>
      <c r="L274" s="653">
        <f t="shared" si="63"/>
        <v>0</v>
      </c>
      <c r="M274" s="653">
        <f t="shared" si="63"/>
        <v>0</v>
      </c>
      <c r="O274" s="343" t="s">
        <v>1489</v>
      </c>
      <c r="Q274" s="50"/>
      <c r="R274" s="50"/>
      <c r="S274" s="50"/>
      <c r="T274" s="50"/>
      <c r="U274" s="50"/>
      <c r="V274" s="50"/>
      <c r="W274" s="50"/>
      <c r="X274" s="50"/>
      <c r="Y274" s="50"/>
      <c r="Z274" s="50"/>
      <c r="AA274" s="50"/>
      <c r="AB274" s="50"/>
      <c r="AC274" s="50"/>
      <c r="AD274" s="50"/>
      <c r="AE274" s="50"/>
    </row>
    <row r="275" spans="1:31" outlineLevel="1">
      <c r="A275" s="480">
        <f>ROW()</f>
        <v>275</v>
      </c>
      <c r="B275" s="164">
        <f t="shared" si="60"/>
        <v>0</v>
      </c>
      <c r="C275" s="138">
        <f t="shared" si="61"/>
        <v>0</v>
      </c>
      <c r="D275" s="51"/>
      <c r="E275" s="51"/>
      <c r="F275" s="51"/>
      <c r="G275" s="653">
        <f t="shared" si="62"/>
        <v>0</v>
      </c>
      <c r="H275" s="653">
        <f t="shared" ref="H275:M282" si="64">(H112*$D112)</f>
        <v>0</v>
      </c>
      <c r="I275" s="653">
        <f t="shared" si="64"/>
        <v>0</v>
      </c>
      <c r="J275" s="653">
        <f t="shared" si="64"/>
        <v>0</v>
      </c>
      <c r="K275" s="653">
        <f t="shared" si="64"/>
        <v>0</v>
      </c>
      <c r="L275" s="653">
        <f t="shared" si="64"/>
        <v>0</v>
      </c>
      <c r="M275" s="653">
        <f t="shared" si="64"/>
        <v>0</v>
      </c>
      <c r="Q275" s="50"/>
      <c r="R275" s="50"/>
      <c r="S275" s="50"/>
      <c r="T275" s="50"/>
      <c r="U275" s="50"/>
      <c r="V275" s="50"/>
      <c r="W275" s="50"/>
      <c r="X275" s="50"/>
      <c r="Y275" s="50"/>
      <c r="Z275" s="50"/>
      <c r="AA275" s="50"/>
      <c r="AB275" s="50"/>
      <c r="AC275" s="50"/>
      <c r="AD275" s="50"/>
      <c r="AE275" s="50"/>
    </row>
    <row r="276" spans="1:31" outlineLevel="1">
      <c r="A276" s="480">
        <f>ROW()</f>
        <v>276</v>
      </c>
      <c r="B276" s="164">
        <f t="shared" si="60"/>
        <v>0</v>
      </c>
      <c r="C276" s="138">
        <f t="shared" si="61"/>
        <v>0</v>
      </c>
      <c r="D276" s="51"/>
      <c r="E276" s="51"/>
      <c r="F276" s="51"/>
      <c r="G276" s="653">
        <f t="shared" si="62"/>
        <v>0</v>
      </c>
      <c r="H276" s="653">
        <f t="shared" si="64"/>
        <v>0</v>
      </c>
      <c r="I276" s="653">
        <f t="shared" si="64"/>
        <v>0</v>
      </c>
      <c r="J276" s="653">
        <f t="shared" si="64"/>
        <v>0</v>
      </c>
      <c r="K276" s="653">
        <f t="shared" si="64"/>
        <v>0</v>
      </c>
      <c r="L276" s="653">
        <f t="shared" si="64"/>
        <v>0</v>
      </c>
      <c r="M276" s="653">
        <f t="shared" si="64"/>
        <v>0</v>
      </c>
      <c r="O276" s="343"/>
      <c r="Q276" s="50"/>
      <c r="R276" s="50"/>
      <c r="S276" s="50"/>
      <c r="T276" s="50"/>
      <c r="U276" s="50"/>
      <c r="V276" s="50"/>
      <c r="W276" s="50"/>
      <c r="X276" s="50"/>
      <c r="Y276" s="50"/>
      <c r="Z276" s="50"/>
      <c r="AA276" s="50"/>
      <c r="AB276" s="50"/>
      <c r="AC276" s="50"/>
      <c r="AD276" s="50"/>
      <c r="AE276" s="50"/>
    </row>
    <row r="277" spans="1:31" outlineLevel="1">
      <c r="A277" s="480">
        <f>ROW()</f>
        <v>277</v>
      </c>
      <c r="B277" s="164">
        <f t="shared" si="60"/>
        <v>0</v>
      </c>
      <c r="C277" s="138">
        <f t="shared" si="61"/>
        <v>0</v>
      </c>
      <c r="D277" s="51"/>
      <c r="E277" s="51"/>
      <c r="F277" s="51"/>
      <c r="G277" s="653">
        <f t="shared" si="62"/>
        <v>0</v>
      </c>
      <c r="H277" s="653">
        <f t="shared" si="64"/>
        <v>0</v>
      </c>
      <c r="I277" s="653">
        <f t="shared" si="64"/>
        <v>0</v>
      </c>
      <c r="J277" s="653">
        <f t="shared" si="64"/>
        <v>0</v>
      </c>
      <c r="K277" s="653">
        <f t="shared" si="64"/>
        <v>0</v>
      </c>
      <c r="L277" s="653">
        <f t="shared" si="64"/>
        <v>0</v>
      </c>
      <c r="M277" s="653">
        <f t="shared" si="64"/>
        <v>0</v>
      </c>
      <c r="O277" s="343"/>
      <c r="Q277" s="50"/>
      <c r="R277" s="50"/>
      <c r="S277" s="50"/>
      <c r="T277" s="50"/>
      <c r="U277" s="50"/>
      <c r="V277" s="50"/>
      <c r="W277" s="50"/>
      <c r="X277" s="50"/>
      <c r="Y277" s="50"/>
      <c r="Z277" s="50"/>
      <c r="AA277" s="50"/>
      <c r="AB277" s="50"/>
      <c r="AC277" s="50"/>
      <c r="AD277" s="50"/>
      <c r="AE277" s="50"/>
    </row>
    <row r="278" spans="1:31" outlineLevel="1">
      <c r="A278" s="480">
        <f>ROW()</f>
        <v>278</v>
      </c>
      <c r="B278" s="164">
        <f t="shared" si="60"/>
        <v>0</v>
      </c>
      <c r="C278" s="138">
        <f t="shared" si="61"/>
        <v>0</v>
      </c>
      <c r="D278" s="51"/>
      <c r="E278" s="51"/>
      <c r="F278" s="51"/>
      <c r="G278" s="653">
        <f t="shared" si="62"/>
        <v>0</v>
      </c>
      <c r="H278" s="653">
        <f t="shared" si="64"/>
        <v>0</v>
      </c>
      <c r="I278" s="653">
        <f t="shared" si="64"/>
        <v>0</v>
      </c>
      <c r="J278" s="653">
        <f t="shared" si="64"/>
        <v>0</v>
      </c>
      <c r="K278" s="653">
        <f t="shared" si="64"/>
        <v>0</v>
      </c>
      <c r="L278" s="653">
        <f t="shared" si="64"/>
        <v>0</v>
      </c>
      <c r="M278" s="653">
        <f t="shared" si="64"/>
        <v>0</v>
      </c>
      <c r="O278" s="343"/>
      <c r="Q278" s="50"/>
      <c r="R278" s="50"/>
      <c r="S278" s="50"/>
      <c r="T278" s="50"/>
      <c r="U278" s="50"/>
      <c r="V278" s="50"/>
      <c r="W278" s="50"/>
      <c r="X278" s="50"/>
      <c r="Y278" s="50"/>
      <c r="Z278" s="50"/>
      <c r="AA278" s="50"/>
      <c r="AB278" s="50"/>
      <c r="AC278" s="50"/>
      <c r="AD278" s="50"/>
      <c r="AE278" s="50"/>
    </row>
    <row r="279" spans="1:31" outlineLevel="1">
      <c r="A279" s="480">
        <f>ROW()</f>
        <v>279</v>
      </c>
      <c r="B279" s="164">
        <f t="shared" si="60"/>
        <v>0</v>
      </c>
      <c r="C279" s="138">
        <f t="shared" si="61"/>
        <v>0</v>
      </c>
      <c r="D279" s="51"/>
      <c r="E279" s="51"/>
      <c r="F279" s="51"/>
      <c r="G279" s="653">
        <f t="shared" si="62"/>
        <v>0</v>
      </c>
      <c r="H279" s="653">
        <f t="shared" si="64"/>
        <v>0</v>
      </c>
      <c r="I279" s="653">
        <f t="shared" si="64"/>
        <v>0</v>
      </c>
      <c r="J279" s="653">
        <f t="shared" si="64"/>
        <v>0</v>
      </c>
      <c r="K279" s="653">
        <f t="shared" si="64"/>
        <v>0</v>
      </c>
      <c r="L279" s="653">
        <f t="shared" si="64"/>
        <v>0</v>
      </c>
      <c r="M279" s="653">
        <f t="shared" si="64"/>
        <v>0</v>
      </c>
      <c r="O279" s="343"/>
      <c r="Q279" s="50"/>
      <c r="R279" s="50"/>
      <c r="S279" s="50"/>
      <c r="T279" s="50"/>
      <c r="U279" s="50"/>
      <c r="V279" s="50"/>
      <c r="W279" s="50"/>
      <c r="X279" s="50"/>
      <c r="Y279" s="50"/>
      <c r="Z279" s="50"/>
      <c r="AA279" s="50"/>
      <c r="AB279" s="50"/>
      <c r="AC279" s="50"/>
      <c r="AD279" s="50"/>
      <c r="AE279" s="50"/>
    </row>
    <row r="280" spans="1:31" outlineLevel="1">
      <c r="A280" s="480">
        <f>ROW()</f>
        <v>280</v>
      </c>
      <c r="B280" s="164">
        <f t="shared" si="60"/>
        <v>0</v>
      </c>
      <c r="C280" s="138">
        <f t="shared" si="61"/>
        <v>0</v>
      </c>
      <c r="D280" s="51"/>
      <c r="E280" s="51"/>
      <c r="F280" s="51"/>
      <c r="G280" s="653">
        <f t="shared" si="62"/>
        <v>0</v>
      </c>
      <c r="H280" s="653">
        <f t="shared" si="64"/>
        <v>0</v>
      </c>
      <c r="I280" s="653">
        <f t="shared" si="64"/>
        <v>0</v>
      </c>
      <c r="J280" s="653">
        <f t="shared" si="64"/>
        <v>0</v>
      </c>
      <c r="K280" s="653">
        <f t="shared" si="64"/>
        <v>0</v>
      </c>
      <c r="L280" s="653">
        <f t="shared" si="64"/>
        <v>0</v>
      </c>
      <c r="M280" s="653">
        <f t="shared" si="64"/>
        <v>0</v>
      </c>
      <c r="O280" s="343"/>
      <c r="Q280" s="50"/>
      <c r="R280" s="50"/>
      <c r="S280" s="50"/>
      <c r="T280" s="50"/>
      <c r="U280" s="50"/>
      <c r="V280" s="50"/>
      <c r="W280" s="50"/>
      <c r="X280" s="50"/>
      <c r="Y280" s="50"/>
      <c r="Z280" s="50"/>
      <c r="AA280" s="50"/>
      <c r="AB280" s="50"/>
      <c r="AC280" s="50"/>
      <c r="AD280" s="50"/>
      <c r="AE280" s="50"/>
    </row>
    <row r="281" spans="1:31" outlineLevel="1">
      <c r="A281" s="480">
        <f>ROW()</f>
        <v>281</v>
      </c>
      <c r="B281" s="164">
        <f t="shared" si="60"/>
        <v>0</v>
      </c>
      <c r="C281" s="138">
        <f t="shared" si="61"/>
        <v>0</v>
      </c>
      <c r="D281" s="51"/>
      <c r="E281" s="51"/>
      <c r="F281" s="51"/>
      <c r="G281" s="653">
        <f t="shared" si="62"/>
        <v>0</v>
      </c>
      <c r="H281" s="653">
        <f t="shared" si="64"/>
        <v>0</v>
      </c>
      <c r="I281" s="653">
        <f t="shared" si="64"/>
        <v>0</v>
      </c>
      <c r="J281" s="653">
        <f t="shared" si="64"/>
        <v>0</v>
      </c>
      <c r="K281" s="653">
        <f t="shared" si="64"/>
        <v>0</v>
      </c>
      <c r="L281" s="653">
        <f t="shared" si="64"/>
        <v>0</v>
      </c>
      <c r="M281" s="653">
        <f t="shared" si="64"/>
        <v>0</v>
      </c>
      <c r="O281" s="343"/>
      <c r="Q281" s="50"/>
      <c r="R281" s="50"/>
      <c r="S281" s="50"/>
      <c r="T281" s="50"/>
      <c r="U281" s="50"/>
      <c r="V281" s="50"/>
      <c r="W281" s="50"/>
      <c r="X281" s="50"/>
      <c r="Y281" s="50"/>
      <c r="Z281" s="50"/>
      <c r="AA281" s="50"/>
      <c r="AB281" s="50"/>
      <c r="AC281" s="50"/>
      <c r="AD281" s="50"/>
      <c r="AE281" s="50"/>
    </row>
    <row r="282" spans="1:31" outlineLevel="1">
      <c r="A282" s="480">
        <f>ROW()</f>
        <v>282</v>
      </c>
      <c r="B282" s="164">
        <f t="shared" si="60"/>
        <v>0</v>
      </c>
      <c r="C282" s="138">
        <f t="shared" si="61"/>
        <v>0</v>
      </c>
      <c r="D282" s="51"/>
      <c r="E282" s="51"/>
      <c r="F282" s="51"/>
      <c r="G282" s="653">
        <f t="shared" si="62"/>
        <v>0</v>
      </c>
      <c r="H282" s="653">
        <f t="shared" si="64"/>
        <v>0</v>
      </c>
      <c r="I282" s="653">
        <f t="shared" si="64"/>
        <v>0</v>
      </c>
      <c r="J282" s="653">
        <f t="shared" si="64"/>
        <v>0</v>
      </c>
      <c r="K282" s="653">
        <f t="shared" si="64"/>
        <v>0</v>
      </c>
      <c r="L282" s="653">
        <f t="shared" si="64"/>
        <v>0</v>
      </c>
      <c r="M282" s="653">
        <f t="shared" si="64"/>
        <v>0</v>
      </c>
      <c r="O282" s="343"/>
      <c r="Q282" s="50"/>
      <c r="R282" s="50"/>
      <c r="S282" s="50"/>
      <c r="T282" s="50"/>
      <c r="U282" s="50"/>
      <c r="V282" s="50"/>
      <c r="W282" s="50"/>
      <c r="X282" s="50"/>
      <c r="Y282" s="50"/>
      <c r="Z282" s="50"/>
      <c r="AA282" s="50"/>
      <c r="AB282" s="50"/>
      <c r="AC282" s="50"/>
      <c r="AD282" s="50"/>
      <c r="AE282" s="50"/>
    </row>
    <row r="283" spans="1:31" outlineLevel="1">
      <c r="A283" s="480">
        <f>ROW()</f>
        <v>283</v>
      </c>
      <c r="B283" s="973" t="str">
        <f t="shared" si="60"/>
        <v>Total ELL Teachers</v>
      </c>
      <c r="C283" s="974">
        <f t="shared" si="61"/>
        <v>0</v>
      </c>
      <c r="D283" s="972"/>
      <c r="E283" s="972"/>
      <c r="F283" s="972"/>
      <c r="G283" s="976">
        <f t="shared" ref="G283:M283" si="65">SUM(G274:G282)</f>
        <v>0</v>
      </c>
      <c r="H283" s="976">
        <f t="shared" si="65"/>
        <v>0</v>
      </c>
      <c r="I283" s="976">
        <f t="shared" si="65"/>
        <v>0</v>
      </c>
      <c r="J283" s="976">
        <f t="shared" si="65"/>
        <v>0</v>
      </c>
      <c r="K283" s="976">
        <f t="shared" si="65"/>
        <v>0</v>
      </c>
      <c r="L283" s="976">
        <f t="shared" si="65"/>
        <v>0</v>
      </c>
      <c r="M283" s="976">
        <f t="shared" si="65"/>
        <v>0</v>
      </c>
      <c r="O283" s="343"/>
      <c r="Q283" s="50"/>
      <c r="R283" s="50"/>
      <c r="S283" s="50"/>
      <c r="T283" s="50"/>
      <c r="U283" s="50"/>
      <c r="V283" s="50"/>
      <c r="W283" s="50"/>
      <c r="X283" s="50"/>
      <c r="Y283" s="50"/>
      <c r="Z283" s="50"/>
      <c r="AA283" s="50"/>
      <c r="AB283" s="50"/>
      <c r="AC283" s="50"/>
      <c r="AD283" s="50"/>
      <c r="AE283" s="50"/>
    </row>
    <row r="284" spans="1:31" outlineLevel="1">
      <c r="A284" s="480">
        <f>ROW()</f>
        <v>284</v>
      </c>
      <c r="C284" s="138"/>
      <c r="D284" s="51"/>
      <c r="E284" s="51"/>
      <c r="F284" s="51"/>
      <c r="G284" s="138"/>
      <c r="H284" s="138"/>
      <c r="I284" s="138"/>
      <c r="J284" s="138"/>
      <c r="K284" s="138"/>
      <c r="L284" s="138"/>
      <c r="M284" s="138"/>
      <c r="O284" s="343"/>
      <c r="Q284" s="50"/>
      <c r="R284" s="50"/>
      <c r="S284" s="50"/>
      <c r="T284" s="50"/>
      <c r="U284" s="50"/>
      <c r="V284" s="50"/>
      <c r="W284" s="50"/>
      <c r="X284" s="50"/>
      <c r="Y284" s="50"/>
      <c r="Z284" s="50"/>
      <c r="AA284" s="50"/>
      <c r="AB284" s="50"/>
      <c r="AC284" s="50"/>
      <c r="AD284" s="50"/>
      <c r="AE284" s="50"/>
    </row>
    <row r="285" spans="1:31" outlineLevel="1">
      <c r="A285" s="480">
        <f>ROW()</f>
        <v>285</v>
      </c>
      <c r="B285" s="1650" t="str">
        <f t="shared" ref="B285:B292" si="66">$B122</f>
        <v>Guidance Counselor &amp; Other Staff (Full-time &amp; Part-Time w/benefits)</v>
      </c>
      <c r="C285" s="139"/>
      <c r="D285" s="108"/>
      <c r="E285" s="108"/>
      <c r="F285" s="108"/>
      <c r="G285" s="139"/>
      <c r="H285" s="139"/>
      <c r="I285" s="139"/>
      <c r="J285" s="139"/>
      <c r="K285" s="139"/>
      <c r="L285" s="139"/>
      <c r="M285" s="139"/>
      <c r="O285" s="343"/>
      <c r="Q285" s="50"/>
      <c r="R285" s="50"/>
      <c r="S285" s="50"/>
      <c r="T285" s="50"/>
      <c r="U285" s="50"/>
      <c r="V285" s="50"/>
      <c r="W285" s="50"/>
      <c r="X285" s="50"/>
      <c r="Y285" s="50"/>
      <c r="Z285" s="50"/>
      <c r="AA285" s="50"/>
      <c r="AB285" s="50"/>
      <c r="AC285" s="50"/>
      <c r="AD285" s="50"/>
      <c r="AE285" s="50"/>
    </row>
    <row r="286" spans="1:31" outlineLevel="1">
      <c r="A286" s="480">
        <f>ROW()</f>
        <v>286</v>
      </c>
      <c r="B286" s="164" t="str">
        <f t="shared" si="66"/>
        <v>Guidance Counselor HS</v>
      </c>
      <c r="C286" s="138">
        <f t="shared" ref="C286:C297" si="67">SUM(G286:M286)</f>
        <v>845923.76215129229</v>
      </c>
      <c r="D286" s="51"/>
      <c r="E286" s="51"/>
      <c r="F286" s="51"/>
      <c r="G286" s="653">
        <f t="shared" ref="G286:G293" si="68">G123*$D123</f>
        <v>0</v>
      </c>
      <c r="H286" s="653">
        <f>(H123*$D123)*1.03</f>
        <v>130777.6992</v>
      </c>
      <c r="I286" s="653">
        <f>H286*1.03</f>
        <v>134701.030176</v>
      </c>
      <c r="J286" s="653">
        <f t="shared" ref="J286:M286" si="69">I286*1.03</f>
        <v>138742.06108128</v>
      </c>
      <c r="K286" s="653">
        <f t="shared" si="69"/>
        <v>142904.32291371841</v>
      </c>
      <c r="L286" s="653">
        <f t="shared" si="69"/>
        <v>147191.45260112997</v>
      </c>
      <c r="M286" s="653">
        <f t="shared" si="69"/>
        <v>151607.19617916388</v>
      </c>
      <c r="O286" s="343" t="s">
        <v>1490</v>
      </c>
      <c r="Q286" s="50"/>
      <c r="R286" s="50"/>
      <c r="S286" s="50"/>
      <c r="T286" s="50"/>
      <c r="U286" s="50"/>
      <c r="V286" s="50"/>
      <c r="W286" s="50"/>
      <c r="X286" s="50"/>
      <c r="Y286" s="50"/>
      <c r="Z286" s="50"/>
      <c r="AA286" s="50"/>
      <c r="AB286" s="50"/>
      <c r="AC286" s="50"/>
      <c r="AD286" s="50"/>
      <c r="AE286" s="50"/>
    </row>
    <row r="287" spans="1:31" outlineLevel="1">
      <c r="A287" s="480">
        <f>ROW()</f>
        <v>287</v>
      </c>
      <c r="B287" s="164" t="str">
        <f t="shared" si="66"/>
        <v>Guidance Counselor HS</v>
      </c>
      <c r="C287" s="138">
        <f t="shared" si="67"/>
        <v>680757.06071274565</v>
      </c>
      <c r="D287" s="51"/>
      <c r="E287" s="51"/>
      <c r="F287" s="51"/>
      <c r="G287" s="653">
        <f t="shared" si="68"/>
        <v>0</v>
      </c>
      <c r="H287" s="653">
        <f>(H124*$D124)*1.03</f>
        <v>105243.34</v>
      </c>
      <c r="I287" s="653">
        <f>H287*1.03</f>
        <v>108400.64019999999</v>
      </c>
      <c r="J287" s="653">
        <f t="shared" ref="J287:M288" si="70">I287*1.03</f>
        <v>111652.65940599999</v>
      </c>
      <c r="K287" s="653">
        <f t="shared" si="70"/>
        <v>115002.23918818</v>
      </c>
      <c r="L287" s="653">
        <f t="shared" si="70"/>
        <v>118452.30636382541</v>
      </c>
      <c r="M287" s="653">
        <f t="shared" si="70"/>
        <v>122005.87555474018</v>
      </c>
      <c r="O287" s="343" t="s">
        <v>1492</v>
      </c>
      <c r="Q287" s="50"/>
      <c r="R287" s="50"/>
      <c r="S287" s="50"/>
      <c r="T287" s="50"/>
      <c r="U287" s="50"/>
      <c r="V287" s="50"/>
      <c r="W287" s="50"/>
      <c r="X287" s="50"/>
      <c r="Y287" s="50"/>
      <c r="Z287" s="50"/>
      <c r="AA287" s="50"/>
      <c r="AB287" s="50"/>
      <c r="AC287" s="50"/>
      <c r="AD287" s="50"/>
      <c r="AE287" s="50"/>
    </row>
    <row r="288" spans="1:31" outlineLevel="1">
      <c r="A288" s="480">
        <f>ROW()</f>
        <v>288</v>
      </c>
      <c r="B288" s="164" t="str">
        <f t="shared" si="66"/>
        <v xml:space="preserve">School Psychologist </v>
      </c>
      <c r="C288" s="138">
        <f t="shared" si="67"/>
        <v>759339.57313774561</v>
      </c>
      <c r="D288" s="51"/>
      <c r="E288" s="51"/>
      <c r="F288" s="51"/>
      <c r="G288" s="653">
        <f t="shared" si="68"/>
        <v>0</v>
      </c>
      <c r="H288" s="653">
        <v>117392</v>
      </c>
      <c r="I288" s="653">
        <f>H288*1.03</f>
        <v>120913.76000000001</v>
      </c>
      <c r="J288" s="653">
        <f t="shared" si="70"/>
        <v>124541.17280000001</v>
      </c>
      <c r="K288" s="653">
        <f t="shared" si="70"/>
        <v>128277.40798400002</v>
      </c>
      <c r="L288" s="653">
        <f t="shared" si="70"/>
        <v>132125.73022352002</v>
      </c>
      <c r="M288" s="653">
        <f t="shared" si="70"/>
        <v>136089.50213022562</v>
      </c>
      <c r="O288" s="343"/>
      <c r="Q288" s="50"/>
      <c r="R288" s="50"/>
      <c r="S288" s="50"/>
      <c r="T288" s="50"/>
      <c r="U288" s="50"/>
      <c r="V288" s="50"/>
      <c r="W288" s="50"/>
      <c r="X288" s="50"/>
      <c r="Y288" s="50"/>
      <c r="Z288" s="50"/>
      <c r="AA288" s="50"/>
      <c r="AB288" s="50"/>
      <c r="AC288" s="50"/>
      <c r="AD288" s="50"/>
      <c r="AE288" s="50"/>
    </row>
    <row r="289" spans="1:31" outlineLevel="1">
      <c r="A289" s="480">
        <f>ROW()</f>
        <v>289</v>
      </c>
      <c r="B289" s="164">
        <f t="shared" si="66"/>
        <v>0</v>
      </c>
      <c r="C289" s="138">
        <f t="shared" si="67"/>
        <v>0</v>
      </c>
      <c r="D289" s="51"/>
      <c r="E289" s="51"/>
      <c r="F289" s="51"/>
      <c r="G289" s="653">
        <f t="shared" si="68"/>
        <v>0</v>
      </c>
      <c r="H289" s="653">
        <f t="shared" ref="H289:M293" si="71">(H126*$D126)</f>
        <v>0</v>
      </c>
      <c r="I289" s="653">
        <f t="shared" si="71"/>
        <v>0</v>
      </c>
      <c r="J289" s="653">
        <f t="shared" si="71"/>
        <v>0</v>
      </c>
      <c r="K289" s="653">
        <f t="shared" si="71"/>
        <v>0</v>
      </c>
      <c r="L289" s="653">
        <f t="shared" si="71"/>
        <v>0</v>
      </c>
      <c r="M289" s="653">
        <f t="shared" si="71"/>
        <v>0</v>
      </c>
      <c r="O289" s="343"/>
      <c r="Q289" s="50"/>
      <c r="R289" s="50"/>
      <c r="S289" s="50"/>
      <c r="T289" s="50"/>
      <c r="U289" s="50"/>
      <c r="V289" s="50"/>
      <c r="W289" s="50"/>
      <c r="X289" s="50"/>
      <c r="Y289" s="50"/>
      <c r="Z289" s="50"/>
      <c r="AA289" s="50"/>
      <c r="AB289" s="50"/>
      <c r="AC289" s="50"/>
      <c r="AD289" s="50"/>
      <c r="AE289" s="50"/>
    </row>
    <row r="290" spans="1:31" outlineLevel="1">
      <c r="A290" s="480">
        <f>ROW()</f>
        <v>290</v>
      </c>
      <c r="B290" s="164">
        <f t="shared" si="66"/>
        <v>0</v>
      </c>
      <c r="C290" s="138">
        <f t="shared" si="67"/>
        <v>0</v>
      </c>
      <c r="D290" s="51"/>
      <c r="E290" s="51"/>
      <c r="F290" s="51"/>
      <c r="G290" s="653">
        <f t="shared" si="68"/>
        <v>0</v>
      </c>
      <c r="H290" s="653">
        <f t="shared" si="71"/>
        <v>0</v>
      </c>
      <c r="I290" s="653">
        <f t="shared" si="71"/>
        <v>0</v>
      </c>
      <c r="J290" s="653">
        <f t="shared" si="71"/>
        <v>0</v>
      </c>
      <c r="K290" s="653">
        <f t="shared" si="71"/>
        <v>0</v>
      </c>
      <c r="L290" s="653">
        <f t="shared" si="71"/>
        <v>0</v>
      </c>
      <c r="M290" s="653">
        <f t="shared" si="71"/>
        <v>0</v>
      </c>
      <c r="O290" s="343"/>
      <c r="Q290" s="50"/>
      <c r="R290" s="50"/>
      <c r="S290" s="50"/>
      <c r="T290" s="50"/>
      <c r="U290" s="50"/>
      <c r="V290" s="50"/>
      <c r="W290" s="50"/>
      <c r="X290" s="50"/>
      <c r="Y290" s="50"/>
      <c r="Z290" s="50"/>
      <c r="AA290" s="50"/>
      <c r="AB290" s="50"/>
      <c r="AC290" s="50"/>
      <c r="AD290" s="50"/>
      <c r="AE290" s="50"/>
    </row>
    <row r="291" spans="1:31" outlineLevel="1">
      <c r="A291" s="480">
        <f>ROW()</f>
        <v>291</v>
      </c>
      <c r="B291" s="164">
        <f t="shared" si="66"/>
        <v>0</v>
      </c>
      <c r="C291" s="138">
        <f t="shared" si="67"/>
        <v>0</v>
      </c>
      <c r="D291" s="51"/>
      <c r="E291" s="51"/>
      <c r="F291" s="51"/>
      <c r="G291" s="653">
        <f t="shared" si="68"/>
        <v>0</v>
      </c>
      <c r="H291" s="653">
        <f t="shared" si="71"/>
        <v>0</v>
      </c>
      <c r="I291" s="653">
        <f t="shared" si="71"/>
        <v>0</v>
      </c>
      <c r="J291" s="653">
        <f t="shared" si="71"/>
        <v>0</v>
      </c>
      <c r="K291" s="653">
        <f t="shared" si="71"/>
        <v>0</v>
      </c>
      <c r="L291" s="653">
        <f t="shared" si="71"/>
        <v>0</v>
      </c>
      <c r="M291" s="653">
        <f t="shared" si="71"/>
        <v>0</v>
      </c>
      <c r="O291" s="343"/>
      <c r="Q291" s="50"/>
      <c r="R291" s="50"/>
      <c r="S291" s="50"/>
      <c r="T291" s="50"/>
      <c r="U291" s="50"/>
      <c r="V291" s="50"/>
      <c r="W291" s="50"/>
      <c r="X291" s="50"/>
      <c r="Y291" s="50"/>
      <c r="Z291" s="50"/>
      <c r="AA291" s="50"/>
      <c r="AB291" s="50"/>
      <c r="AC291" s="50"/>
      <c r="AD291" s="50"/>
      <c r="AE291" s="50"/>
    </row>
    <row r="292" spans="1:31" outlineLevel="1">
      <c r="A292" s="480">
        <f>ROW()</f>
        <v>292</v>
      </c>
      <c r="B292" s="164">
        <f t="shared" si="66"/>
        <v>0</v>
      </c>
      <c r="C292" s="138">
        <f t="shared" si="67"/>
        <v>0</v>
      </c>
      <c r="D292" s="51"/>
      <c r="E292" s="51"/>
      <c r="F292" s="51"/>
      <c r="G292" s="653">
        <f t="shared" si="68"/>
        <v>0</v>
      </c>
      <c r="H292" s="653">
        <f t="shared" si="71"/>
        <v>0</v>
      </c>
      <c r="I292" s="653">
        <f t="shared" si="71"/>
        <v>0</v>
      </c>
      <c r="J292" s="653">
        <f t="shared" si="71"/>
        <v>0</v>
      </c>
      <c r="K292" s="653">
        <f t="shared" si="71"/>
        <v>0</v>
      </c>
      <c r="L292" s="653">
        <f t="shared" si="71"/>
        <v>0</v>
      </c>
      <c r="M292" s="653">
        <f t="shared" si="71"/>
        <v>0</v>
      </c>
      <c r="O292" s="343"/>
      <c r="Q292" s="50"/>
      <c r="R292" s="50"/>
      <c r="S292" s="50"/>
      <c r="T292" s="50"/>
      <c r="U292" s="50"/>
      <c r="V292" s="50"/>
      <c r="W292" s="50"/>
      <c r="X292" s="50"/>
      <c r="Y292" s="50"/>
      <c r="Z292" s="50"/>
      <c r="AA292" s="50"/>
      <c r="AB292" s="50"/>
      <c r="AC292" s="50"/>
      <c r="AD292" s="50"/>
      <c r="AE292" s="50"/>
    </row>
    <row r="293" spans="1:31" outlineLevel="1">
      <c r="A293" s="480">
        <f>ROW()</f>
        <v>293</v>
      </c>
      <c r="B293" s="164">
        <f t="shared" ref="B293:B296" si="72">$B130</f>
        <v>0</v>
      </c>
      <c r="C293" s="138">
        <f t="shared" si="67"/>
        <v>0</v>
      </c>
      <c r="D293" s="51"/>
      <c r="E293" s="51"/>
      <c r="F293" s="51"/>
      <c r="G293" s="653">
        <f t="shared" si="68"/>
        <v>0</v>
      </c>
      <c r="H293" s="653">
        <f t="shared" si="71"/>
        <v>0</v>
      </c>
      <c r="I293" s="653">
        <f t="shared" si="71"/>
        <v>0</v>
      </c>
      <c r="J293" s="653">
        <f t="shared" si="71"/>
        <v>0</v>
      </c>
      <c r="K293" s="653">
        <f t="shared" si="71"/>
        <v>0</v>
      </c>
      <c r="L293" s="653">
        <f t="shared" si="71"/>
        <v>0</v>
      </c>
      <c r="M293" s="653">
        <f t="shared" si="71"/>
        <v>0</v>
      </c>
      <c r="O293" s="343"/>
      <c r="Q293" s="50"/>
      <c r="R293" s="50"/>
      <c r="S293" s="50"/>
      <c r="T293" s="50"/>
      <c r="U293" s="50"/>
      <c r="V293" s="50"/>
      <c r="W293" s="50"/>
      <c r="X293" s="50"/>
      <c r="Y293" s="50"/>
      <c r="Z293" s="50"/>
      <c r="AA293" s="50"/>
      <c r="AB293" s="50"/>
      <c r="AC293" s="50"/>
      <c r="AD293" s="50"/>
      <c r="AE293" s="50"/>
    </row>
    <row r="294" spans="1:31" outlineLevel="1">
      <c r="A294" s="480">
        <f>ROW()</f>
        <v>294</v>
      </c>
      <c r="B294" s="164">
        <f t="shared" si="72"/>
        <v>0</v>
      </c>
      <c r="C294" s="138">
        <f t="shared" ref="C294:C296" si="73">SUM(G294:M294)</f>
        <v>0</v>
      </c>
      <c r="D294" s="51"/>
      <c r="E294" s="51"/>
      <c r="F294" s="51"/>
      <c r="G294" s="653">
        <f t="shared" ref="G294:G296" si="74">G131*$D131</f>
        <v>0</v>
      </c>
      <c r="H294" s="653">
        <f t="shared" ref="H294:M294" si="75">(H131*$D131)</f>
        <v>0</v>
      </c>
      <c r="I294" s="653">
        <f t="shared" si="75"/>
        <v>0</v>
      </c>
      <c r="J294" s="653">
        <f t="shared" si="75"/>
        <v>0</v>
      </c>
      <c r="K294" s="653">
        <f t="shared" si="75"/>
        <v>0</v>
      </c>
      <c r="L294" s="653">
        <f t="shared" si="75"/>
        <v>0</v>
      </c>
      <c r="M294" s="653">
        <f t="shared" si="75"/>
        <v>0</v>
      </c>
      <c r="O294" s="343"/>
      <c r="Q294" s="50"/>
      <c r="R294" s="50"/>
      <c r="S294" s="50"/>
      <c r="T294" s="50"/>
      <c r="U294" s="50"/>
      <c r="V294" s="50"/>
      <c r="W294" s="50"/>
      <c r="X294" s="50"/>
      <c r="Y294" s="50"/>
      <c r="Z294" s="50"/>
      <c r="AA294" s="50"/>
      <c r="AB294" s="50"/>
      <c r="AC294" s="50"/>
      <c r="AD294" s="50"/>
      <c r="AE294" s="50"/>
    </row>
    <row r="295" spans="1:31" outlineLevel="1">
      <c r="A295" s="480">
        <f>ROW()</f>
        <v>295</v>
      </c>
      <c r="B295" s="164">
        <f t="shared" si="72"/>
        <v>0</v>
      </c>
      <c r="C295" s="138">
        <f t="shared" si="73"/>
        <v>0</v>
      </c>
      <c r="D295" s="51"/>
      <c r="E295" s="51"/>
      <c r="F295" s="51"/>
      <c r="G295" s="653">
        <f t="shared" si="74"/>
        <v>0</v>
      </c>
      <c r="H295" s="653">
        <f t="shared" ref="H295:M295" si="76">(H132*$D132)</f>
        <v>0</v>
      </c>
      <c r="I295" s="653">
        <f t="shared" si="76"/>
        <v>0</v>
      </c>
      <c r="J295" s="653">
        <f t="shared" si="76"/>
        <v>0</v>
      </c>
      <c r="K295" s="653">
        <f t="shared" si="76"/>
        <v>0</v>
      </c>
      <c r="L295" s="653">
        <f t="shared" si="76"/>
        <v>0</v>
      </c>
      <c r="M295" s="653">
        <f t="shared" si="76"/>
        <v>0</v>
      </c>
      <c r="O295" s="343"/>
      <c r="Q295" s="50"/>
      <c r="R295" s="50"/>
      <c r="S295" s="50"/>
      <c r="T295" s="50"/>
      <c r="U295" s="50"/>
      <c r="V295" s="50"/>
      <c r="W295" s="50"/>
      <c r="X295" s="50"/>
      <c r="Y295" s="50"/>
      <c r="Z295" s="50"/>
      <c r="AA295" s="50"/>
      <c r="AB295" s="50"/>
      <c r="AC295" s="50"/>
      <c r="AD295" s="50"/>
      <c r="AE295" s="50"/>
    </row>
    <row r="296" spans="1:31" outlineLevel="1">
      <c r="A296" s="480">
        <f>ROW()</f>
        <v>296</v>
      </c>
      <c r="B296" s="164">
        <f t="shared" si="72"/>
        <v>0</v>
      </c>
      <c r="C296" s="138">
        <f t="shared" si="73"/>
        <v>0</v>
      </c>
      <c r="D296" s="51"/>
      <c r="E296" s="51"/>
      <c r="F296" s="51"/>
      <c r="G296" s="653">
        <f t="shared" si="74"/>
        <v>0</v>
      </c>
      <c r="H296" s="653">
        <f t="shared" ref="H296:M296" si="77">(H133*$D133)</f>
        <v>0</v>
      </c>
      <c r="I296" s="653">
        <f t="shared" si="77"/>
        <v>0</v>
      </c>
      <c r="J296" s="653">
        <f t="shared" si="77"/>
        <v>0</v>
      </c>
      <c r="K296" s="653">
        <f t="shared" si="77"/>
        <v>0</v>
      </c>
      <c r="L296" s="653">
        <f t="shared" si="77"/>
        <v>0</v>
      </c>
      <c r="M296" s="653">
        <f t="shared" si="77"/>
        <v>0</v>
      </c>
      <c r="O296" s="343"/>
      <c r="Q296" s="50"/>
      <c r="R296" s="50"/>
      <c r="S296" s="50"/>
      <c r="T296" s="50"/>
      <c r="U296" s="50"/>
      <c r="V296" s="50"/>
      <c r="W296" s="50"/>
      <c r="X296" s="50"/>
      <c r="Y296" s="50"/>
      <c r="Z296" s="50"/>
      <c r="AA296" s="50"/>
      <c r="AB296" s="50"/>
      <c r="AC296" s="50"/>
      <c r="AD296" s="50"/>
      <c r="AE296" s="50"/>
    </row>
    <row r="297" spans="1:31" outlineLevel="1">
      <c r="A297" s="480">
        <f>ROW()</f>
        <v>297</v>
      </c>
      <c r="B297" s="977" t="str">
        <f>$B134</f>
        <v>Total Guidance Counselors/Other</v>
      </c>
      <c r="C297" s="974">
        <f t="shared" si="67"/>
        <v>2286020.3960017837</v>
      </c>
      <c r="D297" s="975"/>
      <c r="E297" s="975"/>
      <c r="F297" s="975"/>
      <c r="G297" s="976">
        <f t="shared" ref="G297:H297" si="78">SUM(G286:G296)</f>
        <v>0</v>
      </c>
      <c r="H297" s="976">
        <f t="shared" si="78"/>
        <v>353413.0392</v>
      </c>
      <c r="I297" s="976">
        <f t="shared" ref="I297:M297" si="79">SUM(I286:I296)</f>
        <v>364015.430376</v>
      </c>
      <c r="J297" s="976">
        <f t="shared" si="79"/>
        <v>374935.89328727999</v>
      </c>
      <c r="K297" s="976">
        <f t="shared" si="79"/>
        <v>386183.97008589841</v>
      </c>
      <c r="L297" s="976">
        <f t="shared" si="79"/>
        <v>397769.48918847542</v>
      </c>
      <c r="M297" s="976">
        <f t="shared" si="79"/>
        <v>409702.57386412972</v>
      </c>
      <c r="O297" s="343"/>
      <c r="Q297" s="50"/>
      <c r="R297" s="50"/>
      <c r="S297" s="50"/>
      <c r="T297" s="50"/>
      <c r="U297" s="50"/>
      <c r="V297" s="50"/>
      <c r="W297" s="50"/>
      <c r="X297" s="50"/>
      <c r="Y297" s="50"/>
      <c r="Z297" s="50"/>
      <c r="AA297" s="50"/>
      <c r="AB297" s="50"/>
      <c r="AC297" s="50"/>
      <c r="AD297" s="50"/>
      <c r="AE297" s="50"/>
    </row>
    <row r="298" spans="1:31" outlineLevel="1">
      <c r="A298" s="480">
        <f>ROW()</f>
        <v>298</v>
      </c>
      <c r="C298" s="51"/>
      <c r="D298" s="51"/>
      <c r="E298" s="51"/>
      <c r="F298" s="51"/>
      <c r="G298" s="138"/>
      <c r="H298" s="138"/>
      <c r="I298" s="138"/>
      <c r="J298" s="138"/>
      <c r="K298" s="138"/>
      <c r="L298" s="138"/>
      <c r="M298" s="138"/>
      <c r="O298" s="343"/>
      <c r="Q298" s="50"/>
      <c r="R298" s="50"/>
      <c r="S298" s="50"/>
      <c r="T298" s="50"/>
      <c r="U298" s="50"/>
      <c r="V298" s="50"/>
      <c r="W298" s="50"/>
      <c r="X298" s="50"/>
      <c r="Y298" s="50"/>
      <c r="Z298" s="50"/>
      <c r="AA298" s="50"/>
      <c r="AB298" s="50"/>
      <c r="AC298" s="50"/>
      <c r="AD298" s="50"/>
      <c r="AE298" s="50"/>
    </row>
    <row r="299" spans="1:31" outlineLevel="1">
      <c r="A299" s="480">
        <f>ROW()</f>
        <v>299</v>
      </c>
      <c r="B299" s="178" t="str">
        <f>$B143</f>
        <v>Student Success Advocate</v>
      </c>
      <c r="C299" s="111">
        <f t="shared" ref="C299:C330" si="80">SUM(G299:M299)</f>
        <v>770587.57129383751</v>
      </c>
      <c r="D299" s="111"/>
      <c r="E299" s="111"/>
      <c r="F299" s="111"/>
      <c r="G299" s="653">
        <f>G143*$E143</f>
        <v>0</v>
      </c>
      <c r="H299" s="653">
        <f>(H143*$E143)*1.03</f>
        <v>119130.9124</v>
      </c>
      <c r="I299" s="653">
        <f>H299*1.03</f>
        <v>122704.83977200001</v>
      </c>
      <c r="J299" s="653">
        <f t="shared" ref="J299:M299" si="81">I299*1.03</f>
        <v>126385.98496516001</v>
      </c>
      <c r="K299" s="653">
        <f t="shared" si="81"/>
        <v>130177.56451411481</v>
      </c>
      <c r="L299" s="653">
        <f t="shared" si="81"/>
        <v>134082.89144953826</v>
      </c>
      <c r="M299" s="653">
        <f t="shared" si="81"/>
        <v>138105.3781930244</v>
      </c>
      <c r="N299" s="109"/>
      <c r="O299" s="343" t="s">
        <v>1510</v>
      </c>
      <c r="Q299" s="50"/>
      <c r="R299" s="50"/>
      <c r="S299" s="50"/>
      <c r="T299" s="50"/>
      <c r="U299" s="50"/>
      <c r="V299" s="50"/>
      <c r="W299" s="50"/>
      <c r="X299" s="50"/>
      <c r="Y299" s="50"/>
      <c r="Z299" s="50"/>
      <c r="AA299" s="50"/>
      <c r="AB299" s="50"/>
      <c r="AC299" s="50"/>
      <c r="AD299" s="50"/>
      <c r="AE299" s="50"/>
    </row>
    <row r="300" spans="1:31" outlineLevel="1">
      <c r="A300" s="480">
        <f>ROW()</f>
        <v>300</v>
      </c>
      <c r="B300" s="178" t="str">
        <f>$B144</f>
        <v>Grade Level Teacher</v>
      </c>
      <c r="C300" s="111">
        <f t="shared" si="80"/>
        <v>1676090.001749462</v>
      </c>
      <c r="D300" s="111"/>
      <c r="E300" s="111"/>
      <c r="F300" s="111"/>
      <c r="G300" s="653">
        <f>G144*$E144</f>
        <v>0</v>
      </c>
      <c r="H300" s="653">
        <f t="shared" ref="H300:H323" si="82">(H144*$E144)*1.03</f>
        <v>259119.3248</v>
      </c>
      <c r="I300" s="653">
        <f t="shared" ref="I300:M323" si="83">H300*1.03</f>
        <v>266892.90454399999</v>
      </c>
      <c r="J300" s="653">
        <f t="shared" si="83"/>
        <v>274899.69168032001</v>
      </c>
      <c r="K300" s="653">
        <f t="shared" si="83"/>
        <v>283146.68243072962</v>
      </c>
      <c r="L300" s="653">
        <f t="shared" si="83"/>
        <v>291641.08290365152</v>
      </c>
      <c r="M300" s="653">
        <f t="shared" si="83"/>
        <v>300390.31539076107</v>
      </c>
      <c r="N300" s="109"/>
      <c r="O300" s="343" t="s">
        <v>1511</v>
      </c>
      <c r="Q300" s="50"/>
      <c r="R300" s="50"/>
      <c r="S300" s="50"/>
      <c r="T300" s="50"/>
      <c r="U300" s="50"/>
      <c r="V300" s="50"/>
      <c r="W300" s="50"/>
      <c r="X300" s="50"/>
      <c r="Y300" s="50"/>
      <c r="Z300" s="50"/>
      <c r="AA300" s="50"/>
      <c r="AB300" s="50"/>
      <c r="AC300" s="50"/>
      <c r="AD300" s="50"/>
      <c r="AE300" s="50"/>
    </row>
    <row r="301" spans="1:31" outlineLevel="1">
      <c r="A301" s="480">
        <f>ROW()</f>
        <v>301</v>
      </c>
      <c r="B301" s="178" t="str">
        <f>$B145</f>
        <v>Grade Level Teacher</v>
      </c>
      <c r="C301" s="111">
        <f t="shared" si="80"/>
        <v>1136430.5651023132</v>
      </c>
      <c r="D301" s="111"/>
      <c r="E301" s="111"/>
      <c r="F301" s="111"/>
      <c r="G301" s="653">
        <f>G145*$E145</f>
        <v>0</v>
      </c>
      <c r="H301" s="653">
        <f t="shared" si="82"/>
        <v>175689.3248</v>
      </c>
      <c r="I301" s="653">
        <f t="shared" si="83"/>
        <v>180960.004544</v>
      </c>
      <c r="J301" s="653">
        <f t="shared" si="83"/>
        <v>186388.80468032</v>
      </c>
      <c r="K301" s="653">
        <f t="shared" si="83"/>
        <v>191980.46882072961</v>
      </c>
      <c r="L301" s="653">
        <f t="shared" si="83"/>
        <v>197739.88288535152</v>
      </c>
      <c r="M301" s="653">
        <f t="shared" si="83"/>
        <v>203672.07937191206</v>
      </c>
      <c r="N301" s="109"/>
      <c r="O301" s="343" t="s">
        <v>1512</v>
      </c>
      <c r="Q301" s="50"/>
      <c r="R301" s="50"/>
      <c r="S301" s="50"/>
      <c r="T301" s="50"/>
      <c r="U301" s="50"/>
      <c r="V301" s="50"/>
      <c r="W301" s="50"/>
      <c r="X301" s="50"/>
      <c r="Y301" s="50"/>
      <c r="Z301" s="50"/>
      <c r="AA301" s="50"/>
      <c r="AB301" s="50"/>
      <c r="AC301" s="50"/>
      <c r="AD301" s="50"/>
      <c r="AE301" s="50"/>
    </row>
    <row r="302" spans="1:31" outlineLevel="1">
      <c r="A302" s="480">
        <f>ROW()</f>
        <v>302</v>
      </c>
      <c r="B302" s="178"/>
      <c r="C302" s="111">
        <f t="shared" si="80"/>
        <v>0</v>
      </c>
      <c r="D302" s="111"/>
      <c r="E302" s="111"/>
      <c r="F302" s="111"/>
      <c r="G302" s="653"/>
      <c r="H302" s="653">
        <f t="shared" si="82"/>
        <v>0</v>
      </c>
      <c r="I302" s="653">
        <f t="shared" si="83"/>
        <v>0</v>
      </c>
      <c r="J302" s="653">
        <f t="shared" si="83"/>
        <v>0</v>
      </c>
      <c r="K302" s="653">
        <f t="shared" si="83"/>
        <v>0</v>
      </c>
      <c r="L302" s="653">
        <f t="shared" si="83"/>
        <v>0</v>
      </c>
      <c r="M302" s="653">
        <f t="shared" si="83"/>
        <v>0</v>
      </c>
      <c r="N302" s="109"/>
      <c r="O302" s="343"/>
      <c r="Q302" s="50"/>
      <c r="R302" s="50"/>
      <c r="S302" s="50"/>
      <c r="T302" s="50"/>
      <c r="U302" s="50"/>
      <c r="V302" s="50"/>
      <c r="W302" s="50"/>
      <c r="X302" s="50"/>
      <c r="Y302" s="50"/>
      <c r="Z302" s="50"/>
      <c r="AA302" s="50"/>
      <c r="AB302" s="50"/>
      <c r="AC302" s="50"/>
      <c r="AD302" s="50"/>
      <c r="AE302" s="50"/>
    </row>
    <row r="303" spans="1:31" outlineLevel="1">
      <c r="A303" s="480">
        <f>ROW()</f>
        <v>303</v>
      </c>
      <c r="B303" s="178" t="str">
        <f>$B147</f>
        <v>Grade Level Teacher Biology, Science, Chemistry</v>
      </c>
      <c r="C303" s="111">
        <f t="shared" si="80"/>
        <v>1563653.7569888174</v>
      </c>
      <c r="D303" s="111"/>
      <c r="E303" s="111"/>
      <c r="F303" s="111"/>
      <c r="G303" s="653">
        <f>G147*$E147</f>
        <v>0</v>
      </c>
      <c r="H303" s="653">
        <f t="shared" si="82"/>
        <v>241736.96239999999</v>
      </c>
      <c r="I303" s="653">
        <f t="shared" si="83"/>
        <v>248989.071272</v>
      </c>
      <c r="J303" s="653">
        <f t="shared" si="83"/>
        <v>256458.74341016001</v>
      </c>
      <c r="K303" s="653">
        <f t="shared" si="83"/>
        <v>264152.5057124648</v>
      </c>
      <c r="L303" s="653">
        <f t="shared" si="83"/>
        <v>272077.08088383876</v>
      </c>
      <c r="M303" s="653">
        <f t="shared" si="83"/>
        <v>280239.39331035392</v>
      </c>
      <c r="N303" s="109"/>
      <c r="O303" s="343" t="s">
        <v>1513</v>
      </c>
      <c r="Q303" s="50"/>
      <c r="R303" s="50"/>
      <c r="S303" s="50"/>
      <c r="T303" s="50"/>
      <c r="U303" s="50"/>
      <c r="V303" s="50"/>
      <c r="W303" s="50"/>
      <c r="X303" s="50"/>
      <c r="Y303" s="50"/>
      <c r="Z303" s="50"/>
      <c r="AA303" s="50"/>
      <c r="AB303" s="50"/>
      <c r="AC303" s="50"/>
      <c r="AD303" s="50"/>
      <c r="AE303" s="50"/>
    </row>
    <row r="304" spans="1:31" outlineLevel="1">
      <c r="A304" s="480">
        <f>ROW()</f>
        <v>304</v>
      </c>
      <c r="B304" s="178" t="str">
        <f>$B148</f>
        <v>Grade Level Teacher</v>
      </c>
      <c r="C304" s="111">
        <f t="shared" si="80"/>
        <v>1383781.6690247452</v>
      </c>
      <c r="D304" s="111"/>
      <c r="E304" s="111"/>
      <c r="F304" s="111"/>
      <c r="G304" s="653">
        <f>G148*$E148</f>
        <v>0</v>
      </c>
      <c r="H304" s="653">
        <f t="shared" si="82"/>
        <v>213929.18719999999</v>
      </c>
      <c r="I304" s="653">
        <f t="shared" si="83"/>
        <v>220347.06281599999</v>
      </c>
      <c r="J304" s="653">
        <f t="shared" si="83"/>
        <v>226957.47470048</v>
      </c>
      <c r="K304" s="653">
        <f t="shared" si="83"/>
        <v>233766.1989414944</v>
      </c>
      <c r="L304" s="653">
        <f t="shared" si="83"/>
        <v>240779.18490973924</v>
      </c>
      <c r="M304" s="653">
        <f t="shared" si="83"/>
        <v>248002.56045703142</v>
      </c>
      <c r="N304" s="109"/>
      <c r="O304" s="343" t="s">
        <v>1514</v>
      </c>
      <c r="Q304" s="50"/>
      <c r="R304" s="50"/>
      <c r="S304" s="50"/>
      <c r="T304" s="50"/>
      <c r="U304" s="50"/>
      <c r="V304" s="50"/>
      <c r="W304" s="50"/>
      <c r="X304" s="50"/>
      <c r="Y304" s="50"/>
      <c r="Z304" s="50"/>
      <c r="AA304" s="50"/>
      <c r="AB304" s="50"/>
      <c r="AC304" s="50"/>
      <c r="AD304" s="50"/>
      <c r="AE304" s="50"/>
    </row>
    <row r="305" spans="1:31" outlineLevel="1">
      <c r="A305" s="480">
        <f>ROW()</f>
        <v>305</v>
      </c>
      <c r="B305" s="178" t="str">
        <f>$B149</f>
        <v>Tutor</v>
      </c>
      <c r="C305" s="111">
        <f t="shared" si="80"/>
        <v>545722.2772317034</v>
      </c>
      <c r="D305" s="111"/>
      <c r="E305" s="111"/>
      <c r="F305" s="111"/>
      <c r="G305" s="653">
        <f>G149*$E149</f>
        <v>0</v>
      </c>
      <c r="H305" s="653">
        <f t="shared" si="82"/>
        <v>84367.3</v>
      </c>
      <c r="I305" s="653">
        <f t="shared" si="83"/>
        <v>86898.319000000003</v>
      </c>
      <c r="J305" s="653">
        <f t="shared" si="83"/>
        <v>89505.26857</v>
      </c>
      <c r="K305" s="653">
        <f t="shared" si="83"/>
        <v>92190.426627100009</v>
      </c>
      <c r="L305" s="653">
        <f t="shared" si="83"/>
        <v>94956.139425913017</v>
      </c>
      <c r="M305" s="653">
        <f t="shared" si="83"/>
        <v>97804.823608690407</v>
      </c>
      <c r="N305" s="109"/>
      <c r="O305" s="343" t="s">
        <v>1515</v>
      </c>
      <c r="Q305" s="50"/>
      <c r="R305" s="50"/>
      <c r="S305" s="50"/>
      <c r="T305" s="50"/>
      <c r="U305" s="50"/>
      <c r="V305" s="50"/>
      <c r="W305" s="50"/>
      <c r="X305" s="50"/>
      <c r="Y305" s="50"/>
      <c r="Z305" s="50"/>
      <c r="AA305" s="50"/>
      <c r="AB305" s="50"/>
      <c r="AC305" s="50"/>
      <c r="AD305" s="50"/>
      <c r="AE305" s="50"/>
    </row>
    <row r="306" spans="1:31" outlineLevel="1">
      <c r="A306" s="480">
        <f>ROW()</f>
        <v>306</v>
      </c>
      <c r="B306" s="178" t="str">
        <f>$B150</f>
        <v>Grade Level Teacher</v>
      </c>
      <c r="C306" s="111">
        <f t="shared" si="80"/>
        <v>826385.69205828046</v>
      </c>
      <c r="D306" s="111"/>
      <c r="E306" s="111"/>
      <c r="F306" s="111"/>
      <c r="G306" s="653">
        <f>G150*$E150</f>
        <v>0</v>
      </c>
      <c r="H306" s="653">
        <f t="shared" si="82"/>
        <v>127757.1624</v>
      </c>
      <c r="I306" s="653">
        <f t="shared" si="83"/>
        <v>131589.87727200001</v>
      </c>
      <c r="J306" s="653">
        <f t="shared" si="83"/>
        <v>135537.57359016003</v>
      </c>
      <c r="K306" s="653">
        <f t="shared" si="83"/>
        <v>139603.70079786482</v>
      </c>
      <c r="L306" s="653">
        <f t="shared" si="83"/>
        <v>143791.81182180077</v>
      </c>
      <c r="M306" s="653">
        <f t="shared" si="83"/>
        <v>148105.5661764548</v>
      </c>
      <c r="N306" s="109"/>
      <c r="O306" s="343" t="s">
        <v>1516</v>
      </c>
      <c r="Q306" s="50"/>
      <c r="R306" s="50"/>
      <c r="S306" s="50"/>
      <c r="T306" s="50"/>
      <c r="U306" s="50"/>
      <c r="V306" s="50"/>
      <c r="W306" s="50"/>
      <c r="X306" s="50"/>
      <c r="Y306" s="50"/>
      <c r="Z306" s="50"/>
      <c r="AA306" s="50"/>
      <c r="AB306" s="50"/>
      <c r="AC306" s="50"/>
      <c r="AD306" s="50"/>
      <c r="AE306" s="50"/>
    </row>
    <row r="307" spans="1:31" outlineLevel="1">
      <c r="A307" s="480">
        <f>ROW()</f>
        <v>307</v>
      </c>
      <c r="B307" s="178" t="str">
        <f>$B151</f>
        <v>Spanish Teacher I&amp;II</v>
      </c>
      <c r="C307" s="111">
        <f t="shared" si="80"/>
        <v>613186.90227175248</v>
      </c>
      <c r="D307" s="111"/>
      <c r="E307" s="111"/>
      <c r="F307" s="111"/>
      <c r="G307" s="653">
        <f>G151*$E151</f>
        <v>0</v>
      </c>
      <c r="H307" s="653">
        <f t="shared" si="82"/>
        <v>94797.162400000001</v>
      </c>
      <c r="I307" s="653">
        <f t="shared" si="83"/>
        <v>97641.07727200001</v>
      </c>
      <c r="J307" s="653">
        <f t="shared" si="83"/>
        <v>100570.30959016002</v>
      </c>
      <c r="K307" s="653">
        <f t="shared" si="83"/>
        <v>103587.41887786482</v>
      </c>
      <c r="L307" s="653">
        <f t="shared" si="83"/>
        <v>106695.04144420078</v>
      </c>
      <c r="M307" s="653">
        <f t="shared" si="83"/>
        <v>109895.89268752681</v>
      </c>
      <c r="N307" s="109"/>
      <c r="O307" s="343" t="s">
        <v>1517</v>
      </c>
      <c r="Q307" s="50"/>
      <c r="R307" s="50"/>
      <c r="S307" s="50"/>
      <c r="T307" s="50"/>
      <c r="U307" s="50"/>
      <c r="V307" s="50"/>
      <c r="W307" s="50"/>
      <c r="X307" s="50"/>
      <c r="Y307" s="50"/>
      <c r="Z307" s="50"/>
      <c r="AA307" s="50"/>
      <c r="AB307" s="50"/>
      <c r="AC307" s="50"/>
      <c r="AD307" s="50"/>
      <c r="AE307" s="50"/>
    </row>
    <row r="308" spans="1:31" outlineLevel="1">
      <c r="A308" s="480">
        <f>ROW()</f>
        <v>308</v>
      </c>
      <c r="B308" s="178"/>
      <c r="C308" s="111">
        <f t="shared" si="80"/>
        <v>0</v>
      </c>
      <c r="D308" s="111"/>
      <c r="E308" s="111"/>
      <c r="F308" s="111"/>
      <c r="G308" s="653"/>
      <c r="H308" s="653">
        <f t="shared" si="82"/>
        <v>0</v>
      </c>
      <c r="I308" s="653">
        <f t="shared" si="83"/>
        <v>0</v>
      </c>
      <c r="J308" s="653">
        <f t="shared" si="83"/>
        <v>0</v>
      </c>
      <c r="K308" s="653">
        <f t="shared" si="83"/>
        <v>0</v>
      </c>
      <c r="L308" s="653">
        <f t="shared" si="83"/>
        <v>0</v>
      </c>
      <c r="M308" s="653">
        <f t="shared" si="83"/>
        <v>0</v>
      </c>
      <c r="N308" s="109"/>
      <c r="O308" s="343"/>
      <c r="Q308" s="50"/>
      <c r="R308" s="50"/>
      <c r="S308" s="50"/>
      <c r="T308" s="50"/>
      <c r="U308" s="50"/>
      <c r="V308" s="50"/>
      <c r="W308" s="50"/>
      <c r="X308" s="50"/>
      <c r="Y308" s="50"/>
      <c r="Z308" s="50"/>
      <c r="AA308" s="50"/>
      <c r="AB308" s="50"/>
      <c r="AC308" s="50"/>
      <c r="AD308" s="50"/>
      <c r="AE308" s="50"/>
    </row>
    <row r="309" spans="1:31" outlineLevel="1">
      <c r="A309" s="480">
        <f>ROW()</f>
        <v>309</v>
      </c>
      <c r="B309" s="178" t="str">
        <f>$B153</f>
        <v>Grade Level Teacher</v>
      </c>
      <c r="C309" s="111">
        <f t="shared" si="80"/>
        <v>883016.62059532688</v>
      </c>
      <c r="D309" s="111"/>
      <c r="E309" s="111"/>
      <c r="F309" s="111"/>
      <c r="G309" s="653">
        <f>G153*$E153</f>
        <v>0</v>
      </c>
      <c r="H309" s="653">
        <f t="shared" si="82"/>
        <v>136512.1624</v>
      </c>
      <c r="I309" s="653">
        <f t="shared" si="83"/>
        <v>140607.52727200001</v>
      </c>
      <c r="J309" s="653">
        <f t="shared" si="83"/>
        <v>144825.75309016</v>
      </c>
      <c r="K309" s="653">
        <f t="shared" si="83"/>
        <v>149170.5256828648</v>
      </c>
      <c r="L309" s="653">
        <f t="shared" si="83"/>
        <v>153645.64145335075</v>
      </c>
      <c r="M309" s="653">
        <f t="shared" si="83"/>
        <v>158255.01069695127</v>
      </c>
      <c r="N309" s="109"/>
      <c r="O309" s="343" t="s">
        <v>1518</v>
      </c>
      <c r="Q309" s="50"/>
      <c r="R309" s="50"/>
      <c r="S309" s="50"/>
      <c r="T309" s="50"/>
      <c r="U309" s="50"/>
      <c r="V309" s="50"/>
      <c r="W309" s="50"/>
      <c r="X309" s="50"/>
      <c r="Y309" s="50"/>
      <c r="Z309" s="50"/>
      <c r="AA309" s="50"/>
      <c r="AB309" s="50"/>
      <c r="AC309" s="50"/>
      <c r="AD309" s="50"/>
      <c r="AE309" s="50"/>
    </row>
    <row r="310" spans="1:31" outlineLevel="1">
      <c r="A310" s="480">
        <f>ROW()</f>
        <v>310</v>
      </c>
      <c r="B310" s="178" t="str">
        <f>$B154</f>
        <v>Music Teacher</v>
      </c>
      <c r="C310" s="111">
        <f t="shared" si="80"/>
        <v>905502.43045562482</v>
      </c>
      <c r="D310" s="111"/>
      <c r="E310" s="111"/>
      <c r="F310" s="111"/>
      <c r="G310" s="653">
        <f>G154*$E154</f>
        <v>0</v>
      </c>
      <c r="H310" s="653">
        <f t="shared" si="82"/>
        <v>139988.4124</v>
      </c>
      <c r="I310" s="653">
        <f t="shared" si="83"/>
        <v>144188.06477200001</v>
      </c>
      <c r="J310" s="653">
        <f t="shared" si="83"/>
        <v>148513.70671516002</v>
      </c>
      <c r="K310" s="653">
        <f t="shared" si="83"/>
        <v>152969.11791661484</v>
      </c>
      <c r="L310" s="653">
        <f t="shared" si="83"/>
        <v>157558.19145411329</v>
      </c>
      <c r="M310" s="653">
        <f t="shared" si="83"/>
        <v>162284.9371977367</v>
      </c>
      <c r="N310" s="109"/>
      <c r="O310" s="343" t="s">
        <v>1522</v>
      </c>
      <c r="Q310" s="50"/>
      <c r="R310" s="50"/>
      <c r="S310" s="50"/>
      <c r="T310" s="50"/>
      <c r="U310" s="50"/>
      <c r="V310" s="50"/>
      <c r="W310" s="50"/>
      <c r="X310" s="50"/>
      <c r="Y310" s="50"/>
      <c r="Z310" s="50"/>
      <c r="AA310" s="50"/>
      <c r="AB310" s="50"/>
      <c r="AC310" s="50"/>
      <c r="AD310" s="50"/>
      <c r="AE310" s="50"/>
    </row>
    <row r="311" spans="1:31" outlineLevel="1">
      <c r="A311" s="480">
        <f>ROW()</f>
        <v>311</v>
      </c>
      <c r="B311" s="178" t="str">
        <f>$B155</f>
        <v>Tutor</v>
      </c>
      <c r="C311" s="111">
        <f t="shared" si="80"/>
        <v>377281.9083759847</v>
      </c>
      <c r="D311" s="111"/>
      <c r="E311" s="111"/>
      <c r="F311" s="111"/>
      <c r="G311" s="653">
        <f>G155*$E155</f>
        <v>0</v>
      </c>
      <c r="H311" s="653">
        <f t="shared" si="82"/>
        <v>58326.840000000004</v>
      </c>
      <c r="I311" s="653">
        <f t="shared" si="83"/>
        <v>60076.645200000006</v>
      </c>
      <c r="J311" s="653">
        <f t="shared" si="83"/>
        <v>61878.944556000009</v>
      </c>
      <c r="K311" s="653">
        <f t="shared" si="83"/>
        <v>63735.312892680013</v>
      </c>
      <c r="L311" s="653">
        <f t="shared" si="83"/>
        <v>65647.372279460411</v>
      </c>
      <c r="M311" s="653">
        <f t="shared" si="83"/>
        <v>67616.793447844218</v>
      </c>
      <c r="N311" s="109"/>
      <c r="O311" s="343" t="s">
        <v>1523</v>
      </c>
      <c r="Q311" s="50"/>
      <c r="R311" s="50"/>
      <c r="S311" s="50"/>
      <c r="T311" s="50"/>
      <c r="U311" s="50"/>
      <c r="V311" s="50"/>
      <c r="W311" s="50"/>
      <c r="X311" s="50"/>
      <c r="Y311" s="50"/>
      <c r="Z311" s="50"/>
      <c r="AA311" s="50"/>
      <c r="AB311" s="50"/>
      <c r="AC311" s="50"/>
      <c r="AD311" s="50"/>
      <c r="AE311" s="50"/>
    </row>
    <row r="312" spans="1:31" outlineLevel="1">
      <c r="A312" s="480">
        <f>ROW()</f>
        <v>312</v>
      </c>
      <c r="B312" s="178" t="str">
        <f>$B156</f>
        <v>Student Success Advocate</v>
      </c>
      <c r="C312" s="111">
        <f t="shared" si="80"/>
        <v>319914.77776795661</v>
      </c>
      <c r="D312" s="111"/>
      <c r="E312" s="111"/>
      <c r="F312" s="111"/>
      <c r="G312" s="653">
        <f>G156*$E156</f>
        <v>0</v>
      </c>
      <c r="H312" s="653">
        <f t="shared" si="82"/>
        <v>49458.025000000001</v>
      </c>
      <c r="I312" s="653">
        <f t="shared" si="83"/>
        <v>50941.765750000006</v>
      </c>
      <c r="J312" s="653">
        <f t="shared" si="83"/>
        <v>52470.018722500005</v>
      </c>
      <c r="K312" s="653">
        <f t="shared" si="83"/>
        <v>54044.119284175009</v>
      </c>
      <c r="L312" s="653">
        <f t="shared" si="83"/>
        <v>55665.442862700264</v>
      </c>
      <c r="M312" s="653">
        <f t="shared" si="83"/>
        <v>57335.406148581271</v>
      </c>
      <c r="N312" s="109"/>
      <c r="O312" s="343" t="s">
        <v>1524</v>
      </c>
      <c r="Q312" s="50"/>
      <c r="R312" s="50"/>
      <c r="S312" s="50"/>
      <c r="T312" s="50"/>
      <c r="U312" s="50"/>
      <c r="V312" s="50"/>
      <c r="W312" s="50"/>
      <c r="X312" s="50"/>
      <c r="Y312" s="50"/>
      <c r="Z312" s="50"/>
      <c r="AA312" s="50"/>
      <c r="AB312" s="50"/>
      <c r="AC312" s="50"/>
      <c r="AD312" s="50"/>
      <c r="AE312" s="50"/>
    </row>
    <row r="313" spans="1:31" outlineLevel="1">
      <c r="A313" s="480">
        <f>ROW()</f>
        <v>313</v>
      </c>
      <c r="B313" s="178" t="str">
        <f>$B157</f>
        <v>Student Success Advocate Facilitator</v>
      </c>
      <c r="C313" s="111">
        <f t="shared" si="80"/>
        <v>984206.36269624485</v>
      </c>
      <c r="D313" s="111"/>
      <c r="E313" s="111"/>
      <c r="F313" s="111"/>
      <c r="G313" s="653">
        <f>G157*$E157</f>
        <v>0</v>
      </c>
      <c r="H313" s="653">
        <f t="shared" si="82"/>
        <v>152155.84359999999</v>
      </c>
      <c r="I313" s="653">
        <f t="shared" si="83"/>
        <v>156720.518908</v>
      </c>
      <c r="J313" s="653">
        <f t="shared" si="83"/>
        <v>161422.13447523999</v>
      </c>
      <c r="K313" s="653">
        <f t="shared" si="83"/>
        <v>166264.7985094972</v>
      </c>
      <c r="L313" s="653">
        <f t="shared" si="83"/>
        <v>171252.74246478212</v>
      </c>
      <c r="M313" s="653">
        <f t="shared" si="83"/>
        <v>176390.32473872558</v>
      </c>
      <c r="N313" s="109"/>
      <c r="O313" s="343" t="s">
        <v>1525</v>
      </c>
      <c r="Q313" s="50"/>
      <c r="R313" s="50"/>
      <c r="S313" s="50"/>
      <c r="T313" s="50"/>
      <c r="U313" s="50"/>
      <c r="V313" s="50"/>
      <c r="W313" s="50"/>
      <c r="X313" s="50"/>
      <c r="Y313" s="50"/>
      <c r="Z313" s="50"/>
      <c r="AA313" s="50"/>
      <c r="AB313" s="50"/>
      <c r="AC313" s="50"/>
      <c r="AD313" s="50"/>
      <c r="AE313" s="50"/>
    </row>
    <row r="314" spans="1:31" outlineLevel="1">
      <c r="A314" s="480">
        <f>ROW()</f>
        <v>314</v>
      </c>
      <c r="B314" s="178"/>
      <c r="C314" s="111">
        <f t="shared" si="80"/>
        <v>0</v>
      </c>
      <c r="D314" s="111"/>
      <c r="E314" s="111"/>
      <c r="F314" s="111"/>
      <c r="G314" s="653"/>
      <c r="H314" s="653">
        <f t="shared" si="82"/>
        <v>0</v>
      </c>
      <c r="I314" s="653">
        <f t="shared" si="83"/>
        <v>0</v>
      </c>
      <c r="J314" s="653">
        <f t="shared" si="83"/>
        <v>0</v>
      </c>
      <c r="K314" s="653">
        <f t="shared" si="83"/>
        <v>0</v>
      </c>
      <c r="L314" s="653">
        <f t="shared" si="83"/>
        <v>0</v>
      </c>
      <c r="M314" s="653">
        <f t="shared" si="83"/>
        <v>0</v>
      </c>
      <c r="N314" s="109"/>
      <c r="O314" s="343"/>
      <c r="Q314" s="50"/>
      <c r="R314" s="50"/>
      <c r="S314" s="50"/>
      <c r="T314" s="50"/>
      <c r="U314" s="50"/>
      <c r="V314" s="50"/>
      <c r="W314" s="50"/>
      <c r="X314" s="50"/>
      <c r="Y314" s="50"/>
      <c r="Z314" s="50"/>
      <c r="AA314" s="50"/>
      <c r="AB314" s="50"/>
      <c r="AC314" s="50"/>
      <c r="AD314" s="50"/>
      <c r="AE314" s="50"/>
    </row>
    <row r="315" spans="1:31" outlineLevel="1">
      <c r="A315" s="480">
        <f>ROW()</f>
        <v>315</v>
      </c>
      <c r="B315" s="178" t="str">
        <f>$B159</f>
        <v>Grade Level Teacher</v>
      </c>
      <c r="C315" s="111">
        <f t="shared" si="80"/>
        <v>753385.3604414243</v>
      </c>
      <c r="D315" s="111"/>
      <c r="E315" s="111"/>
      <c r="F315" s="111"/>
      <c r="G315" s="653">
        <f>G159*$E159</f>
        <v>0</v>
      </c>
      <c r="H315" s="653">
        <f t="shared" si="82"/>
        <v>116471.4936</v>
      </c>
      <c r="I315" s="653">
        <f t="shared" si="83"/>
        <v>119965.638408</v>
      </c>
      <c r="J315" s="653">
        <f t="shared" si="83"/>
        <v>123564.60756024001</v>
      </c>
      <c r="K315" s="653">
        <f t="shared" si="83"/>
        <v>127271.54578704722</v>
      </c>
      <c r="L315" s="653">
        <f t="shared" si="83"/>
        <v>131089.69216065863</v>
      </c>
      <c r="M315" s="653">
        <f t="shared" si="83"/>
        <v>135022.38292547839</v>
      </c>
      <c r="N315" s="109"/>
      <c r="O315" s="343" t="s">
        <v>1530</v>
      </c>
      <c r="Q315" s="50"/>
      <c r="R315" s="50"/>
      <c r="S315" s="50"/>
      <c r="T315" s="50"/>
      <c r="U315" s="50"/>
      <c r="V315" s="50"/>
      <c r="W315" s="50"/>
      <c r="X315" s="50"/>
      <c r="Y315" s="50"/>
      <c r="Z315" s="50"/>
      <c r="AA315" s="50"/>
      <c r="AB315" s="50"/>
      <c r="AC315" s="50"/>
      <c r="AD315" s="50"/>
      <c r="AE315" s="50"/>
    </row>
    <row r="316" spans="1:31" outlineLevel="1">
      <c r="A316" s="480">
        <f>ROW()</f>
        <v>316</v>
      </c>
      <c r="B316" s="178" t="str">
        <f>$B160</f>
        <v>Grade Level Teacher English &amp; Reading</v>
      </c>
      <c r="C316" s="111">
        <f t="shared" si="80"/>
        <v>818583.41584755515</v>
      </c>
      <c r="D316" s="111"/>
      <c r="E316" s="111"/>
      <c r="F316" s="111"/>
      <c r="G316" s="653">
        <f>G160*$E160</f>
        <v>0</v>
      </c>
      <c r="H316" s="653">
        <f t="shared" si="82"/>
        <v>126550.95</v>
      </c>
      <c r="I316" s="653">
        <f t="shared" si="83"/>
        <v>130347.4785</v>
      </c>
      <c r="J316" s="653">
        <f t="shared" si="83"/>
        <v>134257.90285499999</v>
      </c>
      <c r="K316" s="653">
        <f t="shared" si="83"/>
        <v>138285.63994065</v>
      </c>
      <c r="L316" s="653">
        <f t="shared" si="83"/>
        <v>142434.20913886951</v>
      </c>
      <c r="M316" s="653">
        <f t="shared" si="83"/>
        <v>146707.23541303561</v>
      </c>
      <c r="N316" s="109"/>
      <c r="O316" s="343" t="s">
        <v>1531</v>
      </c>
      <c r="Q316" s="50"/>
      <c r="R316" s="50"/>
      <c r="S316" s="50"/>
      <c r="T316" s="50"/>
      <c r="U316" s="50"/>
      <c r="V316" s="50"/>
      <c r="W316" s="50"/>
      <c r="X316" s="50"/>
      <c r="Y316" s="50"/>
      <c r="Z316" s="50"/>
      <c r="AA316" s="50"/>
      <c r="AB316" s="50"/>
      <c r="AC316" s="50"/>
      <c r="AD316" s="50"/>
      <c r="AE316" s="50"/>
    </row>
    <row r="317" spans="1:31" outlineLevel="1">
      <c r="A317" s="480">
        <f>ROW()</f>
        <v>317</v>
      </c>
      <c r="B317" s="178" t="str">
        <f>$B161</f>
        <v>Grade Level Teacher</v>
      </c>
      <c r="C317" s="111">
        <f t="shared" si="80"/>
        <v>1248852.4189446473</v>
      </c>
      <c r="D317" s="111"/>
      <c r="E317" s="111"/>
      <c r="F317" s="111"/>
      <c r="G317" s="653">
        <f>G161*$E161</f>
        <v>0</v>
      </c>
      <c r="H317" s="653">
        <f t="shared" si="82"/>
        <v>193069.46239999999</v>
      </c>
      <c r="I317" s="653">
        <f t="shared" si="83"/>
        <v>198861.54627200001</v>
      </c>
      <c r="J317" s="653">
        <f t="shared" si="83"/>
        <v>204827.39266016003</v>
      </c>
      <c r="K317" s="653">
        <f t="shared" si="83"/>
        <v>210972.21443996482</v>
      </c>
      <c r="L317" s="653">
        <f t="shared" si="83"/>
        <v>217301.38087316378</v>
      </c>
      <c r="M317" s="653">
        <f t="shared" si="83"/>
        <v>223820.4222993587</v>
      </c>
      <c r="N317" s="109"/>
      <c r="O317" s="343" t="s">
        <v>1532</v>
      </c>
      <c r="Q317" s="50"/>
      <c r="R317" s="50"/>
      <c r="S317" s="50"/>
      <c r="T317" s="50"/>
      <c r="U317" s="50"/>
      <c r="V317" s="50"/>
      <c r="W317" s="50"/>
      <c r="X317" s="50"/>
      <c r="Y317" s="50"/>
      <c r="Z317" s="50"/>
      <c r="AA317" s="50"/>
      <c r="AB317" s="50"/>
      <c r="AC317" s="50"/>
      <c r="AD317" s="50"/>
      <c r="AE317" s="50"/>
    </row>
    <row r="318" spans="1:31" outlineLevel="1">
      <c r="A318" s="480">
        <f>ROW()</f>
        <v>318</v>
      </c>
      <c r="B318" s="178" t="str">
        <f>$B162</f>
        <v>Tutor</v>
      </c>
      <c r="C318" s="111">
        <f t="shared" si="80"/>
        <v>624426.20947232365</v>
      </c>
      <c r="D318" s="111"/>
      <c r="E318" s="111"/>
      <c r="F318" s="111"/>
      <c r="G318" s="653">
        <f>G162*$E162</f>
        <v>0</v>
      </c>
      <c r="H318" s="653">
        <f t="shared" si="82"/>
        <v>96534.731199999995</v>
      </c>
      <c r="I318" s="653">
        <f t="shared" si="83"/>
        <v>99430.773136000003</v>
      </c>
      <c r="J318" s="653">
        <f t="shared" si="83"/>
        <v>102413.69633008001</v>
      </c>
      <c r="K318" s="653">
        <f t="shared" si="83"/>
        <v>105486.10721998241</v>
      </c>
      <c r="L318" s="653">
        <f t="shared" si="83"/>
        <v>108650.69043658189</v>
      </c>
      <c r="M318" s="653">
        <f t="shared" si="83"/>
        <v>111910.21114967935</v>
      </c>
      <c r="N318" s="109"/>
      <c r="O318" s="343" t="s">
        <v>1533</v>
      </c>
      <c r="Q318" s="50"/>
      <c r="R318" s="50"/>
      <c r="S318" s="50"/>
      <c r="T318" s="50"/>
      <c r="U318" s="50"/>
      <c r="V318" s="50"/>
      <c r="W318" s="50"/>
      <c r="X318" s="50"/>
      <c r="Y318" s="50"/>
      <c r="Z318" s="50"/>
      <c r="AA318" s="50"/>
      <c r="AB318" s="50"/>
      <c r="AC318" s="50"/>
      <c r="AD318" s="50"/>
      <c r="AE318" s="50"/>
    </row>
    <row r="319" spans="1:31" outlineLevel="1">
      <c r="A319" s="480">
        <f>ROW()</f>
        <v>319</v>
      </c>
      <c r="B319" s="178" t="str">
        <f>$B163</f>
        <v>Grade Level Teacher Math &amp; Aviation Tech</v>
      </c>
      <c r="C319" s="111">
        <f t="shared" si="80"/>
        <v>1090633.3330682691</v>
      </c>
      <c r="D319" s="111"/>
      <c r="E319" s="111"/>
      <c r="F319" s="111"/>
      <c r="G319" s="653">
        <f>G163*$E163</f>
        <v>0</v>
      </c>
      <c r="H319" s="653">
        <f t="shared" si="82"/>
        <v>168609.18719999999</v>
      </c>
      <c r="I319" s="653">
        <f t="shared" si="83"/>
        <v>173667.46281599998</v>
      </c>
      <c r="J319" s="653">
        <f t="shared" si="83"/>
        <v>178877.48670047999</v>
      </c>
      <c r="K319" s="653">
        <f t="shared" si="83"/>
        <v>184243.8113014944</v>
      </c>
      <c r="L319" s="653">
        <f t="shared" si="83"/>
        <v>189771.12564053922</v>
      </c>
      <c r="M319" s="653">
        <f t="shared" si="83"/>
        <v>195464.25940975541</v>
      </c>
      <c r="N319" s="109"/>
      <c r="O319" s="343" t="s">
        <v>1541</v>
      </c>
      <c r="Q319" s="50"/>
      <c r="R319" s="50"/>
      <c r="S319" s="50"/>
      <c r="T319" s="50"/>
      <c r="U319" s="50"/>
      <c r="V319" s="50"/>
      <c r="W319" s="50"/>
      <c r="X319" s="50"/>
      <c r="Y319" s="50"/>
      <c r="Z319" s="50"/>
      <c r="AA319" s="50"/>
      <c r="AB319" s="50"/>
      <c r="AC319" s="50"/>
      <c r="AD319" s="50"/>
      <c r="AE319" s="50"/>
    </row>
    <row r="320" spans="1:31" outlineLevel="1">
      <c r="A320" s="480">
        <f>ROW()</f>
        <v>320</v>
      </c>
      <c r="B320" s="178"/>
      <c r="C320" s="111">
        <f t="shared" si="80"/>
        <v>0</v>
      </c>
      <c r="D320" s="111"/>
      <c r="E320" s="111"/>
      <c r="F320" s="111"/>
      <c r="G320" s="653"/>
      <c r="H320" s="653">
        <f t="shared" si="82"/>
        <v>0</v>
      </c>
      <c r="I320" s="653">
        <f t="shared" si="83"/>
        <v>0</v>
      </c>
      <c r="J320" s="653">
        <f t="shared" si="83"/>
        <v>0</v>
      </c>
      <c r="K320" s="653">
        <f t="shared" si="83"/>
        <v>0</v>
      </c>
      <c r="L320" s="653">
        <f t="shared" si="83"/>
        <v>0</v>
      </c>
      <c r="M320" s="653">
        <f t="shared" si="83"/>
        <v>0</v>
      </c>
      <c r="N320" s="109"/>
      <c r="O320" s="343"/>
      <c r="Q320" s="50"/>
      <c r="R320" s="50"/>
      <c r="S320" s="50"/>
      <c r="T320" s="50"/>
      <c r="U320" s="50"/>
      <c r="V320" s="50"/>
      <c r="W320" s="50"/>
      <c r="X320" s="50"/>
      <c r="Y320" s="50"/>
      <c r="Z320" s="50"/>
      <c r="AA320" s="50"/>
      <c r="AB320" s="50"/>
      <c r="AC320" s="50"/>
      <c r="AD320" s="50"/>
      <c r="AE320" s="50"/>
    </row>
    <row r="321" spans="1:31" outlineLevel="1">
      <c r="A321" s="480">
        <f>ROW()</f>
        <v>321</v>
      </c>
      <c r="B321" s="178" t="str">
        <f>$B165</f>
        <v>Grade Level Teacher</v>
      </c>
      <c r="C321" s="111">
        <f t="shared" si="80"/>
        <v>500757.85297026299</v>
      </c>
      <c r="D321" s="111"/>
      <c r="E321" s="111"/>
      <c r="F321" s="111"/>
      <c r="G321" s="653">
        <f>G165*$E165</f>
        <v>0</v>
      </c>
      <c r="H321" s="653">
        <f t="shared" si="82"/>
        <v>77415.912400000001</v>
      </c>
      <c r="I321" s="653">
        <f t="shared" si="83"/>
        <v>79738.38977200001</v>
      </c>
      <c r="J321" s="653">
        <f t="shared" si="83"/>
        <v>82130.541465160015</v>
      </c>
      <c r="K321" s="653">
        <f t="shared" si="83"/>
        <v>84594.457709114824</v>
      </c>
      <c r="L321" s="653">
        <f t="shared" si="83"/>
        <v>87132.291440388275</v>
      </c>
      <c r="M321" s="653">
        <f t="shared" si="83"/>
        <v>89746.260183599923</v>
      </c>
      <c r="N321" s="109"/>
      <c r="O321" s="343" t="s">
        <v>1537</v>
      </c>
      <c r="Q321" s="50"/>
      <c r="R321" s="50"/>
      <c r="S321" s="50"/>
      <c r="T321" s="50"/>
      <c r="U321" s="50"/>
      <c r="V321" s="50"/>
      <c r="W321" s="50"/>
      <c r="X321" s="50"/>
      <c r="Y321" s="50"/>
      <c r="Z321" s="50"/>
      <c r="AA321" s="50"/>
      <c r="AB321" s="50"/>
      <c r="AC321" s="50"/>
      <c r="AD321" s="50"/>
      <c r="AE321" s="50"/>
    </row>
    <row r="322" spans="1:31" outlineLevel="1">
      <c r="A322" s="480">
        <f>ROW()</f>
        <v>322</v>
      </c>
      <c r="B322" s="178" t="str">
        <f>$B166</f>
        <v>Grade Level Teacher Science &amp; History</v>
      </c>
      <c r="C322" s="111">
        <f t="shared" si="80"/>
        <v>781414.07233768445</v>
      </c>
      <c r="D322" s="111"/>
      <c r="E322" s="111"/>
      <c r="F322" s="111"/>
      <c r="G322" s="653">
        <f>G166*$E166</f>
        <v>0</v>
      </c>
      <c r="H322" s="653">
        <f t="shared" si="82"/>
        <v>120804.6624</v>
      </c>
      <c r="I322" s="653">
        <f t="shared" si="83"/>
        <v>124428.802272</v>
      </c>
      <c r="J322" s="653">
        <f t="shared" si="83"/>
        <v>128161.66634016001</v>
      </c>
      <c r="K322" s="653">
        <f t="shared" si="83"/>
        <v>132006.5163303648</v>
      </c>
      <c r="L322" s="653">
        <f t="shared" si="83"/>
        <v>135966.71182027576</v>
      </c>
      <c r="M322" s="653">
        <f t="shared" si="83"/>
        <v>140045.71317488403</v>
      </c>
      <c r="N322" s="109"/>
      <c r="O322" s="343" t="s">
        <v>1538</v>
      </c>
      <c r="Q322" s="50"/>
      <c r="R322" s="50"/>
      <c r="S322" s="50"/>
      <c r="T322" s="50"/>
      <c r="U322" s="50"/>
      <c r="V322" s="50"/>
      <c r="W322" s="50"/>
      <c r="X322" s="50"/>
      <c r="Y322" s="50"/>
      <c r="Z322" s="50"/>
      <c r="AA322" s="50"/>
      <c r="AB322" s="50"/>
      <c r="AC322" s="50"/>
      <c r="AD322" s="50"/>
      <c r="AE322" s="50"/>
    </row>
    <row r="323" spans="1:31" outlineLevel="1">
      <c r="A323" s="480">
        <f>ROW()</f>
        <v>323</v>
      </c>
      <c r="B323" s="178" t="str">
        <f>$B167</f>
        <v>Grade Level Teacher</v>
      </c>
      <c r="C323" s="111">
        <f t="shared" si="80"/>
        <v>624426.20947232365</v>
      </c>
      <c r="D323" s="111"/>
      <c r="E323" s="111"/>
      <c r="F323" s="111"/>
      <c r="G323" s="653">
        <f>G167*$E167</f>
        <v>0</v>
      </c>
      <c r="H323" s="653">
        <f t="shared" si="82"/>
        <v>96534.731199999995</v>
      </c>
      <c r="I323" s="653">
        <f t="shared" si="83"/>
        <v>99430.773136000003</v>
      </c>
      <c r="J323" s="653">
        <f t="shared" si="83"/>
        <v>102413.69633008001</v>
      </c>
      <c r="K323" s="653">
        <f t="shared" si="83"/>
        <v>105486.10721998241</v>
      </c>
      <c r="L323" s="653">
        <f t="shared" si="83"/>
        <v>108650.69043658189</v>
      </c>
      <c r="M323" s="653">
        <f t="shared" si="83"/>
        <v>111910.21114967935</v>
      </c>
      <c r="N323" s="109"/>
      <c r="O323" s="343" t="s">
        <v>1539</v>
      </c>
      <c r="Q323" s="50"/>
      <c r="R323" s="50"/>
      <c r="S323" s="50"/>
      <c r="T323" s="50"/>
      <c r="U323" s="50"/>
      <c r="V323" s="50"/>
      <c r="W323" s="50"/>
      <c r="X323" s="50"/>
      <c r="Y323" s="50"/>
      <c r="Z323" s="50"/>
      <c r="AA323" s="50"/>
      <c r="AB323" s="50"/>
      <c r="AC323" s="50"/>
      <c r="AD323" s="50"/>
      <c r="AE323" s="50"/>
    </row>
    <row r="324" spans="1:31" outlineLevel="1">
      <c r="A324" s="480">
        <f>ROW()</f>
        <v>324</v>
      </c>
      <c r="B324" s="178" t="str">
        <f>$B168</f>
        <v>Grade Level Teacher</v>
      </c>
      <c r="C324" s="111">
        <f t="shared" si="80"/>
        <v>871767.0053367638</v>
      </c>
      <c r="D324" s="111"/>
      <c r="E324" s="111"/>
      <c r="F324" s="111"/>
      <c r="G324" s="653">
        <f>G168*$E168</f>
        <v>0</v>
      </c>
      <c r="H324" s="653">
        <v>134773</v>
      </c>
      <c r="I324" s="653">
        <f>H324*1.03</f>
        <v>138816.19</v>
      </c>
      <c r="J324" s="653">
        <f t="shared" ref="J324:M324" si="84">I324*1.03</f>
        <v>142980.67569999999</v>
      </c>
      <c r="K324" s="653">
        <f t="shared" si="84"/>
        <v>147270.095971</v>
      </c>
      <c r="L324" s="653">
        <f t="shared" si="84"/>
        <v>151688.19885012999</v>
      </c>
      <c r="M324" s="653">
        <f t="shared" si="84"/>
        <v>156238.8448156339</v>
      </c>
      <c r="N324" s="109"/>
      <c r="O324" s="343" t="s">
        <v>1489</v>
      </c>
      <c r="Q324" s="50"/>
      <c r="R324" s="50"/>
      <c r="S324" s="50"/>
      <c r="T324" s="50"/>
      <c r="U324" s="50"/>
      <c r="V324" s="50"/>
      <c r="W324" s="50"/>
      <c r="X324" s="50"/>
      <c r="Y324" s="50"/>
      <c r="Z324" s="50"/>
      <c r="AA324" s="50"/>
      <c r="AB324" s="50"/>
      <c r="AC324" s="50"/>
      <c r="AD324" s="50"/>
      <c r="AE324" s="50"/>
    </row>
    <row r="325" spans="1:31" outlineLevel="1">
      <c r="A325" s="480">
        <f>ROW()</f>
        <v>325</v>
      </c>
      <c r="B325" s="178">
        <f>$B169</f>
        <v>0</v>
      </c>
      <c r="C325" s="111">
        <f t="shared" si="80"/>
        <v>0</v>
      </c>
      <c r="D325" s="111"/>
      <c r="E325" s="111"/>
      <c r="F325" s="111"/>
      <c r="G325" s="653">
        <f>G169*$E169</f>
        <v>0</v>
      </c>
      <c r="H325" s="653">
        <f t="shared" ref="H325:M325" si="85">(H169*$E169)</f>
        <v>0</v>
      </c>
      <c r="I325" s="653">
        <f t="shared" si="85"/>
        <v>0</v>
      </c>
      <c r="J325" s="653">
        <f t="shared" si="85"/>
        <v>0</v>
      </c>
      <c r="K325" s="653">
        <f t="shared" si="85"/>
        <v>0</v>
      </c>
      <c r="L325" s="653">
        <f t="shared" si="85"/>
        <v>0</v>
      </c>
      <c r="M325" s="653">
        <f t="shared" si="85"/>
        <v>0</v>
      </c>
      <c r="N325" s="109"/>
      <c r="O325" s="343"/>
      <c r="Q325" s="50"/>
      <c r="R325" s="50"/>
      <c r="S325" s="50"/>
      <c r="T325" s="50"/>
      <c r="U325" s="50"/>
      <c r="V325" s="50"/>
      <c r="W325" s="50"/>
      <c r="X325" s="50"/>
      <c r="Y325" s="50"/>
      <c r="Z325" s="50"/>
      <c r="AA325" s="50"/>
      <c r="AB325" s="50"/>
      <c r="AC325" s="50"/>
      <c r="AD325" s="50"/>
      <c r="AE325" s="50"/>
    </row>
    <row r="326" spans="1:31" outlineLevel="1">
      <c r="A326" s="480">
        <f>ROW()</f>
        <v>326</v>
      </c>
      <c r="B326" s="178"/>
      <c r="C326" s="111">
        <f t="shared" si="80"/>
        <v>0</v>
      </c>
      <c r="D326" s="111"/>
      <c r="E326" s="111"/>
      <c r="F326" s="111"/>
      <c r="G326" s="653"/>
      <c r="H326" s="653"/>
      <c r="I326" s="653"/>
      <c r="J326" s="653"/>
      <c r="K326" s="653"/>
      <c r="L326" s="653"/>
      <c r="M326" s="653"/>
      <c r="N326" s="109"/>
      <c r="O326" s="343"/>
      <c r="Q326" s="50"/>
      <c r="R326" s="50"/>
      <c r="S326" s="50"/>
      <c r="T326" s="50"/>
      <c r="U326" s="50"/>
      <c r="V326" s="50"/>
      <c r="W326" s="50"/>
      <c r="X326" s="50"/>
      <c r="Y326" s="50"/>
      <c r="Z326" s="50"/>
      <c r="AA326" s="50"/>
      <c r="AB326" s="50"/>
      <c r="AC326" s="50"/>
      <c r="AD326" s="50"/>
      <c r="AE326" s="50"/>
    </row>
    <row r="327" spans="1:31" outlineLevel="1">
      <c r="A327" s="480">
        <f>ROW()</f>
        <v>327</v>
      </c>
      <c r="B327" s="178">
        <f>$B171</f>
        <v>0</v>
      </c>
      <c r="C327" s="111">
        <f t="shared" si="80"/>
        <v>0</v>
      </c>
      <c r="D327" s="111"/>
      <c r="E327" s="111"/>
      <c r="F327" s="111"/>
      <c r="G327" s="653">
        <f>G171*$E171</f>
        <v>0</v>
      </c>
      <c r="H327" s="653">
        <f t="shared" ref="H327:M331" si="86">(H171*$E171)</f>
        <v>0</v>
      </c>
      <c r="I327" s="653">
        <f t="shared" si="86"/>
        <v>0</v>
      </c>
      <c r="J327" s="653">
        <f t="shared" si="86"/>
        <v>0</v>
      </c>
      <c r="K327" s="653">
        <f t="shared" si="86"/>
        <v>0</v>
      </c>
      <c r="L327" s="653">
        <f t="shared" si="86"/>
        <v>0</v>
      </c>
      <c r="M327" s="653">
        <f t="shared" si="86"/>
        <v>0</v>
      </c>
      <c r="N327" s="109"/>
      <c r="O327" s="343"/>
      <c r="Q327" s="50"/>
      <c r="R327" s="50"/>
      <c r="S327" s="50"/>
      <c r="T327" s="50"/>
      <c r="U327" s="50"/>
      <c r="V327" s="50"/>
      <c r="W327" s="50"/>
      <c r="X327" s="50"/>
      <c r="Y327" s="50"/>
      <c r="Z327" s="50"/>
      <c r="AA327" s="50"/>
      <c r="AB327" s="50"/>
      <c r="AC327" s="50"/>
      <c r="AD327" s="50"/>
      <c r="AE327" s="50"/>
    </row>
    <row r="328" spans="1:31" outlineLevel="1">
      <c r="A328" s="480">
        <f>ROW()</f>
        <v>328</v>
      </c>
      <c r="B328" s="178">
        <f>$B172</f>
        <v>0</v>
      </c>
      <c r="C328" s="111">
        <f t="shared" si="80"/>
        <v>0</v>
      </c>
      <c r="D328" s="111"/>
      <c r="E328" s="111"/>
      <c r="F328" s="111"/>
      <c r="G328" s="653">
        <f>G172*$E172</f>
        <v>0</v>
      </c>
      <c r="H328" s="653">
        <f t="shared" si="86"/>
        <v>0</v>
      </c>
      <c r="I328" s="653">
        <f t="shared" si="86"/>
        <v>0</v>
      </c>
      <c r="J328" s="653">
        <f t="shared" si="86"/>
        <v>0</v>
      </c>
      <c r="K328" s="653">
        <f t="shared" si="86"/>
        <v>0</v>
      </c>
      <c r="L328" s="653">
        <f t="shared" si="86"/>
        <v>0</v>
      </c>
      <c r="M328" s="653">
        <f t="shared" si="86"/>
        <v>0</v>
      </c>
      <c r="N328" s="109"/>
      <c r="O328" s="343"/>
      <c r="Q328" s="50"/>
      <c r="R328" s="50"/>
      <c r="S328" s="50"/>
      <c r="T328" s="50"/>
      <c r="U328" s="50"/>
      <c r="V328" s="50"/>
      <c r="W328" s="50"/>
      <c r="X328" s="50"/>
      <c r="Y328" s="50"/>
      <c r="Z328" s="50"/>
      <c r="AA328" s="50"/>
      <c r="AB328" s="50"/>
      <c r="AC328" s="50"/>
      <c r="AD328" s="50"/>
      <c r="AE328" s="50"/>
    </row>
    <row r="329" spans="1:31" outlineLevel="1">
      <c r="A329" s="480">
        <f>ROW()</f>
        <v>329</v>
      </c>
      <c r="B329" s="178">
        <f>$B173</f>
        <v>0</v>
      </c>
      <c r="C329" s="111">
        <f t="shared" si="80"/>
        <v>0</v>
      </c>
      <c r="D329" s="111"/>
      <c r="E329" s="111"/>
      <c r="F329" s="111"/>
      <c r="G329" s="653">
        <f>G173*$E173</f>
        <v>0</v>
      </c>
      <c r="H329" s="653">
        <f t="shared" si="86"/>
        <v>0</v>
      </c>
      <c r="I329" s="653">
        <f t="shared" si="86"/>
        <v>0</v>
      </c>
      <c r="J329" s="653">
        <f t="shared" si="86"/>
        <v>0</v>
      </c>
      <c r="K329" s="653">
        <f t="shared" si="86"/>
        <v>0</v>
      </c>
      <c r="L329" s="653">
        <f t="shared" si="86"/>
        <v>0</v>
      </c>
      <c r="M329" s="653">
        <f t="shared" si="86"/>
        <v>0</v>
      </c>
      <c r="N329" s="109"/>
      <c r="O329" s="343"/>
      <c r="Q329" s="50"/>
      <c r="R329" s="50"/>
      <c r="S329" s="50"/>
      <c r="T329" s="50"/>
      <c r="U329" s="50"/>
      <c r="V329" s="50"/>
      <c r="W329" s="50"/>
      <c r="X329" s="50"/>
      <c r="Y329" s="50"/>
      <c r="Z329" s="50"/>
      <c r="AA329" s="50"/>
      <c r="AB329" s="50"/>
      <c r="AC329" s="50"/>
      <c r="AD329" s="50"/>
      <c r="AE329" s="50"/>
    </row>
    <row r="330" spans="1:31" outlineLevel="1">
      <c r="A330" s="480">
        <f>ROW()</f>
        <v>330</v>
      </c>
      <c r="B330" s="178">
        <f>$B174</f>
        <v>0</v>
      </c>
      <c r="C330" s="111">
        <f t="shared" si="80"/>
        <v>0</v>
      </c>
      <c r="D330" s="111"/>
      <c r="E330" s="111"/>
      <c r="F330" s="111"/>
      <c r="G330" s="653">
        <f>G174*$E174</f>
        <v>0</v>
      </c>
      <c r="H330" s="653">
        <f t="shared" si="86"/>
        <v>0</v>
      </c>
      <c r="I330" s="653">
        <f t="shared" si="86"/>
        <v>0</v>
      </c>
      <c r="J330" s="653">
        <f t="shared" si="86"/>
        <v>0</v>
      </c>
      <c r="K330" s="653">
        <f t="shared" si="86"/>
        <v>0</v>
      </c>
      <c r="L330" s="653">
        <f t="shared" si="86"/>
        <v>0</v>
      </c>
      <c r="M330" s="653">
        <f t="shared" si="86"/>
        <v>0</v>
      </c>
      <c r="N330" s="109"/>
      <c r="O330" s="343"/>
      <c r="Q330" s="50"/>
      <c r="R330" s="50"/>
      <c r="S330" s="50"/>
      <c r="T330" s="50"/>
      <c r="U330" s="50"/>
      <c r="V330" s="50"/>
      <c r="W330" s="50"/>
      <c r="X330" s="50"/>
      <c r="Y330" s="50"/>
      <c r="Z330" s="50"/>
      <c r="AA330" s="50"/>
      <c r="AB330" s="50"/>
      <c r="AC330" s="50"/>
      <c r="AD330" s="50"/>
      <c r="AE330" s="50"/>
    </row>
    <row r="331" spans="1:31" outlineLevel="1">
      <c r="A331" s="480">
        <f>ROW()</f>
        <v>331</v>
      </c>
      <c r="B331" s="178">
        <f>$B175</f>
        <v>0</v>
      </c>
      <c r="C331" s="111">
        <f t="shared" ref="C331:C362" si="87">SUM(G331:M331)</f>
        <v>0</v>
      </c>
      <c r="D331" s="111"/>
      <c r="E331" s="111"/>
      <c r="F331" s="111"/>
      <c r="G331" s="653">
        <f>G175*$E175</f>
        <v>0</v>
      </c>
      <c r="H331" s="653">
        <f t="shared" si="86"/>
        <v>0</v>
      </c>
      <c r="I331" s="653">
        <f t="shared" si="86"/>
        <v>0</v>
      </c>
      <c r="J331" s="653">
        <f t="shared" si="86"/>
        <v>0</v>
      </c>
      <c r="K331" s="653">
        <f t="shared" si="86"/>
        <v>0</v>
      </c>
      <c r="L331" s="653">
        <f t="shared" si="86"/>
        <v>0</v>
      </c>
      <c r="M331" s="653">
        <f t="shared" si="86"/>
        <v>0</v>
      </c>
      <c r="N331" s="109"/>
      <c r="O331" s="343"/>
      <c r="Q331" s="50"/>
      <c r="R331" s="50"/>
      <c r="S331" s="50"/>
      <c r="T331" s="50"/>
      <c r="U331" s="50"/>
      <c r="V331" s="50"/>
      <c r="W331" s="50"/>
      <c r="X331" s="50"/>
      <c r="Y331" s="50"/>
      <c r="Z331" s="50"/>
      <c r="AA331" s="50"/>
      <c r="AB331" s="50"/>
      <c r="AC331" s="50"/>
      <c r="AD331" s="50"/>
      <c r="AE331" s="50"/>
    </row>
    <row r="332" spans="1:31" outlineLevel="1">
      <c r="A332" s="480">
        <f>ROW()</f>
        <v>332</v>
      </c>
      <c r="B332" s="178"/>
      <c r="C332" s="111">
        <f t="shared" si="87"/>
        <v>0</v>
      </c>
      <c r="D332" s="111"/>
      <c r="E332" s="111"/>
      <c r="F332" s="111"/>
      <c r="G332" s="653"/>
      <c r="H332" s="653"/>
      <c r="I332" s="653"/>
      <c r="J332" s="653"/>
      <c r="K332" s="653"/>
      <c r="L332" s="653"/>
      <c r="M332" s="653"/>
      <c r="N332" s="109"/>
      <c r="O332" s="343"/>
      <c r="Q332" s="50"/>
      <c r="R332" s="50"/>
      <c r="S332" s="50"/>
      <c r="T332" s="50"/>
      <c r="U332" s="50"/>
      <c r="V332" s="50"/>
      <c r="W332" s="50"/>
      <c r="X332" s="50"/>
      <c r="Y332" s="50"/>
      <c r="Z332" s="50"/>
      <c r="AA332" s="50"/>
      <c r="AB332" s="50"/>
      <c r="AC332" s="50"/>
      <c r="AD332" s="50"/>
      <c r="AE332" s="50"/>
    </row>
    <row r="333" spans="1:31" outlineLevel="1">
      <c r="A333" s="480">
        <f>ROW()</f>
        <v>333</v>
      </c>
      <c r="B333" s="178">
        <f>$B177</f>
        <v>0</v>
      </c>
      <c r="C333" s="111">
        <f t="shared" si="87"/>
        <v>0</v>
      </c>
      <c r="D333" s="111"/>
      <c r="E333" s="111"/>
      <c r="F333" s="111"/>
      <c r="G333" s="653">
        <f>G177*$E177</f>
        <v>0</v>
      </c>
      <c r="H333" s="653">
        <f t="shared" ref="H333:M337" si="88">(H177*$E177)</f>
        <v>0</v>
      </c>
      <c r="I333" s="653">
        <f t="shared" si="88"/>
        <v>0</v>
      </c>
      <c r="J333" s="653">
        <f t="shared" si="88"/>
        <v>0</v>
      </c>
      <c r="K333" s="653">
        <f t="shared" si="88"/>
        <v>0</v>
      </c>
      <c r="L333" s="653">
        <f t="shared" si="88"/>
        <v>0</v>
      </c>
      <c r="M333" s="653">
        <f t="shared" si="88"/>
        <v>0</v>
      </c>
      <c r="N333" s="109"/>
      <c r="O333" s="343"/>
      <c r="Q333" s="50"/>
      <c r="R333" s="50"/>
      <c r="S333" s="50"/>
      <c r="T333" s="50"/>
      <c r="U333" s="50"/>
      <c r="V333" s="50"/>
      <c r="W333" s="50"/>
      <c r="X333" s="50"/>
      <c r="Y333" s="50"/>
      <c r="Z333" s="50"/>
      <c r="AA333" s="50"/>
      <c r="AB333" s="50"/>
      <c r="AC333" s="50"/>
      <c r="AD333" s="50"/>
      <c r="AE333" s="50"/>
    </row>
    <row r="334" spans="1:31" outlineLevel="1">
      <c r="A334" s="480">
        <f>ROW()</f>
        <v>334</v>
      </c>
      <c r="B334" s="178">
        <f>$B178</f>
        <v>0</v>
      </c>
      <c r="C334" s="111">
        <f t="shared" si="87"/>
        <v>0</v>
      </c>
      <c r="D334" s="111"/>
      <c r="E334" s="111"/>
      <c r="F334" s="111"/>
      <c r="G334" s="653">
        <f>G178*$E178</f>
        <v>0</v>
      </c>
      <c r="H334" s="653">
        <f t="shared" si="88"/>
        <v>0</v>
      </c>
      <c r="I334" s="653">
        <f t="shared" si="88"/>
        <v>0</v>
      </c>
      <c r="J334" s="653">
        <f t="shared" si="88"/>
        <v>0</v>
      </c>
      <c r="K334" s="653">
        <f t="shared" si="88"/>
        <v>0</v>
      </c>
      <c r="L334" s="653">
        <f t="shared" si="88"/>
        <v>0</v>
      </c>
      <c r="M334" s="653">
        <f t="shared" si="88"/>
        <v>0</v>
      </c>
      <c r="N334" s="109"/>
      <c r="O334" s="343"/>
      <c r="Q334" s="50"/>
      <c r="R334" s="50"/>
      <c r="S334" s="50"/>
      <c r="T334" s="50"/>
      <c r="U334" s="50"/>
      <c r="V334" s="50"/>
      <c r="W334" s="50"/>
      <c r="X334" s="50"/>
      <c r="Y334" s="50"/>
      <c r="Z334" s="50"/>
      <c r="AA334" s="50"/>
      <c r="AB334" s="50"/>
      <c r="AC334" s="50"/>
      <c r="AD334" s="50"/>
      <c r="AE334" s="50"/>
    </row>
    <row r="335" spans="1:31" outlineLevel="1">
      <c r="A335" s="480">
        <f>ROW()</f>
        <v>335</v>
      </c>
      <c r="B335" s="178">
        <f>$B179</f>
        <v>0</v>
      </c>
      <c r="C335" s="111">
        <f t="shared" si="87"/>
        <v>0</v>
      </c>
      <c r="D335" s="111"/>
      <c r="E335" s="111"/>
      <c r="F335" s="111"/>
      <c r="G335" s="653">
        <f>G179*$E179</f>
        <v>0</v>
      </c>
      <c r="H335" s="653">
        <f t="shared" si="88"/>
        <v>0</v>
      </c>
      <c r="I335" s="653">
        <f t="shared" si="88"/>
        <v>0</v>
      </c>
      <c r="J335" s="653">
        <f t="shared" si="88"/>
        <v>0</v>
      </c>
      <c r="K335" s="653">
        <f t="shared" si="88"/>
        <v>0</v>
      </c>
      <c r="L335" s="653">
        <f t="shared" si="88"/>
        <v>0</v>
      </c>
      <c r="M335" s="653">
        <f t="shared" si="88"/>
        <v>0</v>
      </c>
      <c r="N335" s="109"/>
      <c r="O335" s="343"/>
      <c r="Q335" s="50"/>
      <c r="R335" s="50"/>
      <c r="S335" s="50"/>
      <c r="T335" s="50"/>
      <c r="U335" s="50"/>
      <c r="V335" s="50"/>
      <c r="W335" s="50"/>
      <c r="X335" s="50"/>
      <c r="Y335" s="50"/>
      <c r="Z335" s="50"/>
      <c r="AA335" s="50"/>
      <c r="AB335" s="50"/>
      <c r="AC335" s="50"/>
      <c r="AD335" s="50"/>
      <c r="AE335" s="50"/>
    </row>
    <row r="336" spans="1:31" outlineLevel="1">
      <c r="A336" s="480">
        <f>ROW()</f>
        <v>336</v>
      </c>
      <c r="B336" s="178">
        <f>$B180</f>
        <v>0</v>
      </c>
      <c r="C336" s="111">
        <f t="shared" si="87"/>
        <v>0</v>
      </c>
      <c r="D336" s="111"/>
      <c r="E336" s="111"/>
      <c r="F336" s="111"/>
      <c r="G336" s="653">
        <f>G180*$E180</f>
        <v>0</v>
      </c>
      <c r="H336" s="653">
        <f t="shared" si="88"/>
        <v>0</v>
      </c>
      <c r="I336" s="653">
        <f t="shared" si="88"/>
        <v>0</v>
      </c>
      <c r="J336" s="653">
        <f t="shared" si="88"/>
        <v>0</v>
      </c>
      <c r="K336" s="653">
        <f t="shared" si="88"/>
        <v>0</v>
      </c>
      <c r="L336" s="653">
        <f t="shared" si="88"/>
        <v>0</v>
      </c>
      <c r="M336" s="653">
        <f t="shared" si="88"/>
        <v>0</v>
      </c>
      <c r="N336" s="109"/>
      <c r="O336" s="343"/>
      <c r="Q336" s="50"/>
      <c r="R336" s="50"/>
      <c r="S336" s="50"/>
      <c r="T336" s="50"/>
      <c r="U336" s="50"/>
      <c r="V336" s="50"/>
      <c r="W336" s="50"/>
      <c r="X336" s="50"/>
      <c r="Y336" s="50"/>
      <c r="Z336" s="50"/>
      <c r="AA336" s="50"/>
      <c r="AB336" s="50"/>
      <c r="AC336" s="50"/>
      <c r="AD336" s="50"/>
      <c r="AE336" s="50"/>
    </row>
    <row r="337" spans="1:31" outlineLevel="1">
      <c r="A337" s="480">
        <f>ROW()</f>
        <v>337</v>
      </c>
      <c r="B337" s="178">
        <f>$B181</f>
        <v>0</v>
      </c>
      <c r="C337" s="111">
        <f t="shared" si="87"/>
        <v>0</v>
      </c>
      <c r="D337" s="111"/>
      <c r="E337" s="111"/>
      <c r="F337" s="111"/>
      <c r="G337" s="653">
        <f>G181*$E181</f>
        <v>0</v>
      </c>
      <c r="H337" s="653">
        <f t="shared" si="88"/>
        <v>0</v>
      </c>
      <c r="I337" s="653">
        <f t="shared" si="88"/>
        <v>0</v>
      </c>
      <c r="J337" s="653">
        <f t="shared" si="88"/>
        <v>0</v>
      </c>
      <c r="K337" s="653">
        <f t="shared" si="88"/>
        <v>0</v>
      </c>
      <c r="L337" s="653">
        <f t="shared" si="88"/>
        <v>0</v>
      </c>
      <c r="M337" s="653">
        <f t="shared" si="88"/>
        <v>0</v>
      </c>
      <c r="N337" s="109"/>
      <c r="O337" s="343"/>
      <c r="Q337" s="50"/>
      <c r="R337" s="50"/>
      <c r="S337" s="50"/>
      <c r="T337" s="50"/>
      <c r="U337" s="50"/>
      <c r="V337" s="50"/>
      <c r="W337" s="50"/>
      <c r="X337" s="50"/>
      <c r="Y337" s="50"/>
      <c r="Z337" s="50"/>
      <c r="AA337" s="50"/>
      <c r="AB337" s="50"/>
      <c r="AC337" s="50"/>
      <c r="AD337" s="50"/>
      <c r="AE337" s="50"/>
    </row>
    <row r="338" spans="1:31" outlineLevel="1">
      <c r="A338" s="480">
        <f>ROW()</f>
        <v>338</v>
      </c>
      <c r="B338" s="178"/>
      <c r="C338" s="111">
        <f t="shared" si="87"/>
        <v>0</v>
      </c>
      <c r="D338" s="111"/>
      <c r="E338" s="111"/>
      <c r="F338" s="111"/>
      <c r="G338" s="653"/>
      <c r="H338" s="653"/>
      <c r="I338" s="653"/>
      <c r="J338" s="653"/>
      <c r="K338" s="653"/>
      <c r="L338" s="653"/>
      <c r="M338" s="653"/>
      <c r="N338" s="109"/>
      <c r="O338" s="343"/>
      <c r="Q338" s="50"/>
      <c r="R338" s="50"/>
      <c r="S338" s="50"/>
      <c r="T338" s="50"/>
      <c r="U338" s="50"/>
      <c r="V338" s="50"/>
      <c r="W338" s="50"/>
      <c r="X338" s="50"/>
      <c r="Y338" s="50"/>
      <c r="Z338" s="50"/>
      <c r="AA338" s="50"/>
      <c r="AB338" s="50"/>
      <c r="AC338" s="50"/>
      <c r="AD338" s="50"/>
      <c r="AE338" s="50"/>
    </row>
    <row r="339" spans="1:31" outlineLevel="1">
      <c r="A339" s="480">
        <f>ROW()</f>
        <v>339</v>
      </c>
      <c r="B339" s="178">
        <f>$B183</f>
        <v>0</v>
      </c>
      <c r="C339" s="111">
        <f t="shared" si="87"/>
        <v>0</v>
      </c>
      <c r="D339" s="111"/>
      <c r="E339" s="111"/>
      <c r="F339" s="111"/>
      <c r="G339" s="653">
        <f>G183*$E183</f>
        <v>0</v>
      </c>
      <c r="H339" s="653">
        <f t="shared" ref="H339:M343" si="89">(H183*$E183)</f>
        <v>0</v>
      </c>
      <c r="I339" s="653">
        <f t="shared" si="89"/>
        <v>0</v>
      </c>
      <c r="J339" s="653">
        <f t="shared" si="89"/>
        <v>0</v>
      </c>
      <c r="K339" s="653">
        <f t="shared" si="89"/>
        <v>0</v>
      </c>
      <c r="L339" s="653">
        <f t="shared" si="89"/>
        <v>0</v>
      </c>
      <c r="M339" s="653">
        <f t="shared" si="89"/>
        <v>0</v>
      </c>
      <c r="N339" s="109"/>
      <c r="O339" s="343"/>
      <c r="Q339" s="50"/>
      <c r="R339" s="50"/>
      <c r="S339" s="50"/>
      <c r="T339" s="50"/>
      <c r="U339" s="50"/>
      <c r="V339" s="50"/>
      <c r="W339" s="50"/>
      <c r="X339" s="50"/>
      <c r="Y339" s="50"/>
      <c r="Z339" s="50"/>
      <c r="AA339" s="50"/>
      <c r="AB339" s="50"/>
      <c r="AC339" s="50"/>
      <c r="AD339" s="50"/>
      <c r="AE339" s="50"/>
    </row>
    <row r="340" spans="1:31" outlineLevel="1">
      <c r="A340" s="480">
        <f>ROW()</f>
        <v>340</v>
      </c>
      <c r="B340" s="178">
        <f>$B184</f>
        <v>0</v>
      </c>
      <c r="C340" s="111">
        <f t="shared" si="87"/>
        <v>0</v>
      </c>
      <c r="D340" s="111"/>
      <c r="E340" s="111"/>
      <c r="F340" s="111"/>
      <c r="G340" s="653">
        <f>G184*$E184</f>
        <v>0</v>
      </c>
      <c r="H340" s="653">
        <f t="shared" si="89"/>
        <v>0</v>
      </c>
      <c r="I340" s="653">
        <f t="shared" si="89"/>
        <v>0</v>
      </c>
      <c r="J340" s="653">
        <f t="shared" si="89"/>
        <v>0</v>
      </c>
      <c r="K340" s="653">
        <f t="shared" si="89"/>
        <v>0</v>
      </c>
      <c r="L340" s="653">
        <f t="shared" si="89"/>
        <v>0</v>
      </c>
      <c r="M340" s="653">
        <f t="shared" si="89"/>
        <v>0</v>
      </c>
      <c r="N340" s="109"/>
      <c r="O340" s="343"/>
      <c r="Q340" s="50"/>
      <c r="R340" s="50"/>
      <c r="S340" s="50"/>
      <c r="T340" s="50"/>
      <c r="U340" s="50"/>
      <c r="V340" s="50"/>
      <c r="W340" s="50"/>
      <c r="X340" s="50"/>
      <c r="Y340" s="50"/>
      <c r="Z340" s="50"/>
      <c r="AA340" s="50"/>
      <c r="AB340" s="50"/>
      <c r="AC340" s="50"/>
      <c r="AD340" s="50"/>
      <c r="AE340" s="50"/>
    </row>
    <row r="341" spans="1:31" outlineLevel="1">
      <c r="A341" s="480">
        <f>ROW()</f>
        <v>341</v>
      </c>
      <c r="B341" s="178">
        <f>$B185</f>
        <v>0</v>
      </c>
      <c r="C341" s="111">
        <f t="shared" si="87"/>
        <v>0</v>
      </c>
      <c r="D341" s="111"/>
      <c r="E341" s="111"/>
      <c r="F341" s="111"/>
      <c r="G341" s="653">
        <f>G185*$E185</f>
        <v>0</v>
      </c>
      <c r="H341" s="653">
        <f t="shared" si="89"/>
        <v>0</v>
      </c>
      <c r="I341" s="653">
        <f t="shared" si="89"/>
        <v>0</v>
      </c>
      <c r="J341" s="653">
        <f t="shared" si="89"/>
        <v>0</v>
      </c>
      <c r="K341" s="653">
        <f t="shared" si="89"/>
        <v>0</v>
      </c>
      <c r="L341" s="653">
        <f t="shared" si="89"/>
        <v>0</v>
      </c>
      <c r="M341" s="653">
        <f t="shared" si="89"/>
        <v>0</v>
      </c>
      <c r="N341" s="109"/>
      <c r="O341" s="343"/>
      <c r="Q341" s="50"/>
      <c r="R341" s="50"/>
      <c r="S341" s="50"/>
      <c r="T341" s="50"/>
      <c r="U341" s="50"/>
      <c r="V341" s="50"/>
      <c r="W341" s="50"/>
      <c r="X341" s="50"/>
      <c r="Y341" s="50"/>
      <c r="Z341" s="50"/>
      <c r="AA341" s="50"/>
      <c r="AB341" s="50"/>
      <c r="AC341" s="50"/>
      <c r="AD341" s="50"/>
      <c r="AE341" s="50"/>
    </row>
    <row r="342" spans="1:31" outlineLevel="1">
      <c r="A342" s="480">
        <f>ROW()</f>
        <v>342</v>
      </c>
      <c r="B342" s="178">
        <f>$B186</f>
        <v>0</v>
      </c>
      <c r="C342" s="111">
        <f t="shared" si="87"/>
        <v>0</v>
      </c>
      <c r="D342" s="111"/>
      <c r="E342" s="111"/>
      <c r="F342" s="111"/>
      <c r="G342" s="653">
        <f>G186*$E186</f>
        <v>0</v>
      </c>
      <c r="H342" s="653">
        <f t="shared" si="89"/>
        <v>0</v>
      </c>
      <c r="I342" s="653">
        <f t="shared" si="89"/>
        <v>0</v>
      </c>
      <c r="J342" s="653">
        <f t="shared" si="89"/>
        <v>0</v>
      </c>
      <c r="K342" s="653">
        <f t="shared" si="89"/>
        <v>0</v>
      </c>
      <c r="L342" s="653">
        <f t="shared" si="89"/>
        <v>0</v>
      </c>
      <c r="M342" s="653">
        <f t="shared" si="89"/>
        <v>0</v>
      </c>
      <c r="N342" s="109"/>
      <c r="O342" s="343"/>
      <c r="Q342" s="50"/>
      <c r="R342" s="50"/>
      <c r="S342" s="50"/>
      <c r="T342" s="50"/>
      <c r="U342" s="50"/>
      <c r="V342" s="50"/>
      <c r="W342" s="50"/>
      <c r="X342" s="50"/>
      <c r="Y342" s="50"/>
      <c r="Z342" s="50"/>
      <c r="AA342" s="50"/>
      <c r="AB342" s="50"/>
      <c r="AC342" s="50"/>
      <c r="AD342" s="50"/>
      <c r="AE342" s="50"/>
    </row>
    <row r="343" spans="1:31" outlineLevel="1">
      <c r="A343" s="480">
        <f>ROW()</f>
        <v>343</v>
      </c>
      <c r="B343" s="178">
        <f>$B187</f>
        <v>0</v>
      </c>
      <c r="C343" s="111">
        <f t="shared" si="87"/>
        <v>0</v>
      </c>
      <c r="D343" s="111"/>
      <c r="E343" s="111"/>
      <c r="F343" s="111"/>
      <c r="G343" s="653">
        <f>G187*$E187</f>
        <v>0</v>
      </c>
      <c r="H343" s="653">
        <f t="shared" si="89"/>
        <v>0</v>
      </c>
      <c r="I343" s="653">
        <f t="shared" si="89"/>
        <v>0</v>
      </c>
      <c r="J343" s="653">
        <f t="shared" si="89"/>
        <v>0</v>
      </c>
      <c r="K343" s="653">
        <f t="shared" si="89"/>
        <v>0</v>
      </c>
      <c r="L343" s="653">
        <f t="shared" si="89"/>
        <v>0</v>
      </c>
      <c r="M343" s="653">
        <f t="shared" si="89"/>
        <v>0</v>
      </c>
      <c r="N343" s="109"/>
      <c r="O343" s="343"/>
      <c r="Q343" s="50"/>
      <c r="R343" s="50"/>
      <c r="S343" s="50"/>
      <c r="T343" s="50"/>
      <c r="U343" s="50"/>
      <c r="V343" s="50"/>
      <c r="W343" s="50"/>
      <c r="X343" s="50"/>
      <c r="Y343" s="50"/>
      <c r="Z343" s="50"/>
      <c r="AA343" s="50"/>
      <c r="AB343" s="50"/>
      <c r="AC343" s="50"/>
      <c r="AD343" s="50"/>
      <c r="AE343" s="50"/>
    </row>
    <row r="344" spans="1:31" outlineLevel="1">
      <c r="A344" s="480">
        <f>ROW()</f>
        <v>344</v>
      </c>
      <c r="B344" s="178"/>
      <c r="C344" s="111">
        <f t="shared" si="87"/>
        <v>0</v>
      </c>
      <c r="D344" s="111"/>
      <c r="E344" s="111"/>
      <c r="F344" s="111"/>
      <c r="G344" s="653"/>
      <c r="H344" s="653"/>
      <c r="I344" s="653"/>
      <c r="J344" s="653"/>
      <c r="K344" s="653"/>
      <c r="L344" s="653"/>
      <c r="M344" s="653"/>
      <c r="N344" s="109"/>
      <c r="O344" s="343"/>
      <c r="Q344" s="50"/>
      <c r="R344" s="50"/>
      <c r="S344" s="50"/>
      <c r="T344" s="50"/>
      <c r="U344" s="50"/>
      <c r="V344" s="50"/>
      <c r="W344" s="50"/>
      <c r="X344" s="50"/>
      <c r="Y344" s="50"/>
      <c r="Z344" s="50"/>
      <c r="AA344" s="50"/>
      <c r="AB344" s="50"/>
      <c r="AC344" s="50"/>
      <c r="AD344" s="50"/>
      <c r="AE344" s="50"/>
    </row>
    <row r="345" spans="1:31" outlineLevel="1">
      <c r="A345" s="480">
        <f>ROW()</f>
        <v>345</v>
      </c>
      <c r="B345" s="178">
        <f t="shared" ref="B345:B350" si="90">$B189</f>
        <v>0</v>
      </c>
      <c r="C345" s="111">
        <f t="shared" si="87"/>
        <v>0</v>
      </c>
      <c r="D345" s="111"/>
      <c r="E345" s="111"/>
      <c r="F345" s="111"/>
      <c r="G345" s="653">
        <f t="shared" ref="G345:G350" si="91">G189*$E189</f>
        <v>0</v>
      </c>
      <c r="H345" s="653">
        <f t="shared" ref="H345:M350" si="92">(H189*$E189)</f>
        <v>0</v>
      </c>
      <c r="I345" s="653">
        <f t="shared" si="92"/>
        <v>0</v>
      </c>
      <c r="J345" s="653">
        <f t="shared" si="92"/>
        <v>0</v>
      </c>
      <c r="K345" s="653">
        <f t="shared" si="92"/>
        <v>0</v>
      </c>
      <c r="L345" s="653">
        <f t="shared" si="92"/>
        <v>0</v>
      </c>
      <c r="M345" s="653">
        <f t="shared" si="92"/>
        <v>0</v>
      </c>
      <c r="N345" s="109"/>
      <c r="O345" s="343"/>
      <c r="Q345" s="50"/>
      <c r="R345" s="50"/>
      <c r="S345" s="50"/>
      <c r="T345" s="50"/>
      <c r="U345" s="50"/>
      <c r="V345" s="50"/>
      <c r="W345" s="50"/>
      <c r="X345" s="50"/>
      <c r="Y345" s="50"/>
      <c r="Z345" s="50"/>
      <c r="AA345" s="50"/>
      <c r="AB345" s="50"/>
      <c r="AC345" s="50"/>
      <c r="AD345" s="50"/>
      <c r="AE345" s="50"/>
    </row>
    <row r="346" spans="1:31" outlineLevel="1">
      <c r="A346" s="480">
        <f>ROW()</f>
        <v>346</v>
      </c>
      <c r="B346" s="178">
        <f t="shared" si="90"/>
        <v>0</v>
      </c>
      <c r="C346" s="111">
        <f t="shared" si="87"/>
        <v>0</v>
      </c>
      <c r="D346" s="111"/>
      <c r="E346" s="111"/>
      <c r="F346" s="111"/>
      <c r="G346" s="653">
        <f t="shared" si="91"/>
        <v>0</v>
      </c>
      <c r="H346" s="653">
        <f t="shared" si="92"/>
        <v>0</v>
      </c>
      <c r="I346" s="653">
        <f t="shared" si="92"/>
        <v>0</v>
      </c>
      <c r="J346" s="653">
        <f t="shared" si="92"/>
        <v>0</v>
      </c>
      <c r="K346" s="653">
        <f t="shared" si="92"/>
        <v>0</v>
      </c>
      <c r="L346" s="653">
        <f t="shared" si="92"/>
        <v>0</v>
      </c>
      <c r="M346" s="653">
        <f t="shared" si="92"/>
        <v>0</v>
      </c>
      <c r="N346" s="109"/>
      <c r="O346" s="343"/>
      <c r="Q346" s="50"/>
      <c r="R346" s="50"/>
      <c r="S346" s="50"/>
      <c r="T346" s="50"/>
      <c r="U346" s="50"/>
      <c r="V346" s="50"/>
      <c r="W346" s="50"/>
      <c r="X346" s="50"/>
      <c r="Y346" s="50"/>
      <c r="Z346" s="50"/>
      <c r="AA346" s="50"/>
      <c r="AB346" s="50"/>
      <c r="AC346" s="50"/>
      <c r="AD346" s="50"/>
      <c r="AE346" s="50"/>
    </row>
    <row r="347" spans="1:31" outlineLevel="1">
      <c r="A347" s="480">
        <f>ROW()</f>
        <v>347</v>
      </c>
      <c r="B347" s="178">
        <f t="shared" si="90"/>
        <v>0</v>
      </c>
      <c r="C347" s="111">
        <f t="shared" si="87"/>
        <v>0</v>
      </c>
      <c r="D347" s="111"/>
      <c r="E347" s="111"/>
      <c r="F347" s="111"/>
      <c r="G347" s="653">
        <f t="shared" si="91"/>
        <v>0</v>
      </c>
      <c r="H347" s="653">
        <f t="shared" si="92"/>
        <v>0</v>
      </c>
      <c r="I347" s="653">
        <f t="shared" si="92"/>
        <v>0</v>
      </c>
      <c r="J347" s="653">
        <f t="shared" si="92"/>
        <v>0</v>
      </c>
      <c r="K347" s="653">
        <f t="shared" si="92"/>
        <v>0</v>
      </c>
      <c r="L347" s="653">
        <f t="shared" si="92"/>
        <v>0</v>
      </c>
      <c r="M347" s="653">
        <f t="shared" si="92"/>
        <v>0</v>
      </c>
      <c r="N347" s="109"/>
      <c r="O347" s="343"/>
      <c r="Q347" s="50"/>
      <c r="R347" s="50"/>
      <c r="S347" s="50"/>
      <c r="T347" s="50"/>
      <c r="U347" s="50"/>
      <c r="V347" s="50"/>
      <c r="W347" s="50"/>
      <c r="X347" s="50"/>
      <c r="Y347" s="50"/>
      <c r="Z347" s="50"/>
      <c r="AA347" s="50"/>
      <c r="AB347" s="50"/>
      <c r="AC347" s="50"/>
      <c r="AD347" s="50"/>
      <c r="AE347" s="50"/>
    </row>
    <row r="348" spans="1:31" outlineLevel="1">
      <c r="A348" s="480">
        <f>ROW()</f>
        <v>348</v>
      </c>
      <c r="B348" s="178">
        <f t="shared" si="90"/>
        <v>0</v>
      </c>
      <c r="C348" s="111">
        <f t="shared" si="87"/>
        <v>0</v>
      </c>
      <c r="D348" s="111"/>
      <c r="E348" s="111"/>
      <c r="F348" s="111"/>
      <c r="G348" s="653">
        <f t="shared" si="91"/>
        <v>0</v>
      </c>
      <c r="H348" s="653">
        <f t="shared" si="92"/>
        <v>0</v>
      </c>
      <c r="I348" s="653">
        <f t="shared" si="92"/>
        <v>0</v>
      </c>
      <c r="J348" s="653">
        <f t="shared" si="92"/>
        <v>0</v>
      </c>
      <c r="K348" s="653">
        <f t="shared" si="92"/>
        <v>0</v>
      </c>
      <c r="L348" s="653">
        <f t="shared" si="92"/>
        <v>0</v>
      </c>
      <c r="M348" s="653">
        <f t="shared" si="92"/>
        <v>0</v>
      </c>
      <c r="N348" s="109"/>
      <c r="O348" s="343"/>
      <c r="Q348" s="50"/>
      <c r="R348" s="50"/>
      <c r="S348" s="50"/>
      <c r="T348" s="50"/>
      <c r="U348" s="50"/>
      <c r="V348" s="50"/>
      <c r="W348" s="50"/>
      <c r="X348" s="50"/>
      <c r="Y348" s="50"/>
      <c r="Z348" s="50"/>
      <c r="AA348" s="50"/>
      <c r="AB348" s="50"/>
      <c r="AC348" s="50"/>
      <c r="AD348" s="50"/>
      <c r="AE348" s="50"/>
    </row>
    <row r="349" spans="1:31" outlineLevel="1">
      <c r="A349" s="480">
        <f>ROW()</f>
        <v>349</v>
      </c>
      <c r="B349" s="178">
        <f t="shared" si="90"/>
        <v>0</v>
      </c>
      <c r="C349" s="111">
        <f t="shared" si="87"/>
        <v>0</v>
      </c>
      <c r="D349" s="111"/>
      <c r="E349" s="111"/>
      <c r="F349" s="111"/>
      <c r="G349" s="653">
        <f t="shared" si="91"/>
        <v>0</v>
      </c>
      <c r="H349" s="653">
        <f t="shared" si="92"/>
        <v>0</v>
      </c>
      <c r="I349" s="653">
        <f t="shared" si="92"/>
        <v>0</v>
      </c>
      <c r="J349" s="653">
        <f t="shared" si="92"/>
        <v>0</v>
      </c>
      <c r="K349" s="653">
        <f t="shared" si="92"/>
        <v>0</v>
      </c>
      <c r="L349" s="653">
        <f t="shared" si="92"/>
        <v>0</v>
      </c>
      <c r="M349" s="653">
        <f t="shared" si="92"/>
        <v>0</v>
      </c>
      <c r="N349" s="109"/>
      <c r="O349" s="343"/>
      <c r="Q349" s="50"/>
      <c r="R349" s="50"/>
      <c r="S349" s="50"/>
      <c r="T349" s="50"/>
      <c r="U349" s="50"/>
      <c r="V349" s="50"/>
      <c r="W349" s="50"/>
      <c r="X349" s="50"/>
      <c r="Y349" s="50"/>
      <c r="Z349" s="50"/>
      <c r="AA349" s="50"/>
      <c r="AB349" s="50"/>
      <c r="AC349" s="50"/>
      <c r="AD349" s="50"/>
      <c r="AE349" s="50"/>
    </row>
    <row r="350" spans="1:31" outlineLevel="1">
      <c r="A350" s="480">
        <f>ROW()</f>
        <v>350</v>
      </c>
      <c r="B350" s="178">
        <f t="shared" si="90"/>
        <v>0</v>
      </c>
      <c r="C350" s="111">
        <f t="shared" si="87"/>
        <v>0</v>
      </c>
      <c r="D350" s="111"/>
      <c r="E350" s="111"/>
      <c r="F350" s="111"/>
      <c r="G350" s="653">
        <f t="shared" si="91"/>
        <v>0</v>
      </c>
      <c r="H350" s="653">
        <f t="shared" si="92"/>
        <v>0</v>
      </c>
      <c r="I350" s="653">
        <f t="shared" si="92"/>
        <v>0</v>
      </c>
      <c r="J350" s="653">
        <f t="shared" si="92"/>
        <v>0</v>
      </c>
      <c r="K350" s="653">
        <f t="shared" si="92"/>
        <v>0</v>
      </c>
      <c r="L350" s="653">
        <f t="shared" si="92"/>
        <v>0</v>
      </c>
      <c r="M350" s="653">
        <f t="shared" si="92"/>
        <v>0</v>
      </c>
      <c r="N350" s="109"/>
      <c r="O350" s="343"/>
      <c r="Q350" s="50"/>
      <c r="R350" s="50"/>
      <c r="S350" s="50"/>
      <c r="T350" s="50"/>
      <c r="U350" s="50"/>
      <c r="V350" s="50"/>
      <c r="W350" s="50"/>
      <c r="X350" s="50"/>
      <c r="Y350" s="50"/>
      <c r="Z350" s="50"/>
      <c r="AA350" s="50"/>
      <c r="AB350" s="50"/>
      <c r="AC350" s="50"/>
      <c r="AD350" s="50"/>
      <c r="AE350" s="50"/>
    </row>
    <row r="351" spans="1:31" outlineLevel="1">
      <c r="A351" s="480">
        <f>ROW()</f>
        <v>351</v>
      </c>
      <c r="B351" s="178"/>
      <c r="C351" s="111">
        <f t="shared" si="87"/>
        <v>0</v>
      </c>
      <c r="D351" s="111"/>
      <c r="E351" s="111"/>
      <c r="F351" s="111"/>
      <c r="G351" s="653"/>
      <c r="H351" s="653"/>
      <c r="I351" s="653"/>
      <c r="J351" s="653"/>
      <c r="K351" s="653"/>
      <c r="L351" s="653"/>
      <c r="M351" s="653"/>
      <c r="N351" s="109"/>
      <c r="O351" s="343"/>
      <c r="Q351" s="50"/>
      <c r="R351" s="50"/>
      <c r="S351" s="50"/>
      <c r="T351" s="50"/>
      <c r="U351" s="50"/>
      <c r="V351" s="50"/>
      <c r="W351" s="50"/>
      <c r="X351" s="50"/>
      <c r="Y351" s="50"/>
      <c r="Z351" s="50"/>
      <c r="AA351" s="50"/>
      <c r="AB351" s="50"/>
      <c r="AC351" s="50"/>
      <c r="AD351" s="50"/>
      <c r="AE351" s="50"/>
    </row>
    <row r="352" spans="1:31" outlineLevel="1">
      <c r="A352" s="480">
        <f>ROW()</f>
        <v>352</v>
      </c>
      <c r="B352" s="178">
        <f>$B196</f>
        <v>0</v>
      </c>
      <c r="C352" s="111">
        <f t="shared" si="87"/>
        <v>0</v>
      </c>
      <c r="D352" s="111"/>
      <c r="E352" s="111"/>
      <c r="F352" s="111"/>
      <c r="G352" s="653">
        <f>G196*$E196</f>
        <v>0</v>
      </c>
      <c r="H352" s="653">
        <f t="shared" ref="H352:M356" si="93">(H196*$E196)</f>
        <v>0</v>
      </c>
      <c r="I352" s="653">
        <f t="shared" si="93"/>
        <v>0</v>
      </c>
      <c r="J352" s="653">
        <f t="shared" si="93"/>
        <v>0</v>
      </c>
      <c r="K352" s="653">
        <f t="shared" si="93"/>
        <v>0</v>
      </c>
      <c r="L352" s="653">
        <f t="shared" si="93"/>
        <v>0</v>
      </c>
      <c r="M352" s="653">
        <f t="shared" si="93"/>
        <v>0</v>
      </c>
      <c r="N352" s="109"/>
      <c r="O352" s="343"/>
      <c r="Q352" s="50"/>
      <c r="R352" s="50"/>
      <c r="S352" s="50"/>
      <c r="T352" s="50"/>
      <c r="U352" s="50"/>
      <c r="V352" s="50"/>
      <c r="W352" s="50"/>
      <c r="X352" s="50"/>
      <c r="Y352" s="50"/>
      <c r="Z352" s="50"/>
      <c r="AA352" s="50"/>
      <c r="AB352" s="50"/>
      <c r="AC352" s="50"/>
      <c r="AD352" s="50"/>
      <c r="AE352" s="50"/>
    </row>
    <row r="353" spans="1:31" outlineLevel="1">
      <c r="A353" s="480">
        <f>ROW()</f>
        <v>353</v>
      </c>
      <c r="B353" s="178">
        <f>$B$197</f>
        <v>0</v>
      </c>
      <c r="C353" s="111">
        <f t="shared" si="87"/>
        <v>0</v>
      </c>
      <c r="D353" s="111"/>
      <c r="E353" s="111"/>
      <c r="F353" s="111"/>
      <c r="G353" s="653">
        <f>G197*$E197</f>
        <v>0</v>
      </c>
      <c r="H353" s="653">
        <f t="shared" si="93"/>
        <v>0</v>
      </c>
      <c r="I353" s="653">
        <f t="shared" si="93"/>
        <v>0</v>
      </c>
      <c r="J353" s="653">
        <f t="shared" si="93"/>
        <v>0</v>
      </c>
      <c r="K353" s="653">
        <f t="shared" si="93"/>
        <v>0</v>
      </c>
      <c r="L353" s="653">
        <f t="shared" si="93"/>
        <v>0</v>
      </c>
      <c r="M353" s="653">
        <f t="shared" si="93"/>
        <v>0</v>
      </c>
      <c r="N353" s="109"/>
      <c r="O353" s="343"/>
      <c r="Q353" s="50"/>
      <c r="R353" s="50"/>
      <c r="S353" s="50"/>
      <c r="T353" s="50"/>
      <c r="U353" s="50"/>
      <c r="V353" s="50"/>
      <c r="W353" s="50"/>
      <c r="X353" s="50"/>
      <c r="Y353" s="50"/>
      <c r="Z353" s="50"/>
      <c r="AA353" s="50"/>
      <c r="AB353" s="50"/>
      <c r="AC353" s="50"/>
      <c r="AD353" s="50"/>
      <c r="AE353" s="50"/>
    </row>
    <row r="354" spans="1:31" outlineLevel="1">
      <c r="A354" s="480">
        <f>ROW()</f>
        <v>354</v>
      </c>
      <c r="B354" s="178">
        <f>$B$198</f>
        <v>0</v>
      </c>
      <c r="C354" s="111">
        <f t="shared" si="87"/>
        <v>0</v>
      </c>
      <c r="D354" s="111"/>
      <c r="E354" s="111"/>
      <c r="F354" s="111"/>
      <c r="G354" s="653">
        <f>G198*$E198</f>
        <v>0</v>
      </c>
      <c r="H354" s="653">
        <f t="shared" si="93"/>
        <v>0</v>
      </c>
      <c r="I354" s="653">
        <f t="shared" si="93"/>
        <v>0</v>
      </c>
      <c r="J354" s="653">
        <f t="shared" si="93"/>
        <v>0</v>
      </c>
      <c r="K354" s="653">
        <f t="shared" si="93"/>
        <v>0</v>
      </c>
      <c r="L354" s="653">
        <f t="shared" si="93"/>
        <v>0</v>
      </c>
      <c r="M354" s="653">
        <f t="shared" si="93"/>
        <v>0</v>
      </c>
      <c r="N354" s="109"/>
      <c r="O354" s="343"/>
      <c r="Q354" s="50"/>
      <c r="R354" s="50"/>
      <c r="S354" s="50"/>
      <c r="T354" s="50"/>
      <c r="U354" s="50"/>
      <c r="V354" s="50"/>
      <c r="W354" s="50"/>
      <c r="X354" s="50"/>
      <c r="Y354" s="50"/>
      <c r="Z354" s="50"/>
      <c r="AA354" s="50"/>
      <c r="AB354" s="50"/>
      <c r="AC354" s="50"/>
      <c r="AD354" s="50"/>
      <c r="AE354" s="50"/>
    </row>
    <row r="355" spans="1:31" outlineLevel="1">
      <c r="A355" s="480">
        <f>ROW()</f>
        <v>355</v>
      </c>
      <c r="B355" s="178">
        <f>$B$199</f>
        <v>0</v>
      </c>
      <c r="C355" s="111">
        <f t="shared" si="87"/>
        <v>0</v>
      </c>
      <c r="D355" s="111"/>
      <c r="E355" s="111"/>
      <c r="F355" s="111"/>
      <c r="G355" s="653">
        <f>G199*$E199</f>
        <v>0</v>
      </c>
      <c r="H355" s="653">
        <f t="shared" si="93"/>
        <v>0</v>
      </c>
      <c r="I355" s="653">
        <f t="shared" si="93"/>
        <v>0</v>
      </c>
      <c r="J355" s="653">
        <f t="shared" si="93"/>
        <v>0</v>
      </c>
      <c r="K355" s="653">
        <f t="shared" si="93"/>
        <v>0</v>
      </c>
      <c r="L355" s="653">
        <f t="shared" si="93"/>
        <v>0</v>
      </c>
      <c r="M355" s="653">
        <f t="shared" si="93"/>
        <v>0</v>
      </c>
      <c r="N355" s="109"/>
      <c r="O355" s="343"/>
      <c r="Q355" s="50"/>
      <c r="R355" s="50"/>
      <c r="S355" s="50"/>
      <c r="T355" s="50"/>
      <c r="U355" s="50"/>
      <c r="V355" s="50"/>
      <c r="W355" s="50"/>
      <c r="X355" s="50"/>
      <c r="Y355" s="50"/>
      <c r="Z355" s="50"/>
      <c r="AA355" s="50"/>
      <c r="AB355" s="50"/>
      <c r="AC355" s="50"/>
      <c r="AD355" s="50"/>
      <c r="AE355" s="50"/>
    </row>
    <row r="356" spans="1:31" outlineLevel="1">
      <c r="A356" s="480">
        <f>ROW()</f>
        <v>356</v>
      </c>
      <c r="B356" s="178">
        <f>$B$200</f>
        <v>0</v>
      </c>
      <c r="C356" s="111">
        <f t="shared" si="87"/>
        <v>0</v>
      </c>
      <c r="D356" s="111"/>
      <c r="E356" s="111"/>
      <c r="F356" s="111"/>
      <c r="G356" s="653">
        <f>G200*$E200</f>
        <v>0</v>
      </c>
      <c r="H356" s="653">
        <f t="shared" si="93"/>
        <v>0</v>
      </c>
      <c r="I356" s="653">
        <f t="shared" si="93"/>
        <v>0</v>
      </c>
      <c r="J356" s="653">
        <f t="shared" si="93"/>
        <v>0</v>
      </c>
      <c r="K356" s="653">
        <f t="shared" si="93"/>
        <v>0</v>
      </c>
      <c r="L356" s="653">
        <f t="shared" si="93"/>
        <v>0</v>
      </c>
      <c r="M356" s="653">
        <f t="shared" si="93"/>
        <v>0</v>
      </c>
      <c r="N356" s="109"/>
      <c r="O356" s="343"/>
      <c r="Q356" s="50"/>
      <c r="R356" s="50"/>
      <c r="S356" s="50"/>
      <c r="T356" s="50"/>
      <c r="U356" s="50"/>
      <c r="V356" s="50"/>
      <c r="W356" s="50"/>
      <c r="X356" s="50"/>
      <c r="Y356" s="50"/>
      <c r="Z356" s="50"/>
      <c r="AA356" s="50"/>
      <c r="AB356" s="50"/>
      <c r="AC356" s="50"/>
      <c r="AD356" s="50"/>
      <c r="AE356" s="50"/>
    </row>
    <row r="357" spans="1:31" outlineLevel="1">
      <c r="A357" s="480">
        <f>ROW()</f>
        <v>357</v>
      </c>
      <c r="B357" s="178"/>
      <c r="C357" s="111">
        <f t="shared" si="87"/>
        <v>0</v>
      </c>
      <c r="D357" s="111"/>
      <c r="E357" s="111"/>
      <c r="F357" s="111"/>
      <c r="G357" s="653"/>
      <c r="H357" s="653"/>
      <c r="I357" s="653"/>
      <c r="J357" s="653"/>
      <c r="K357" s="653"/>
      <c r="L357" s="653"/>
      <c r="M357" s="653"/>
      <c r="N357" s="109"/>
      <c r="O357" s="343"/>
      <c r="Q357" s="50"/>
      <c r="R357" s="50"/>
      <c r="S357" s="50"/>
      <c r="T357" s="50"/>
      <c r="U357" s="50"/>
      <c r="V357" s="50"/>
      <c r="W357" s="50"/>
      <c r="X357" s="50"/>
      <c r="Y357" s="50"/>
      <c r="Z357" s="50"/>
      <c r="AA357" s="50"/>
      <c r="AB357" s="50"/>
      <c r="AC357" s="50"/>
      <c r="AD357" s="50"/>
      <c r="AE357" s="50"/>
    </row>
    <row r="358" spans="1:31" outlineLevel="1">
      <c r="A358" s="480">
        <f>ROW()</f>
        <v>358</v>
      </c>
      <c r="B358" s="178">
        <f>$B$202</f>
        <v>0</v>
      </c>
      <c r="C358" s="111">
        <f t="shared" si="87"/>
        <v>0</v>
      </c>
      <c r="D358" s="111"/>
      <c r="E358" s="111"/>
      <c r="F358" s="111"/>
      <c r="G358" s="653">
        <f>G202*$E202</f>
        <v>0</v>
      </c>
      <c r="H358" s="653">
        <f t="shared" ref="H358:M362" si="94">(H202*$E202)</f>
        <v>0</v>
      </c>
      <c r="I358" s="653">
        <f t="shared" si="94"/>
        <v>0</v>
      </c>
      <c r="J358" s="653">
        <f t="shared" si="94"/>
        <v>0</v>
      </c>
      <c r="K358" s="653">
        <f t="shared" si="94"/>
        <v>0</v>
      </c>
      <c r="L358" s="653">
        <f t="shared" si="94"/>
        <v>0</v>
      </c>
      <c r="M358" s="653">
        <f t="shared" si="94"/>
        <v>0</v>
      </c>
      <c r="N358" s="109"/>
      <c r="O358" s="343"/>
      <c r="Q358" s="50"/>
      <c r="R358" s="50"/>
      <c r="S358" s="50"/>
      <c r="T358" s="50"/>
      <c r="U358" s="50"/>
      <c r="V358" s="50"/>
      <c r="W358" s="50"/>
      <c r="X358" s="50"/>
      <c r="Y358" s="50"/>
      <c r="Z358" s="50"/>
      <c r="AA358" s="50"/>
      <c r="AB358" s="50"/>
      <c r="AC358" s="50"/>
      <c r="AD358" s="50"/>
      <c r="AE358" s="50"/>
    </row>
    <row r="359" spans="1:31" outlineLevel="1">
      <c r="A359" s="480">
        <f>ROW()</f>
        <v>359</v>
      </c>
      <c r="B359" s="178">
        <f>$B$203</f>
        <v>0</v>
      </c>
      <c r="C359" s="111">
        <f t="shared" si="87"/>
        <v>0</v>
      </c>
      <c r="D359" s="111"/>
      <c r="E359" s="111"/>
      <c r="F359" s="111"/>
      <c r="G359" s="653">
        <f>G203*$E203</f>
        <v>0</v>
      </c>
      <c r="H359" s="653">
        <f t="shared" si="94"/>
        <v>0</v>
      </c>
      <c r="I359" s="653">
        <f t="shared" si="94"/>
        <v>0</v>
      </c>
      <c r="J359" s="653">
        <f t="shared" si="94"/>
        <v>0</v>
      </c>
      <c r="K359" s="653">
        <f t="shared" si="94"/>
        <v>0</v>
      </c>
      <c r="L359" s="653">
        <f t="shared" si="94"/>
        <v>0</v>
      </c>
      <c r="M359" s="653">
        <f t="shared" si="94"/>
        <v>0</v>
      </c>
      <c r="N359" s="109"/>
      <c r="O359" s="343"/>
      <c r="Q359" s="50"/>
      <c r="R359" s="50"/>
      <c r="S359" s="50"/>
      <c r="T359" s="50"/>
      <c r="U359" s="50"/>
      <c r="V359" s="50"/>
      <c r="W359" s="50"/>
      <c r="X359" s="50"/>
      <c r="Y359" s="50"/>
      <c r="Z359" s="50"/>
      <c r="AA359" s="50"/>
      <c r="AB359" s="50"/>
      <c r="AC359" s="50"/>
      <c r="AD359" s="50"/>
      <c r="AE359" s="50"/>
    </row>
    <row r="360" spans="1:31" outlineLevel="1">
      <c r="A360" s="480">
        <f>ROW()</f>
        <v>360</v>
      </c>
      <c r="B360" s="178">
        <f>$B$204</f>
        <v>0</v>
      </c>
      <c r="C360" s="111">
        <f t="shared" si="87"/>
        <v>0</v>
      </c>
      <c r="D360" s="111"/>
      <c r="E360" s="111"/>
      <c r="F360" s="111"/>
      <c r="G360" s="653">
        <f>G204*$E204</f>
        <v>0</v>
      </c>
      <c r="H360" s="653">
        <f t="shared" si="94"/>
        <v>0</v>
      </c>
      <c r="I360" s="653">
        <f t="shared" si="94"/>
        <v>0</v>
      </c>
      <c r="J360" s="653">
        <f t="shared" si="94"/>
        <v>0</v>
      </c>
      <c r="K360" s="653">
        <f t="shared" si="94"/>
        <v>0</v>
      </c>
      <c r="L360" s="653">
        <f t="shared" si="94"/>
        <v>0</v>
      </c>
      <c r="M360" s="653">
        <f t="shared" si="94"/>
        <v>0</v>
      </c>
      <c r="N360" s="109"/>
      <c r="O360" s="343"/>
      <c r="Q360" s="50"/>
      <c r="R360" s="50"/>
      <c r="S360" s="50"/>
      <c r="T360" s="50"/>
      <c r="U360" s="50"/>
      <c r="V360" s="50"/>
      <c r="W360" s="50"/>
      <c r="X360" s="50"/>
      <c r="Y360" s="50"/>
      <c r="Z360" s="50"/>
      <c r="AA360" s="50"/>
      <c r="AB360" s="50"/>
      <c r="AC360" s="50"/>
      <c r="AD360" s="50"/>
      <c r="AE360" s="50"/>
    </row>
    <row r="361" spans="1:31" outlineLevel="1">
      <c r="A361" s="480">
        <f>ROW()</f>
        <v>361</v>
      </c>
      <c r="B361" s="178">
        <f>$B$205</f>
        <v>0</v>
      </c>
      <c r="C361" s="111">
        <f t="shared" si="87"/>
        <v>0</v>
      </c>
      <c r="D361" s="111"/>
      <c r="E361" s="111"/>
      <c r="F361" s="111"/>
      <c r="G361" s="653">
        <f>G205*$E205</f>
        <v>0</v>
      </c>
      <c r="H361" s="653">
        <f t="shared" si="94"/>
        <v>0</v>
      </c>
      <c r="I361" s="653">
        <f t="shared" si="94"/>
        <v>0</v>
      </c>
      <c r="J361" s="653">
        <f t="shared" si="94"/>
        <v>0</v>
      </c>
      <c r="K361" s="653">
        <f t="shared" si="94"/>
        <v>0</v>
      </c>
      <c r="L361" s="653">
        <f t="shared" si="94"/>
        <v>0</v>
      </c>
      <c r="M361" s="653">
        <f t="shared" si="94"/>
        <v>0</v>
      </c>
      <c r="N361" s="109"/>
      <c r="O361" s="343"/>
      <c r="Q361" s="50"/>
      <c r="R361" s="50"/>
      <c r="S361" s="50"/>
      <c r="T361" s="50"/>
      <c r="U361" s="50"/>
      <c r="V361" s="50"/>
      <c r="W361" s="50"/>
      <c r="X361" s="50"/>
      <c r="Y361" s="50"/>
      <c r="Z361" s="50"/>
      <c r="AA361" s="50"/>
      <c r="AB361" s="50"/>
      <c r="AC361" s="50"/>
      <c r="AD361" s="50"/>
      <c r="AE361" s="50"/>
    </row>
    <row r="362" spans="1:31" outlineLevel="1">
      <c r="A362" s="480">
        <f>ROW()</f>
        <v>362</v>
      </c>
      <c r="B362" s="178">
        <f>$B$206</f>
        <v>0</v>
      </c>
      <c r="C362" s="111">
        <f t="shared" si="87"/>
        <v>0</v>
      </c>
      <c r="D362" s="111"/>
      <c r="E362" s="111"/>
      <c r="F362" s="111"/>
      <c r="G362" s="653">
        <f>G206*$E206</f>
        <v>0</v>
      </c>
      <c r="H362" s="653">
        <f t="shared" si="94"/>
        <v>0</v>
      </c>
      <c r="I362" s="653">
        <f t="shared" si="94"/>
        <v>0</v>
      </c>
      <c r="J362" s="653">
        <f t="shared" si="94"/>
        <v>0</v>
      </c>
      <c r="K362" s="653">
        <f t="shared" si="94"/>
        <v>0</v>
      </c>
      <c r="L362" s="653">
        <f t="shared" si="94"/>
        <v>0</v>
      </c>
      <c r="M362" s="653">
        <f t="shared" si="94"/>
        <v>0</v>
      </c>
      <c r="N362" s="109"/>
      <c r="O362" s="343"/>
      <c r="Q362" s="50"/>
      <c r="R362" s="50"/>
      <c r="S362" s="50"/>
      <c r="T362" s="50"/>
      <c r="U362" s="50"/>
      <c r="V362" s="50"/>
      <c r="W362" s="50"/>
      <c r="X362" s="50"/>
      <c r="Y362" s="50"/>
      <c r="Z362" s="50"/>
      <c r="AA362" s="50"/>
      <c r="AB362" s="50"/>
      <c r="AC362" s="50"/>
      <c r="AD362" s="50"/>
      <c r="AE362" s="50"/>
    </row>
    <row r="363" spans="1:31" outlineLevel="1">
      <c r="A363" s="480">
        <f>ROW()</f>
        <v>363</v>
      </c>
      <c r="B363" s="178"/>
      <c r="C363" s="111">
        <f t="shared" ref="C363:C392" si="95">SUM(G363:M363)</f>
        <v>0</v>
      </c>
      <c r="D363" s="111"/>
      <c r="E363" s="111"/>
      <c r="F363" s="111"/>
      <c r="G363" s="653"/>
      <c r="H363" s="653"/>
      <c r="I363" s="653"/>
      <c r="J363" s="653"/>
      <c r="K363" s="653"/>
      <c r="L363" s="653"/>
      <c r="M363" s="653"/>
      <c r="N363" s="109"/>
      <c r="O363" s="343"/>
      <c r="Q363" s="50"/>
      <c r="R363" s="50"/>
      <c r="S363" s="50"/>
      <c r="T363" s="50"/>
      <c r="U363" s="50"/>
      <c r="V363" s="50"/>
      <c r="W363" s="50"/>
      <c r="X363" s="50"/>
      <c r="Y363" s="50"/>
      <c r="Z363" s="50"/>
      <c r="AA363" s="50"/>
      <c r="AB363" s="50"/>
      <c r="AC363" s="50"/>
      <c r="AD363" s="50"/>
      <c r="AE363" s="50"/>
    </row>
    <row r="364" spans="1:31" outlineLevel="1">
      <c r="A364" s="480">
        <f>ROW()</f>
        <v>364</v>
      </c>
      <c r="B364" s="178">
        <f>$B$208</f>
        <v>0</v>
      </c>
      <c r="C364" s="111">
        <f t="shared" si="95"/>
        <v>0</v>
      </c>
      <c r="D364" s="111"/>
      <c r="E364" s="111"/>
      <c r="F364" s="111"/>
      <c r="G364" s="653">
        <f>G208*$E208</f>
        <v>0</v>
      </c>
      <c r="H364" s="653">
        <f t="shared" ref="H364:M368" si="96">(H208*$E208)</f>
        <v>0</v>
      </c>
      <c r="I364" s="653">
        <f t="shared" si="96"/>
        <v>0</v>
      </c>
      <c r="J364" s="653">
        <f t="shared" si="96"/>
        <v>0</v>
      </c>
      <c r="K364" s="653">
        <f t="shared" si="96"/>
        <v>0</v>
      </c>
      <c r="L364" s="653">
        <f t="shared" si="96"/>
        <v>0</v>
      </c>
      <c r="M364" s="653">
        <f t="shared" si="96"/>
        <v>0</v>
      </c>
      <c r="N364" s="109"/>
      <c r="O364" s="343"/>
      <c r="Q364" s="50"/>
      <c r="R364" s="50"/>
      <c r="S364" s="50"/>
      <c r="T364" s="50"/>
      <c r="U364" s="50"/>
      <c r="V364" s="50"/>
      <c r="W364" s="50"/>
      <c r="X364" s="50"/>
      <c r="Y364" s="50"/>
      <c r="Z364" s="50"/>
      <c r="AA364" s="50"/>
      <c r="AB364" s="50"/>
      <c r="AC364" s="50"/>
      <c r="AD364" s="50"/>
      <c r="AE364" s="50"/>
    </row>
    <row r="365" spans="1:31" outlineLevel="1">
      <c r="A365" s="480">
        <f>ROW()</f>
        <v>365</v>
      </c>
      <c r="B365" s="178">
        <f>$B$209</f>
        <v>0</v>
      </c>
      <c r="C365" s="111">
        <f t="shared" si="95"/>
        <v>0</v>
      </c>
      <c r="D365" s="111"/>
      <c r="E365" s="111"/>
      <c r="F365" s="111"/>
      <c r="G365" s="653">
        <f>G209*$E209</f>
        <v>0</v>
      </c>
      <c r="H365" s="653">
        <f t="shared" si="96"/>
        <v>0</v>
      </c>
      <c r="I365" s="653">
        <f t="shared" si="96"/>
        <v>0</v>
      </c>
      <c r="J365" s="653">
        <f t="shared" si="96"/>
        <v>0</v>
      </c>
      <c r="K365" s="653">
        <f t="shared" si="96"/>
        <v>0</v>
      </c>
      <c r="L365" s="653">
        <f t="shared" si="96"/>
        <v>0</v>
      </c>
      <c r="M365" s="653">
        <f t="shared" si="96"/>
        <v>0</v>
      </c>
      <c r="N365" s="109"/>
      <c r="O365" s="343"/>
      <c r="Q365" s="50"/>
      <c r="R365" s="50"/>
      <c r="S365" s="50"/>
      <c r="T365" s="50"/>
      <c r="U365" s="50"/>
      <c r="V365" s="50"/>
      <c r="W365" s="50"/>
      <c r="X365" s="50"/>
      <c r="Y365" s="50"/>
      <c r="Z365" s="50"/>
      <c r="AA365" s="50"/>
      <c r="AB365" s="50"/>
      <c r="AC365" s="50"/>
      <c r="AD365" s="50"/>
      <c r="AE365" s="50"/>
    </row>
    <row r="366" spans="1:31" outlineLevel="1">
      <c r="A366" s="480">
        <f>ROW()</f>
        <v>366</v>
      </c>
      <c r="B366" s="178">
        <f>$B$210</f>
        <v>0</v>
      </c>
      <c r="C366" s="111">
        <f t="shared" si="95"/>
        <v>0</v>
      </c>
      <c r="D366" s="111"/>
      <c r="E366" s="111"/>
      <c r="F366" s="111"/>
      <c r="G366" s="653">
        <f>G210*$E210</f>
        <v>0</v>
      </c>
      <c r="H366" s="653">
        <f t="shared" si="96"/>
        <v>0</v>
      </c>
      <c r="I366" s="653">
        <f t="shared" si="96"/>
        <v>0</v>
      </c>
      <c r="J366" s="653">
        <f t="shared" si="96"/>
        <v>0</v>
      </c>
      <c r="K366" s="653">
        <f t="shared" si="96"/>
        <v>0</v>
      </c>
      <c r="L366" s="653">
        <f t="shared" si="96"/>
        <v>0</v>
      </c>
      <c r="M366" s="653">
        <f t="shared" si="96"/>
        <v>0</v>
      </c>
      <c r="N366" s="109"/>
      <c r="O366" s="343"/>
      <c r="Q366" s="50"/>
      <c r="R366" s="50"/>
      <c r="S366" s="50"/>
      <c r="T366" s="50"/>
      <c r="U366" s="50"/>
      <c r="V366" s="50"/>
      <c r="W366" s="50"/>
      <c r="X366" s="50"/>
      <c r="Y366" s="50"/>
      <c r="Z366" s="50"/>
      <c r="AA366" s="50"/>
      <c r="AB366" s="50"/>
      <c r="AC366" s="50"/>
      <c r="AD366" s="50"/>
      <c r="AE366" s="50"/>
    </row>
    <row r="367" spans="1:31" outlineLevel="1">
      <c r="A367" s="480">
        <f>ROW()</f>
        <v>367</v>
      </c>
      <c r="B367" s="178">
        <f>$B$211</f>
        <v>0</v>
      </c>
      <c r="C367" s="111">
        <f t="shared" si="95"/>
        <v>0</v>
      </c>
      <c r="D367" s="111"/>
      <c r="E367" s="111"/>
      <c r="F367" s="111"/>
      <c r="G367" s="653">
        <f>G211*$E211</f>
        <v>0</v>
      </c>
      <c r="H367" s="653">
        <f t="shared" si="96"/>
        <v>0</v>
      </c>
      <c r="I367" s="653">
        <f t="shared" si="96"/>
        <v>0</v>
      </c>
      <c r="J367" s="653">
        <f t="shared" si="96"/>
        <v>0</v>
      </c>
      <c r="K367" s="653">
        <f t="shared" si="96"/>
        <v>0</v>
      </c>
      <c r="L367" s="653">
        <f t="shared" si="96"/>
        <v>0</v>
      </c>
      <c r="M367" s="653">
        <f t="shared" si="96"/>
        <v>0</v>
      </c>
      <c r="N367" s="109"/>
      <c r="O367" s="343"/>
      <c r="Q367" s="50"/>
      <c r="R367" s="50"/>
      <c r="S367" s="50"/>
      <c r="T367" s="50"/>
      <c r="U367" s="50"/>
      <c r="V367" s="50"/>
      <c r="W367" s="50"/>
      <c r="X367" s="50"/>
      <c r="Y367" s="50"/>
      <c r="Z367" s="50"/>
      <c r="AA367" s="50"/>
      <c r="AB367" s="50"/>
      <c r="AC367" s="50"/>
      <c r="AD367" s="50"/>
      <c r="AE367" s="50"/>
    </row>
    <row r="368" spans="1:31" outlineLevel="1">
      <c r="A368" s="480">
        <f>ROW()</f>
        <v>368</v>
      </c>
      <c r="B368" s="178">
        <f>$B$212</f>
        <v>0</v>
      </c>
      <c r="C368" s="111">
        <f t="shared" si="95"/>
        <v>0</v>
      </c>
      <c r="D368" s="111"/>
      <c r="E368" s="111"/>
      <c r="F368" s="111"/>
      <c r="G368" s="653">
        <f>G212*$E212</f>
        <v>0</v>
      </c>
      <c r="H368" s="653">
        <f t="shared" si="96"/>
        <v>0</v>
      </c>
      <c r="I368" s="653">
        <f t="shared" si="96"/>
        <v>0</v>
      </c>
      <c r="J368" s="653">
        <f t="shared" si="96"/>
        <v>0</v>
      </c>
      <c r="K368" s="653">
        <f t="shared" si="96"/>
        <v>0</v>
      </c>
      <c r="L368" s="653">
        <f t="shared" si="96"/>
        <v>0</v>
      </c>
      <c r="M368" s="653">
        <f t="shared" si="96"/>
        <v>0</v>
      </c>
      <c r="N368" s="109"/>
      <c r="O368" s="343"/>
      <c r="Q368" s="50"/>
      <c r="R368" s="50"/>
      <c r="S368" s="50"/>
      <c r="T368" s="50"/>
      <c r="U368" s="50"/>
      <c r="V368" s="50"/>
      <c r="W368" s="50"/>
      <c r="X368" s="50"/>
      <c r="Y368" s="50"/>
      <c r="Z368" s="50"/>
      <c r="AA368" s="50"/>
      <c r="AB368" s="50"/>
      <c r="AC368" s="50"/>
      <c r="AD368" s="50"/>
      <c r="AE368" s="50"/>
    </row>
    <row r="369" spans="1:31" outlineLevel="1">
      <c r="A369" s="480">
        <f>ROW()</f>
        <v>369</v>
      </c>
      <c r="B369" s="178"/>
      <c r="C369" s="111">
        <f t="shared" si="95"/>
        <v>0</v>
      </c>
      <c r="D369" s="111"/>
      <c r="E369" s="111"/>
      <c r="F369" s="111"/>
      <c r="G369" s="653"/>
      <c r="H369" s="653"/>
      <c r="I369" s="653"/>
      <c r="J369" s="653"/>
      <c r="K369" s="653"/>
      <c r="L369" s="653"/>
      <c r="M369" s="653"/>
      <c r="N369" s="109"/>
      <c r="O369" s="343"/>
      <c r="Q369" s="50"/>
      <c r="R369" s="50"/>
      <c r="S369" s="50"/>
      <c r="T369" s="50"/>
      <c r="U369" s="50"/>
      <c r="V369" s="50"/>
      <c r="W369" s="50"/>
      <c r="X369" s="50"/>
      <c r="Y369" s="50"/>
      <c r="Z369" s="50"/>
      <c r="AA369" s="50"/>
      <c r="AB369" s="50"/>
      <c r="AC369" s="50"/>
      <c r="AD369" s="50"/>
      <c r="AE369" s="50"/>
    </row>
    <row r="370" spans="1:31" outlineLevel="1">
      <c r="A370" s="480">
        <f>ROW()</f>
        <v>370</v>
      </c>
      <c r="B370" s="178">
        <f>$B$214</f>
        <v>0</v>
      </c>
      <c r="C370" s="111">
        <f t="shared" si="95"/>
        <v>0</v>
      </c>
      <c r="D370" s="111"/>
      <c r="E370" s="111"/>
      <c r="F370" s="111"/>
      <c r="G370" s="653">
        <f>G214*$E214</f>
        <v>0</v>
      </c>
      <c r="H370" s="653">
        <f t="shared" ref="H370:M374" si="97">(H214*$E214)</f>
        <v>0</v>
      </c>
      <c r="I370" s="653">
        <f t="shared" si="97"/>
        <v>0</v>
      </c>
      <c r="J370" s="653">
        <f t="shared" si="97"/>
        <v>0</v>
      </c>
      <c r="K370" s="653">
        <f t="shared" si="97"/>
        <v>0</v>
      </c>
      <c r="L370" s="653">
        <f t="shared" si="97"/>
        <v>0</v>
      </c>
      <c r="M370" s="653">
        <f t="shared" si="97"/>
        <v>0</v>
      </c>
      <c r="N370" s="109"/>
      <c r="O370" s="343"/>
      <c r="Q370" s="50"/>
      <c r="R370" s="50"/>
      <c r="S370" s="50"/>
      <c r="T370" s="50"/>
      <c r="U370" s="50"/>
      <c r="V370" s="50"/>
      <c r="W370" s="50"/>
      <c r="X370" s="50"/>
      <c r="Y370" s="50"/>
      <c r="Z370" s="50"/>
      <c r="AA370" s="50"/>
      <c r="AB370" s="50"/>
      <c r="AC370" s="50"/>
      <c r="AD370" s="50"/>
      <c r="AE370" s="50"/>
    </row>
    <row r="371" spans="1:31" outlineLevel="1">
      <c r="A371" s="480">
        <f>ROW()</f>
        <v>371</v>
      </c>
      <c r="B371" s="178">
        <f>$B$215</f>
        <v>0</v>
      </c>
      <c r="C371" s="111">
        <f t="shared" si="95"/>
        <v>0</v>
      </c>
      <c r="D371" s="111"/>
      <c r="E371" s="111"/>
      <c r="F371" s="111"/>
      <c r="G371" s="653">
        <f>G215*$E215</f>
        <v>0</v>
      </c>
      <c r="H371" s="653">
        <f t="shared" si="97"/>
        <v>0</v>
      </c>
      <c r="I371" s="653">
        <f t="shared" si="97"/>
        <v>0</v>
      </c>
      <c r="J371" s="653">
        <f t="shared" si="97"/>
        <v>0</v>
      </c>
      <c r="K371" s="653">
        <f t="shared" si="97"/>
        <v>0</v>
      </c>
      <c r="L371" s="653">
        <f t="shared" si="97"/>
        <v>0</v>
      </c>
      <c r="M371" s="653">
        <f t="shared" si="97"/>
        <v>0</v>
      </c>
      <c r="N371" s="109"/>
      <c r="O371" s="343"/>
      <c r="Q371" s="50"/>
      <c r="R371" s="50"/>
      <c r="S371" s="50"/>
      <c r="T371" s="50"/>
      <c r="U371" s="50"/>
      <c r="V371" s="50"/>
      <c r="W371" s="50"/>
      <c r="X371" s="50"/>
      <c r="Y371" s="50"/>
      <c r="Z371" s="50"/>
      <c r="AA371" s="50"/>
      <c r="AB371" s="50"/>
      <c r="AC371" s="50"/>
      <c r="AD371" s="50"/>
      <c r="AE371" s="50"/>
    </row>
    <row r="372" spans="1:31" outlineLevel="1">
      <c r="A372" s="480">
        <f>ROW()</f>
        <v>372</v>
      </c>
      <c r="B372" s="178">
        <f>$B$216</f>
        <v>0</v>
      </c>
      <c r="C372" s="111">
        <f t="shared" si="95"/>
        <v>0</v>
      </c>
      <c r="D372" s="111"/>
      <c r="E372" s="111"/>
      <c r="F372" s="111"/>
      <c r="G372" s="653">
        <f>G216*$E216</f>
        <v>0</v>
      </c>
      <c r="H372" s="653">
        <f t="shared" si="97"/>
        <v>0</v>
      </c>
      <c r="I372" s="653">
        <f t="shared" si="97"/>
        <v>0</v>
      </c>
      <c r="J372" s="653">
        <f t="shared" si="97"/>
        <v>0</v>
      </c>
      <c r="K372" s="653">
        <f t="shared" si="97"/>
        <v>0</v>
      </c>
      <c r="L372" s="653">
        <f t="shared" si="97"/>
        <v>0</v>
      </c>
      <c r="M372" s="653">
        <f t="shared" si="97"/>
        <v>0</v>
      </c>
      <c r="N372" s="109"/>
      <c r="O372" s="343"/>
      <c r="Q372" s="50"/>
      <c r="R372" s="50"/>
      <c r="S372" s="50"/>
      <c r="T372" s="50"/>
      <c r="U372" s="50"/>
      <c r="V372" s="50"/>
      <c r="W372" s="50"/>
      <c r="X372" s="50"/>
      <c r="Y372" s="50"/>
      <c r="Z372" s="50"/>
      <c r="AA372" s="50"/>
      <c r="AB372" s="50"/>
      <c r="AC372" s="50"/>
      <c r="AD372" s="50"/>
      <c r="AE372" s="50"/>
    </row>
    <row r="373" spans="1:31" outlineLevel="1">
      <c r="A373" s="480">
        <f>ROW()</f>
        <v>373</v>
      </c>
      <c r="B373" s="178">
        <f>$B$217</f>
        <v>0</v>
      </c>
      <c r="C373" s="111">
        <f t="shared" si="95"/>
        <v>0</v>
      </c>
      <c r="D373" s="111"/>
      <c r="E373" s="111"/>
      <c r="F373" s="111"/>
      <c r="G373" s="653">
        <f>G217*$E217</f>
        <v>0</v>
      </c>
      <c r="H373" s="653">
        <f t="shared" si="97"/>
        <v>0</v>
      </c>
      <c r="I373" s="653">
        <f t="shared" si="97"/>
        <v>0</v>
      </c>
      <c r="J373" s="653">
        <f t="shared" si="97"/>
        <v>0</v>
      </c>
      <c r="K373" s="653">
        <f t="shared" si="97"/>
        <v>0</v>
      </c>
      <c r="L373" s="653">
        <f t="shared" si="97"/>
        <v>0</v>
      </c>
      <c r="M373" s="653">
        <f t="shared" si="97"/>
        <v>0</v>
      </c>
      <c r="N373" s="109"/>
      <c r="O373" s="343"/>
      <c r="Q373" s="50"/>
      <c r="R373" s="50"/>
      <c r="S373" s="50"/>
      <c r="T373" s="50"/>
      <c r="U373" s="50"/>
      <c r="V373" s="50"/>
      <c r="W373" s="50"/>
      <c r="X373" s="50"/>
      <c r="Y373" s="50"/>
      <c r="Z373" s="50"/>
      <c r="AA373" s="50"/>
      <c r="AB373" s="50"/>
      <c r="AC373" s="50"/>
      <c r="AD373" s="50"/>
      <c r="AE373" s="50"/>
    </row>
    <row r="374" spans="1:31" outlineLevel="1">
      <c r="A374" s="480">
        <f>ROW()</f>
        <v>374</v>
      </c>
      <c r="B374" s="178">
        <f>$B$218</f>
        <v>0</v>
      </c>
      <c r="C374" s="111">
        <f t="shared" si="95"/>
        <v>0</v>
      </c>
      <c r="D374" s="111"/>
      <c r="E374" s="111"/>
      <c r="F374" s="111"/>
      <c r="G374" s="653">
        <f>G218*$E218</f>
        <v>0</v>
      </c>
      <c r="H374" s="653">
        <f t="shared" si="97"/>
        <v>0</v>
      </c>
      <c r="I374" s="653">
        <f t="shared" si="97"/>
        <v>0</v>
      </c>
      <c r="J374" s="653">
        <f t="shared" si="97"/>
        <v>0</v>
      </c>
      <c r="K374" s="653">
        <f t="shared" si="97"/>
        <v>0</v>
      </c>
      <c r="L374" s="653">
        <f t="shared" si="97"/>
        <v>0</v>
      </c>
      <c r="M374" s="653">
        <f t="shared" si="97"/>
        <v>0</v>
      </c>
      <c r="N374" s="109"/>
      <c r="O374" s="343"/>
      <c r="Q374" s="50"/>
      <c r="R374" s="50"/>
      <c r="S374" s="50"/>
      <c r="T374" s="50"/>
      <c r="U374" s="50"/>
      <c r="V374" s="50"/>
      <c r="W374" s="50"/>
      <c r="X374" s="50"/>
      <c r="Y374" s="50"/>
      <c r="Z374" s="50"/>
      <c r="AA374" s="50"/>
      <c r="AB374" s="50"/>
      <c r="AC374" s="50"/>
      <c r="AD374" s="50"/>
      <c r="AE374" s="50"/>
    </row>
    <row r="375" spans="1:31" outlineLevel="1">
      <c r="A375" s="480">
        <f>ROW()</f>
        <v>375</v>
      </c>
      <c r="B375" s="178"/>
      <c r="C375" s="111">
        <f t="shared" si="95"/>
        <v>0</v>
      </c>
      <c r="D375" s="111"/>
      <c r="E375" s="111"/>
      <c r="F375" s="111"/>
      <c r="G375" s="653"/>
      <c r="H375" s="653"/>
      <c r="I375" s="653"/>
      <c r="J375" s="653"/>
      <c r="K375" s="653"/>
      <c r="L375" s="653"/>
      <c r="M375" s="653"/>
      <c r="N375" s="109"/>
      <c r="O375" s="343"/>
      <c r="Q375" s="50"/>
      <c r="R375" s="50"/>
      <c r="S375" s="50"/>
      <c r="T375" s="50"/>
      <c r="U375" s="50"/>
      <c r="V375" s="50"/>
      <c r="W375" s="50"/>
      <c r="X375" s="50"/>
      <c r="Y375" s="50"/>
      <c r="Z375" s="50"/>
      <c r="AA375" s="50"/>
      <c r="AB375" s="50"/>
      <c r="AC375" s="50"/>
      <c r="AD375" s="50"/>
      <c r="AE375" s="50"/>
    </row>
    <row r="376" spans="1:31" outlineLevel="1">
      <c r="A376" s="480">
        <f>ROW()</f>
        <v>376</v>
      </c>
      <c r="B376" s="178">
        <f>$B$220</f>
        <v>0</v>
      </c>
      <c r="C376" s="111">
        <f t="shared" si="95"/>
        <v>0</v>
      </c>
      <c r="D376" s="111"/>
      <c r="E376" s="111"/>
      <c r="F376" s="111"/>
      <c r="G376" s="653">
        <f>G220*$E220</f>
        <v>0</v>
      </c>
      <c r="H376" s="653">
        <f t="shared" ref="H376:M380" si="98">(H220*$E220)</f>
        <v>0</v>
      </c>
      <c r="I376" s="653">
        <f t="shared" si="98"/>
        <v>0</v>
      </c>
      <c r="J376" s="653">
        <f t="shared" si="98"/>
        <v>0</v>
      </c>
      <c r="K376" s="653">
        <f t="shared" si="98"/>
        <v>0</v>
      </c>
      <c r="L376" s="653">
        <f t="shared" si="98"/>
        <v>0</v>
      </c>
      <c r="M376" s="653">
        <f t="shared" si="98"/>
        <v>0</v>
      </c>
      <c r="N376" s="109"/>
      <c r="O376" s="343"/>
      <c r="Q376" s="50"/>
      <c r="R376" s="50"/>
      <c r="S376" s="50"/>
      <c r="T376" s="50"/>
      <c r="U376" s="50"/>
      <c r="V376" s="50"/>
      <c r="W376" s="50"/>
      <c r="X376" s="50"/>
      <c r="Y376" s="50"/>
      <c r="Z376" s="50"/>
      <c r="AA376" s="50"/>
      <c r="AB376" s="50"/>
      <c r="AC376" s="50"/>
      <c r="AD376" s="50"/>
      <c r="AE376" s="50"/>
    </row>
    <row r="377" spans="1:31" outlineLevel="1">
      <c r="A377" s="480">
        <f>ROW()</f>
        <v>377</v>
      </c>
      <c r="B377" s="178">
        <f>$B$221</f>
        <v>0</v>
      </c>
      <c r="C377" s="111">
        <f t="shared" si="95"/>
        <v>0</v>
      </c>
      <c r="D377" s="111"/>
      <c r="E377" s="111"/>
      <c r="F377" s="111"/>
      <c r="G377" s="653">
        <f>G221*$E221</f>
        <v>0</v>
      </c>
      <c r="H377" s="653">
        <f t="shared" si="98"/>
        <v>0</v>
      </c>
      <c r="I377" s="653">
        <f t="shared" si="98"/>
        <v>0</v>
      </c>
      <c r="J377" s="653">
        <f t="shared" si="98"/>
        <v>0</v>
      </c>
      <c r="K377" s="653">
        <f t="shared" si="98"/>
        <v>0</v>
      </c>
      <c r="L377" s="653">
        <f t="shared" si="98"/>
        <v>0</v>
      </c>
      <c r="M377" s="653">
        <f t="shared" si="98"/>
        <v>0</v>
      </c>
      <c r="N377" s="109"/>
      <c r="O377" s="343"/>
      <c r="Q377" s="50"/>
      <c r="R377" s="50"/>
      <c r="S377" s="50"/>
      <c r="T377" s="50"/>
      <c r="U377" s="50"/>
      <c r="V377" s="50"/>
      <c r="W377" s="50"/>
      <c r="X377" s="50"/>
      <c r="Y377" s="50"/>
      <c r="Z377" s="50"/>
      <c r="AA377" s="50"/>
      <c r="AB377" s="50"/>
      <c r="AC377" s="50"/>
      <c r="AD377" s="50"/>
      <c r="AE377" s="50"/>
    </row>
    <row r="378" spans="1:31" outlineLevel="1">
      <c r="A378" s="480">
        <f>ROW()</f>
        <v>378</v>
      </c>
      <c r="B378" s="178">
        <f>$B$222</f>
        <v>0</v>
      </c>
      <c r="C378" s="111">
        <f t="shared" si="95"/>
        <v>0</v>
      </c>
      <c r="D378" s="111"/>
      <c r="E378" s="111"/>
      <c r="F378" s="111"/>
      <c r="G378" s="653">
        <f>G222*$E222</f>
        <v>0</v>
      </c>
      <c r="H378" s="653">
        <f t="shared" si="98"/>
        <v>0</v>
      </c>
      <c r="I378" s="653">
        <f t="shared" si="98"/>
        <v>0</v>
      </c>
      <c r="J378" s="653">
        <f t="shared" si="98"/>
        <v>0</v>
      </c>
      <c r="K378" s="653">
        <f t="shared" si="98"/>
        <v>0</v>
      </c>
      <c r="L378" s="653">
        <f t="shared" si="98"/>
        <v>0</v>
      </c>
      <c r="M378" s="653">
        <f t="shared" si="98"/>
        <v>0</v>
      </c>
      <c r="N378" s="109"/>
      <c r="O378" s="343"/>
      <c r="Q378" s="50"/>
      <c r="R378" s="50"/>
      <c r="S378" s="50"/>
      <c r="T378" s="50"/>
      <c r="U378" s="50"/>
      <c r="V378" s="50"/>
      <c r="W378" s="50"/>
      <c r="X378" s="50"/>
      <c r="Y378" s="50"/>
      <c r="Z378" s="50"/>
      <c r="AA378" s="50"/>
      <c r="AB378" s="50"/>
      <c r="AC378" s="50"/>
      <c r="AD378" s="50"/>
      <c r="AE378" s="50"/>
    </row>
    <row r="379" spans="1:31" outlineLevel="1">
      <c r="A379" s="480">
        <f>ROW()</f>
        <v>379</v>
      </c>
      <c r="B379" s="178">
        <f>$B$223</f>
        <v>0</v>
      </c>
      <c r="C379" s="111">
        <f t="shared" si="95"/>
        <v>0</v>
      </c>
      <c r="D379" s="111"/>
      <c r="E379" s="111"/>
      <c r="F379" s="111"/>
      <c r="G379" s="653">
        <f>G223*$E223</f>
        <v>0</v>
      </c>
      <c r="H379" s="653">
        <f t="shared" si="98"/>
        <v>0</v>
      </c>
      <c r="I379" s="653">
        <f t="shared" si="98"/>
        <v>0</v>
      </c>
      <c r="J379" s="653">
        <f t="shared" si="98"/>
        <v>0</v>
      </c>
      <c r="K379" s="653">
        <f t="shared" si="98"/>
        <v>0</v>
      </c>
      <c r="L379" s="653">
        <f t="shared" si="98"/>
        <v>0</v>
      </c>
      <c r="M379" s="653">
        <f t="shared" si="98"/>
        <v>0</v>
      </c>
      <c r="N379" s="109"/>
      <c r="O379" s="343"/>
      <c r="Q379" s="50"/>
      <c r="R379" s="50"/>
      <c r="S379" s="50"/>
      <c r="T379" s="50"/>
      <c r="U379" s="50"/>
      <c r="V379" s="50"/>
      <c r="W379" s="50"/>
      <c r="X379" s="50"/>
      <c r="Y379" s="50"/>
      <c r="Z379" s="50"/>
      <c r="AA379" s="50"/>
      <c r="AB379" s="50"/>
      <c r="AC379" s="50"/>
      <c r="AD379" s="50"/>
      <c r="AE379" s="50"/>
    </row>
    <row r="380" spans="1:31" outlineLevel="1">
      <c r="A380" s="480">
        <f>ROW()</f>
        <v>380</v>
      </c>
      <c r="B380" s="178">
        <f>$B$224</f>
        <v>0</v>
      </c>
      <c r="C380" s="111">
        <f t="shared" si="95"/>
        <v>0</v>
      </c>
      <c r="D380" s="111"/>
      <c r="E380" s="111"/>
      <c r="F380" s="111"/>
      <c r="G380" s="653">
        <f>G224*$E224</f>
        <v>0</v>
      </c>
      <c r="H380" s="653">
        <f t="shared" si="98"/>
        <v>0</v>
      </c>
      <c r="I380" s="653">
        <f t="shared" si="98"/>
        <v>0</v>
      </c>
      <c r="J380" s="653">
        <f t="shared" si="98"/>
        <v>0</v>
      </c>
      <c r="K380" s="653">
        <f t="shared" si="98"/>
        <v>0</v>
      </c>
      <c r="L380" s="653">
        <f t="shared" si="98"/>
        <v>0</v>
      </c>
      <c r="M380" s="653">
        <f t="shared" si="98"/>
        <v>0</v>
      </c>
      <c r="N380" s="109"/>
      <c r="O380" s="343"/>
      <c r="Q380" s="50"/>
      <c r="R380" s="50"/>
      <c r="S380" s="50"/>
      <c r="T380" s="50"/>
      <c r="U380" s="50"/>
      <c r="V380" s="50"/>
      <c r="W380" s="50"/>
      <c r="X380" s="50"/>
      <c r="Y380" s="50"/>
      <c r="Z380" s="50"/>
      <c r="AA380" s="50"/>
      <c r="AB380" s="50"/>
      <c r="AC380" s="50"/>
      <c r="AD380" s="50"/>
      <c r="AE380" s="50"/>
    </row>
    <row r="381" spans="1:31" outlineLevel="1">
      <c r="A381" s="480">
        <f>ROW()</f>
        <v>381</v>
      </c>
      <c r="B381" s="178"/>
      <c r="C381" s="111">
        <f t="shared" si="95"/>
        <v>0</v>
      </c>
      <c r="D381" s="111"/>
      <c r="E381" s="111"/>
      <c r="F381" s="111"/>
      <c r="G381" s="653"/>
      <c r="H381" s="653"/>
      <c r="I381" s="653"/>
      <c r="J381" s="653"/>
      <c r="K381" s="653"/>
      <c r="L381" s="653"/>
      <c r="M381" s="653"/>
      <c r="N381" s="109"/>
      <c r="O381" s="343"/>
      <c r="Q381" s="50"/>
      <c r="R381" s="50"/>
      <c r="S381" s="50"/>
      <c r="T381" s="50"/>
      <c r="U381" s="50"/>
      <c r="V381" s="50"/>
      <c r="W381" s="50"/>
      <c r="X381" s="50"/>
      <c r="Y381" s="50"/>
      <c r="Z381" s="50"/>
      <c r="AA381" s="50"/>
      <c r="AB381" s="50"/>
      <c r="AC381" s="50"/>
      <c r="AD381" s="50"/>
      <c r="AE381" s="50"/>
    </row>
    <row r="382" spans="1:31" outlineLevel="1">
      <c r="A382" s="480">
        <f>ROW()</f>
        <v>382</v>
      </c>
      <c r="B382" s="178">
        <f>$B$226</f>
        <v>0</v>
      </c>
      <c r="C382" s="111">
        <f t="shared" si="95"/>
        <v>0</v>
      </c>
      <c r="D382" s="111"/>
      <c r="E382" s="111"/>
      <c r="F382" s="111"/>
      <c r="G382" s="653">
        <f>G226*$E226</f>
        <v>0</v>
      </c>
      <c r="H382" s="653">
        <f t="shared" ref="H382:M386" si="99">(H226*$E226)</f>
        <v>0</v>
      </c>
      <c r="I382" s="653">
        <f t="shared" si="99"/>
        <v>0</v>
      </c>
      <c r="J382" s="653">
        <f t="shared" si="99"/>
        <v>0</v>
      </c>
      <c r="K382" s="653">
        <f t="shared" si="99"/>
        <v>0</v>
      </c>
      <c r="L382" s="653">
        <f t="shared" si="99"/>
        <v>0</v>
      </c>
      <c r="M382" s="653">
        <f t="shared" si="99"/>
        <v>0</v>
      </c>
      <c r="N382" s="109"/>
      <c r="O382" s="343"/>
      <c r="Q382" s="50"/>
      <c r="R382" s="50"/>
      <c r="S382" s="50"/>
      <c r="T382" s="50"/>
      <c r="U382" s="50"/>
      <c r="V382" s="50"/>
      <c r="W382" s="50"/>
      <c r="X382" s="50"/>
      <c r="Y382" s="50"/>
      <c r="Z382" s="50"/>
      <c r="AA382" s="50"/>
      <c r="AB382" s="50"/>
      <c r="AC382" s="50"/>
      <c r="AD382" s="50"/>
      <c r="AE382" s="50"/>
    </row>
    <row r="383" spans="1:31" outlineLevel="1">
      <c r="A383" s="480">
        <f>ROW()</f>
        <v>383</v>
      </c>
      <c r="B383" s="178">
        <f>$B$227</f>
        <v>0</v>
      </c>
      <c r="C383" s="111">
        <f t="shared" si="95"/>
        <v>0</v>
      </c>
      <c r="D383" s="111"/>
      <c r="E383" s="111"/>
      <c r="F383" s="111"/>
      <c r="G383" s="653">
        <f>G227*$E227</f>
        <v>0</v>
      </c>
      <c r="H383" s="653">
        <f t="shared" si="99"/>
        <v>0</v>
      </c>
      <c r="I383" s="653">
        <f t="shared" si="99"/>
        <v>0</v>
      </c>
      <c r="J383" s="653">
        <f t="shared" si="99"/>
        <v>0</v>
      </c>
      <c r="K383" s="653">
        <f t="shared" si="99"/>
        <v>0</v>
      </c>
      <c r="L383" s="653">
        <f t="shared" si="99"/>
        <v>0</v>
      </c>
      <c r="M383" s="653">
        <f t="shared" si="99"/>
        <v>0</v>
      </c>
      <c r="N383" s="109"/>
      <c r="O383" s="343"/>
      <c r="Q383" s="50"/>
      <c r="R383" s="50"/>
      <c r="S383" s="50"/>
      <c r="T383" s="50"/>
      <c r="U383" s="50"/>
      <c r="V383" s="50"/>
      <c r="W383" s="50"/>
      <c r="X383" s="50"/>
      <c r="Y383" s="50"/>
      <c r="Z383" s="50"/>
      <c r="AA383" s="50"/>
      <c r="AB383" s="50"/>
      <c r="AC383" s="50"/>
      <c r="AD383" s="50"/>
      <c r="AE383" s="50"/>
    </row>
    <row r="384" spans="1:31" outlineLevel="1">
      <c r="A384" s="480">
        <f>ROW()</f>
        <v>384</v>
      </c>
      <c r="B384" s="178">
        <f>$B$228</f>
        <v>0</v>
      </c>
      <c r="C384" s="111">
        <f t="shared" si="95"/>
        <v>0</v>
      </c>
      <c r="D384" s="111"/>
      <c r="E384" s="111"/>
      <c r="F384" s="111"/>
      <c r="G384" s="653">
        <f>G228*$E228</f>
        <v>0</v>
      </c>
      <c r="H384" s="653">
        <f t="shared" si="99"/>
        <v>0</v>
      </c>
      <c r="I384" s="653">
        <f t="shared" si="99"/>
        <v>0</v>
      </c>
      <c r="J384" s="653">
        <f t="shared" si="99"/>
        <v>0</v>
      </c>
      <c r="K384" s="653">
        <f t="shared" si="99"/>
        <v>0</v>
      </c>
      <c r="L384" s="653">
        <f t="shared" si="99"/>
        <v>0</v>
      </c>
      <c r="M384" s="653">
        <f t="shared" si="99"/>
        <v>0</v>
      </c>
      <c r="N384" s="109"/>
      <c r="O384" s="343"/>
      <c r="Q384" s="50"/>
      <c r="R384" s="50"/>
      <c r="S384" s="50"/>
      <c r="T384" s="50"/>
      <c r="U384" s="50"/>
      <c r="V384" s="50"/>
      <c r="W384" s="50"/>
      <c r="X384" s="50"/>
      <c r="Y384" s="50"/>
      <c r="Z384" s="50"/>
      <c r="AA384" s="50"/>
      <c r="AB384" s="50"/>
      <c r="AC384" s="50"/>
      <c r="AD384" s="50"/>
      <c r="AE384" s="50"/>
    </row>
    <row r="385" spans="1:31" outlineLevel="1">
      <c r="A385" s="480">
        <f>ROW()</f>
        <v>385</v>
      </c>
      <c r="B385" s="178">
        <f>$B$229</f>
        <v>0</v>
      </c>
      <c r="C385" s="111">
        <f t="shared" si="95"/>
        <v>0</v>
      </c>
      <c r="D385" s="111"/>
      <c r="E385" s="111"/>
      <c r="F385" s="111"/>
      <c r="G385" s="653">
        <f>G229*$E229</f>
        <v>0</v>
      </c>
      <c r="H385" s="653">
        <f t="shared" si="99"/>
        <v>0</v>
      </c>
      <c r="I385" s="653">
        <f t="shared" si="99"/>
        <v>0</v>
      </c>
      <c r="J385" s="653">
        <f t="shared" si="99"/>
        <v>0</v>
      </c>
      <c r="K385" s="653">
        <f t="shared" si="99"/>
        <v>0</v>
      </c>
      <c r="L385" s="653">
        <f t="shared" si="99"/>
        <v>0</v>
      </c>
      <c r="M385" s="653">
        <f t="shared" si="99"/>
        <v>0</v>
      </c>
      <c r="N385" s="109"/>
      <c r="O385" s="343"/>
      <c r="Q385" s="50"/>
      <c r="R385" s="50"/>
      <c r="S385" s="50"/>
      <c r="T385" s="50"/>
      <c r="U385" s="50"/>
      <c r="V385" s="50"/>
      <c r="W385" s="50"/>
      <c r="X385" s="50"/>
      <c r="Y385" s="50"/>
      <c r="Z385" s="50"/>
      <c r="AA385" s="50"/>
      <c r="AB385" s="50"/>
      <c r="AC385" s="50"/>
      <c r="AD385" s="50"/>
      <c r="AE385" s="50"/>
    </row>
    <row r="386" spans="1:31" outlineLevel="1">
      <c r="A386" s="480">
        <f>ROW()</f>
        <v>386</v>
      </c>
      <c r="B386" s="178">
        <f>$B$230</f>
        <v>0</v>
      </c>
      <c r="C386" s="111">
        <f t="shared" si="95"/>
        <v>0</v>
      </c>
      <c r="D386" s="111"/>
      <c r="E386" s="111"/>
      <c r="F386" s="111"/>
      <c r="G386" s="653">
        <f>G230*$E230</f>
        <v>0</v>
      </c>
      <c r="H386" s="653">
        <f t="shared" si="99"/>
        <v>0</v>
      </c>
      <c r="I386" s="653">
        <f t="shared" si="99"/>
        <v>0</v>
      </c>
      <c r="J386" s="653">
        <f t="shared" si="99"/>
        <v>0</v>
      </c>
      <c r="K386" s="653">
        <f t="shared" si="99"/>
        <v>0</v>
      </c>
      <c r="L386" s="653">
        <f t="shared" si="99"/>
        <v>0</v>
      </c>
      <c r="M386" s="653">
        <f t="shared" si="99"/>
        <v>0</v>
      </c>
      <c r="N386" s="109"/>
      <c r="O386" s="343"/>
      <c r="Q386" s="50"/>
      <c r="R386" s="50"/>
      <c r="S386" s="50"/>
      <c r="T386" s="50"/>
      <c r="U386" s="50"/>
      <c r="V386" s="50"/>
      <c r="W386" s="50"/>
      <c r="X386" s="50"/>
      <c r="Y386" s="50"/>
      <c r="Z386" s="50"/>
      <c r="AA386" s="50"/>
      <c r="AB386" s="50"/>
      <c r="AC386" s="50"/>
      <c r="AD386" s="50"/>
      <c r="AE386" s="50"/>
    </row>
    <row r="387" spans="1:31" outlineLevel="1">
      <c r="A387" s="480">
        <f>ROW()</f>
        <v>387</v>
      </c>
      <c r="B387" s="178"/>
      <c r="C387" s="111">
        <f t="shared" si="95"/>
        <v>0</v>
      </c>
      <c r="D387" s="111"/>
      <c r="E387" s="111"/>
      <c r="F387" s="111"/>
      <c r="G387" s="653"/>
      <c r="H387" s="653"/>
      <c r="I387" s="653"/>
      <c r="J387" s="653"/>
      <c r="K387" s="653"/>
      <c r="L387" s="653"/>
      <c r="M387" s="653"/>
      <c r="N387" s="109"/>
      <c r="O387" s="343"/>
      <c r="Q387" s="50"/>
      <c r="R387" s="50"/>
      <c r="S387" s="50"/>
      <c r="T387" s="50"/>
      <c r="U387" s="50"/>
      <c r="V387" s="50"/>
      <c r="W387" s="50"/>
      <c r="X387" s="50"/>
      <c r="Y387" s="50"/>
      <c r="Z387" s="50"/>
      <c r="AA387" s="50"/>
      <c r="AB387" s="50"/>
      <c r="AC387" s="50"/>
      <c r="AD387" s="50"/>
      <c r="AE387" s="50"/>
    </row>
    <row r="388" spans="1:31" outlineLevel="1">
      <c r="A388" s="480">
        <f>ROW()</f>
        <v>388</v>
      </c>
      <c r="B388" s="178">
        <f>$B$232</f>
        <v>0</v>
      </c>
      <c r="C388" s="111">
        <f t="shared" si="95"/>
        <v>0</v>
      </c>
      <c r="D388" s="111"/>
      <c r="E388" s="111"/>
      <c r="F388" s="111"/>
      <c r="G388" s="653">
        <f>G232*$E232</f>
        <v>0</v>
      </c>
      <c r="H388" s="653">
        <f t="shared" ref="H388:M392" si="100">(H232*$E232)</f>
        <v>0</v>
      </c>
      <c r="I388" s="653">
        <f t="shared" si="100"/>
        <v>0</v>
      </c>
      <c r="J388" s="653">
        <f t="shared" si="100"/>
        <v>0</v>
      </c>
      <c r="K388" s="653">
        <f t="shared" si="100"/>
        <v>0</v>
      </c>
      <c r="L388" s="653">
        <f t="shared" si="100"/>
        <v>0</v>
      </c>
      <c r="M388" s="653">
        <f t="shared" si="100"/>
        <v>0</v>
      </c>
      <c r="N388" s="109"/>
      <c r="O388" s="343"/>
      <c r="Q388" s="50"/>
      <c r="R388" s="50"/>
      <c r="S388" s="50"/>
      <c r="T388" s="50"/>
      <c r="U388" s="50"/>
      <c r="V388" s="50"/>
      <c r="W388" s="50"/>
      <c r="X388" s="50"/>
      <c r="Y388" s="50"/>
      <c r="Z388" s="50"/>
      <c r="AA388" s="50"/>
      <c r="AB388" s="50"/>
      <c r="AC388" s="50"/>
      <c r="AD388" s="50"/>
      <c r="AE388" s="50"/>
    </row>
    <row r="389" spans="1:31" outlineLevel="1">
      <c r="A389" s="480">
        <f>ROW()</f>
        <v>389</v>
      </c>
      <c r="B389" s="178">
        <f>$B$233</f>
        <v>0</v>
      </c>
      <c r="C389" s="111">
        <f t="shared" si="95"/>
        <v>0</v>
      </c>
      <c r="D389" s="111"/>
      <c r="E389" s="111"/>
      <c r="F389" s="111"/>
      <c r="G389" s="653">
        <f>G233*$E233</f>
        <v>0</v>
      </c>
      <c r="H389" s="653">
        <f t="shared" si="100"/>
        <v>0</v>
      </c>
      <c r="I389" s="653">
        <f t="shared" si="100"/>
        <v>0</v>
      </c>
      <c r="J389" s="653">
        <f t="shared" si="100"/>
        <v>0</v>
      </c>
      <c r="K389" s="653">
        <f t="shared" si="100"/>
        <v>0</v>
      </c>
      <c r="L389" s="653">
        <f t="shared" si="100"/>
        <v>0</v>
      </c>
      <c r="M389" s="653">
        <f t="shared" si="100"/>
        <v>0</v>
      </c>
      <c r="N389" s="109"/>
      <c r="O389" s="343"/>
      <c r="Q389" s="50"/>
      <c r="R389" s="50"/>
      <c r="S389" s="50"/>
      <c r="T389" s="50"/>
      <c r="U389" s="50"/>
      <c r="V389" s="50"/>
      <c r="W389" s="50"/>
      <c r="X389" s="50"/>
      <c r="Y389" s="50"/>
      <c r="Z389" s="50"/>
      <c r="AA389" s="50"/>
      <c r="AB389" s="50"/>
      <c r="AC389" s="50"/>
      <c r="AD389" s="50"/>
      <c r="AE389" s="50"/>
    </row>
    <row r="390" spans="1:31" outlineLevel="1">
      <c r="A390" s="480">
        <f>ROW()</f>
        <v>390</v>
      </c>
      <c r="B390" s="178">
        <f>$B$234</f>
        <v>0</v>
      </c>
      <c r="C390" s="111">
        <f t="shared" si="95"/>
        <v>0</v>
      </c>
      <c r="D390" s="111"/>
      <c r="E390" s="111"/>
      <c r="F390" s="111"/>
      <c r="G390" s="653">
        <f>G234*$E234</f>
        <v>0</v>
      </c>
      <c r="H390" s="653">
        <f t="shared" si="100"/>
        <v>0</v>
      </c>
      <c r="I390" s="653">
        <f t="shared" si="100"/>
        <v>0</v>
      </c>
      <c r="J390" s="653">
        <f t="shared" si="100"/>
        <v>0</v>
      </c>
      <c r="K390" s="653">
        <f t="shared" si="100"/>
        <v>0</v>
      </c>
      <c r="L390" s="653">
        <f t="shared" si="100"/>
        <v>0</v>
      </c>
      <c r="M390" s="653">
        <f t="shared" si="100"/>
        <v>0</v>
      </c>
      <c r="N390" s="109"/>
      <c r="O390" s="343"/>
      <c r="Q390" s="50"/>
      <c r="R390" s="50"/>
      <c r="S390" s="50"/>
      <c r="T390" s="50"/>
      <c r="U390" s="50"/>
      <c r="V390" s="50"/>
      <c r="W390" s="50"/>
      <c r="X390" s="50"/>
      <c r="Y390" s="50"/>
      <c r="Z390" s="50"/>
      <c r="AA390" s="50"/>
      <c r="AB390" s="50"/>
      <c r="AC390" s="50"/>
      <c r="AD390" s="50"/>
      <c r="AE390" s="50"/>
    </row>
    <row r="391" spans="1:31" outlineLevel="1">
      <c r="A391" s="480">
        <f>ROW()</f>
        <v>391</v>
      </c>
      <c r="B391" s="178">
        <f>$B$235</f>
        <v>0</v>
      </c>
      <c r="C391" s="111">
        <f t="shared" si="95"/>
        <v>0</v>
      </c>
      <c r="D391" s="111"/>
      <c r="E391" s="111"/>
      <c r="F391" s="111"/>
      <c r="G391" s="653">
        <f>G235*$E235</f>
        <v>0</v>
      </c>
      <c r="H391" s="653">
        <f t="shared" si="100"/>
        <v>0</v>
      </c>
      <c r="I391" s="653">
        <f t="shared" si="100"/>
        <v>0</v>
      </c>
      <c r="J391" s="653">
        <f t="shared" si="100"/>
        <v>0</v>
      </c>
      <c r="K391" s="653">
        <f t="shared" si="100"/>
        <v>0</v>
      </c>
      <c r="L391" s="653">
        <f t="shared" si="100"/>
        <v>0</v>
      </c>
      <c r="M391" s="653">
        <f t="shared" si="100"/>
        <v>0</v>
      </c>
      <c r="N391" s="109"/>
      <c r="O391" s="343"/>
      <c r="Q391" s="50"/>
      <c r="R391" s="50"/>
      <c r="S391" s="50"/>
      <c r="T391" s="50"/>
      <c r="U391" s="50"/>
      <c r="V391" s="50"/>
      <c r="W391" s="50"/>
      <c r="X391" s="50"/>
      <c r="Y391" s="50"/>
      <c r="Z391" s="50"/>
      <c r="AA391" s="50"/>
      <c r="AB391" s="50"/>
      <c r="AC391" s="50"/>
      <c r="AD391" s="50"/>
      <c r="AE391" s="50"/>
    </row>
    <row r="392" spans="1:31" outlineLevel="1">
      <c r="A392" s="480">
        <f>ROW()</f>
        <v>392</v>
      </c>
      <c r="B392" s="178">
        <f>$B$236</f>
        <v>0</v>
      </c>
      <c r="C392" s="111">
        <f t="shared" si="95"/>
        <v>0</v>
      </c>
      <c r="D392" s="111"/>
      <c r="E392" s="111"/>
      <c r="F392" s="111"/>
      <c r="G392" s="653">
        <f>G236*$E236</f>
        <v>0</v>
      </c>
      <c r="H392" s="653">
        <f t="shared" si="100"/>
        <v>0</v>
      </c>
      <c r="I392" s="653">
        <f t="shared" si="100"/>
        <v>0</v>
      </c>
      <c r="J392" s="653">
        <f t="shared" si="100"/>
        <v>0</v>
      </c>
      <c r="K392" s="653">
        <f t="shared" si="100"/>
        <v>0</v>
      </c>
      <c r="L392" s="653">
        <f t="shared" si="100"/>
        <v>0</v>
      </c>
      <c r="M392" s="653">
        <f t="shared" si="100"/>
        <v>0</v>
      </c>
      <c r="N392" s="109"/>
      <c r="O392" s="343"/>
      <c r="Q392" s="50"/>
      <c r="R392" s="50"/>
      <c r="S392" s="50"/>
      <c r="T392" s="50"/>
      <c r="U392" s="50"/>
      <c r="V392" s="50"/>
      <c r="W392" s="50"/>
      <c r="X392" s="50"/>
      <c r="Y392" s="50"/>
      <c r="Z392" s="50"/>
      <c r="AA392" s="50"/>
      <c r="AB392" s="50"/>
      <c r="AC392" s="50"/>
      <c r="AD392" s="50"/>
      <c r="AE392" s="50"/>
    </row>
    <row r="393" spans="1:31" outlineLevel="1">
      <c r="A393" s="480">
        <f>ROW()</f>
        <v>393</v>
      </c>
      <c r="B393" s="109"/>
      <c r="C393" s="111"/>
      <c r="D393" s="111"/>
      <c r="E393" s="111"/>
      <c r="F393" s="111"/>
      <c r="G393" s="988"/>
      <c r="H393" s="988">
        <v>0</v>
      </c>
      <c r="I393" s="988"/>
      <c r="J393" s="988"/>
      <c r="K393" s="988"/>
      <c r="L393" s="988"/>
      <c r="M393" s="988"/>
      <c r="N393" s="109"/>
      <c r="O393" s="343"/>
      <c r="Q393" s="50"/>
      <c r="R393" s="50"/>
      <c r="S393" s="50"/>
      <c r="T393" s="50"/>
      <c r="U393" s="50"/>
      <c r="V393" s="50"/>
      <c r="W393" s="50"/>
      <c r="X393" s="50"/>
      <c r="Y393" s="50"/>
      <c r="Z393" s="50"/>
      <c r="AA393" s="50"/>
      <c r="AB393" s="50"/>
      <c r="AC393" s="50"/>
      <c r="AD393" s="50"/>
      <c r="AE393" s="50"/>
    </row>
    <row r="394" spans="1:31" ht="15.6" outlineLevel="1">
      <c r="A394" s="480">
        <f>ROW()</f>
        <v>394</v>
      </c>
      <c r="B394" s="989" t="s">
        <v>674</v>
      </c>
      <c r="C394" s="990">
        <f>SUM(G394:M394)</f>
        <v>19300006.413503304</v>
      </c>
      <c r="D394" s="989"/>
      <c r="E394" s="989"/>
      <c r="F394" s="989"/>
      <c r="G394" s="990">
        <f t="shared" ref="G394:M394" si="101">SUM(G299:G392)</f>
        <v>0</v>
      </c>
      <c r="H394" s="990">
        <f t="shared" si="101"/>
        <v>2983732.7501999992</v>
      </c>
      <c r="I394" s="990">
        <f>SUM(I299:I392)</f>
        <v>3073244.7327060001</v>
      </c>
      <c r="J394" s="990">
        <f t="shared" si="101"/>
        <v>3165442.0746871796</v>
      </c>
      <c r="K394" s="990">
        <f t="shared" si="101"/>
        <v>3260405.3369277958</v>
      </c>
      <c r="L394" s="990">
        <f t="shared" si="101"/>
        <v>3358217.4970356296</v>
      </c>
      <c r="M394" s="990">
        <f t="shared" si="101"/>
        <v>3458964.0219466984</v>
      </c>
      <c r="O394" s="343"/>
      <c r="Q394" s="50"/>
      <c r="R394" s="50"/>
      <c r="S394" s="50"/>
      <c r="T394" s="50"/>
      <c r="U394" s="50"/>
      <c r="V394" s="50"/>
      <c r="W394" s="50"/>
      <c r="X394" s="50"/>
      <c r="Y394" s="50"/>
      <c r="Z394" s="50"/>
      <c r="AA394" s="50"/>
      <c r="AB394" s="50"/>
      <c r="AC394" s="50"/>
      <c r="AD394" s="50"/>
      <c r="AE394" s="50"/>
    </row>
    <row r="395" spans="1:31" outlineLevel="1">
      <c r="A395" s="480">
        <f>ROW()</f>
        <v>395</v>
      </c>
      <c r="C395" s="51"/>
      <c r="D395" s="51"/>
      <c r="E395" s="51"/>
      <c r="F395" s="51"/>
      <c r="G395" s="138"/>
      <c r="H395" s="130"/>
      <c r="I395" s="130"/>
      <c r="J395" s="130"/>
      <c r="K395" s="130"/>
      <c r="L395" s="130"/>
      <c r="M395" s="130"/>
      <c r="O395" s="343"/>
      <c r="Q395" s="50"/>
      <c r="R395" s="50"/>
      <c r="S395" s="50"/>
      <c r="T395" s="50"/>
      <c r="U395" s="50"/>
      <c r="V395" s="50"/>
      <c r="W395" s="50"/>
      <c r="X395" s="50"/>
      <c r="Y395" s="50"/>
      <c r="Z395" s="50"/>
      <c r="AA395" s="50"/>
      <c r="AB395" s="50"/>
      <c r="AC395" s="50"/>
      <c r="AD395" s="50"/>
      <c r="AE395" s="50"/>
    </row>
    <row r="396" spans="1:31" outlineLevel="1">
      <c r="A396" s="480">
        <f>ROW()</f>
        <v>396</v>
      </c>
      <c r="B396" s="978" t="s">
        <v>675</v>
      </c>
      <c r="C396" s="979"/>
      <c r="D396" s="980"/>
      <c r="E396" s="980"/>
      <c r="F396" s="980"/>
      <c r="G396" s="675"/>
      <c r="H396" s="675">
        <v>186411</v>
      </c>
      <c r="I396" s="675">
        <f t="shared" ref="I396:M396" si="102">H396*1.03</f>
        <v>192003.33000000002</v>
      </c>
      <c r="J396" s="675">
        <f t="shared" si="102"/>
        <v>197763.42990000002</v>
      </c>
      <c r="K396" s="675">
        <f t="shared" si="102"/>
        <v>203696.33279700001</v>
      </c>
      <c r="L396" s="675">
        <f t="shared" si="102"/>
        <v>209807.22278091003</v>
      </c>
      <c r="M396" s="675">
        <f t="shared" si="102"/>
        <v>216101.43946433734</v>
      </c>
      <c r="O396" s="343" t="s">
        <v>1580</v>
      </c>
      <c r="Q396" s="50"/>
      <c r="R396" s="50"/>
      <c r="S396" s="50"/>
      <c r="T396" s="50"/>
      <c r="U396" s="50"/>
      <c r="V396" s="50"/>
      <c r="W396" s="50"/>
      <c r="X396" s="50"/>
      <c r="Y396" s="50"/>
      <c r="Z396" s="50"/>
      <c r="AA396" s="50"/>
      <c r="AB396" s="50"/>
      <c r="AC396" s="50"/>
      <c r="AD396" s="50"/>
      <c r="AE396" s="50"/>
    </row>
    <row r="397" spans="1:31" outlineLevel="1">
      <c r="A397" s="480">
        <f>ROW()</f>
        <v>397</v>
      </c>
      <c r="C397" s="51"/>
      <c r="D397" s="51"/>
      <c r="E397" s="51"/>
      <c r="F397" s="51"/>
      <c r="G397" s="680"/>
      <c r="H397" s="991"/>
      <c r="I397" s="991"/>
      <c r="J397" s="991"/>
      <c r="K397" s="991"/>
      <c r="L397" s="991"/>
      <c r="M397" s="991"/>
      <c r="O397" s="343" t="s">
        <v>1579</v>
      </c>
      <c r="Q397" s="50"/>
      <c r="R397" s="50"/>
      <c r="S397" s="50"/>
      <c r="T397" s="50"/>
      <c r="U397" s="50"/>
      <c r="V397" s="50"/>
      <c r="W397" s="50"/>
      <c r="X397" s="50"/>
      <c r="Y397" s="50"/>
      <c r="Z397" s="50"/>
      <c r="AA397" s="50"/>
      <c r="AB397" s="50"/>
      <c r="AC397" s="50"/>
      <c r="AD397" s="50"/>
      <c r="AE397" s="50"/>
    </row>
    <row r="398" spans="1:31" ht="15.6" outlineLevel="1">
      <c r="A398" s="480">
        <f>ROW()</f>
        <v>398</v>
      </c>
      <c r="B398" s="983" t="s">
        <v>625</v>
      </c>
      <c r="C398" s="984"/>
      <c r="D398" s="983"/>
      <c r="E398" s="983"/>
      <c r="F398" s="983"/>
      <c r="G398" s="1554">
        <f>SUM(G394,G283,G258,G271,G297,G396)*((1+$C$68)^G8-1)</f>
        <v>0</v>
      </c>
      <c r="H398" s="1554">
        <f>SUM(H394,H283,H258,H271,H297,H396)*((1+$C$68)^H8-1)</f>
        <v>51849.565332000042</v>
      </c>
      <c r="I398" s="984">
        <f>SUM(I394,I283,I258,I271,I297,I396)*((1+$C$68)^I8-1)</f>
        <v>107344.15510683964</v>
      </c>
      <c r="J398" s="984">
        <f t="shared" ref="J398:M398" si="103">SUM(J394,J283,J258,J271,J297,J396)*((1+$C$68)^J8-1)</f>
        <v>166677.32841836353</v>
      </c>
      <c r="K398" s="984">
        <f t="shared" si="103"/>
        <v>230051.84473016465</v>
      </c>
      <c r="L398" s="984">
        <f t="shared" si="103"/>
        <v>297680.0766486263</v>
      </c>
      <c r="M398" s="984">
        <f t="shared" si="103"/>
        <v>369784.44059067877</v>
      </c>
      <c r="O398" s="343"/>
      <c r="Q398" s="50"/>
      <c r="R398" s="50"/>
      <c r="S398" s="50"/>
      <c r="T398" s="50"/>
      <c r="U398" s="50"/>
      <c r="V398" s="50"/>
      <c r="W398" s="50"/>
      <c r="X398" s="50"/>
      <c r="Y398" s="50"/>
      <c r="Z398" s="50"/>
      <c r="AA398" s="50"/>
      <c r="AB398" s="50"/>
      <c r="AC398" s="50"/>
      <c r="AD398" s="50"/>
      <c r="AE398" s="50"/>
    </row>
    <row r="399" spans="1:31" ht="14.4" outlineLevel="1" thickBot="1">
      <c r="A399" s="480">
        <f>ROW()</f>
        <v>399</v>
      </c>
      <c r="C399" s="51"/>
      <c r="D399" s="51"/>
      <c r="E399" s="51"/>
      <c r="F399" s="51"/>
      <c r="G399" s="138"/>
      <c r="H399" s="138"/>
      <c r="I399" s="138"/>
      <c r="J399" s="138"/>
      <c r="K399" s="138"/>
      <c r="L399" s="138"/>
      <c r="M399" s="138"/>
      <c r="O399" s="343"/>
      <c r="Q399" s="50"/>
      <c r="R399" s="50"/>
      <c r="S399" s="50"/>
      <c r="T399" s="50"/>
      <c r="U399" s="50"/>
      <c r="V399" s="50"/>
      <c r="W399" s="50"/>
      <c r="X399" s="50"/>
      <c r="Y399" s="50"/>
      <c r="Z399" s="50"/>
      <c r="AA399" s="50"/>
      <c r="AB399" s="50"/>
      <c r="AC399" s="50"/>
      <c r="AD399" s="50"/>
      <c r="AE399" s="50"/>
    </row>
    <row r="400" spans="1:31" ht="14.4" thickBot="1">
      <c r="A400" s="480">
        <f>ROW()</f>
        <v>400</v>
      </c>
      <c r="B400" s="963" t="s">
        <v>591</v>
      </c>
      <c r="C400" s="964">
        <f>SUM(G400:M400)</f>
        <v>34761811.499843419</v>
      </c>
      <c r="D400" s="987"/>
      <c r="E400" s="987"/>
      <c r="F400" s="987"/>
      <c r="G400" s="964">
        <f t="shared" ref="G400:M400" si="104">G394+G283+G258+G271+G297+G396+G398</f>
        <v>0</v>
      </c>
      <c r="H400" s="964">
        <f t="shared" si="104"/>
        <v>5236806.0985319996</v>
      </c>
      <c r="I400" s="964">
        <f t="shared" si="104"/>
        <v>5447849.3843028396</v>
      </c>
      <c r="J400" s="964">
        <f t="shared" si="104"/>
        <v>5667397.7144902432</v>
      </c>
      <c r="K400" s="964">
        <f t="shared" si="104"/>
        <v>5895793.8423842024</v>
      </c>
      <c r="L400" s="964">
        <f t="shared" si="104"/>
        <v>6133394.3342322847</v>
      </c>
      <c r="M400" s="964">
        <f t="shared" si="104"/>
        <v>6380570.1259018453</v>
      </c>
      <c r="O400" s="343"/>
      <c r="Q400" s="50"/>
      <c r="R400" s="50"/>
      <c r="S400" s="50"/>
      <c r="T400" s="50"/>
      <c r="U400" s="50"/>
      <c r="V400" s="50"/>
      <c r="W400" s="50"/>
      <c r="X400" s="50"/>
      <c r="Y400" s="50"/>
      <c r="Z400" s="50"/>
      <c r="AA400" s="50"/>
      <c r="AB400" s="50"/>
      <c r="AC400" s="50"/>
      <c r="AD400" s="50"/>
      <c r="AE400" s="50"/>
    </row>
    <row r="401" spans="1:31">
      <c r="A401" s="480">
        <f>ROW()</f>
        <v>401</v>
      </c>
      <c r="C401" s="130"/>
      <c r="G401" s="503"/>
      <c r="H401" s="681"/>
      <c r="I401" s="681"/>
      <c r="J401" s="681"/>
      <c r="K401" s="681"/>
      <c r="L401" s="681"/>
      <c r="M401" s="681"/>
      <c r="N401" s="51"/>
      <c r="O401" s="343"/>
      <c r="Q401" s="50"/>
      <c r="R401" s="50"/>
      <c r="S401" s="50"/>
      <c r="T401" s="50"/>
      <c r="U401" s="50"/>
      <c r="V401" s="50"/>
      <c r="W401" s="50"/>
      <c r="X401" s="50"/>
      <c r="Y401" s="50"/>
      <c r="Z401" s="50"/>
      <c r="AA401" s="50"/>
      <c r="AB401" s="50"/>
      <c r="AC401" s="50"/>
      <c r="AD401" s="50"/>
      <c r="AE401" s="50"/>
    </row>
    <row r="402" spans="1:31" ht="15.6">
      <c r="A402" s="480">
        <f>ROW()</f>
        <v>402</v>
      </c>
      <c r="B402" s="935" t="s">
        <v>592</v>
      </c>
      <c r="C402" s="936"/>
      <c r="D402" s="935"/>
      <c r="E402" s="935"/>
      <c r="F402" s="935"/>
      <c r="G402" s="937"/>
      <c r="H402" s="938"/>
      <c r="I402" s="938"/>
      <c r="J402" s="938"/>
      <c r="K402" s="938"/>
      <c r="L402" s="938"/>
      <c r="M402" s="938"/>
      <c r="N402" s="193"/>
      <c r="O402" s="343"/>
      <c r="Q402" s="50"/>
      <c r="R402" s="50"/>
      <c r="S402" s="50"/>
      <c r="T402" s="50"/>
      <c r="U402" s="50"/>
      <c r="V402" s="50"/>
      <c r="W402" s="50"/>
      <c r="X402" s="50"/>
      <c r="Y402" s="50"/>
      <c r="Z402" s="50"/>
      <c r="AA402" s="50"/>
      <c r="AB402" s="50"/>
      <c r="AC402" s="50"/>
      <c r="AD402" s="50"/>
      <c r="AE402" s="50"/>
    </row>
    <row r="403" spans="1:31" ht="15.6">
      <c r="A403" s="480">
        <f>ROW()</f>
        <v>403</v>
      </c>
      <c r="B403" s="109"/>
      <c r="C403" s="131"/>
      <c r="D403" s="109"/>
      <c r="E403" s="109"/>
      <c r="F403" s="109"/>
      <c r="G403" s="503"/>
      <c r="H403" s="681"/>
      <c r="I403" s="681"/>
      <c r="J403" s="681"/>
      <c r="K403" s="681"/>
      <c r="L403" s="681"/>
      <c r="M403" s="681"/>
      <c r="N403" s="193"/>
      <c r="O403" s="343"/>
      <c r="Q403" s="50"/>
      <c r="R403" s="50"/>
      <c r="S403" s="50"/>
      <c r="T403" s="50"/>
      <c r="U403" s="50"/>
      <c r="V403" s="50"/>
      <c r="W403" s="50"/>
      <c r="X403" s="50"/>
      <c r="Y403" s="50"/>
      <c r="Z403" s="50"/>
      <c r="AA403" s="50"/>
      <c r="AB403" s="50"/>
      <c r="AC403" s="50"/>
      <c r="AD403" s="50"/>
      <c r="AE403" s="50"/>
    </row>
    <row r="404" spans="1:31" ht="15.6">
      <c r="A404" s="480">
        <f>ROW()</f>
        <v>404</v>
      </c>
      <c r="B404" s="983" t="s">
        <v>593</v>
      </c>
      <c r="C404" s="984"/>
      <c r="D404" s="983"/>
      <c r="E404" s="983"/>
      <c r="F404" s="983"/>
      <c r="G404" s="985"/>
      <c r="H404" s="986"/>
      <c r="I404" s="986"/>
      <c r="J404" s="986"/>
      <c r="K404" s="986"/>
      <c r="L404" s="986"/>
      <c r="M404" s="986"/>
      <c r="N404" s="193"/>
      <c r="O404" s="343"/>
      <c r="Q404" s="50"/>
      <c r="R404" s="50"/>
      <c r="S404" s="50"/>
      <c r="T404" s="50"/>
      <c r="U404" s="50"/>
      <c r="V404" s="50"/>
      <c r="W404" s="50"/>
      <c r="X404" s="50"/>
      <c r="Y404" s="50"/>
      <c r="Z404" s="50"/>
      <c r="AA404" s="50"/>
      <c r="AB404" s="50"/>
      <c r="AC404" s="50"/>
      <c r="AD404" s="50"/>
      <c r="AE404" s="50"/>
    </row>
    <row r="405" spans="1:31" ht="15.6">
      <c r="A405" s="480">
        <f>ROW()</f>
        <v>405</v>
      </c>
      <c r="B405" s="127" t="s">
        <v>676</v>
      </c>
      <c r="C405" s="175"/>
      <c r="D405" s="127"/>
      <c r="E405" s="125"/>
      <c r="F405" s="125"/>
      <c r="G405" s="634">
        <f t="shared" ref="G405:M405" si="105">IFERROR((G23*$C$58*((1+$C$68)^(G$10-$G$10))),0)</f>
        <v>0</v>
      </c>
      <c r="H405" s="915">
        <f t="shared" si="105"/>
        <v>427432</v>
      </c>
      <c r="I405" s="634">
        <f t="shared" si="105"/>
        <v>441091.24</v>
      </c>
      <c r="J405" s="634">
        <f t="shared" si="105"/>
        <v>445502.15239999996</v>
      </c>
      <c r="K405" s="634">
        <f t="shared" si="105"/>
        <v>488251.40149200003</v>
      </c>
      <c r="L405" s="634">
        <f t="shared" si="105"/>
        <v>493133.91550691996</v>
      </c>
      <c r="M405" s="634">
        <f t="shared" si="105"/>
        <v>517597.22543304769</v>
      </c>
      <c r="N405" s="193"/>
      <c r="O405" s="343"/>
      <c r="Q405" s="50"/>
      <c r="R405" s="50"/>
      <c r="S405" s="50"/>
      <c r="T405" s="50"/>
      <c r="U405" s="50"/>
      <c r="V405" s="50"/>
      <c r="W405" s="50"/>
      <c r="X405" s="50"/>
      <c r="Y405" s="50"/>
      <c r="Z405" s="50"/>
      <c r="AA405" s="50"/>
      <c r="AB405" s="50"/>
      <c r="AC405" s="50"/>
      <c r="AD405" s="50"/>
      <c r="AE405" s="50"/>
    </row>
    <row r="406" spans="1:31" ht="15.6">
      <c r="A406" s="480">
        <f>ROW()</f>
        <v>406</v>
      </c>
      <c r="B406" s="109"/>
      <c r="C406" s="132"/>
      <c r="D406" s="110"/>
      <c r="E406" s="109"/>
      <c r="F406" s="109"/>
      <c r="G406" s="100"/>
      <c r="H406" s="100"/>
      <c r="I406" s="100"/>
      <c r="J406" s="100"/>
      <c r="K406" s="100"/>
      <c r="L406" s="100"/>
      <c r="M406" s="100"/>
      <c r="N406" s="193"/>
      <c r="O406" s="343"/>
      <c r="Q406" s="50"/>
      <c r="R406" s="50"/>
      <c r="S406" s="50"/>
      <c r="T406" s="50"/>
      <c r="U406" s="50"/>
      <c r="V406" s="50"/>
      <c r="W406" s="50"/>
      <c r="X406" s="50"/>
      <c r="Y406" s="50"/>
      <c r="Z406" s="50"/>
      <c r="AA406" s="50"/>
      <c r="AB406" s="50"/>
      <c r="AC406" s="50"/>
      <c r="AD406" s="50"/>
      <c r="AE406" s="50"/>
    </row>
    <row r="407" spans="1:31" ht="15.6">
      <c r="A407" s="480">
        <f>ROW()</f>
        <v>407</v>
      </c>
      <c r="B407" s="983" t="s">
        <v>677</v>
      </c>
      <c r="C407" s="984"/>
      <c r="D407" s="983"/>
      <c r="E407" s="983"/>
      <c r="F407" s="983"/>
      <c r="G407" s="985"/>
      <c r="H407" s="986"/>
      <c r="I407" s="986"/>
      <c r="J407" s="986"/>
      <c r="K407" s="986"/>
      <c r="L407" s="986"/>
      <c r="M407" s="986"/>
      <c r="N407" s="193"/>
      <c r="O407" s="343"/>
      <c r="Q407" s="50"/>
      <c r="R407" s="50"/>
      <c r="S407" s="50"/>
      <c r="T407" s="50"/>
      <c r="U407" s="50"/>
      <c r="V407" s="50"/>
      <c r="W407" s="50"/>
      <c r="X407" s="50"/>
      <c r="Y407" s="50"/>
      <c r="Z407" s="50"/>
      <c r="AA407" s="50"/>
      <c r="AB407" s="50"/>
      <c r="AC407" s="50"/>
      <c r="AD407" s="50"/>
      <c r="AE407" s="50"/>
    </row>
    <row r="408" spans="1:31" ht="15.6">
      <c r="A408" s="480">
        <f>ROW()</f>
        <v>408</v>
      </c>
      <c r="B408" s="176" t="s">
        <v>678</v>
      </c>
      <c r="C408" s="177"/>
      <c r="D408" s="176"/>
      <c r="E408" s="163"/>
      <c r="F408" s="163"/>
      <c r="G408" s="634">
        <f t="shared" ref="G408:M408" si="106">G400*$C$59</f>
        <v>0</v>
      </c>
      <c r="H408" s="634">
        <f t="shared" si="106"/>
        <v>75933.688428713998</v>
      </c>
      <c r="I408" s="634">
        <f t="shared" si="106"/>
        <v>78993.816072391171</v>
      </c>
      <c r="J408" s="634">
        <f t="shared" si="106"/>
        <v>82177.266860108532</v>
      </c>
      <c r="K408" s="634">
        <f t="shared" si="106"/>
        <v>85489.010714570933</v>
      </c>
      <c r="L408" s="634">
        <f t="shared" si="106"/>
        <v>88934.217846368134</v>
      </c>
      <c r="M408" s="634">
        <f t="shared" si="106"/>
        <v>92518.266825576764</v>
      </c>
      <c r="N408" s="193"/>
      <c r="O408" s="343"/>
      <c r="Q408" s="50"/>
      <c r="R408" s="50"/>
      <c r="S408" s="50"/>
      <c r="T408" s="50"/>
      <c r="U408" s="50"/>
      <c r="V408" s="50"/>
      <c r="W408" s="50"/>
      <c r="X408" s="50"/>
      <c r="Y408" s="50"/>
      <c r="Z408" s="50"/>
      <c r="AA408" s="50"/>
      <c r="AB408" s="50"/>
      <c r="AC408" s="50"/>
      <c r="AD408" s="50"/>
      <c r="AE408" s="50"/>
    </row>
    <row r="409" spans="1:31" ht="15.6">
      <c r="A409" s="480">
        <f>ROW()</f>
        <v>409</v>
      </c>
      <c r="B409" s="109"/>
      <c r="C409" s="132"/>
      <c r="D409" s="110"/>
      <c r="E409" s="109"/>
      <c r="F409" s="109"/>
      <c r="G409" s="682"/>
      <c r="H409" s="682"/>
      <c r="I409" s="682"/>
      <c r="J409" s="682"/>
      <c r="K409" s="682"/>
      <c r="L409" s="682"/>
      <c r="M409" s="682"/>
      <c r="N409" s="193"/>
      <c r="O409" s="343"/>
      <c r="Q409" s="50"/>
      <c r="R409" s="50"/>
      <c r="S409" s="50"/>
      <c r="T409" s="50"/>
      <c r="U409" s="50"/>
      <c r="V409" s="50"/>
      <c r="W409" s="50"/>
      <c r="X409" s="50"/>
      <c r="Y409" s="50"/>
      <c r="Z409" s="50"/>
      <c r="AA409" s="50"/>
      <c r="AB409" s="50"/>
      <c r="AC409" s="50"/>
      <c r="AD409" s="50"/>
      <c r="AE409" s="50"/>
    </row>
    <row r="410" spans="1:31" ht="15.6">
      <c r="A410" s="480">
        <f>ROW()</f>
        <v>410</v>
      </c>
      <c r="B410" s="983" t="s">
        <v>679</v>
      </c>
      <c r="C410" s="984"/>
      <c r="D410" s="983"/>
      <c r="E410" s="983"/>
      <c r="F410" s="983"/>
      <c r="G410" s="985"/>
      <c r="H410" s="986"/>
      <c r="I410" s="986"/>
      <c r="J410" s="986"/>
      <c r="K410" s="986"/>
      <c r="L410" s="986"/>
      <c r="M410" s="986"/>
      <c r="N410" s="193"/>
      <c r="O410" s="343"/>
      <c r="Q410" s="50"/>
      <c r="R410" s="50"/>
      <c r="S410" s="50"/>
      <c r="T410" s="50"/>
      <c r="U410" s="50"/>
      <c r="V410" s="50"/>
      <c r="W410" s="50"/>
      <c r="X410" s="50"/>
      <c r="Y410" s="50"/>
      <c r="Z410" s="50"/>
      <c r="AA410" s="50"/>
      <c r="AB410" s="50"/>
      <c r="AC410" s="50"/>
      <c r="AD410" s="50"/>
      <c r="AE410" s="50"/>
    </row>
    <row r="411" spans="1:31" ht="15.6">
      <c r="A411" s="480">
        <f>ROW()</f>
        <v>411</v>
      </c>
      <c r="B411" s="176" t="s">
        <v>680</v>
      </c>
      <c r="C411" s="177"/>
      <c r="D411" s="176"/>
      <c r="E411" s="163"/>
      <c r="F411" s="163"/>
      <c r="G411" s="634">
        <f t="shared" ref="G411:M411" si="107">G400*$C$60</f>
        <v>0</v>
      </c>
      <c r="H411" s="634">
        <f t="shared" si="107"/>
        <v>1754330.0430082199</v>
      </c>
      <c r="I411" s="634">
        <f t="shared" si="107"/>
        <v>1825029.5437414513</v>
      </c>
      <c r="J411" s="634">
        <f t="shared" si="107"/>
        <v>1898578.2343542315</v>
      </c>
      <c r="K411" s="634">
        <f t="shared" si="107"/>
        <v>1975090.9371987078</v>
      </c>
      <c r="L411" s="634">
        <f t="shared" si="107"/>
        <v>2054687.1019678155</v>
      </c>
      <c r="M411" s="634">
        <f t="shared" si="107"/>
        <v>2137490.9921771181</v>
      </c>
      <c r="N411" s="193"/>
      <c r="O411" s="343"/>
      <c r="Q411" s="50"/>
      <c r="R411" s="50"/>
      <c r="S411" s="50"/>
      <c r="T411" s="50"/>
      <c r="U411" s="50"/>
      <c r="V411" s="50"/>
      <c r="W411" s="50"/>
      <c r="X411" s="50"/>
      <c r="Y411" s="50"/>
      <c r="Z411" s="50"/>
      <c r="AA411" s="50"/>
      <c r="AB411" s="50"/>
      <c r="AC411" s="50"/>
      <c r="AD411" s="50"/>
      <c r="AE411" s="50"/>
    </row>
    <row r="412" spans="1:31" ht="15.6">
      <c r="A412" s="480">
        <f>ROW()</f>
        <v>412</v>
      </c>
      <c r="B412" s="109"/>
      <c r="C412" s="132"/>
      <c r="D412" s="110"/>
      <c r="E412" s="109"/>
      <c r="F412" s="109"/>
      <c r="G412" s="503"/>
      <c r="H412" s="100"/>
      <c r="I412" s="100"/>
      <c r="J412" s="100"/>
      <c r="K412" s="100"/>
      <c r="L412" s="100"/>
      <c r="M412" s="100"/>
      <c r="N412" s="193"/>
      <c r="O412" s="343"/>
      <c r="Q412" s="50"/>
      <c r="R412" s="50"/>
      <c r="S412" s="50"/>
      <c r="T412" s="50"/>
      <c r="U412" s="50"/>
      <c r="V412" s="50"/>
      <c r="W412" s="50"/>
      <c r="X412" s="50"/>
      <c r="Y412" s="50"/>
      <c r="Z412" s="50"/>
      <c r="AA412" s="50"/>
      <c r="AB412" s="50"/>
      <c r="AC412" s="50"/>
      <c r="AD412" s="50"/>
      <c r="AE412" s="50"/>
    </row>
    <row r="413" spans="1:31" ht="15.6">
      <c r="A413" s="480">
        <f>ROW()</f>
        <v>413</v>
      </c>
      <c r="B413" s="983" t="s">
        <v>617</v>
      </c>
      <c r="C413" s="984"/>
      <c r="D413" s="983"/>
      <c r="E413" s="983"/>
      <c r="F413" s="983"/>
      <c r="G413" s="985"/>
      <c r="H413" s="986"/>
      <c r="I413" s="986"/>
      <c r="J413" s="986"/>
      <c r="K413" s="986"/>
      <c r="L413" s="986"/>
      <c r="M413" s="986"/>
      <c r="N413" s="193"/>
      <c r="O413" s="343"/>
      <c r="Q413" s="50"/>
      <c r="R413" s="50"/>
      <c r="S413" s="50"/>
      <c r="T413" s="50"/>
      <c r="U413" s="50"/>
      <c r="V413" s="50"/>
      <c r="W413" s="50"/>
      <c r="X413" s="50"/>
      <c r="Y413" s="50"/>
      <c r="Z413" s="50"/>
      <c r="AA413" s="50"/>
      <c r="AB413" s="50"/>
      <c r="AC413" s="50"/>
      <c r="AD413" s="50"/>
      <c r="AE413" s="50"/>
    </row>
    <row r="414" spans="1:31" ht="15.6">
      <c r="A414" s="480">
        <f>ROW()</f>
        <v>414</v>
      </c>
      <c r="B414" s="176" t="s">
        <v>681</v>
      </c>
      <c r="C414" s="177"/>
      <c r="D414" s="176"/>
      <c r="E414" s="163"/>
      <c r="F414" s="163"/>
      <c r="G414" s="634">
        <f t="shared" ref="G414:M414" si="108">G400*$C$61</f>
        <v>0</v>
      </c>
      <c r="H414" s="634">
        <f t="shared" si="108"/>
        <v>0</v>
      </c>
      <c r="I414" s="634">
        <f t="shared" si="108"/>
        <v>0</v>
      </c>
      <c r="J414" s="634">
        <f t="shared" si="108"/>
        <v>0</v>
      </c>
      <c r="K414" s="634">
        <f t="shared" si="108"/>
        <v>0</v>
      </c>
      <c r="L414" s="634">
        <f t="shared" si="108"/>
        <v>0</v>
      </c>
      <c r="M414" s="634">
        <f t="shared" si="108"/>
        <v>0</v>
      </c>
      <c r="N414" s="193"/>
      <c r="O414" s="343"/>
      <c r="Q414" s="50"/>
      <c r="R414" s="50"/>
      <c r="S414" s="50"/>
      <c r="T414" s="50"/>
      <c r="U414" s="50"/>
      <c r="V414" s="50"/>
      <c r="W414" s="50"/>
      <c r="X414" s="50"/>
      <c r="Y414" s="50"/>
      <c r="Z414" s="50"/>
      <c r="AA414" s="50"/>
      <c r="AB414" s="50"/>
      <c r="AC414" s="50"/>
      <c r="AD414" s="50"/>
      <c r="AE414" s="50"/>
    </row>
    <row r="415" spans="1:31" ht="15.6">
      <c r="A415" s="480">
        <f>ROW()</f>
        <v>415</v>
      </c>
      <c r="B415" s="31"/>
      <c r="C415" s="133"/>
      <c r="D415" s="31"/>
      <c r="G415" s="503"/>
      <c r="H415" s="507"/>
      <c r="I415" s="507"/>
      <c r="J415" s="507"/>
      <c r="K415" s="507"/>
      <c r="L415" s="507"/>
      <c r="M415" s="507"/>
      <c r="N415" s="193"/>
      <c r="O415" s="343"/>
      <c r="Q415" s="50"/>
      <c r="R415" s="50"/>
      <c r="S415" s="50"/>
      <c r="T415" s="50"/>
      <c r="U415" s="50"/>
      <c r="V415" s="50"/>
      <c r="W415" s="50"/>
      <c r="X415" s="50"/>
      <c r="Y415" s="50"/>
      <c r="Z415" s="50"/>
      <c r="AA415" s="50"/>
      <c r="AB415" s="50"/>
      <c r="AC415" s="50"/>
      <c r="AD415" s="50"/>
      <c r="AE415" s="50"/>
    </row>
    <row r="416" spans="1:31" ht="15.6">
      <c r="A416" s="480">
        <f>ROW()</f>
        <v>416</v>
      </c>
      <c r="B416" s="983" t="s">
        <v>682</v>
      </c>
      <c r="C416" s="984"/>
      <c r="D416" s="983"/>
      <c r="E416" s="983"/>
      <c r="F416" s="983"/>
      <c r="G416" s="985"/>
      <c r="H416" s="986"/>
      <c r="I416" s="986"/>
      <c r="J416" s="986"/>
      <c r="K416" s="986"/>
      <c r="L416" s="986"/>
      <c r="M416" s="986"/>
      <c r="N416" s="193"/>
      <c r="O416" s="343"/>
      <c r="Q416" s="50"/>
      <c r="R416" s="50"/>
      <c r="S416" s="50"/>
      <c r="T416" s="50"/>
      <c r="U416" s="50"/>
      <c r="V416" s="50"/>
      <c r="W416" s="50"/>
      <c r="X416" s="50"/>
      <c r="Y416" s="50"/>
      <c r="Z416" s="50"/>
      <c r="AA416" s="50"/>
      <c r="AB416" s="50"/>
      <c r="AC416" s="50"/>
      <c r="AD416" s="50"/>
      <c r="AE416" s="50"/>
    </row>
    <row r="417" spans="1:31" ht="15.6">
      <c r="A417" s="480">
        <f>ROW()</f>
        <v>417</v>
      </c>
      <c r="B417" s="174" t="s">
        <v>683</v>
      </c>
      <c r="C417" s="175"/>
      <c r="D417" s="127"/>
      <c r="E417" s="125"/>
      <c r="F417" s="125"/>
      <c r="G417" s="634">
        <f t="shared" ref="G417:M417" si="109">G23*$C$62</f>
        <v>0</v>
      </c>
      <c r="H417" s="634">
        <f t="shared" si="109"/>
        <v>0</v>
      </c>
      <c r="I417" s="634">
        <f t="shared" si="109"/>
        <v>0</v>
      </c>
      <c r="J417" s="634">
        <f t="shared" si="109"/>
        <v>0</v>
      </c>
      <c r="K417" s="634">
        <f t="shared" si="109"/>
        <v>0</v>
      </c>
      <c r="L417" s="634">
        <f t="shared" si="109"/>
        <v>0</v>
      </c>
      <c r="M417" s="634">
        <f t="shared" si="109"/>
        <v>0</v>
      </c>
      <c r="N417" s="193"/>
      <c r="O417" s="343"/>
      <c r="Q417" s="50"/>
      <c r="R417" s="50"/>
      <c r="S417" s="50"/>
      <c r="T417" s="50"/>
      <c r="U417" s="50"/>
      <c r="V417" s="50"/>
      <c r="W417" s="50"/>
      <c r="X417" s="50"/>
      <c r="Y417" s="50"/>
      <c r="Z417" s="50"/>
      <c r="AA417" s="50"/>
      <c r="AB417" s="50"/>
      <c r="AC417" s="50"/>
      <c r="AD417" s="50"/>
      <c r="AE417" s="50"/>
    </row>
    <row r="418" spans="1:31" ht="15.6">
      <c r="A418" s="480">
        <f>ROW()</f>
        <v>418</v>
      </c>
      <c r="B418" s="31"/>
      <c r="C418" s="133"/>
      <c r="D418" s="31"/>
      <c r="G418" s="503"/>
      <c r="H418" s="507"/>
      <c r="I418" s="507"/>
      <c r="J418" s="507"/>
      <c r="K418" s="507"/>
      <c r="L418" s="507"/>
      <c r="M418" s="507"/>
      <c r="N418" s="193"/>
      <c r="O418" s="343"/>
      <c r="Q418" s="50"/>
      <c r="R418" s="50"/>
      <c r="S418" s="50"/>
      <c r="T418" s="50"/>
      <c r="U418" s="50"/>
      <c r="V418" s="50"/>
      <c r="W418" s="50"/>
      <c r="X418" s="50"/>
      <c r="Y418" s="50"/>
      <c r="Z418" s="50"/>
      <c r="AA418" s="50"/>
      <c r="AB418" s="50"/>
      <c r="AC418" s="50"/>
      <c r="AD418" s="50"/>
      <c r="AE418" s="50"/>
    </row>
    <row r="419" spans="1:31" ht="15.6">
      <c r="A419" s="480">
        <f>ROW()</f>
        <v>419</v>
      </c>
      <c r="B419" s="983" t="s">
        <v>684</v>
      </c>
      <c r="C419" s="984"/>
      <c r="D419" s="983"/>
      <c r="E419" s="983"/>
      <c r="F419" s="983"/>
      <c r="G419" s="985"/>
      <c r="H419" s="986"/>
      <c r="I419" s="986"/>
      <c r="J419" s="986"/>
      <c r="K419" s="986"/>
      <c r="L419" s="986"/>
      <c r="M419" s="986"/>
      <c r="N419" s="193"/>
      <c r="O419" s="343"/>
      <c r="Q419" s="50"/>
      <c r="R419" s="50"/>
      <c r="S419" s="50"/>
      <c r="T419" s="50"/>
      <c r="U419" s="50"/>
      <c r="V419" s="50"/>
      <c r="W419" s="50"/>
      <c r="X419" s="50"/>
      <c r="Y419" s="50"/>
      <c r="Z419" s="50"/>
      <c r="AA419" s="50"/>
      <c r="AB419" s="50"/>
      <c r="AC419" s="50"/>
      <c r="AD419" s="50"/>
      <c r="AE419" s="50"/>
    </row>
    <row r="420" spans="1:31" ht="15.6">
      <c r="A420" s="480">
        <f>ROW()</f>
        <v>420</v>
      </c>
      <c r="B420" s="127" t="s">
        <v>685</v>
      </c>
      <c r="C420" s="175"/>
      <c r="D420" s="127"/>
      <c r="E420" s="125"/>
      <c r="F420" s="125"/>
      <c r="G420" s="634">
        <f>G400*$C$63</f>
        <v>0</v>
      </c>
      <c r="H420" s="634">
        <f t="shared" ref="H420:M420" si="110">H400*$C$63</f>
        <v>154485.77990669399</v>
      </c>
      <c r="I420" s="634">
        <f t="shared" si="110"/>
        <v>160711.55683693377</v>
      </c>
      <c r="J420" s="634">
        <f t="shared" si="110"/>
        <v>167188.23257746216</v>
      </c>
      <c r="K420" s="634">
        <f t="shared" si="110"/>
        <v>173925.91835033396</v>
      </c>
      <c r="L420" s="634">
        <f t="shared" si="110"/>
        <v>180935.1328598524</v>
      </c>
      <c r="M420" s="634">
        <f t="shared" si="110"/>
        <v>188226.81871410442</v>
      </c>
      <c r="N420" s="193"/>
      <c r="O420" s="343"/>
      <c r="Q420" s="50"/>
      <c r="R420" s="50"/>
      <c r="S420" s="50"/>
      <c r="T420" s="50"/>
      <c r="U420" s="50"/>
      <c r="V420" s="50"/>
      <c r="W420" s="50"/>
      <c r="X420" s="50"/>
      <c r="Y420" s="50"/>
      <c r="Z420" s="50"/>
      <c r="AA420" s="50"/>
      <c r="AB420" s="50"/>
      <c r="AC420" s="50"/>
      <c r="AD420" s="50"/>
      <c r="AE420" s="50"/>
    </row>
    <row r="421" spans="1:31">
      <c r="A421" s="480">
        <f>ROW()</f>
        <v>421</v>
      </c>
      <c r="B421" s="31"/>
      <c r="C421" s="133"/>
      <c r="D421" s="31"/>
      <c r="G421" s="507"/>
      <c r="H421" s="507"/>
      <c r="I421" s="507"/>
      <c r="J421" s="507"/>
      <c r="K421" s="507"/>
      <c r="L421" s="507"/>
      <c r="M421" s="507"/>
      <c r="O421" s="343"/>
      <c r="Q421" s="50"/>
      <c r="R421" s="50"/>
      <c r="S421" s="50"/>
      <c r="T421" s="50"/>
      <c r="U421" s="50"/>
      <c r="V421" s="50"/>
      <c r="W421" s="50"/>
      <c r="X421" s="50"/>
      <c r="Y421" s="50"/>
      <c r="Z421" s="50"/>
      <c r="AA421" s="50"/>
      <c r="AB421" s="50"/>
      <c r="AC421" s="50"/>
      <c r="AD421" s="50"/>
      <c r="AE421" s="50"/>
    </row>
    <row r="422" spans="1:31" ht="15.6">
      <c r="A422" s="480">
        <f>ROW()</f>
        <v>422</v>
      </c>
      <c r="B422" s="983" t="s">
        <v>621</v>
      </c>
      <c r="C422" s="984"/>
      <c r="D422" s="983"/>
      <c r="E422" s="983"/>
      <c r="F422" s="983"/>
      <c r="G422" s="985"/>
      <c r="H422" s="986"/>
      <c r="I422" s="986"/>
      <c r="J422" s="986"/>
      <c r="K422" s="986"/>
      <c r="L422" s="986"/>
      <c r="M422" s="986"/>
      <c r="O422" s="343"/>
      <c r="Q422" s="50"/>
      <c r="R422" s="50"/>
      <c r="S422" s="50"/>
      <c r="T422" s="50"/>
      <c r="U422" s="50"/>
      <c r="V422" s="50"/>
      <c r="W422" s="50"/>
      <c r="X422" s="50"/>
      <c r="Y422" s="50"/>
      <c r="Z422" s="50"/>
      <c r="AA422" s="50"/>
      <c r="AB422" s="50"/>
      <c r="AC422" s="50"/>
      <c r="AD422" s="50"/>
      <c r="AE422" s="50"/>
    </row>
    <row r="423" spans="1:31">
      <c r="A423" s="480">
        <f>ROW()</f>
        <v>423</v>
      </c>
      <c r="B423" s="127" t="s">
        <v>686</v>
      </c>
      <c r="C423" s="175"/>
      <c r="D423" s="127"/>
      <c r="E423" s="125"/>
      <c r="F423" s="125"/>
      <c r="G423" s="634">
        <f>G400*$C$64</f>
        <v>0</v>
      </c>
      <c r="H423" s="634">
        <f t="shared" ref="H423:M423" si="111">H400*$C$64</f>
        <v>45560.213057228393</v>
      </c>
      <c r="I423" s="634">
        <f t="shared" si="111"/>
        <v>47396.289643434699</v>
      </c>
      <c r="J423" s="634">
        <f t="shared" si="111"/>
        <v>49306.360116065116</v>
      </c>
      <c r="K423" s="634">
        <f t="shared" si="111"/>
        <v>51293.406428742557</v>
      </c>
      <c r="L423" s="634">
        <f t="shared" si="111"/>
        <v>53360.530707820872</v>
      </c>
      <c r="M423" s="634">
        <f t="shared" si="111"/>
        <v>55510.960095346047</v>
      </c>
      <c r="O423" s="343"/>
      <c r="Q423" s="50"/>
      <c r="R423" s="50"/>
      <c r="S423" s="50"/>
      <c r="T423" s="50"/>
      <c r="U423" s="50"/>
      <c r="V423" s="50"/>
      <c r="W423" s="50"/>
      <c r="X423" s="50"/>
      <c r="Y423" s="50"/>
      <c r="Z423" s="50"/>
      <c r="AA423" s="50"/>
      <c r="AB423" s="50"/>
      <c r="AC423" s="50"/>
      <c r="AD423" s="50"/>
      <c r="AE423" s="50"/>
    </row>
    <row r="424" spans="1:31" ht="14.4" thickBot="1">
      <c r="A424" s="480">
        <f>ROW()</f>
        <v>424</v>
      </c>
      <c r="C424" s="130"/>
      <c r="E424" s="63"/>
      <c r="F424" s="63"/>
      <c r="G424" s="503"/>
      <c r="H424" s="138"/>
      <c r="I424" s="138"/>
      <c r="J424" s="138"/>
      <c r="K424" s="138"/>
      <c r="L424" s="138"/>
      <c r="M424" s="138"/>
      <c r="O424" s="343"/>
      <c r="Q424" s="50"/>
      <c r="R424" s="50"/>
      <c r="S424" s="50"/>
      <c r="T424" s="50"/>
      <c r="U424" s="50"/>
      <c r="V424" s="50"/>
      <c r="W424" s="50"/>
      <c r="X424" s="50"/>
      <c r="Y424" s="50"/>
      <c r="Z424" s="50"/>
      <c r="AA424" s="50"/>
      <c r="AB424" s="50"/>
      <c r="AC424" s="50"/>
      <c r="AD424" s="50"/>
      <c r="AE424" s="50"/>
    </row>
    <row r="425" spans="1:31" ht="14.4" thickBot="1">
      <c r="A425" s="480">
        <f>ROW()</f>
        <v>425</v>
      </c>
      <c r="B425" s="963" t="s">
        <v>687</v>
      </c>
      <c r="C425" s="964"/>
      <c r="D425" s="987"/>
      <c r="E425" s="987"/>
      <c r="F425" s="987"/>
      <c r="G425" s="964">
        <f t="shared" ref="G425:M425" si="112">G420+G417+G414+G411+G408+G405+G423</f>
        <v>0</v>
      </c>
      <c r="H425" s="964">
        <f t="shared" si="112"/>
        <v>2457741.7244008565</v>
      </c>
      <c r="I425" s="964">
        <f t="shared" si="112"/>
        <v>2553222.4462942109</v>
      </c>
      <c r="J425" s="964">
        <f t="shared" si="112"/>
        <v>2642752.2463078671</v>
      </c>
      <c r="K425" s="964">
        <f t="shared" si="112"/>
        <v>2774050.6741843554</v>
      </c>
      <c r="L425" s="964">
        <f t="shared" si="112"/>
        <v>2871050.8988887765</v>
      </c>
      <c r="M425" s="964">
        <f t="shared" si="112"/>
        <v>2991344.2632451933</v>
      </c>
      <c r="O425" s="343"/>
      <c r="Q425" s="50"/>
      <c r="R425" s="50"/>
      <c r="S425" s="50"/>
      <c r="T425" s="50"/>
      <c r="U425" s="50"/>
      <c r="V425" s="50"/>
      <c r="W425" s="50"/>
      <c r="X425" s="50"/>
      <c r="Y425" s="50"/>
      <c r="Z425" s="50"/>
      <c r="AA425" s="50"/>
      <c r="AB425" s="50"/>
      <c r="AC425" s="50"/>
      <c r="AD425" s="50"/>
      <c r="AE425" s="50"/>
    </row>
    <row r="426" spans="1:31" ht="14.4">
      <c r="A426" s="480">
        <f>ROW()</f>
        <v>426</v>
      </c>
      <c r="B426" s="80" t="s">
        <v>688</v>
      </c>
      <c r="C426" s="134"/>
      <c r="D426" s="80"/>
      <c r="E426" s="80"/>
      <c r="F426" s="80"/>
      <c r="G426" s="1630">
        <f>IFERROR(G425/G400,0)</f>
        <v>0</v>
      </c>
      <c r="H426" s="1630">
        <f t="shared" ref="H426:M426" si="113">IF(OR(H425=0,H400=0),0,H425/H400)</f>
        <v>0.46932074210076624</v>
      </c>
      <c r="I426" s="1630">
        <f t="shared" si="113"/>
        <v>0.46866612238784322</v>
      </c>
      <c r="J426" s="1630">
        <f t="shared" si="113"/>
        <v>0.46630788581344002</v>
      </c>
      <c r="K426" s="1630">
        <f t="shared" si="113"/>
        <v>0.47051351325109358</v>
      </c>
      <c r="L426" s="1630">
        <f t="shared" si="113"/>
        <v>0.46810146917581896</v>
      </c>
      <c r="M426" s="1630">
        <f t="shared" si="113"/>
        <v>0.46882084268643459</v>
      </c>
      <c r="N426" s="80"/>
      <c r="O426" s="343"/>
      <c r="Q426" s="50"/>
      <c r="R426" s="50"/>
      <c r="S426" s="50"/>
      <c r="T426" s="50"/>
      <c r="U426" s="50"/>
      <c r="V426" s="50"/>
      <c r="W426" s="50"/>
      <c r="X426" s="50"/>
      <c r="Y426" s="50"/>
      <c r="Z426" s="50"/>
      <c r="AA426" s="50"/>
      <c r="AB426" s="50"/>
      <c r="AC426" s="50"/>
      <c r="AD426" s="50"/>
      <c r="AE426" s="50"/>
    </row>
    <row r="427" spans="1:31">
      <c r="A427" s="480">
        <f>ROW()</f>
        <v>427</v>
      </c>
      <c r="C427" s="130"/>
      <c r="G427" s="50"/>
      <c r="H427" s="50"/>
      <c r="I427" s="50"/>
      <c r="J427" s="50"/>
      <c r="K427" s="50"/>
      <c r="L427" s="50"/>
      <c r="M427" s="50"/>
      <c r="O427" s="343"/>
      <c r="Q427" s="50"/>
      <c r="R427" s="50"/>
      <c r="S427" s="50"/>
      <c r="T427" s="50"/>
      <c r="U427" s="50"/>
      <c r="V427" s="50"/>
      <c r="W427" s="50"/>
      <c r="X427" s="50"/>
      <c r="Y427" s="50"/>
      <c r="Z427" s="50"/>
      <c r="AA427" s="50"/>
      <c r="AB427" s="50"/>
      <c r="AC427" s="50"/>
      <c r="AD427" s="50"/>
      <c r="AE427" s="50"/>
    </row>
    <row r="428" spans="1:31">
      <c r="A428" s="480">
        <f>ROW()</f>
        <v>428</v>
      </c>
      <c r="B428" s="1294" t="s">
        <v>689</v>
      </c>
      <c r="C428" s="1295"/>
      <c r="D428" s="1296"/>
      <c r="E428" s="1296"/>
      <c r="F428" s="1296"/>
      <c r="G428" s="1297"/>
      <c r="H428" s="1297"/>
      <c r="I428" s="1297"/>
      <c r="J428" s="1297"/>
      <c r="K428" s="1297"/>
      <c r="L428" s="1297"/>
      <c r="M428" s="1297"/>
      <c r="O428" s="343"/>
      <c r="Q428" s="50"/>
      <c r="R428" s="50"/>
      <c r="S428" s="50"/>
      <c r="T428" s="50"/>
      <c r="U428" s="50"/>
      <c r="V428" s="50"/>
      <c r="W428" s="50"/>
      <c r="X428" s="50"/>
      <c r="Y428" s="50"/>
      <c r="Z428" s="50"/>
      <c r="AA428" s="50"/>
      <c r="AB428" s="50"/>
      <c r="AC428" s="50"/>
      <c r="AD428" s="50"/>
      <c r="AE428" s="50"/>
    </row>
    <row r="429" spans="1:31">
      <c r="A429" s="480">
        <f>ROW()</f>
        <v>429</v>
      </c>
      <c r="C429" s="130" t="s">
        <v>690</v>
      </c>
      <c r="G429" s="50"/>
      <c r="H429" s="50"/>
      <c r="I429" s="50"/>
      <c r="J429" s="50"/>
      <c r="K429" s="50"/>
      <c r="L429" s="50"/>
      <c r="M429" s="50"/>
      <c r="O429" s="343"/>
      <c r="Q429" s="50"/>
      <c r="R429" s="50"/>
      <c r="S429" s="50"/>
      <c r="T429" s="50"/>
      <c r="U429" s="50"/>
      <c r="V429" s="50"/>
      <c r="W429" s="50"/>
      <c r="X429" s="50"/>
      <c r="Y429" s="50"/>
      <c r="Z429" s="50"/>
      <c r="AA429" s="50"/>
      <c r="AB429" s="50"/>
      <c r="AC429" s="50"/>
      <c r="AD429" s="50"/>
      <c r="AE429" s="50"/>
    </row>
    <row r="430" spans="1:31">
      <c r="A430" s="480">
        <f>ROW()</f>
        <v>430</v>
      </c>
      <c r="B430" s="33" t="s">
        <v>691</v>
      </c>
      <c r="C430" s="130"/>
      <c r="G430" s="50"/>
      <c r="H430" s="50"/>
      <c r="I430" s="50"/>
      <c r="J430" s="50"/>
      <c r="K430" s="50"/>
      <c r="L430" s="50"/>
      <c r="M430" s="50"/>
      <c r="O430" s="343"/>
      <c r="Q430" s="50"/>
      <c r="R430" s="50"/>
      <c r="S430" s="50"/>
      <c r="T430" s="50"/>
      <c r="U430" s="50"/>
      <c r="V430" s="50"/>
      <c r="W430" s="50"/>
      <c r="X430" s="50"/>
      <c r="Y430" s="50"/>
      <c r="Z430" s="50"/>
      <c r="AA430" s="50"/>
      <c r="AB430" s="50"/>
      <c r="AC430" s="50"/>
      <c r="AD430" s="50"/>
      <c r="AE430" s="50"/>
    </row>
    <row r="431" spans="1:31">
      <c r="A431" s="480">
        <f>ROW()</f>
        <v>431</v>
      </c>
      <c r="B431" s="33" t="s">
        <v>692</v>
      </c>
      <c r="C431" s="130"/>
      <c r="G431" s="678">
        <v>0</v>
      </c>
      <c r="H431" s="678">
        <v>0</v>
      </c>
      <c r="I431" s="678">
        <v>0</v>
      </c>
      <c r="J431" s="678">
        <v>0</v>
      </c>
      <c r="K431" s="678">
        <v>0</v>
      </c>
      <c r="L431" s="678">
        <v>0</v>
      </c>
      <c r="M431" s="678">
        <v>0</v>
      </c>
      <c r="O431" s="343"/>
      <c r="Q431" s="50"/>
      <c r="R431" s="50"/>
      <c r="S431" s="50"/>
      <c r="T431" s="50"/>
      <c r="U431" s="50"/>
      <c r="V431" s="50"/>
      <c r="W431" s="50"/>
      <c r="X431" s="50"/>
      <c r="Y431" s="50"/>
      <c r="Z431" s="50"/>
      <c r="AA431" s="50"/>
      <c r="AB431" s="50"/>
      <c r="AC431" s="50"/>
      <c r="AD431" s="50"/>
      <c r="AE431" s="50"/>
    </row>
    <row r="432" spans="1:31">
      <c r="A432" s="480">
        <f>ROW()</f>
        <v>432</v>
      </c>
      <c r="B432" s="33" t="s">
        <v>693</v>
      </c>
      <c r="C432" s="135">
        <v>0</v>
      </c>
      <c r="G432" s="575">
        <f>$C$432*G431</f>
        <v>0</v>
      </c>
      <c r="H432" s="575">
        <f t="shared" ref="H432:M432" si="114">$C$432*H431</f>
        <v>0</v>
      </c>
      <c r="I432" s="575">
        <f t="shared" si="114"/>
        <v>0</v>
      </c>
      <c r="J432" s="575">
        <f t="shared" si="114"/>
        <v>0</v>
      </c>
      <c r="K432" s="575">
        <f t="shared" si="114"/>
        <v>0</v>
      </c>
      <c r="L432" s="575">
        <f t="shared" si="114"/>
        <v>0</v>
      </c>
      <c r="M432" s="575">
        <f t="shared" si="114"/>
        <v>0</v>
      </c>
      <c r="O432" s="343"/>
      <c r="Q432" s="50"/>
      <c r="R432" s="50"/>
      <c r="S432" s="50"/>
      <c r="T432" s="50"/>
      <c r="U432" s="50"/>
      <c r="V432" s="50"/>
      <c r="W432" s="50"/>
      <c r="X432" s="50"/>
      <c r="Y432" s="50"/>
      <c r="Z432" s="50"/>
      <c r="AA432" s="50"/>
      <c r="AB432" s="50"/>
      <c r="AC432" s="50"/>
      <c r="AD432" s="50"/>
      <c r="AE432" s="50"/>
    </row>
    <row r="433" spans="1:31">
      <c r="A433" s="480">
        <f>ROW()</f>
        <v>433</v>
      </c>
      <c r="C433" s="133"/>
      <c r="D433" s="1761"/>
      <c r="G433" s="138"/>
      <c r="H433" s="138"/>
      <c r="I433" s="138"/>
      <c r="J433" s="138"/>
      <c r="K433" s="138"/>
      <c r="L433" s="138"/>
      <c r="M433" s="138"/>
      <c r="O433" s="343"/>
      <c r="Q433" s="50"/>
      <c r="R433" s="50"/>
      <c r="S433" s="50"/>
      <c r="T433" s="50"/>
      <c r="U433" s="50"/>
      <c r="V433" s="50"/>
      <c r="W433" s="50"/>
      <c r="X433" s="50"/>
      <c r="Y433" s="50"/>
      <c r="Z433" s="50"/>
      <c r="AA433" s="50"/>
      <c r="AB433" s="50"/>
      <c r="AC433" s="50"/>
      <c r="AD433" s="50"/>
      <c r="AE433" s="50"/>
    </row>
    <row r="434" spans="1:31">
      <c r="A434" s="480">
        <f>ROW()</f>
        <v>434</v>
      </c>
      <c r="B434" s="33" t="s">
        <v>694</v>
      </c>
      <c r="C434" s="130"/>
      <c r="G434" s="138"/>
      <c r="H434" s="138"/>
      <c r="I434" s="138"/>
      <c r="J434" s="138"/>
      <c r="K434" s="138"/>
      <c r="L434" s="138"/>
      <c r="M434" s="138"/>
      <c r="O434" s="343"/>
      <c r="Q434" s="50"/>
      <c r="R434" s="50"/>
      <c r="S434" s="50"/>
      <c r="T434" s="50"/>
      <c r="U434" s="50"/>
      <c r="V434" s="50"/>
      <c r="W434" s="50"/>
      <c r="X434" s="50"/>
      <c r="Y434" s="50"/>
      <c r="Z434" s="50"/>
      <c r="AA434" s="50"/>
      <c r="AB434" s="50"/>
      <c r="AC434" s="50"/>
      <c r="AD434" s="50"/>
      <c r="AE434" s="50"/>
    </row>
    <row r="435" spans="1:31">
      <c r="A435" s="480">
        <f>ROW()</f>
        <v>435</v>
      </c>
      <c r="B435" s="33" t="s">
        <v>695</v>
      </c>
      <c r="C435" s="130"/>
      <c r="G435" s="679">
        <v>0</v>
      </c>
      <c r="H435" s="679">
        <v>0</v>
      </c>
      <c r="I435" s="679">
        <v>0</v>
      </c>
      <c r="J435" s="679">
        <v>0</v>
      </c>
      <c r="K435" s="679">
        <v>0</v>
      </c>
      <c r="L435" s="679">
        <v>0</v>
      </c>
      <c r="M435" s="679">
        <v>0</v>
      </c>
      <c r="O435" s="343"/>
      <c r="Q435" s="50"/>
      <c r="R435" s="50"/>
      <c r="S435" s="50"/>
      <c r="T435" s="50"/>
      <c r="U435" s="50"/>
      <c r="V435" s="50"/>
      <c r="W435" s="50"/>
      <c r="X435" s="50"/>
      <c r="Y435" s="50"/>
      <c r="Z435" s="50"/>
      <c r="AA435" s="50"/>
      <c r="AB435" s="50"/>
      <c r="AC435" s="50"/>
      <c r="AD435" s="50"/>
      <c r="AE435" s="50"/>
    </row>
    <row r="436" spans="1:31">
      <c r="A436" s="480">
        <f>ROW()</f>
        <v>436</v>
      </c>
      <c r="B436" s="33" t="s">
        <v>693</v>
      </c>
      <c r="C436" s="135">
        <v>0</v>
      </c>
      <c r="G436" s="575">
        <f t="shared" ref="G436:M436" si="115">$C$436*G435</f>
        <v>0</v>
      </c>
      <c r="H436" s="575">
        <f t="shared" si="115"/>
        <v>0</v>
      </c>
      <c r="I436" s="575">
        <f t="shared" si="115"/>
        <v>0</v>
      </c>
      <c r="J436" s="575">
        <f t="shared" si="115"/>
        <v>0</v>
      </c>
      <c r="K436" s="575">
        <f t="shared" si="115"/>
        <v>0</v>
      </c>
      <c r="L436" s="575">
        <f t="shared" si="115"/>
        <v>0</v>
      </c>
      <c r="M436" s="575">
        <f t="shared" si="115"/>
        <v>0</v>
      </c>
      <c r="O436" s="343"/>
      <c r="Q436" s="50"/>
      <c r="R436" s="50"/>
      <c r="S436" s="50"/>
      <c r="T436" s="50"/>
      <c r="U436" s="50"/>
      <c r="V436" s="50"/>
      <c r="W436" s="50"/>
      <c r="X436" s="50"/>
      <c r="Y436" s="50"/>
      <c r="Z436" s="50"/>
      <c r="AA436" s="50"/>
      <c r="AB436" s="50"/>
      <c r="AC436" s="50"/>
      <c r="AD436" s="50"/>
      <c r="AE436" s="50"/>
    </row>
    <row r="437" spans="1:31">
      <c r="A437" s="480">
        <f>ROW()</f>
        <v>437</v>
      </c>
      <c r="C437" s="130"/>
      <c r="G437" s="138"/>
      <c r="H437" s="138"/>
      <c r="I437" s="138"/>
      <c r="J437" s="138"/>
      <c r="K437" s="138"/>
      <c r="L437" s="138"/>
      <c r="M437" s="138"/>
      <c r="O437" s="343"/>
      <c r="Q437" s="50"/>
      <c r="R437" s="50"/>
      <c r="S437" s="50"/>
      <c r="T437" s="50"/>
      <c r="U437" s="50"/>
      <c r="V437" s="50"/>
      <c r="W437" s="50"/>
      <c r="X437" s="50"/>
      <c r="Y437" s="50"/>
      <c r="Z437" s="50"/>
      <c r="AA437" s="50"/>
      <c r="AB437" s="50"/>
      <c r="AC437" s="50"/>
      <c r="AD437" s="50"/>
      <c r="AE437" s="50"/>
    </row>
    <row r="438" spans="1:31">
      <c r="A438" s="480">
        <f>ROW()</f>
        <v>438</v>
      </c>
      <c r="B438" s="33" t="s">
        <v>696</v>
      </c>
      <c r="C438" s="130"/>
      <c r="G438" s="138"/>
      <c r="H438" s="138"/>
      <c r="I438" s="138"/>
      <c r="J438" s="138"/>
      <c r="K438" s="138"/>
      <c r="L438" s="138"/>
      <c r="M438" s="138"/>
      <c r="O438" s="343"/>
      <c r="Q438" s="50"/>
      <c r="R438" s="50"/>
      <c r="S438" s="50"/>
      <c r="T438" s="50"/>
      <c r="U438" s="50"/>
      <c r="V438" s="50"/>
      <c r="W438" s="50"/>
      <c r="X438" s="50"/>
      <c r="Y438" s="50"/>
      <c r="Z438" s="50"/>
      <c r="AA438" s="50"/>
      <c r="AB438" s="50"/>
      <c r="AC438" s="50"/>
      <c r="AD438" s="50"/>
      <c r="AE438" s="50"/>
    </row>
    <row r="439" spans="1:31">
      <c r="A439" s="480">
        <f>ROW()</f>
        <v>439</v>
      </c>
      <c r="B439" s="33" t="s">
        <v>695</v>
      </c>
      <c r="C439" s="130"/>
      <c r="G439" s="679">
        <v>0</v>
      </c>
      <c r="H439" s="679">
        <v>0</v>
      </c>
      <c r="I439" s="679">
        <v>0</v>
      </c>
      <c r="J439" s="679">
        <v>0</v>
      </c>
      <c r="K439" s="679">
        <v>0</v>
      </c>
      <c r="L439" s="679">
        <v>0</v>
      </c>
      <c r="M439" s="679">
        <v>0</v>
      </c>
      <c r="O439" s="343"/>
      <c r="Q439" s="50"/>
      <c r="R439" s="50"/>
      <c r="S439" s="50"/>
      <c r="T439" s="50"/>
      <c r="U439" s="50"/>
      <c r="V439" s="50"/>
      <c r="W439" s="50"/>
      <c r="X439" s="50"/>
      <c r="Y439" s="50"/>
      <c r="Z439" s="50"/>
      <c r="AA439" s="50"/>
      <c r="AB439" s="50"/>
      <c r="AC439" s="50"/>
      <c r="AD439" s="50"/>
      <c r="AE439" s="50"/>
    </row>
    <row r="440" spans="1:31">
      <c r="A440" s="480">
        <f>ROW()</f>
        <v>440</v>
      </c>
      <c r="B440" s="33" t="s">
        <v>693</v>
      </c>
      <c r="C440" s="135">
        <v>0</v>
      </c>
      <c r="G440" s="575">
        <f>$C$440*G439</f>
        <v>0</v>
      </c>
      <c r="H440" s="575">
        <f>$C$440*H439</f>
        <v>0</v>
      </c>
      <c r="I440" s="575">
        <f>$C$440*I439</f>
        <v>0</v>
      </c>
      <c r="J440" s="575">
        <f>I440*' Enrol &amp; Rev'!$C$97</f>
        <v>0</v>
      </c>
      <c r="K440" s="575">
        <f>J440*' Enrol &amp; Rev'!$C$97</f>
        <v>0</v>
      </c>
      <c r="L440" s="575">
        <f>K440*' Enrol &amp; Rev'!$C$97</f>
        <v>0</v>
      </c>
      <c r="M440" s="575">
        <f>L440*' Enrol &amp; Rev'!$C$97</f>
        <v>0</v>
      </c>
      <c r="O440" s="343"/>
      <c r="Q440" s="50"/>
      <c r="R440" s="50"/>
      <c r="S440" s="50"/>
      <c r="T440" s="50"/>
      <c r="U440" s="50"/>
      <c r="V440" s="50"/>
      <c r="W440" s="50"/>
      <c r="X440" s="50"/>
      <c r="Y440" s="50"/>
      <c r="Z440" s="50"/>
      <c r="AA440" s="50"/>
      <c r="AB440" s="50"/>
      <c r="AC440" s="50"/>
      <c r="AD440" s="50"/>
      <c r="AE440" s="50"/>
    </row>
    <row r="441" spans="1:31">
      <c r="A441" s="480">
        <f>ROW()</f>
        <v>441</v>
      </c>
      <c r="C441" s="130"/>
      <c r="G441" s="138"/>
      <c r="H441" s="138"/>
      <c r="I441" s="138"/>
      <c r="J441" s="138"/>
      <c r="K441" s="138"/>
      <c r="L441" s="138"/>
      <c r="M441" s="138"/>
      <c r="O441" s="343"/>
      <c r="Q441" s="50"/>
      <c r="R441" s="50"/>
      <c r="S441" s="50"/>
      <c r="T441" s="50"/>
      <c r="U441" s="50"/>
      <c r="V441" s="50"/>
      <c r="W441" s="50"/>
      <c r="X441" s="50"/>
      <c r="Y441" s="50"/>
      <c r="Z441" s="50"/>
      <c r="AA441" s="50"/>
      <c r="AB441" s="50"/>
      <c r="AC441" s="50"/>
      <c r="AD441" s="50"/>
      <c r="AE441" s="50"/>
    </row>
    <row r="442" spans="1:31">
      <c r="A442" s="480">
        <f>ROW()</f>
        <v>442</v>
      </c>
      <c r="B442" s="33" t="s">
        <v>697</v>
      </c>
      <c r="C442" s="130"/>
      <c r="G442" s="138"/>
      <c r="H442" s="138"/>
      <c r="I442" s="138"/>
      <c r="J442" s="138"/>
      <c r="K442" s="138"/>
      <c r="L442" s="138"/>
      <c r="M442" s="138"/>
      <c r="O442" s="343"/>
      <c r="Q442" s="50"/>
      <c r="R442" s="50"/>
      <c r="S442" s="50"/>
      <c r="T442" s="50"/>
      <c r="U442" s="50"/>
      <c r="V442" s="50"/>
      <c r="W442" s="50"/>
      <c r="X442" s="50"/>
      <c r="Y442" s="50"/>
      <c r="Z442" s="50"/>
      <c r="AA442" s="50"/>
      <c r="AB442" s="50"/>
      <c r="AC442" s="50"/>
      <c r="AD442" s="50"/>
      <c r="AE442" s="50"/>
    </row>
    <row r="443" spans="1:31">
      <c r="A443" s="480">
        <f>ROW()</f>
        <v>443</v>
      </c>
      <c r="B443" s="33" t="s">
        <v>695</v>
      </c>
      <c r="C443" s="130"/>
      <c r="G443" s="679">
        <v>0</v>
      </c>
      <c r="H443" s="679">
        <v>0</v>
      </c>
      <c r="I443" s="679">
        <v>0</v>
      </c>
      <c r="J443" s="679">
        <v>0</v>
      </c>
      <c r="K443" s="679">
        <v>0</v>
      </c>
      <c r="L443" s="679">
        <v>0</v>
      </c>
      <c r="M443" s="679">
        <v>0</v>
      </c>
      <c r="O443" s="343"/>
      <c r="Q443" s="50"/>
      <c r="R443" s="50"/>
      <c r="S443" s="50"/>
      <c r="T443" s="50"/>
      <c r="U443" s="50"/>
      <c r="V443" s="50"/>
      <c r="W443" s="50"/>
      <c r="X443" s="50"/>
      <c r="Y443" s="50"/>
      <c r="Z443" s="50"/>
      <c r="AA443" s="50"/>
      <c r="AB443" s="50"/>
      <c r="AC443" s="50"/>
      <c r="AD443" s="50"/>
      <c r="AE443" s="50"/>
    </row>
    <row r="444" spans="1:31">
      <c r="A444" s="480">
        <f>ROW()</f>
        <v>444</v>
      </c>
      <c r="B444" s="33" t="s">
        <v>693</v>
      </c>
      <c r="C444" s="135">
        <v>0</v>
      </c>
      <c r="G444" s="575">
        <f t="shared" ref="G444:M444" si="116">$C$444*G443</f>
        <v>0</v>
      </c>
      <c r="H444" s="575">
        <f t="shared" si="116"/>
        <v>0</v>
      </c>
      <c r="I444" s="575">
        <f t="shared" si="116"/>
        <v>0</v>
      </c>
      <c r="J444" s="575">
        <f t="shared" si="116"/>
        <v>0</v>
      </c>
      <c r="K444" s="575">
        <f t="shared" si="116"/>
        <v>0</v>
      </c>
      <c r="L444" s="575">
        <f t="shared" si="116"/>
        <v>0</v>
      </c>
      <c r="M444" s="575">
        <f t="shared" si="116"/>
        <v>0</v>
      </c>
      <c r="O444" s="343"/>
      <c r="Q444" s="50"/>
      <c r="R444" s="50"/>
      <c r="S444" s="50"/>
      <c r="T444" s="50"/>
      <c r="U444" s="50"/>
      <c r="V444" s="50"/>
      <c r="W444" s="50"/>
      <c r="X444" s="50"/>
      <c r="Y444" s="50"/>
      <c r="Z444" s="50"/>
      <c r="AA444" s="50"/>
      <c r="AB444" s="50"/>
      <c r="AC444" s="50"/>
      <c r="AD444" s="50"/>
      <c r="AE444" s="50"/>
    </row>
    <row r="445" spans="1:31">
      <c r="A445" s="480">
        <f>ROW()</f>
        <v>445</v>
      </c>
      <c r="C445" s="130"/>
      <c r="G445" s="138"/>
      <c r="H445" s="138"/>
      <c r="I445" s="138"/>
      <c r="J445" s="138"/>
      <c r="K445" s="138"/>
      <c r="L445" s="138"/>
      <c r="M445" s="138"/>
      <c r="O445" s="343"/>
      <c r="Q445" s="50"/>
      <c r="R445" s="50"/>
      <c r="S445" s="50"/>
      <c r="T445" s="50"/>
      <c r="U445" s="50"/>
      <c r="V445" s="50"/>
      <c r="W445" s="50"/>
      <c r="X445" s="50"/>
      <c r="Y445" s="50"/>
      <c r="Z445" s="50"/>
      <c r="AA445" s="50"/>
      <c r="AB445" s="50"/>
      <c r="AC445" s="50"/>
      <c r="AD445" s="50"/>
      <c r="AE445" s="50"/>
    </row>
    <row r="446" spans="1:31">
      <c r="A446" s="480">
        <f>ROW()</f>
        <v>446</v>
      </c>
      <c r="B446" s="33" t="s">
        <v>698</v>
      </c>
      <c r="C446" s="130"/>
      <c r="G446" s="138"/>
      <c r="H446" s="138"/>
      <c r="I446" s="138"/>
      <c r="J446" s="138"/>
      <c r="K446" s="138"/>
      <c r="L446" s="138"/>
      <c r="M446" s="138"/>
      <c r="O446" s="343"/>
      <c r="Q446" s="50"/>
      <c r="R446" s="50"/>
      <c r="S446" s="50"/>
      <c r="T446" s="50"/>
      <c r="U446" s="50"/>
      <c r="V446" s="50"/>
      <c r="W446" s="50"/>
      <c r="X446" s="50"/>
      <c r="Y446" s="50"/>
      <c r="Z446" s="50"/>
      <c r="AA446" s="50"/>
      <c r="AB446" s="50"/>
      <c r="AC446" s="50"/>
      <c r="AD446" s="50"/>
      <c r="AE446" s="50"/>
    </row>
    <row r="447" spans="1:31">
      <c r="A447" s="480">
        <f>ROW()</f>
        <v>447</v>
      </c>
      <c r="B447" s="33" t="s">
        <v>695</v>
      </c>
      <c r="C447" s="130"/>
      <c r="G447" s="679">
        <v>0</v>
      </c>
      <c r="H447" s="679">
        <v>0</v>
      </c>
      <c r="I447" s="679">
        <v>0</v>
      </c>
      <c r="J447" s="679">
        <v>0</v>
      </c>
      <c r="K447" s="679">
        <v>0</v>
      </c>
      <c r="L447" s="679">
        <v>0</v>
      </c>
      <c r="M447" s="679">
        <v>0</v>
      </c>
      <c r="O447" s="343"/>
      <c r="Q447" s="50"/>
      <c r="R447" s="50"/>
      <c r="S447" s="50"/>
      <c r="T447" s="50"/>
      <c r="U447" s="50"/>
      <c r="V447" s="50"/>
      <c r="W447" s="50"/>
      <c r="X447" s="50"/>
      <c r="Y447" s="50"/>
      <c r="Z447" s="50"/>
      <c r="AA447" s="50"/>
      <c r="AB447" s="50"/>
      <c r="AC447" s="50"/>
      <c r="AD447" s="50"/>
      <c r="AE447" s="50"/>
    </row>
    <row r="448" spans="1:31">
      <c r="A448" s="480">
        <f>ROW()</f>
        <v>448</v>
      </c>
      <c r="B448" s="33" t="s">
        <v>693</v>
      </c>
      <c r="C448" s="135">
        <v>0</v>
      </c>
      <c r="G448" s="575">
        <f t="shared" ref="G448:M448" si="117">$C$448*G447</f>
        <v>0</v>
      </c>
      <c r="H448" s="575">
        <f t="shared" si="117"/>
        <v>0</v>
      </c>
      <c r="I448" s="575">
        <f t="shared" si="117"/>
        <v>0</v>
      </c>
      <c r="J448" s="575">
        <f t="shared" si="117"/>
        <v>0</v>
      </c>
      <c r="K448" s="575">
        <f t="shared" si="117"/>
        <v>0</v>
      </c>
      <c r="L448" s="575">
        <f t="shared" si="117"/>
        <v>0</v>
      </c>
      <c r="M448" s="575">
        <f t="shared" si="117"/>
        <v>0</v>
      </c>
      <c r="O448" s="343"/>
      <c r="Q448" s="50"/>
      <c r="R448" s="50"/>
      <c r="S448" s="50"/>
      <c r="T448" s="50"/>
      <c r="U448" s="50"/>
      <c r="V448" s="50"/>
      <c r="W448" s="50"/>
      <c r="X448" s="50"/>
      <c r="Y448" s="50"/>
      <c r="Z448" s="50"/>
      <c r="AA448" s="50"/>
      <c r="AB448" s="50"/>
      <c r="AC448" s="50"/>
      <c r="AD448" s="50"/>
      <c r="AE448" s="50"/>
    </row>
    <row r="449" spans="1:31">
      <c r="A449" s="480">
        <f>ROW()</f>
        <v>449</v>
      </c>
      <c r="C449" s="130"/>
      <c r="G449" s="138"/>
      <c r="H449" s="138"/>
      <c r="I449" s="138"/>
      <c r="J449" s="138"/>
      <c r="K449" s="138"/>
      <c r="L449" s="138"/>
      <c r="M449" s="138"/>
      <c r="O449" s="343"/>
      <c r="Q449" s="50"/>
      <c r="R449" s="50"/>
      <c r="S449" s="50"/>
      <c r="T449" s="50"/>
      <c r="U449" s="50"/>
      <c r="V449" s="50"/>
      <c r="W449" s="50"/>
      <c r="X449" s="50"/>
      <c r="Y449" s="50"/>
      <c r="Z449" s="50"/>
      <c r="AA449" s="50"/>
      <c r="AB449" s="50"/>
      <c r="AC449" s="50"/>
      <c r="AD449" s="50"/>
      <c r="AE449" s="50"/>
    </row>
    <row r="450" spans="1:31">
      <c r="A450" s="480">
        <f>ROW()</f>
        <v>450</v>
      </c>
      <c r="B450" s="33" t="s">
        <v>699</v>
      </c>
      <c r="C450" s="130"/>
      <c r="G450" s="680">
        <f>G448+G444+G440+G436+G432</f>
        <v>0</v>
      </c>
      <c r="H450" s="680">
        <f>H448+H444+H440+H436+H432</f>
        <v>0</v>
      </c>
      <c r="I450" s="680">
        <f t="shared" ref="I450:M450" si="118">I448+I444+I440+I436+I432</f>
        <v>0</v>
      </c>
      <c r="J450" s="680">
        <f t="shared" si="118"/>
        <v>0</v>
      </c>
      <c r="K450" s="680">
        <f t="shared" si="118"/>
        <v>0</v>
      </c>
      <c r="L450" s="680">
        <f t="shared" si="118"/>
        <v>0</v>
      </c>
      <c r="M450" s="680">
        <f t="shared" si="118"/>
        <v>0</v>
      </c>
      <c r="O450" s="343"/>
      <c r="Q450" s="50"/>
      <c r="R450" s="50"/>
      <c r="S450" s="50"/>
      <c r="T450" s="50"/>
      <c r="U450" s="50"/>
      <c r="V450" s="50"/>
      <c r="W450" s="50"/>
      <c r="X450" s="50"/>
      <c r="Y450" s="50"/>
      <c r="Z450" s="50"/>
      <c r="AA450" s="50"/>
      <c r="AB450" s="50"/>
      <c r="AC450" s="50"/>
      <c r="AD450" s="50"/>
      <c r="AE450" s="50"/>
    </row>
    <row r="451" spans="1:31">
      <c r="A451" s="480">
        <f>ROW()</f>
        <v>451</v>
      </c>
      <c r="C451" s="130"/>
      <c r="G451" s="138"/>
      <c r="H451" s="138"/>
      <c r="I451" s="138"/>
      <c r="J451" s="138"/>
      <c r="K451" s="138"/>
      <c r="L451" s="138"/>
      <c r="M451" s="138"/>
      <c r="O451" s="343"/>
      <c r="Q451" s="50"/>
      <c r="R451" s="50"/>
      <c r="S451" s="50"/>
      <c r="T451" s="50"/>
      <c r="U451" s="50"/>
      <c r="V451" s="50"/>
      <c r="W451" s="50"/>
      <c r="X451" s="50"/>
      <c r="Y451" s="50"/>
      <c r="Z451" s="50"/>
      <c r="AA451" s="50"/>
      <c r="AB451" s="50"/>
      <c r="AC451" s="50"/>
      <c r="AD451" s="50"/>
      <c r="AE451" s="50"/>
    </row>
    <row r="452" spans="1:31">
      <c r="A452" s="480">
        <f>ROW()</f>
        <v>452</v>
      </c>
      <c r="B452" s="33" t="s">
        <v>700</v>
      </c>
      <c r="C452" s="1293">
        <v>7.6499999999999999E-2</v>
      </c>
      <c r="G452" s="138">
        <f>+$C$452*G450</f>
        <v>0</v>
      </c>
      <c r="H452" s="138">
        <f>+$C$452*H450</f>
        <v>0</v>
      </c>
      <c r="I452" s="138">
        <f t="shared" ref="I452:M452" si="119">+$C$452*I450</f>
        <v>0</v>
      </c>
      <c r="J452" s="138">
        <f t="shared" si="119"/>
        <v>0</v>
      </c>
      <c r="K452" s="138">
        <f t="shared" si="119"/>
        <v>0</v>
      </c>
      <c r="L452" s="138">
        <f t="shared" si="119"/>
        <v>0</v>
      </c>
      <c r="M452" s="138">
        <f t="shared" si="119"/>
        <v>0</v>
      </c>
      <c r="O452" s="343"/>
      <c r="Q452" s="50"/>
      <c r="R452" s="50"/>
      <c r="S452" s="50"/>
      <c r="T452" s="50"/>
      <c r="U452" s="50"/>
      <c r="V452" s="50"/>
      <c r="W452" s="50"/>
      <c r="X452" s="50"/>
      <c r="Y452" s="50"/>
      <c r="Z452" s="50"/>
      <c r="AA452" s="50"/>
      <c r="AB452" s="50"/>
      <c r="AC452" s="50"/>
      <c r="AD452" s="50"/>
      <c r="AE452" s="50"/>
    </row>
    <row r="453" spans="1:31">
      <c r="A453" s="480"/>
      <c r="C453" s="130"/>
      <c r="G453" s="138"/>
      <c r="H453" s="138"/>
      <c r="I453" s="138"/>
      <c r="J453" s="138"/>
      <c r="K453" s="138"/>
      <c r="L453" s="138"/>
      <c r="M453" s="138"/>
      <c r="O453" s="343"/>
      <c r="Q453" s="50"/>
      <c r="R453" s="50"/>
      <c r="S453" s="50"/>
      <c r="T453" s="50"/>
      <c r="U453" s="50"/>
      <c r="V453" s="50"/>
      <c r="W453" s="50"/>
      <c r="X453" s="50"/>
      <c r="Y453" s="50"/>
      <c r="Z453" s="50"/>
      <c r="AA453" s="50"/>
      <c r="AB453" s="50"/>
      <c r="AC453" s="50"/>
      <c r="AD453" s="50"/>
      <c r="AE453" s="50"/>
    </row>
    <row r="454" spans="1:31" ht="14.4" thickBot="1">
      <c r="A454" s="480"/>
      <c r="C454" s="130"/>
      <c r="G454" s="138"/>
      <c r="H454" s="138"/>
      <c r="I454" s="138"/>
      <c r="J454" s="138"/>
      <c r="K454" s="138"/>
      <c r="L454" s="138"/>
      <c r="M454" s="138"/>
      <c r="O454" s="343"/>
      <c r="Q454" s="50"/>
      <c r="R454" s="50"/>
      <c r="S454" s="50"/>
      <c r="T454" s="50"/>
      <c r="U454" s="50"/>
      <c r="V454" s="50"/>
      <c r="W454" s="50"/>
      <c r="X454" s="50"/>
      <c r="Y454" s="50"/>
      <c r="Z454" s="50"/>
      <c r="AA454" s="50"/>
      <c r="AB454" s="50"/>
      <c r="AC454" s="50"/>
      <c r="AD454" s="50"/>
      <c r="AE454" s="50"/>
    </row>
    <row r="455" spans="1:31" ht="14.4" thickBot="1">
      <c r="A455" s="480">
        <f>ROW()</f>
        <v>455</v>
      </c>
      <c r="B455" s="963" t="s">
        <v>701</v>
      </c>
      <c r="C455" s="964">
        <f>SUM(G455:M455)</f>
        <v>0</v>
      </c>
      <c r="D455" s="993"/>
      <c r="E455" s="993"/>
      <c r="F455" s="993"/>
      <c r="G455" s="964">
        <f t="shared" ref="G455:M455" si="120">G448+G444+G440+G436+G432</f>
        <v>0</v>
      </c>
      <c r="H455" s="964">
        <f t="shared" si="120"/>
        <v>0</v>
      </c>
      <c r="I455" s="964">
        <f t="shared" si="120"/>
        <v>0</v>
      </c>
      <c r="J455" s="964">
        <f t="shared" si="120"/>
        <v>0</v>
      </c>
      <c r="K455" s="964">
        <f t="shared" si="120"/>
        <v>0</v>
      </c>
      <c r="L455" s="964">
        <f t="shared" si="120"/>
        <v>0</v>
      </c>
      <c r="M455" s="964">
        <f t="shared" si="120"/>
        <v>0</v>
      </c>
      <c r="O455" s="343"/>
      <c r="Q455" s="50"/>
      <c r="R455" s="50"/>
      <c r="S455" s="50"/>
      <c r="T455" s="50"/>
      <c r="U455" s="50"/>
      <c r="V455" s="50"/>
      <c r="W455" s="50"/>
      <c r="X455" s="50"/>
      <c r="Y455" s="50"/>
      <c r="Z455" s="50"/>
      <c r="AA455" s="50"/>
      <c r="AB455" s="50"/>
      <c r="AC455" s="50"/>
      <c r="AD455" s="50"/>
      <c r="AE455" s="50"/>
    </row>
    <row r="456" spans="1:31">
      <c r="A456" s="480">
        <f>ROW()</f>
        <v>456</v>
      </c>
      <c r="B456" s="31"/>
      <c r="C456" s="133"/>
      <c r="D456" s="31"/>
      <c r="E456" s="31"/>
      <c r="F456" s="31"/>
      <c r="G456" s="507"/>
      <c r="H456" s="507"/>
      <c r="I456" s="507"/>
      <c r="J456" s="507"/>
      <c r="K456" s="507"/>
      <c r="L456" s="507"/>
      <c r="M456" s="507"/>
      <c r="O456" s="343"/>
      <c r="Q456" s="50"/>
      <c r="R456" s="50"/>
      <c r="S456" s="50"/>
      <c r="T456" s="50"/>
      <c r="U456" s="50"/>
      <c r="V456" s="50"/>
      <c r="W456" s="50"/>
      <c r="X456" s="50"/>
      <c r="Y456" s="50"/>
      <c r="Z456" s="50"/>
      <c r="AA456" s="50"/>
      <c r="AB456" s="50"/>
      <c r="AC456" s="50"/>
      <c r="AD456" s="50"/>
      <c r="AE456" s="50"/>
    </row>
    <row r="457" spans="1:31" ht="14.4">
      <c r="A457" s="480">
        <f>ROW()</f>
        <v>457</v>
      </c>
      <c r="B457" s="934" t="s">
        <v>702</v>
      </c>
      <c r="C457" s="175"/>
      <c r="D457" s="127"/>
      <c r="E457" s="127"/>
      <c r="F457" s="127"/>
      <c r="G457" s="687">
        <f t="shared" ref="G457:M457" si="121">SUM(G431,G435,G439,G443,G447)</f>
        <v>0</v>
      </c>
      <c r="H457" s="687">
        <f t="shared" si="121"/>
        <v>0</v>
      </c>
      <c r="I457" s="687">
        <f t="shared" si="121"/>
        <v>0</v>
      </c>
      <c r="J457" s="687">
        <f t="shared" si="121"/>
        <v>0</v>
      </c>
      <c r="K457" s="687">
        <f t="shared" si="121"/>
        <v>0</v>
      </c>
      <c r="L457" s="687">
        <f t="shared" si="121"/>
        <v>0</v>
      </c>
      <c r="M457" s="687">
        <f t="shared" si="121"/>
        <v>0</v>
      </c>
      <c r="O457" s="343"/>
      <c r="Q457" s="50"/>
      <c r="R457" s="50"/>
      <c r="S457" s="50"/>
      <c r="T457" s="50"/>
      <c r="U457" s="50"/>
      <c r="V457" s="50"/>
      <c r="W457" s="50"/>
      <c r="X457" s="50"/>
      <c r="Y457" s="50"/>
      <c r="Z457" s="50"/>
      <c r="AA457" s="50"/>
      <c r="AB457" s="50"/>
      <c r="AC457" s="50"/>
      <c r="AD457" s="50"/>
      <c r="AE457" s="50"/>
    </row>
    <row r="458" spans="1:31" ht="14.4" thickBot="1">
      <c r="A458" s="480">
        <f>ROW()</f>
        <v>458</v>
      </c>
      <c r="B458" s="31"/>
      <c r="C458" s="133"/>
      <c r="D458" s="31"/>
      <c r="E458" s="31"/>
      <c r="F458" s="31"/>
      <c r="G458" s="507"/>
      <c r="H458" s="507"/>
      <c r="I458" s="507"/>
      <c r="J458" s="507"/>
      <c r="K458" s="507"/>
      <c r="L458" s="507"/>
      <c r="M458" s="507"/>
      <c r="O458" s="343"/>
      <c r="Q458" s="50"/>
      <c r="R458" s="50"/>
      <c r="S458" s="50"/>
      <c r="T458" s="50"/>
      <c r="U458" s="50"/>
      <c r="V458" s="50"/>
      <c r="W458" s="50"/>
      <c r="X458" s="50"/>
      <c r="Y458" s="50"/>
      <c r="Z458" s="50"/>
      <c r="AA458" s="50"/>
      <c r="AB458" s="50"/>
      <c r="AC458" s="50"/>
      <c r="AD458" s="50"/>
      <c r="AE458" s="50"/>
    </row>
    <row r="459" spans="1:31" ht="14.4" thickBot="1">
      <c r="A459" s="480">
        <f>ROW()</f>
        <v>459</v>
      </c>
      <c r="B459" s="963" t="s">
        <v>703</v>
      </c>
      <c r="C459" s="964">
        <f>SUM(G459:M459)</f>
        <v>102907.8</v>
      </c>
      <c r="D459" s="965"/>
      <c r="E459" s="965"/>
      <c r="F459" s="965"/>
      <c r="G459" s="964">
        <f t="shared" ref="G459:M459" si="122">G23*$C$66*12</f>
        <v>0</v>
      </c>
      <c r="H459" s="964">
        <f t="shared" si="122"/>
        <v>16046.64</v>
      </c>
      <c r="I459" s="964">
        <f t="shared" si="122"/>
        <v>16395.48</v>
      </c>
      <c r="J459" s="964">
        <f t="shared" si="122"/>
        <v>16395.48</v>
      </c>
      <c r="K459" s="964">
        <f t="shared" si="122"/>
        <v>17790.84</v>
      </c>
      <c r="L459" s="964">
        <f t="shared" si="122"/>
        <v>17790.84</v>
      </c>
      <c r="M459" s="964">
        <f t="shared" si="122"/>
        <v>18488.52</v>
      </c>
      <c r="O459" s="343"/>
      <c r="Q459" s="50"/>
      <c r="R459" s="50"/>
      <c r="S459" s="50"/>
      <c r="T459" s="50"/>
      <c r="U459" s="50"/>
      <c r="V459" s="50"/>
      <c r="W459" s="50"/>
      <c r="X459" s="50"/>
      <c r="Y459" s="50"/>
      <c r="Z459" s="50"/>
      <c r="AA459" s="50"/>
      <c r="AB459" s="50"/>
      <c r="AC459" s="50"/>
      <c r="AD459" s="50"/>
      <c r="AE459" s="50"/>
    </row>
    <row r="460" spans="1:31" ht="14.4" thickBot="1">
      <c r="A460" s="480">
        <f>ROW()</f>
        <v>460</v>
      </c>
      <c r="O460" s="343"/>
      <c r="Q460" s="50"/>
      <c r="R460" s="50"/>
      <c r="S460" s="50"/>
      <c r="T460" s="50"/>
      <c r="U460" s="50"/>
      <c r="V460" s="50"/>
      <c r="W460" s="50"/>
      <c r="X460" s="50"/>
      <c r="Y460" s="50"/>
      <c r="Z460" s="50"/>
      <c r="AA460" s="50"/>
      <c r="AB460" s="50"/>
      <c r="AC460" s="50"/>
      <c r="AD460" s="50"/>
      <c r="AE460" s="50"/>
    </row>
    <row r="461" spans="1:31" ht="14.4" thickBot="1">
      <c r="A461" s="480">
        <f>ROW()</f>
        <v>461</v>
      </c>
      <c r="B461" s="444" t="s">
        <v>704</v>
      </c>
      <c r="C461" s="445">
        <f>SUM(G461:M461)</f>
        <v>51154881.553164676</v>
      </c>
      <c r="D461" s="446"/>
      <c r="E461" s="446"/>
      <c r="F461" s="446"/>
      <c r="G461" s="445">
        <f>Staff!G400+Staff!G425+Staff!G455+Staff!G459</f>
        <v>0</v>
      </c>
      <c r="H461" s="445">
        <f>Staff!H400+Staff!H425+Staff!H455+Staff!H459</f>
        <v>7710594.4629328558</v>
      </c>
      <c r="I461" s="445">
        <f>Staff!I400+Staff!I425+Staff!I455+Staff!I459</f>
        <v>8017467.3105970509</v>
      </c>
      <c r="J461" s="445">
        <f>Staff!J400+Staff!J425+Staff!J455+Staff!J459</f>
        <v>8326545.4407981113</v>
      </c>
      <c r="K461" s="445">
        <f>Staff!K400+Staff!K425+Staff!K455+Staff!K459</f>
        <v>8687635.3565685581</v>
      </c>
      <c r="L461" s="445">
        <f>Staff!L400+Staff!L425+Staff!L455+Staff!L459</f>
        <v>9022236.0731210615</v>
      </c>
      <c r="M461" s="445">
        <f>Staff!M400+Staff!M425+Staff!M455+Staff!M459</f>
        <v>9390402.9091470391</v>
      </c>
      <c r="O461" s="343"/>
      <c r="Q461" s="50"/>
      <c r="R461" s="50"/>
      <c r="S461" s="50"/>
      <c r="T461" s="50"/>
      <c r="U461" s="50"/>
      <c r="V461" s="50"/>
      <c r="W461" s="50"/>
      <c r="X461" s="50"/>
      <c r="Y461" s="50"/>
      <c r="Z461" s="50"/>
      <c r="AA461" s="50"/>
      <c r="AB461" s="50"/>
      <c r="AC461" s="50"/>
      <c r="AD461" s="50"/>
      <c r="AE461" s="50"/>
    </row>
    <row r="464" spans="1:31">
      <c r="B464" s="31" t="s">
        <v>705</v>
      </c>
    </row>
    <row r="465" spans="2:7">
      <c r="C465" s="503" t="s">
        <v>706</v>
      </c>
      <c r="D465" s="503" t="s">
        <v>707</v>
      </c>
      <c r="E465" s="503" t="s">
        <v>708</v>
      </c>
      <c r="F465" s="503" t="s">
        <v>709</v>
      </c>
      <c r="G465" s="503" t="s">
        <v>710</v>
      </c>
    </row>
    <row r="466" spans="2:7">
      <c r="B466" s="33" t="s">
        <v>711</v>
      </c>
      <c r="C466" s="1530"/>
      <c r="D466" s="1530">
        <v>0</v>
      </c>
      <c r="E466" s="1530">
        <v>0</v>
      </c>
      <c r="F466" s="1530">
        <v>0</v>
      </c>
      <c r="G466" s="1530">
        <v>0</v>
      </c>
    </row>
    <row r="467" spans="2:7">
      <c r="B467" s="33" t="s">
        <v>712</v>
      </c>
      <c r="C467" s="1530"/>
      <c r="D467" s="1530">
        <v>0</v>
      </c>
      <c r="E467" s="1530">
        <v>0</v>
      </c>
      <c r="F467" s="1530">
        <v>0</v>
      </c>
      <c r="G467" s="1530">
        <v>0</v>
      </c>
    </row>
    <row r="468" spans="2:7">
      <c r="B468" s="33" t="s">
        <v>713</v>
      </c>
      <c r="C468" s="1531">
        <f>+C466*C467</f>
        <v>0</v>
      </c>
      <c r="D468" s="1531">
        <f>+D466*D467</f>
        <v>0</v>
      </c>
      <c r="E468" s="1531">
        <f>+E466*E467</f>
        <v>0</v>
      </c>
      <c r="F468" s="1531">
        <f>+F466*F467</f>
        <v>0</v>
      </c>
      <c r="G468" s="1531">
        <f>+G466*G467</f>
        <v>0</v>
      </c>
    </row>
    <row r="469" spans="2:7">
      <c r="C469" s="1375"/>
      <c r="D469" s="1375"/>
      <c r="E469" s="1375"/>
      <c r="F469" s="1375"/>
      <c r="G469" s="1375"/>
    </row>
    <row r="470" spans="2:7">
      <c r="B470" s="33" t="s">
        <v>714</v>
      </c>
      <c r="C470" s="1375">
        <v>2080</v>
      </c>
      <c r="D470" s="1375">
        <v>2080</v>
      </c>
      <c r="E470" s="1375">
        <v>2080</v>
      </c>
      <c r="F470" s="1375">
        <v>2080</v>
      </c>
      <c r="G470" s="1375">
        <v>2080</v>
      </c>
    </row>
    <row r="471" spans="2:7">
      <c r="B471" s="125" t="s">
        <v>715</v>
      </c>
      <c r="C471" s="1631">
        <f>+C468/C470</f>
        <v>0</v>
      </c>
      <c r="D471" s="1532">
        <f>+D468/D470</f>
        <v>0</v>
      </c>
      <c r="E471" s="1532">
        <f>+E468/E470</f>
        <v>0</v>
      </c>
      <c r="F471" s="1532">
        <f>+F468/F470</f>
        <v>0</v>
      </c>
      <c r="G471" s="1532">
        <f>+G468/G470</f>
        <v>0</v>
      </c>
    </row>
    <row r="472" spans="2:7">
      <c r="C472" s="1375"/>
      <c r="D472" s="1375"/>
      <c r="E472" s="1375"/>
      <c r="F472" s="1375"/>
      <c r="G472" s="1375"/>
    </row>
    <row r="473" spans="2:7">
      <c r="B473" s="33" t="s">
        <v>716</v>
      </c>
      <c r="C473" s="1530">
        <v>0</v>
      </c>
      <c r="D473" s="1530">
        <v>0</v>
      </c>
      <c r="E473" s="1530">
        <v>0</v>
      </c>
      <c r="F473" s="1530">
        <v>0</v>
      </c>
      <c r="G473" s="1530">
        <v>0</v>
      </c>
    </row>
    <row r="474" spans="2:7">
      <c r="B474" s="33" t="s">
        <v>717</v>
      </c>
      <c r="C474" s="1530">
        <v>0</v>
      </c>
      <c r="D474" s="1530">
        <v>0</v>
      </c>
      <c r="E474" s="1530">
        <v>0</v>
      </c>
      <c r="F474" s="1530">
        <v>0</v>
      </c>
      <c r="G474" s="1530">
        <v>0</v>
      </c>
    </row>
    <row r="475" spans="2:7">
      <c r="B475" s="33" t="s">
        <v>718</v>
      </c>
      <c r="C475" s="1534">
        <f>+C473*C474</f>
        <v>0</v>
      </c>
      <c r="D475" s="1534">
        <f>+D473*D474</f>
        <v>0</v>
      </c>
      <c r="E475" s="1534">
        <f>+E473*E474</f>
        <v>0</v>
      </c>
      <c r="F475" s="1534">
        <f>+F473*F474</f>
        <v>0</v>
      </c>
      <c r="G475" s="1534">
        <f>+G473*G474</f>
        <v>0</v>
      </c>
    </row>
    <row r="476" spans="2:7">
      <c r="B476" s="125" t="s">
        <v>719</v>
      </c>
      <c r="C476" s="1533">
        <f>IFERROR(C468/C475,0)</f>
        <v>0</v>
      </c>
      <c r="D476" s="1533">
        <f t="shared" ref="D476:G476" si="123">IFERROR(D468/D475,0)</f>
        <v>0</v>
      </c>
      <c r="E476" s="1533">
        <f t="shared" si="123"/>
        <v>0</v>
      </c>
      <c r="F476" s="1533">
        <f t="shared" si="123"/>
        <v>0</v>
      </c>
      <c r="G476" s="1533">
        <f t="shared" si="123"/>
        <v>0</v>
      </c>
    </row>
  </sheetData>
  <sheetProtection algorithmName="SHA-512" hashValue="nfHpM/dLw4K7YPCvw4qOhBR/IAxK+VU4IQYCY2CiTuGfKvTFP3M4nzNBV2Lbgqel0mEpYHQu5wFpX5AgIk/DUg==" saltValue="GERKd+p1zK2UKR+2z4Dttw==" spinCount="100000" sheet="1" objects="1" scenarios="1"/>
  <mergeCells count="14">
    <mergeCell ref="E59:M59"/>
    <mergeCell ref="E54:M54"/>
    <mergeCell ref="E55:M55"/>
    <mergeCell ref="E56:M56"/>
    <mergeCell ref="E57:M57"/>
    <mergeCell ref="E58:M58"/>
    <mergeCell ref="E66:M66"/>
    <mergeCell ref="E67:M67"/>
    <mergeCell ref="E60:M60"/>
    <mergeCell ref="E61:M61"/>
    <mergeCell ref="E62:M62"/>
    <mergeCell ref="E63:M63"/>
    <mergeCell ref="E64:M64"/>
    <mergeCell ref="E65:M65"/>
  </mergeCells>
  <conditionalFormatting sqref="D1">
    <cfRule type="expression" dxfId="42" priority="13" stopIfTrue="1">
      <formula>MOD(ROW(),2)=0</formula>
    </cfRule>
  </conditionalFormatting>
  <conditionalFormatting sqref="G17:M23">
    <cfRule type="cellIs" dxfId="41" priority="15" stopIfTrue="1" operator="equal">
      <formula>0</formula>
    </cfRule>
  </conditionalFormatting>
  <conditionalFormatting sqref="G25:M25">
    <cfRule type="cellIs" dxfId="40" priority="42" stopIfTrue="1" operator="equal">
      <formula>0</formula>
    </cfRule>
  </conditionalFormatting>
  <conditionalFormatting sqref="G27:M27">
    <cfRule type="cellIs" dxfId="39" priority="41" stopIfTrue="1" operator="equal">
      <formula>0</formula>
    </cfRule>
  </conditionalFormatting>
  <conditionalFormatting sqref="G30:M32 G34:M35">
    <cfRule type="cellIs" dxfId="38" priority="38" stopIfTrue="1" operator="equal">
      <formula>0</formula>
    </cfRule>
  </conditionalFormatting>
  <conditionalFormatting sqref="G37:M40">
    <cfRule type="cellIs" dxfId="37" priority="14" stopIfTrue="1" operator="equal">
      <formula>0</formula>
    </cfRule>
  </conditionalFormatting>
  <conditionalFormatting sqref="G42:M47">
    <cfRule type="cellIs" dxfId="36" priority="37" stopIfTrue="1" operator="equal">
      <formula>0</formula>
    </cfRule>
  </conditionalFormatting>
  <conditionalFormatting sqref="G86:M86">
    <cfRule type="cellIs" dxfId="35" priority="31" stopIfTrue="1" operator="equal">
      <formula>0</formula>
    </cfRule>
  </conditionalFormatting>
  <conditionalFormatting sqref="G94:M94">
    <cfRule type="cellIs" dxfId="34" priority="32" stopIfTrue="1" operator="equal">
      <formula>0</formula>
    </cfRule>
  </conditionalFormatting>
  <conditionalFormatting sqref="G106:M106">
    <cfRule type="cellIs" dxfId="33" priority="33" stopIfTrue="1" operator="equal">
      <formula>0</formula>
    </cfRule>
  </conditionalFormatting>
  <conditionalFormatting sqref="G120:M120">
    <cfRule type="cellIs" dxfId="32" priority="34" stopIfTrue="1" operator="equal">
      <formula>0</formula>
    </cfRule>
  </conditionalFormatting>
  <conditionalFormatting sqref="G134:M134">
    <cfRule type="cellIs" dxfId="31" priority="35" stopIfTrue="1" operator="equal">
      <formula>0</formula>
    </cfRule>
  </conditionalFormatting>
  <conditionalFormatting sqref="G136:M137">
    <cfRule type="cellIs" dxfId="30" priority="36" stopIfTrue="1" operator="equal">
      <formula>0</formula>
    </cfRule>
  </conditionalFormatting>
  <hyperlinks>
    <hyperlink ref="D1" location="HypLink1" display="HypLink1"/>
    <hyperlink ref="D2" r:id="rId1" display="You may wish to compare staff compensation with what is shown on the Transparent Nevada website."/>
  </hyperlinks>
  <pageMargins left="0.25" right="0.25" top="0.5" bottom="0.45" header="0.25" footer="0.25"/>
  <pageSetup scale="55" fitToHeight="4" orientation="landscape" r:id="rId2"/>
  <headerFooter>
    <oddHeader xml:space="preserve">&amp;L &amp;C &amp;R </oddHeader>
    <oddFooter>&amp;L&amp;7&amp;D  at &amp;T Mike 702.854.0691&amp;C&amp;7&amp;F  &amp;A&amp;R&amp;7Page &amp;P of &amp;N</oddFooter>
  </headerFooter>
  <rowBreaks count="1" manualBreakCount="1">
    <brk id="48" max="12" man="1"/>
  </rowBreak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Z104"/>
  <sheetViews>
    <sheetView topLeftCell="A73" workbookViewId="0">
      <selection activeCell="F33" sqref="F33"/>
    </sheetView>
  </sheetViews>
  <sheetFormatPr defaultColWidth="8.77734375" defaultRowHeight="13.8" outlineLevelRow="1"/>
  <cols>
    <col min="1" max="1" width="6.21875" style="33" customWidth="1"/>
    <col min="2" max="2" width="40.44140625" style="33" customWidth="1"/>
    <col min="3" max="3" width="19.21875" style="33" customWidth="1"/>
    <col min="4" max="4" width="11.44140625" style="33" customWidth="1"/>
    <col min="5" max="5" width="17.77734375" style="33" customWidth="1"/>
    <col min="6" max="6" width="15.21875" style="33" bestFit="1" customWidth="1"/>
    <col min="7" max="10" width="16" style="33" bestFit="1" customWidth="1"/>
    <col min="11" max="11" width="13.77734375" style="33" bestFit="1" customWidth="1"/>
    <col min="12" max="12" width="15.77734375" style="33" bestFit="1" customWidth="1"/>
    <col min="13" max="13" width="7.21875" style="33" customWidth="1"/>
    <col min="14" max="14" width="59.77734375" style="307" customWidth="1"/>
    <col min="15" max="15" width="8.77734375" style="33"/>
    <col min="16" max="16" width="9.44140625" style="33" customWidth="1"/>
    <col min="17" max="16384" width="8.77734375" style="33"/>
  </cols>
  <sheetData>
    <row r="1" spans="1:26" ht="15.6">
      <c r="A1" s="112" t="s">
        <v>122</v>
      </c>
      <c r="B1" s="321"/>
      <c r="D1" s="408" t="s">
        <v>3</v>
      </c>
      <c r="G1" s="1650" t="s">
        <v>720</v>
      </c>
      <c r="H1" s="1650"/>
      <c r="I1" s="1650"/>
      <c r="J1" s="63"/>
      <c r="K1" s="63"/>
      <c r="Z1" s="7"/>
    </row>
    <row r="2" spans="1:26" ht="15.6">
      <c r="A2" s="37" t="str">
        <f>SchoolName</f>
        <v>The Delta Academy</v>
      </c>
      <c r="B2" s="38"/>
      <c r="G2" s="1788" t="str">
        <f>+Cover!C18</f>
        <v>Test</v>
      </c>
      <c r="H2" s="1788"/>
      <c r="I2" s="1788"/>
      <c r="J2" s="1788"/>
      <c r="K2" s="1788"/>
      <c r="Z2" s="7"/>
    </row>
    <row r="3" spans="1:26">
      <c r="A3" s="39" t="s">
        <v>2</v>
      </c>
      <c r="G3" s="1789" t="str">
        <f>+Cover!C19</f>
        <v>Site 2</v>
      </c>
      <c r="H3" s="1789"/>
      <c r="I3" s="1789"/>
      <c r="J3" s="1789"/>
      <c r="K3" s="1789"/>
      <c r="Z3" s="7"/>
    </row>
    <row r="4" spans="1:26">
      <c r="A4" s="30" t="str">
        <f ca="1">CELL("filename")</f>
        <v>C:\Users\kyle.konold\Downloads\[FY25 Budget - Delta Academy_Final.xlsx]Form 1 Cover</v>
      </c>
      <c r="Z4" s="7"/>
    </row>
    <row r="5" spans="1:26" ht="14.4" thickBot="1">
      <c r="Z5" s="7"/>
    </row>
    <row r="6" spans="1:26" s="31" customFormat="1" outlineLevel="1">
      <c r="B6" s="1525" t="s">
        <v>721</v>
      </c>
      <c r="C6" s="1529"/>
      <c r="D6" s="1528"/>
      <c r="F6" s="1638">
        <f>' Enrol &amp; Rev'!F9</f>
        <v>0</v>
      </c>
      <c r="G6" s="718">
        <f>' Enrol &amp; Rev'!G9</f>
        <v>1</v>
      </c>
      <c r="H6" s="718">
        <f>' Enrol &amp; Rev'!H9</f>
        <v>2</v>
      </c>
      <c r="I6" s="718">
        <f>' Enrol &amp; Rev'!I9</f>
        <v>3</v>
      </c>
      <c r="J6" s="718">
        <f>' Enrol &amp; Rev'!J9</f>
        <v>4</v>
      </c>
      <c r="K6" s="718">
        <f>' Enrol &amp; Rev'!K9</f>
        <v>5</v>
      </c>
      <c r="L6" s="1188">
        <f>' Enrol &amp; Rev'!L9</f>
        <v>6</v>
      </c>
      <c r="N6" s="1365" t="s">
        <v>103</v>
      </c>
      <c r="Z6" s="7"/>
    </row>
    <row r="7" spans="1:26" ht="14.4" outlineLevel="1" thickBot="1">
      <c r="B7" s="1526" t="s">
        <v>722</v>
      </c>
      <c r="C7" s="194" t="s">
        <v>723</v>
      </c>
      <c r="D7" s="1527"/>
      <c r="F7" s="719">
        <f>+G7-1</f>
        <v>2024</v>
      </c>
      <c r="G7" s="720">
        <f>' Enrol &amp; Rev'!G10</f>
        <v>2025</v>
      </c>
      <c r="H7" s="720">
        <f>' Enrol &amp; Rev'!H10</f>
        <v>2026</v>
      </c>
      <c r="I7" s="720">
        <f>' Enrol &amp; Rev'!I10</f>
        <v>2027</v>
      </c>
      <c r="J7" s="720">
        <f>' Enrol &amp; Rev'!J10</f>
        <v>2028</v>
      </c>
      <c r="K7" s="720">
        <f>' Enrol &amp; Rev'!K10</f>
        <v>2029</v>
      </c>
      <c r="L7" s="721">
        <f>' Enrol &amp; Rev'!L10</f>
        <v>2030</v>
      </c>
      <c r="M7" s="41"/>
      <c r="N7" s="462"/>
    </row>
    <row r="8" spans="1:26" outlineLevel="1">
      <c r="C8" s="31"/>
      <c r="F8" s="722">
        <f>+G8-1</f>
        <v>2025</v>
      </c>
      <c r="G8" s="723">
        <f>' Enrol &amp; Rev'!G11</f>
        <v>2026</v>
      </c>
      <c r="H8" s="723">
        <f>' Enrol &amp; Rev'!H11</f>
        <v>2027</v>
      </c>
      <c r="I8" s="723">
        <f>' Enrol &amp; Rev'!I11</f>
        <v>2028</v>
      </c>
      <c r="J8" s="723">
        <f>' Enrol &amp; Rev'!J11</f>
        <v>2029</v>
      </c>
      <c r="K8" s="723">
        <f>' Enrol &amp; Rev'!K11</f>
        <v>2030</v>
      </c>
      <c r="L8" s="724">
        <f>' Enrol &amp; Rev'!L11</f>
        <v>2031</v>
      </c>
      <c r="M8" s="41"/>
      <c r="N8" s="343"/>
    </row>
    <row r="9" spans="1:26" outlineLevel="1">
      <c r="A9" s="346">
        <f>ROW()</f>
        <v>9</v>
      </c>
      <c r="B9" s="235" t="s">
        <v>724</v>
      </c>
      <c r="C9" s="236"/>
      <c r="D9" s="236"/>
      <c r="E9" s="63"/>
      <c r="F9" s="1655" t="s">
        <v>587</v>
      </c>
      <c r="G9" s="645">
        <f>' Enrol &amp; Rev'!G36</f>
        <v>1595</v>
      </c>
      <c r="H9" s="645">
        <f>' Enrol &amp; Rev'!H36</f>
        <v>1688</v>
      </c>
      <c r="I9" s="645">
        <f>' Enrol &amp; Rev'!I36</f>
        <v>1788.6201881600005</v>
      </c>
      <c r="J9" s="645">
        <f>' Enrol &amp; Rev'!J36</f>
        <v>1895.9373994496007</v>
      </c>
      <c r="K9" s="645">
        <f>' Enrol &amp; Rev'!K36</f>
        <v>2009.6936434165768</v>
      </c>
      <c r="L9" s="1207">
        <f>' Enrol &amp; Rev'!L36</f>
        <v>2130.2752620215715</v>
      </c>
      <c r="M9" s="41"/>
      <c r="N9" s="343"/>
    </row>
    <row r="10" spans="1:26" outlineLevel="1">
      <c r="A10" s="346">
        <f>ROW()</f>
        <v>10</v>
      </c>
      <c r="B10" s="33" t="s">
        <v>725</v>
      </c>
      <c r="C10" s="31"/>
      <c r="G10" s="510">
        <f>IFERROR(+G11/' Enrol &amp; Rev'!G36,0)</f>
        <v>25.889655172413793</v>
      </c>
      <c r="H10" s="510">
        <f>IFERROR(+H11/' Enrol &amp; Rev'!H36,0)</f>
        <v>24.463270142180093</v>
      </c>
      <c r="I10" s="510">
        <f>IFERROR(+I11/' Enrol &amp; Rev'!I36,0)</f>
        <v>23.087070286554351</v>
      </c>
      <c r="J10" s="510">
        <f>IFERROR(+J11/' Enrol &amp; Rev'!J36,0)</f>
        <v>21.780254987315423</v>
      </c>
      <c r="K10" s="510">
        <f>IFERROR(+K11/' Enrol &amp; Rev'!K36,0)</f>
        <v>20.547410365391908</v>
      </c>
      <c r="L10" s="510">
        <f>IFERROR(+L11/' Enrol &amp; Rev'!L36,0)</f>
        <v>19.38434940131312</v>
      </c>
      <c r="M10" s="41"/>
      <c r="N10" s="343"/>
    </row>
    <row r="11" spans="1:26" outlineLevel="1">
      <c r="A11" s="346">
        <f>ROW()</f>
        <v>11</v>
      </c>
      <c r="B11" s="33" t="s">
        <v>726</v>
      </c>
      <c r="F11" s="511">
        <v>41294</v>
      </c>
      <c r="G11" s="511">
        <v>41294</v>
      </c>
      <c r="H11" s="511">
        <v>41294</v>
      </c>
      <c r="I11" s="511">
        <v>41294</v>
      </c>
      <c r="J11" s="511">
        <v>41294</v>
      </c>
      <c r="K11" s="511">
        <v>41294</v>
      </c>
      <c r="L11" s="511">
        <v>41294</v>
      </c>
      <c r="M11" s="41"/>
      <c r="N11" s="343"/>
    </row>
    <row r="12" spans="1:26" outlineLevel="1">
      <c r="A12" s="346"/>
      <c r="M12" s="41"/>
      <c r="N12" s="343"/>
    </row>
    <row r="13" spans="1:26" outlineLevel="1">
      <c r="A13" s="346">
        <f>ROW()</f>
        <v>13</v>
      </c>
      <c r="B13" s="33" t="s">
        <v>727</v>
      </c>
      <c r="F13" s="1322">
        <v>1.25</v>
      </c>
      <c r="G13" s="1322">
        <v>1.294</v>
      </c>
      <c r="H13" s="1322">
        <v>1.31</v>
      </c>
      <c r="I13" s="1322">
        <v>1.32</v>
      </c>
      <c r="J13" s="1322">
        <v>1.33</v>
      </c>
      <c r="K13" s="1322">
        <v>1.35</v>
      </c>
      <c r="L13" s="1322">
        <v>1.36</v>
      </c>
      <c r="M13" s="41"/>
      <c r="N13" s="343" t="s">
        <v>728</v>
      </c>
    </row>
    <row r="14" spans="1:26" outlineLevel="1">
      <c r="A14" s="346">
        <f>ROW()</f>
        <v>14</v>
      </c>
      <c r="B14" s="33" t="s">
        <v>729</v>
      </c>
      <c r="F14" s="1524">
        <f>+F13*12</f>
        <v>15</v>
      </c>
      <c r="G14" s="1524">
        <f>+G13*12</f>
        <v>15.528</v>
      </c>
      <c r="H14" s="1524">
        <f t="shared" ref="H14:L17" si="0">+H13*12</f>
        <v>15.72</v>
      </c>
      <c r="I14" s="1524">
        <f t="shared" si="0"/>
        <v>15.84</v>
      </c>
      <c r="J14" s="1524">
        <f t="shared" si="0"/>
        <v>15.96</v>
      </c>
      <c r="K14" s="1524">
        <f t="shared" si="0"/>
        <v>16.200000000000003</v>
      </c>
      <c r="L14" s="1524">
        <f t="shared" si="0"/>
        <v>16.32</v>
      </c>
      <c r="M14" s="41"/>
      <c r="N14" s="343" t="s">
        <v>730</v>
      </c>
    </row>
    <row r="15" spans="1:26" outlineLevel="1">
      <c r="A15" s="346"/>
      <c r="F15" s="512"/>
      <c r="G15" s="512"/>
      <c r="H15" s="512"/>
      <c r="I15" s="512"/>
      <c r="J15" s="512"/>
      <c r="K15" s="512"/>
      <c r="L15" s="512"/>
      <c r="M15" s="41"/>
      <c r="N15" s="343"/>
    </row>
    <row r="16" spans="1:26" outlineLevel="1">
      <c r="A16" s="346">
        <f>ROW()</f>
        <v>16</v>
      </c>
      <c r="B16" s="33" t="s">
        <v>731</v>
      </c>
      <c r="C16" s="32"/>
      <c r="F16" s="1322">
        <v>1.25</v>
      </c>
      <c r="G16" s="1322">
        <v>1.294</v>
      </c>
      <c r="H16" s="1322">
        <v>1.31</v>
      </c>
      <c r="I16" s="1322">
        <v>1.32</v>
      </c>
      <c r="J16" s="1322">
        <v>1.33</v>
      </c>
      <c r="K16" s="1322">
        <v>1.35</v>
      </c>
      <c r="L16" s="1322">
        <v>1.36</v>
      </c>
      <c r="M16" s="41"/>
      <c r="N16" s="343" t="s">
        <v>732</v>
      </c>
    </row>
    <row r="17" spans="1:14" outlineLevel="1">
      <c r="A17" s="346">
        <f>ROW()</f>
        <v>17</v>
      </c>
      <c r="B17" s="33" t="s">
        <v>733</v>
      </c>
      <c r="C17" s="32"/>
      <c r="F17" s="1524">
        <f>+F16*12</f>
        <v>15</v>
      </c>
      <c r="G17" s="1524">
        <f>+G16*12</f>
        <v>15.528</v>
      </c>
      <c r="H17" s="1524">
        <f t="shared" si="0"/>
        <v>15.72</v>
      </c>
      <c r="I17" s="1524">
        <f t="shared" si="0"/>
        <v>15.84</v>
      </c>
      <c r="J17" s="1524">
        <f t="shared" si="0"/>
        <v>15.96</v>
      </c>
      <c r="K17" s="1524">
        <f t="shared" si="0"/>
        <v>16.200000000000003</v>
      </c>
      <c r="L17" s="1524">
        <f t="shared" si="0"/>
        <v>16.32</v>
      </c>
      <c r="M17" s="41"/>
      <c r="N17" s="343" t="s">
        <v>734</v>
      </c>
    </row>
    <row r="18" spans="1:14" outlineLevel="1">
      <c r="A18" s="346">
        <f>ROW()</f>
        <v>18</v>
      </c>
      <c r="F18" s="512"/>
      <c r="G18" s="512"/>
      <c r="H18" s="512"/>
      <c r="I18" s="512"/>
      <c r="J18" s="512"/>
      <c r="K18" s="512"/>
      <c r="L18" s="512"/>
      <c r="M18" s="41"/>
      <c r="N18" s="343"/>
    </row>
    <row r="19" spans="1:14" outlineLevel="1">
      <c r="A19" s="346">
        <f>ROW()</f>
        <v>19</v>
      </c>
      <c r="B19" s="43" t="s">
        <v>735</v>
      </c>
      <c r="F19" s="981"/>
      <c r="G19" s="981"/>
      <c r="H19" s="513">
        <v>1.04E-2</v>
      </c>
      <c r="I19" s="513">
        <v>1.04E-2</v>
      </c>
      <c r="J19" s="513">
        <v>1.04E-2</v>
      </c>
      <c r="K19" s="513">
        <v>1.04E-2</v>
      </c>
      <c r="L19" s="513">
        <v>1.04E-2</v>
      </c>
      <c r="M19" s="41"/>
      <c r="N19" s="343"/>
    </row>
    <row r="20" spans="1:14" outlineLevel="1">
      <c r="A20" s="346">
        <f>ROW()</f>
        <v>20</v>
      </c>
      <c r="B20" s="43" t="s">
        <v>736</v>
      </c>
      <c r="F20" s="514">
        <f t="shared" ref="F20:L20" si="1">+F21/12</f>
        <v>1.25</v>
      </c>
      <c r="G20" s="514">
        <f t="shared" si="1"/>
        <v>1.294</v>
      </c>
      <c r="H20" s="514">
        <f t="shared" si="1"/>
        <v>1.3074576</v>
      </c>
      <c r="I20" s="514">
        <f t="shared" si="1"/>
        <v>1.3210551590399999</v>
      </c>
      <c r="J20" s="514">
        <f t="shared" si="1"/>
        <v>1.3347941326940156</v>
      </c>
      <c r="K20" s="514">
        <f t="shared" si="1"/>
        <v>1.3486759916740334</v>
      </c>
      <c r="L20" s="514">
        <f t="shared" si="1"/>
        <v>1.3627022219874432</v>
      </c>
      <c r="M20" s="41"/>
      <c r="N20" s="343"/>
    </row>
    <row r="21" spans="1:14" outlineLevel="1">
      <c r="A21" s="346">
        <f>ROW()</f>
        <v>21</v>
      </c>
      <c r="B21" s="43" t="s">
        <v>737</v>
      </c>
      <c r="F21" s="512">
        <f>+F17*(1+F19)</f>
        <v>15</v>
      </c>
      <c r="G21" s="512">
        <f>+G17*(1+G19)</f>
        <v>15.528</v>
      </c>
      <c r="H21" s="512">
        <f>+G21*(1+H19)</f>
        <v>15.689491199999999</v>
      </c>
      <c r="I21" s="512">
        <f>+H21*(1+I19)</f>
        <v>15.852661908479998</v>
      </c>
      <c r="J21" s="512">
        <f>+I21*(1+J19)</f>
        <v>16.017529592328188</v>
      </c>
      <c r="K21" s="512">
        <f>+J21*(1+K19)</f>
        <v>16.1841119000884</v>
      </c>
      <c r="L21" s="512">
        <f>+K21*(1+L19)</f>
        <v>16.352426663849318</v>
      </c>
      <c r="M21" s="41"/>
      <c r="N21" s="343"/>
    </row>
    <row r="22" spans="1:14" outlineLevel="1">
      <c r="A22" s="346">
        <f>ROW()</f>
        <v>22</v>
      </c>
      <c r="B22" s="31"/>
      <c r="G22" s="503"/>
      <c r="H22" s="503"/>
      <c r="I22" s="503"/>
      <c r="J22" s="503"/>
      <c r="K22" s="503"/>
      <c r="L22" s="503"/>
      <c r="M22" s="41"/>
      <c r="N22" s="343"/>
    </row>
    <row r="23" spans="1:14" outlineLevel="1">
      <c r="A23" s="346">
        <f>ROW()</f>
        <v>23</v>
      </c>
      <c r="B23" s="914" t="s">
        <v>738</v>
      </c>
      <c r="C23" s="159"/>
      <c r="D23" s="125"/>
      <c r="E23" s="349">
        <f t="shared" ref="E23:E41" si="2">SUM(F23:L23)</f>
        <v>4565281.5929064173</v>
      </c>
      <c r="F23" s="982">
        <v>616575</v>
      </c>
      <c r="G23" s="350">
        <f t="shared" ref="G23:L23" si="3">G11*(G21)</f>
        <v>641213.23200000008</v>
      </c>
      <c r="H23" s="351">
        <f t="shared" si="3"/>
        <v>647881.84961279994</v>
      </c>
      <c r="I23" s="351">
        <f t="shared" si="3"/>
        <v>654619.820848773</v>
      </c>
      <c r="J23" s="351">
        <f t="shared" si="3"/>
        <v>661427.86698560021</v>
      </c>
      <c r="K23" s="351">
        <f t="shared" si="3"/>
        <v>668306.71680225036</v>
      </c>
      <c r="L23" s="351">
        <f t="shared" si="3"/>
        <v>675257.10665699374</v>
      </c>
      <c r="M23" s="41"/>
      <c r="N23" s="343"/>
    </row>
    <row r="24" spans="1:14" outlineLevel="1">
      <c r="A24" s="346">
        <f>ROW()</f>
        <v>24</v>
      </c>
      <c r="B24" s="44"/>
      <c r="C24" s="32" t="s">
        <v>739</v>
      </c>
      <c r="E24" s="647"/>
      <c r="F24" s="647"/>
      <c r="G24" s="130"/>
      <c r="H24" s="138"/>
      <c r="I24" s="138"/>
      <c r="J24" s="138"/>
      <c r="K24" s="138"/>
      <c r="L24" s="138"/>
      <c r="M24" s="41"/>
      <c r="N24" s="343"/>
    </row>
    <row r="25" spans="1:14" outlineLevel="1">
      <c r="A25" s="346">
        <f>ROW()</f>
        <v>25</v>
      </c>
      <c r="B25" s="33" t="s">
        <v>740</v>
      </c>
      <c r="C25" s="802">
        <v>1.4529955925800357</v>
      </c>
      <c r="D25" s="1437" t="s">
        <v>741</v>
      </c>
      <c r="E25" s="1438">
        <f t="shared" si="2"/>
        <v>459693.73084973998</v>
      </c>
      <c r="F25" s="280">
        <v>59946</v>
      </c>
      <c r="G25" s="652">
        <f>60000*1.03</f>
        <v>61800</v>
      </c>
      <c r="H25" s="652">
        <f t="shared" ref="H25:L25" si="4">G25*1.03</f>
        <v>63654</v>
      </c>
      <c r="I25" s="652">
        <f t="shared" si="4"/>
        <v>65563.62</v>
      </c>
      <c r="J25" s="652">
        <f t="shared" si="4"/>
        <v>67530.528599999991</v>
      </c>
      <c r="K25" s="652">
        <f t="shared" si="4"/>
        <v>69556.444457999998</v>
      </c>
      <c r="L25" s="652">
        <f t="shared" si="4"/>
        <v>71643.137791739995</v>
      </c>
      <c r="M25" s="41"/>
      <c r="N25" s="343" t="s">
        <v>786</v>
      </c>
    </row>
    <row r="26" spans="1:14" outlineLevel="1">
      <c r="A26" s="346">
        <f>ROW()</f>
        <v>26</v>
      </c>
      <c r="B26" s="33" t="s">
        <v>742</v>
      </c>
      <c r="C26" s="803">
        <v>1.8162444907250448</v>
      </c>
      <c r="D26" s="1437" t="s">
        <v>741</v>
      </c>
      <c r="E26" s="1438">
        <f t="shared" si="2"/>
        <v>574684.66356217512</v>
      </c>
      <c r="F26" s="280">
        <v>75000</v>
      </c>
      <c r="G26" s="653">
        <f>75000*1.03</f>
        <v>77250</v>
      </c>
      <c r="H26" s="653">
        <f t="shared" ref="H26:L26" si="5">G26*1.03</f>
        <v>79567.5</v>
      </c>
      <c r="I26" s="653">
        <f t="shared" si="5"/>
        <v>81954.525000000009</v>
      </c>
      <c r="J26" s="653">
        <f t="shared" si="5"/>
        <v>84413.16075000001</v>
      </c>
      <c r="K26" s="653">
        <f t="shared" si="5"/>
        <v>86945.555572500016</v>
      </c>
      <c r="L26" s="653">
        <f t="shared" si="5"/>
        <v>89553.922239675012</v>
      </c>
      <c r="M26" s="45"/>
      <c r="N26" s="343" t="s">
        <v>1574</v>
      </c>
    </row>
    <row r="27" spans="1:14" outlineLevel="1">
      <c r="A27" s="346">
        <f>ROW()</f>
        <v>27</v>
      </c>
      <c r="B27" s="33" t="s">
        <v>743</v>
      </c>
      <c r="C27" s="802"/>
      <c r="D27" s="1437" t="s">
        <v>741</v>
      </c>
      <c r="E27" s="1438">
        <f t="shared" si="2"/>
        <v>0</v>
      </c>
      <c r="F27" s="280"/>
      <c r="G27" s="653">
        <f t="shared" ref="G27:L27" si="6">G11*$C27</f>
        <v>0</v>
      </c>
      <c r="H27" s="653">
        <f t="shared" si="6"/>
        <v>0</v>
      </c>
      <c r="I27" s="653">
        <f t="shared" si="6"/>
        <v>0</v>
      </c>
      <c r="J27" s="653">
        <f t="shared" si="6"/>
        <v>0</v>
      </c>
      <c r="K27" s="653">
        <f t="shared" si="6"/>
        <v>0</v>
      </c>
      <c r="L27" s="653">
        <f t="shared" si="6"/>
        <v>0</v>
      </c>
      <c r="M27" s="41"/>
      <c r="N27" s="343"/>
    </row>
    <row r="28" spans="1:14" outlineLevel="1">
      <c r="A28" s="346">
        <f>ROW()</f>
        <v>28</v>
      </c>
      <c r="B28" s="33" t="s">
        <v>744</v>
      </c>
      <c r="C28" s="802">
        <v>18600</v>
      </c>
      <c r="D28" s="1437" t="s">
        <v>745</v>
      </c>
      <c r="E28" s="1438">
        <f t="shared" si="2"/>
        <v>142521.79656341943</v>
      </c>
      <c r="F28" s="280">
        <v>18600</v>
      </c>
      <c r="G28" s="653">
        <f>18600*1.03</f>
        <v>19158</v>
      </c>
      <c r="H28" s="653">
        <f t="shared" ref="H28:L28" si="7">G28*1.03</f>
        <v>19732.740000000002</v>
      </c>
      <c r="I28" s="653">
        <f t="shared" si="7"/>
        <v>20324.722200000004</v>
      </c>
      <c r="J28" s="653">
        <f t="shared" si="7"/>
        <v>20934.463866000006</v>
      </c>
      <c r="K28" s="653">
        <f t="shared" si="7"/>
        <v>21562.497781980008</v>
      </c>
      <c r="L28" s="653">
        <f t="shared" si="7"/>
        <v>22209.372715439407</v>
      </c>
      <c r="M28" s="41"/>
      <c r="N28" s="343" t="s">
        <v>1566</v>
      </c>
    </row>
    <row r="29" spans="1:14" outlineLevel="1">
      <c r="A29" s="346">
        <f>ROW()</f>
        <v>29</v>
      </c>
      <c r="B29" s="33" t="s">
        <v>746</v>
      </c>
      <c r="C29" s="802"/>
      <c r="D29" s="1437" t="s">
        <v>745</v>
      </c>
      <c r="E29" s="1438">
        <f t="shared" si="2"/>
        <v>0</v>
      </c>
      <c r="F29" s="280"/>
      <c r="G29" s="653">
        <f t="shared" ref="G29" si="8">+C29</f>
        <v>0</v>
      </c>
      <c r="H29" s="653">
        <f t="shared" ref="H29:L29" si="9">+G29</f>
        <v>0</v>
      </c>
      <c r="I29" s="653">
        <f t="shared" si="9"/>
        <v>0</v>
      </c>
      <c r="J29" s="653">
        <f t="shared" si="9"/>
        <v>0</v>
      </c>
      <c r="K29" s="653">
        <f t="shared" si="9"/>
        <v>0</v>
      </c>
      <c r="L29" s="653">
        <f t="shared" si="9"/>
        <v>0</v>
      </c>
      <c r="M29" s="41"/>
      <c r="N29" s="343"/>
    </row>
    <row r="30" spans="1:14" outlineLevel="1">
      <c r="A30" s="346">
        <f>ROW()</f>
        <v>30</v>
      </c>
      <c r="B30" s="33" t="s">
        <v>747</v>
      </c>
      <c r="C30" s="802">
        <v>6.7806460987068338</v>
      </c>
      <c r="D30" s="1437" t="s">
        <v>741</v>
      </c>
      <c r="E30" s="1438">
        <f t="shared" ref="E30" si="10">SUM(F30:L30)</f>
        <v>2145489.41063212</v>
      </c>
      <c r="F30" s="280">
        <v>280000</v>
      </c>
      <c r="G30" s="653">
        <f>280000*1.03</f>
        <v>288400</v>
      </c>
      <c r="H30" s="653">
        <f t="shared" ref="H30:L30" si="11">G30*1.03</f>
        <v>297052</v>
      </c>
      <c r="I30" s="653">
        <f t="shared" si="11"/>
        <v>305963.56</v>
      </c>
      <c r="J30" s="653">
        <f t="shared" si="11"/>
        <v>315142.46679999999</v>
      </c>
      <c r="K30" s="653">
        <f t="shared" si="11"/>
        <v>324596.740804</v>
      </c>
      <c r="L30" s="653">
        <f t="shared" si="11"/>
        <v>334334.64302811999</v>
      </c>
      <c r="M30" s="41"/>
      <c r="N30" s="343" t="s">
        <v>1570</v>
      </c>
    </row>
    <row r="31" spans="1:14" outlineLevel="1">
      <c r="A31" s="346">
        <f>ROW()</f>
        <v>31</v>
      </c>
      <c r="B31" s="33" t="s">
        <v>748</v>
      </c>
      <c r="C31" s="802">
        <v>3.3903230493534169</v>
      </c>
      <c r="D31" s="1437" t="s">
        <v>741</v>
      </c>
      <c r="E31" s="1438">
        <f t="shared" ref="E31" si="12">SUM(F31:L31)</f>
        <v>1072744.70531606</v>
      </c>
      <c r="F31" s="280">
        <v>140000</v>
      </c>
      <c r="G31" s="653">
        <f>140000*1.03</f>
        <v>144200</v>
      </c>
      <c r="H31" s="653">
        <f t="shared" ref="H31:L31" si="13">G31*1.03</f>
        <v>148526</v>
      </c>
      <c r="I31" s="653">
        <f t="shared" si="13"/>
        <v>152981.78</v>
      </c>
      <c r="J31" s="653">
        <f t="shared" si="13"/>
        <v>157571.2334</v>
      </c>
      <c r="K31" s="653">
        <f t="shared" si="13"/>
        <v>162298.370402</v>
      </c>
      <c r="L31" s="653">
        <f t="shared" si="13"/>
        <v>167167.32151405999</v>
      </c>
      <c r="M31" s="41"/>
      <c r="N31" s="343" t="s">
        <v>1576</v>
      </c>
    </row>
    <row r="32" spans="1:14" outlineLevel="1">
      <c r="A32" s="346">
        <f>ROW()</f>
        <v>32</v>
      </c>
      <c r="B32" s="33" t="s">
        <v>749</v>
      </c>
      <c r="C32" s="802"/>
      <c r="D32" s="1437" t="s">
        <v>741</v>
      </c>
      <c r="E32" s="1438">
        <f t="shared" ref="E32" si="14">SUM(F32:L32)</f>
        <v>37464</v>
      </c>
      <c r="F32" s="648">
        <v>5352</v>
      </c>
      <c r="G32" s="654">
        <v>5352</v>
      </c>
      <c r="H32" s="654">
        <v>5352</v>
      </c>
      <c r="I32" s="654">
        <v>5352</v>
      </c>
      <c r="J32" s="654">
        <v>5352</v>
      </c>
      <c r="K32" s="654">
        <v>5352</v>
      </c>
      <c r="L32" s="654">
        <v>5352</v>
      </c>
      <c r="M32" s="41"/>
      <c r="N32" s="343" t="s">
        <v>1567</v>
      </c>
    </row>
    <row r="33" spans="1:14" outlineLevel="1">
      <c r="A33" s="346">
        <f>ROW()</f>
        <v>33</v>
      </c>
      <c r="B33" s="125" t="s">
        <v>750</v>
      </c>
      <c r="C33" s="649">
        <v>0</v>
      </c>
      <c r="D33" s="1439" t="s">
        <v>751</v>
      </c>
      <c r="E33" s="1440">
        <f t="shared" si="2"/>
        <v>3853700.3069235142</v>
      </c>
      <c r="F33" s="650"/>
      <c r="G33" s="646">
        <f>SUM(G25:G32)*((1+$C$33)^G6)</f>
        <v>596160</v>
      </c>
      <c r="H33" s="695">
        <f t="shared" ref="H33:L33" si="15">SUM(H25:H32)*((1+$C$33)^H6)</f>
        <v>613884.24</v>
      </c>
      <c r="I33" s="695">
        <f t="shared" si="15"/>
        <v>632140.20720000006</v>
      </c>
      <c r="J33" s="695">
        <f t="shared" si="15"/>
        <v>650943.85341600003</v>
      </c>
      <c r="K33" s="695">
        <f t="shared" si="15"/>
        <v>670311.60901848006</v>
      </c>
      <c r="L33" s="695">
        <f t="shared" si="15"/>
        <v>690260.39728903444</v>
      </c>
      <c r="M33" s="41"/>
      <c r="N33" s="343" t="s">
        <v>1610</v>
      </c>
    </row>
    <row r="34" spans="1:14" outlineLevel="1">
      <c r="A34" s="346">
        <f>ROW()</f>
        <v>34</v>
      </c>
      <c r="B34" s="31" t="s">
        <v>752</v>
      </c>
      <c r="C34" s="802">
        <v>0</v>
      </c>
      <c r="D34" s="307" t="s">
        <v>753</v>
      </c>
      <c r="E34" s="1438">
        <f t="shared" si="2"/>
        <v>0</v>
      </c>
      <c r="F34" s="280">
        <v>0</v>
      </c>
      <c r="G34" s="280">
        <f>+C34</f>
        <v>0</v>
      </c>
      <c r="H34" s="653"/>
      <c r="I34" s="653"/>
      <c r="J34" s="653"/>
      <c r="K34" s="653"/>
      <c r="L34" s="653"/>
      <c r="M34" s="41"/>
      <c r="N34" s="343"/>
    </row>
    <row r="35" spans="1:14" outlineLevel="1">
      <c r="A35" s="346">
        <f>ROW()</f>
        <v>35</v>
      </c>
      <c r="B35" s="1441" t="s">
        <v>754</v>
      </c>
      <c r="C35" s="506"/>
      <c r="D35" s="307"/>
      <c r="E35" s="1438">
        <f t="shared" si="2"/>
        <v>0</v>
      </c>
      <c r="F35" s="1266"/>
      <c r="G35" s="1266"/>
      <c r="H35" s="1267"/>
      <c r="I35" s="1267"/>
      <c r="J35" s="1267"/>
      <c r="K35" s="1267"/>
      <c r="L35" s="1267"/>
      <c r="M35" s="41"/>
      <c r="N35" s="343"/>
    </row>
    <row r="36" spans="1:14" outlineLevel="1">
      <c r="A36" s="346">
        <f>ROW()</f>
        <v>36</v>
      </c>
      <c r="B36" s="97" t="s">
        <v>755</v>
      </c>
      <c r="C36" s="506"/>
      <c r="D36" s="307"/>
      <c r="E36" s="1438"/>
      <c r="F36" s="280"/>
      <c r="G36" s="280"/>
      <c r="H36" s="653"/>
      <c r="I36" s="653"/>
      <c r="J36" s="653"/>
      <c r="K36" s="653"/>
      <c r="L36" s="653"/>
      <c r="M36" s="41"/>
      <c r="N36" s="343"/>
    </row>
    <row r="37" spans="1:14" outlineLevel="1">
      <c r="A37" s="346">
        <f>ROW()</f>
        <v>37</v>
      </c>
      <c r="B37" s="97" t="s">
        <v>756</v>
      </c>
      <c r="C37" s="506"/>
      <c r="D37" s="307"/>
      <c r="E37" s="1438"/>
      <c r="F37" s="280"/>
      <c r="G37" s="280"/>
      <c r="H37" s="653"/>
      <c r="I37" s="653"/>
      <c r="J37" s="653"/>
      <c r="K37" s="653"/>
      <c r="L37" s="653"/>
      <c r="M37" s="41"/>
      <c r="N37" s="343"/>
    </row>
    <row r="38" spans="1:14" outlineLevel="1">
      <c r="A38" s="346">
        <f>ROW()</f>
        <v>38</v>
      </c>
      <c r="B38" s="97"/>
      <c r="C38" s="506"/>
      <c r="D38" s="307"/>
      <c r="E38" s="1438"/>
      <c r="F38" s="280"/>
      <c r="G38" s="280"/>
      <c r="H38" s="653"/>
      <c r="I38" s="653"/>
      <c r="J38" s="653"/>
      <c r="K38" s="653"/>
      <c r="L38" s="653"/>
      <c r="M38" s="41"/>
      <c r="N38" s="343"/>
    </row>
    <row r="39" spans="1:14" outlineLevel="1">
      <c r="A39" s="346">
        <f>ROW()</f>
        <v>39</v>
      </c>
      <c r="B39" s="97" t="s">
        <v>757</v>
      </c>
      <c r="C39" s="506"/>
      <c r="D39" s="307"/>
      <c r="E39" s="1438"/>
      <c r="F39" s="280"/>
      <c r="G39" s="280"/>
      <c r="H39" s="653"/>
      <c r="I39" s="653"/>
      <c r="J39" s="653"/>
      <c r="K39" s="653"/>
      <c r="L39" s="653"/>
      <c r="M39" s="41"/>
      <c r="N39" s="343"/>
    </row>
    <row r="40" spans="1:14" outlineLevel="1">
      <c r="A40" s="346">
        <f>ROW()</f>
        <v>40</v>
      </c>
      <c r="B40" s="97" t="s">
        <v>758</v>
      </c>
      <c r="C40" s="307"/>
      <c r="D40" s="307"/>
      <c r="E40" s="1438">
        <f t="shared" si="2"/>
        <v>0</v>
      </c>
      <c r="F40" s="281">
        <f>F35/15</f>
        <v>0</v>
      </c>
      <c r="G40" s="281">
        <f t="shared" ref="G40:L40" si="16">F40+(G35/15)</f>
        <v>0</v>
      </c>
      <c r="H40" s="282">
        <f t="shared" si="16"/>
        <v>0</v>
      </c>
      <c r="I40" s="282">
        <f t="shared" si="16"/>
        <v>0</v>
      </c>
      <c r="J40" s="282">
        <f t="shared" si="16"/>
        <v>0</v>
      </c>
      <c r="K40" s="282">
        <f t="shared" si="16"/>
        <v>0</v>
      </c>
      <c r="L40" s="282">
        <f t="shared" si="16"/>
        <v>0</v>
      </c>
      <c r="M40" s="41"/>
      <c r="N40" s="343"/>
    </row>
    <row r="41" spans="1:14" outlineLevel="1">
      <c r="A41" s="346">
        <f>ROW()</f>
        <v>41</v>
      </c>
      <c r="B41" s="127" t="s">
        <v>759</v>
      </c>
      <c r="C41" s="125"/>
      <c r="D41" s="125"/>
      <c r="E41" s="651">
        <f t="shared" si="2"/>
        <v>8418981.8998299316</v>
      </c>
      <c r="F41" s="1442">
        <f>SUM(F23,F33,F34,F35:F39)</f>
        <v>616575</v>
      </c>
      <c r="G41" s="1442">
        <f>SUM(G23,G33,G34,G35:G39)</f>
        <v>1237373.2320000001</v>
      </c>
      <c r="H41" s="1442">
        <f t="shared" ref="H41:L41" si="17">SUM(H23,H33,H34,H35:H39)</f>
        <v>1261766.0896127999</v>
      </c>
      <c r="I41" s="1442">
        <f t="shared" si="17"/>
        <v>1286760.0280487731</v>
      </c>
      <c r="J41" s="1442">
        <f t="shared" si="17"/>
        <v>1312371.7204016002</v>
      </c>
      <c r="K41" s="1442">
        <f t="shared" si="17"/>
        <v>1338618.3258207305</v>
      </c>
      <c r="L41" s="1442">
        <f t="shared" si="17"/>
        <v>1365517.5039460282</v>
      </c>
      <c r="M41" s="41"/>
      <c r="N41" s="343"/>
    </row>
    <row r="42" spans="1:14" outlineLevel="1">
      <c r="A42" s="346">
        <f>ROW()</f>
        <v>42</v>
      </c>
      <c r="B42" s="31" t="s">
        <v>760</v>
      </c>
      <c r="E42" s="31"/>
      <c r="F42" s="739">
        <f t="shared" ref="F42" si="18">SUM(F23,F33)+F40</f>
        <v>616575</v>
      </c>
      <c r="G42" s="739">
        <f>SUM(G23,G33)+G40</f>
        <v>1237373.2320000001</v>
      </c>
      <c r="H42" s="739">
        <f t="shared" ref="H42:L42" si="19">SUM(H23,H33)+H40</f>
        <v>1261766.0896127999</v>
      </c>
      <c r="I42" s="739">
        <f t="shared" si="19"/>
        <v>1286760.0280487731</v>
      </c>
      <c r="J42" s="739">
        <f t="shared" si="19"/>
        <v>1312371.7204016002</v>
      </c>
      <c r="K42" s="739">
        <f t="shared" si="19"/>
        <v>1338618.3258207305</v>
      </c>
      <c r="L42" s="739">
        <f t="shared" si="19"/>
        <v>1365517.5039460282</v>
      </c>
      <c r="M42" s="41"/>
      <c r="N42" s="343"/>
    </row>
    <row r="43" spans="1:14" s="31" customFormat="1" ht="14.4" outlineLevel="1">
      <c r="A43" s="346">
        <f>ROW()</f>
        <v>43</v>
      </c>
      <c r="B43" s="183" t="s">
        <v>761</v>
      </c>
      <c r="F43" s="130">
        <f>+F42-F41</f>
        <v>0</v>
      </c>
      <c r="G43" s="130">
        <f>+G42-G41</f>
        <v>0</v>
      </c>
      <c r="H43" s="130">
        <f t="shared" ref="H43:L43" si="20">+H42-H41</f>
        <v>0</v>
      </c>
      <c r="I43" s="130">
        <f t="shared" si="20"/>
        <v>0</v>
      </c>
      <c r="J43" s="130">
        <f t="shared" si="20"/>
        <v>0</v>
      </c>
      <c r="K43" s="130">
        <f t="shared" si="20"/>
        <v>0</v>
      </c>
      <c r="L43" s="130">
        <f t="shared" si="20"/>
        <v>0</v>
      </c>
      <c r="M43" s="46"/>
      <c r="N43" s="343"/>
    </row>
    <row r="44" spans="1:14" s="31" customFormat="1" outlineLevel="1">
      <c r="A44" s="346">
        <f>ROW()</f>
        <v>44</v>
      </c>
      <c r="F44" s="130"/>
      <c r="G44" s="130"/>
      <c r="H44" s="130"/>
      <c r="I44" s="130"/>
      <c r="J44" s="130"/>
      <c r="K44" s="130"/>
      <c r="L44" s="130"/>
      <c r="M44" s="46"/>
      <c r="N44" s="343"/>
    </row>
    <row r="45" spans="1:14" s="31" customFormat="1" outlineLevel="1">
      <c r="A45" s="346">
        <f>ROW()</f>
        <v>45</v>
      </c>
      <c r="B45" s="460" t="s">
        <v>762</v>
      </c>
      <c r="C45" s="33"/>
      <c r="D45" s="33"/>
      <c r="E45" s="33"/>
      <c r="F45" s="33"/>
      <c r="G45" s="55">
        <f t="shared" ref="G45:L45" si="21">+G23/12</f>
        <v>53434.436000000009</v>
      </c>
      <c r="H45" s="55">
        <f t="shared" si="21"/>
        <v>53990.154134399992</v>
      </c>
      <c r="I45" s="55">
        <f t="shared" si="21"/>
        <v>54551.651737397748</v>
      </c>
      <c r="J45" s="55">
        <f t="shared" si="21"/>
        <v>55118.988915466682</v>
      </c>
      <c r="K45" s="55">
        <f t="shared" si="21"/>
        <v>55692.22640018753</v>
      </c>
      <c r="L45" s="55">
        <f t="shared" si="21"/>
        <v>56271.425554749476</v>
      </c>
      <c r="M45" s="46"/>
      <c r="N45" s="343"/>
    </row>
    <row r="46" spans="1:14" s="31" customFormat="1" outlineLevel="1">
      <c r="A46" s="346">
        <f>ROW()</f>
        <v>46</v>
      </c>
      <c r="B46" s="44" t="s">
        <v>763</v>
      </c>
      <c r="C46" s="33"/>
      <c r="D46" s="33"/>
      <c r="E46" s="33"/>
      <c r="F46" s="33"/>
      <c r="G46" s="50">
        <f t="shared" ref="G46:L48" si="22">+G25/12</f>
        <v>5150</v>
      </c>
      <c r="H46" s="50">
        <f t="shared" si="22"/>
        <v>5304.5</v>
      </c>
      <c r="I46" s="50">
        <f t="shared" si="22"/>
        <v>5463.6349999999993</v>
      </c>
      <c r="J46" s="50">
        <f t="shared" si="22"/>
        <v>5627.5440499999995</v>
      </c>
      <c r="K46" s="50">
        <f t="shared" si="22"/>
        <v>5796.3703715000001</v>
      </c>
      <c r="L46" s="50">
        <f t="shared" si="22"/>
        <v>5970.2614826449999</v>
      </c>
      <c r="M46" s="46"/>
      <c r="N46" s="343"/>
    </row>
    <row r="47" spans="1:14" s="31" customFormat="1" outlineLevel="1">
      <c r="A47" s="346">
        <f>ROW()</f>
        <v>47</v>
      </c>
      <c r="B47" s="44" t="s">
        <v>764</v>
      </c>
      <c r="C47" s="33"/>
      <c r="D47" s="33"/>
      <c r="E47" s="33"/>
      <c r="F47" s="33"/>
      <c r="G47" s="50">
        <f t="shared" si="22"/>
        <v>6437.5</v>
      </c>
      <c r="H47" s="50">
        <f t="shared" si="22"/>
        <v>6630.625</v>
      </c>
      <c r="I47" s="50">
        <f t="shared" si="22"/>
        <v>6829.5437500000007</v>
      </c>
      <c r="J47" s="50">
        <f t="shared" si="22"/>
        <v>7034.4300625000005</v>
      </c>
      <c r="K47" s="50">
        <f t="shared" si="22"/>
        <v>7245.4629643750013</v>
      </c>
      <c r="L47" s="50">
        <f t="shared" si="22"/>
        <v>7462.826853306251</v>
      </c>
      <c r="M47" s="46"/>
      <c r="N47" s="343"/>
    </row>
    <row r="48" spans="1:14" s="31" customFormat="1" outlineLevel="1">
      <c r="A48" s="346">
        <f>ROW()</f>
        <v>48</v>
      </c>
      <c r="B48" s="44" t="s">
        <v>765</v>
      </c>
      <c r="C48" s="33"/>
      <c r="D48" s="33"/>
      <c r="E48" s="33"/>
      <c r="F48" s="33"/>
      <c r="G48" s="50">
        <f t="shared" si="22"/>
        <v>0</v>
      </c>
      <c r="H48" s="50">
        <f t="shared" si="22"/>
        <v>0</v>
      </c>
      <c r="I48" s="50">
        <f t="shared" si="22"/>
        <v>0</v>
      </c>
      <c r="J48" s="50">
        <f t="shared" si="22"/>
        <v>0</v>
      </c>
      <c r="K48" s="50">
        <f t="shared" si="22"/>
        <v>0</v>
      </c>
      <c r="L48" s="50">
        <f t="shared" si="22"/>
        <v>0</v>
      </c>
      <c r="M48" s="46"/>
      <c r="N48" s="343"/>
    </row>
    <row r="49" spans="1:14" s="31" customFormat="1" outlineLevel="1">
      <c r="A49" s="346">
        <f>ROW()</f>
        <v>49</v>
      </c>
      <c r="B49" s="44" t="s">
        <v>744</v>
      </c>
      <c r="C49" s="33"/>
      <c r="D49" s="33"/>
      <c r="E49" s="33"/>
      <c r="F49" s="33"/>
      <c r="G49" s="50">
        <f t="shared" ref="G49:L49" si="23">+G29/12</f>
        <v>0</v>
      </c>
      <c r="H49" s="50">
        <f t="shared" si="23"/>
        <v>0</v>
      </c>
      <c r="I49" s="50">
        <f t="shared" si="23"/>
        <v>0</v>
      </c>
      <c r="J49" s="50">
        <f t="shared" si="23"/>
        <v>0</v>
      </c>
      <c r="K49" s="50">
        <f t="shared" si="23"/>
        <v>0</v>
      </c>
      <c r="L49" s="50">
        <f t="shared" si="23"/>
        <v>0</v>
      </c>
      <c r="M49" s="46"/>
      <c r="N49" s="343"/>
    </row>
    <row r="50" spans="1:14" s="31" customFormat="1" outlineLevel="1">
      <c r="A50" s="346">
        <f>ROW()</f>
        <v>50</v>
      </c>
      <c r="M50" s="46"/>
      <c r="N50" s="343"/>
    </row>
    <row r="51" spans="1:14" s="31" customFormat="1" outlineLevel="1">
      <c r="A51" s="346">
        <f>ROW()</f>
        <v>51</v>
      </c>
      <c r="B51" s="33" t="s">
        <v>766</v>
      </c>
      <c r="C51" s="31" t="s">
        <v>767</v>
      </c>
      <c r="G51" s="47"/>
      <c r="H51" s="47"/>
      <c r="I51" s="47"/>
      <c r="J51" s="47"/>
      <c r="K51" s="47"/>
      <c r="L51" s="47"/>
      <c r="M51" s="46"/>
      <c r="N51" s="343"/>
    </row>
    <row r="52" spans="1:14" s="31" customFormat="1" outlineLevel="1">
      <c r="A52" s="346">
        <f>ROW()</f>
        <v>52</v>
      </c>
      <c r="B52" s="31" t="s">
        <v>768</v>
      </c>
      <c r="G52" s="47"/>
      <c r="H52" s="47"/>
      <c r="I52" s="47"/>
      <c r="J52" s="47"/>
      <c r="K52" s="47"/>
      <c r="L52" s="47"/>
      <c r="M52" s="46"/>
      <c r="N52" s="343"/>
    </row>
    <row r="53" spans="1:14" s="31" customFormat="1" outlineLevel="1">
      <c r="A53" s="346">
        <f>ROW()</f>
        <v>53</v>
      </c>
      <c r="G53" s="47"/>
      <c r="H53" s="47"/>
      <c r="I53" s="47"/>
      <c r="J53" s="47"/>
      <c r="K53" s="47"/>
      <c r="L53" s="47"/>
      <c r="M53" s="46"/>
      <c r="N53" s="343"/>
    </row>
    <row r="54" spans="1:14" ht="15" customHeight="1" outlineLevel="1">
      <c r="A54" s="346">
        <f>ROW()</f>
        <v>54</v>
      </c>
      <c r="B54" s="235" t="s">
        <v>769</v>
      </c>
      <c r="C54" s="237"/>
      <c r="D54" s="236"/>
      <c r="E54" s="31"/>
      <c r="G54" s="48"/>
      <c r="H54" s="32"/>
      <c r="I54" s="32"/>
      <c r="J54" s="32"/>
      <c r="K54" s="32"/>
      <c r="L54" s="32"/>
      <c r="M54" s="41"/>
      <c r="N54" s="343"/>
    </row>
    <row r="55" spans="1:14" ht="15" customHeight="1" outlineLevel="1">
      <c r="A55" s="346">
        <f>ROW()</f>
        <v>55</v>
      </c>
      <c r="B55" s="33" t="s">
        <v>770</v>
      </c>
      <c r="C55" s="807">
        <v>2.5</v>
      </c>
      <c r="D55" s="307"/>
      <c r="E55" s="307" t="s">
        <v>771</v>
      </c>
      <c r="F55" s="307"/>
      <c r="G55" s="804">
        <v>0</v>
      </c>
      <c r="H55" s="33" t="s">
        <v>772</v>
      </c>
      <c r="M55" s="41"/>
      <c r="N55" s="343"/>
    </row>
    <row r="56" spans="1:14" ht="15" customHeight="1" outlineLevel="1">
      <c r="A56" s="346">
        <f>ROW()</f>
        <v>56</v>
      </c>
      <c r="B56" s="33" t="s">
        <v>773</v>
      </c>
      <c r="C56" s="802">
        <v>0</v>
      </c>
      <c r="D56" s="307" t="s">
        <v>739</v>
      </c>
      <c r="E56" s="307" t="s">
        <v>774</v>
      </c>
      <c r="F56" s="307"/>
      <c r="G56" s="1430">
        <f>C60*(1-G55)</f>
        <v>0</v>
      </c>
      <c r="I56" s="49"/>
      <c r="J56" s="49"/>
      <c r="K56" s="49"/>
      <c r="L56" s="49"/>
      <c r="M56" s="41"/>
      <c r="N56" s="343"/>
    </row>
    <row r="57" spans="1:14" ht="15" customHeight="1" outlineLevel="1">
      <c r="A57" s="346">
        <f>ROW()</f>
        <v>57</v>
      </c>
      <c r="B57" s="33" t="s">
        <v>775</v>
      </c>
      <c r="C57" s="1431">
        <f>C55*C56</f>
        <v>0</v>
      </c>
      <c r="D57" s="307"/>
      <c r="E57" s="307" t="s">
        <v>776</v>
      </c>
      <c r="F57" s="307"/>
      <c r="G57" s="806">
        <v>0</v>
      </c>
      <c r="H57" s="42"/>
      <c r="M57" s="41"/>
      <c r="N57" s="343"/>
    </row>
    <row r="58" spans="1:14" ht="15" customHeight="1" outlineLevel="1">
      <c r="A58" s="346">
        <f>ROW()</f>
        <v>58</v>
      </c>
      <c r="B58" s="33" t="s">
        <v>777</v>
      </c>
      <c r="C58" s="802">
        <v>0</v>
      </c>
      <c r="D58" s="307" t="s">
        <v>739</v>
      </c>
      <c r="E58" s="307" t="s">
        <v>778</v>
      </c>
      <c r="F58" s="307"/>
      <c r="G58" s="806">
        <v>0</v>
      </c>
      <c r="H58" s="42"/>
      <c r="M58" s="41"/>
      <c r="N58" s="343"/>
    </row>
    <row r="59" spans="1:14" ht="15" customHeight="1" outlineLevel="1">
      <c r="A59" s="346">
        <f>ROW()</f>
        <v>59</v>
      </c>
      <c r="B59" s="33" t="s">
        <v>779</v>
      </c>
      <c r="C59" s="1432">
        <f>C55*C58</f>
        <v>0</v>
      </c>
      <c r="D59" s="307"/>
      <c r="E59" s="307" t="s">
        <v>780</v>
      </c>
      <c r="F59" s="307"/>
      <c r="G59" s="805">
        <v>0</v>
      </c>
      <c r="M59" s="41"/>
      <c r="N59" s="343"/>
    </row>
    <row r="60" spans="1:14" ht="15" customHeight="1" outlineLevel="1">
      <c r="A60" s="346">
        <f>ROW()</f>
        <v>60</v>
      </c>
      <c r="B60" s="31" t="s">
        <v>781</v>
      </c>
      <c r="C60" s="1430">
        <f>C57+C59</f>
        <v>0</v>
      </c>
      <c r="D60" s="307"/>
      <c r="E60" s="307"/>
      <c r="F60" s="307"/>
      <c r="G60" s="307"/>
      <c r="M60" s="41"/>
      <c r="N60" s="343"/>
    </row>
    <row r="61" spans="1:14" ht="15" customHeight="1" outlineLevel="1">
      <c r="A61" s="346">
        <f>ROW()</f>
        <v>61</v>
      </c>
      <c r="B61" s="33" t="s">
        <v>782</v>
      </c>
      <c r="C61" s="307"/>
      <c r="D61" s="1433">
        <f>IFERROR(-PMT(G59/12,G57*12,G56,0,1),0)</f>
        <v>0</v>
      </c>
      <c r="E61" s="307"/>
      <c r="F61" s="307"/>
      <c r="G61" s="307"/>
      <c r="H61" s="42"/>
      <c r="I61" s="42"/>
      <c r="J61" s="42"/>
      <c r="K61" s="42"/>
      <c r="L61" s="42"/>
      <c r="M61" s="41"/>
      <c r="N61" s="343"/>
    </row>
    <row r="62" spans="1:14" ht="15" customHeight="1" outlineLevel="1">
      <c r="A62" s="346">
        <f>ROW()</f>
        <v>62</v>
      </c>
      <c r="B62" s="33" t="s">
        <v>783</v>
      </c>
      <c r="C62" s="307"/>
      <c r="D62" s="1430">
        <f>D61*12</f>
        <v>0</v>
      </c>
      <c r="E62" s="1434"/>
      <c r="F62" s="1434"/>
      <c r="G62" s="1435">
        <f>+D62</f>
        <v>0</v>
      </c>
      <c r="H62" s="240">
        <f>IF(H7-$G$7&lt;$G$57,$D$62,0)</f>
        <v>0</v>
      </c>
      <c r="I62" s="240">
        <f>IF(I7-$G$7&lt;$G$57,$D$62,0)</f>
        <v>0</v>
      </c>
      <c r="J62" s="240">
        <f>IF(J7-$G$7&lt;$G$57,$D$62,0)</f>
        <v>0</v>
      </c>
      <c r="K62" s="240">
        <f>IF(K7-$G$7&lt;$G$57,$D$62,0)</f>
        <v>0</v>
      </c>
      <c r="L62" s="240">
        <f>IF(L7-$G$7&lt;$G$57,$D$62,0)</f>
        <v>0</v>
      </c>
      <c r="M62" s="41"/>
      <c r="N62" s="343"/>
    </row>
    <row r="63" spans="1:14" ht="15" customHeight="1" outlineLevel="1">
      <c r="A63" s="346">
        <f>ROW()</f>
        <v>63</v>
      </c>
      <c r="B63" s="33" t="s">
        <v>784</v>
      </c>
      <c r="C63" s="307"/>
      <c r="D63" s="1430">
        <f>IFERROR((-PV(0.02,G57,0,((D62*G57)-G56),0))/G57,0)</f>
        <v>0</v>
      </c>
      <c r="E63" s="1434"/>
      <c r="F63" s="1434"/>
      <c r="G63" s="1436">
        <f>$D$63</f>
        <v>0</v>
      </c>
      <c r="H63" s="241">
        <f>IF(H7-$G$7&lt;$G$57,$D$63,0)</f>
        <v>0</v>
      </c>
      <c r="I63" s="241">
        <f>IF(I7-$G$7&lt;$G$57,$D$63,0)</f>
        <v>0</v>
      </c>
      <c r="J63" s="241">
        <f>IF(J7-$G$7&lt;$G$57,$D$63,0)</f>
        <v>0</v>
      </c>
      <c r="K63" s="241">
        <f>IF(K7-$G$7&lt;$G$57,$D$63,0)</f>
        <v>0</v>
      </c>
      <c r="L63" s="241">
        <f>IF(L7-$G$7&lt;$G$57,$D$63,0)</f>
        <v>0</v>
      </c>
      <c r="M63" s="41"/>
      <c r="N63" s="343"/>
    </row>
    <row r="64" spans="1:14" ht="15" customHeight="1" outlineLevel="1">
      <c r="A64" s="346">
        <f>ROW()</f>
        <v>64</v>
      </c>
      <c r="B64" s="33" t="s">
        <v>785</v>
      </c>
      <c r="C64" s="307"/>
      <c r="D64" s="307"/>
      <c r="E64" s="307"/>
      <c r="F64" s="307"/>
      <c r="G64" s="1375"/>
      <c r="H64" s="51"/>
      <c r="I64" s="51"/>
      <c r="J64" s="51"/>
      <c r="K64" s="51"/>
      <c r="L64" s="51"/>
      <c r="M64" s="41"/>
      <c r="N64" s="343"/>
    </row>
    <row r="65" spans="1:14" ht="15" customHeight="1" outlineLevel="1">
      <c r="A65" s="346">
        <f>ROW()</f>
        <v>65</v>
      </c>
      <c r="B65" s="33" t="s">
        <v>786</v>
      </c>
      <c r="C65" s="802">
        <v>0</v>
      </c>
      <c r="D65" s="307" t="s">
        <v>739</v>
      </c>
      <c r="E65" s="307"/>
      <c r="F65" s="307"/>
      <c r="G65" s="1388">
        <f t="shared" ref="G65:L65" si="24">$C$65*$C$55</f>
        <v>0</v>
      </c>
      <c r="H65" s="138">
        <f t="shared" si="24"/>
        <v>0</v>
      </c>
      <c r="I65" s="138">
        <f t="shared" si="24"/>
        <v>0</v>
      </c>
      <c r="J65" s="138">
        <f t="shared" si="24"/>
        <v>0</v>
      </c>
      <c r="K65" s="138">
        <f t="shared" si="24"/>
        <v>0</v>
      </c>
      <c r="L65" s="138">
        <f t="shared" si="24"/>
        <v>0</v>
      </c>
      <c r="M65" s="41"/>
      <c r="N65" s="343"/>
    </row>
    <row r="66" spans="1:14" ht="15" customHeight="1" outlineLevel="1">
      <c r="A66" s="346">
        <f>ROW()</f>
        <v>66</v>
      </c>
      <c r="B66" s="33" t="s">
        <v>557</v>
      </c>
      <c r="C66" s="802">
        <v>0</v>
      </c>
      <c r="D66" s="307" t="s">
        <v>739</v>
      </c>
      <c r="E66" s="307"/>
      <c r="F66" s="307"/>
      <c r="G66" s="1388">
        <f t="shared" ref="G66:L66" si="25">$C$66*$C$55</f>
        <v>0</v>
      </c>
      <c r="H66" s="138">
        <f t="shared" si="25"/>
        <v>0</v>
      </c>
      <c r="I66" s="138">
        <f t="shared" si="25"/>
        <v>0</v>
      </c>
      <c r="J66" s="138">
        <f t="shared" si="25"/>
        <v>0</v>
      </c>
      <c r="K66" s="138">
        <f t="shared" si="25"/>
        <v>0</v>
      </c>
      <c r="L66" s="138">
        <f t="shared" si="25"/>
        <v>0</v>
      </c>
      <c r="M66" s="41"/>
      <c r="N66" s="343"/>
    </row>
    <row r="67" spans="1:14" ht="15" customHeight="1" outlineLevel="1">
      <c r="A67" s="346">
        <f>ROW()</f>
        <v>67</v>
      </c>
      <c r="B67" s="33" t="s">
        <v>748</v>
      </c>
      <c r="C67" s="802">
        <v>0</v>
      </c>
      <c r="D67" s="307" t="s">
        <v>739</v>
      </c>
      <c r="E67" s="307"/>
      <c r="F67" s="307"/>
      <c r="G67" s="1388">
        <f t="shared" ref="G67:L67" si="26">$C$67*$C$55</f>
        <v>0</v>
      </c>
      <c r="H67" s="138">
        <f t="shared" si="26"/>
        <v>0</v>
      </c>
      <c r="I67" s="138">
        <f t="shared" si="26"/>
        <v>0</v>
      </c>
      <c r="J67" s="138">
        <f t="shared" si="26"/>
        <v>0</v>
      </c>
      <c r="K67" s="138">
        <f t="shared" si="26"/>
        <v>0</v>
      </c>
      <c r="L67" s="138">
        <f t="shared" si="26"/>
        <v>0</v>
      </c>
      <c r="M67" s="41"/>
      <c r="N67" s="343"/>
    </row>
    <row r="68" spans="1:14" ht="15" customHeight="1" outlineLevel="1">
      <c r="A68" s="346">
        <f>ROW()</f>
        <v>68</v>
      </c>
      <c r="B68" s="33" t="s">
        <v>744</v>
      </c>
      <c r="C68" s="802">
        <v>0</v>
      </c>
      <c r="D68" s="307" t="s">
        <v>608</v>
      </c>
      <c r="E68" s="307"/>
      <c r="F68" s="307"/>
      <c r="G68" s="1388">
        <f t="shared" ref="G68:L68" si="27">$C$68</f>
        <v>0</v>
      </c>
      <c r="H68" s="138">
        <f t="shared" si="27"/>
        <v>0</v>
      </c>
      <c r="I68" s="138">
        <f t="shared" si="27"/>
        <v>0</v>
      </c>
      <c r="J68" s="138">
        <f t="shared" si="27"/>
        <v>0</v>
      </c>
      <c r="K68" s="138">
        <f t="shared" si="27"/>
        <v>0</v>
      </c>
      <c r="L68" s="138">
        <f t="shared" si="27"/>
        <v>0</v>
      </c>
      <c r="M68" s="41"/>
      <c r="N68" s="343"/>
    </row>
    <row r="69" spans="1:14" ht="15" customHeight="1" outlineLevel="1">
      <c r="A69" s="346">
        <f>ROW()</f>
        <v>69</v>
      </c>
      <c r="B69" s="33" t="s">
        <v>787</v>
      </c>
      <c r="G69" s="138">
        <f>C57*G55</f>
        <v>0</v>
      </c>
      <c r="H69" s="138"/>
      <c r="I69" s="138"/>
      <c r="J69" s="138"/>
      <c r="K69" s="138"/>
      <c r="L69" s="138"/>
      <c r="M69" s="41"/>
      <c r="N69" s="343"/>
    </row>
    <row r="70" spans="1:14" ht="15" customHeight="1" outlineLevel="1">
      <c r="A70" s="346">
        <f>ROW()</f>
        <v>70</v>
      </c>
      <c r="B70" s="33" t="s">
        <v>788</v>
      </c>
      <c r="G70" s="138"/>
      <c r="H70" s="138"/>
      <c r="I70" s="138"/>
      <c r="J70" s="138"/>
      <c r="K70" s="138"/>
      <c r="L70" s="138"/>
      <c r="M70" s="41"/>
      <c r="N70" s="343"/>
    </row>
    <row r="71" spans="1:14" ht="15" customHeight="1" outlineLevel="1">
      <c r="A71" s="346">
        <f>ROW()</f>
        <v>71</v>
      </c>
      <c r="B71" s="127" t="s">
        <v>789</v>
      </c>
      <c r="C71" s="127"/>
      <c r="D71" s="127"/>
      <c r="E71" s="127"/>
      <c r="F71" s="1208"/>
      <c r="G71" s="634">
        <f t="shared" ref="G71:L71" si="28">SUM(G62:G70)-G63</f>
        <v>0</v>
      </c>
      <c r="H71" s="634">
        <f t="shared" si="28"/>
        <v>0</v>
      </c>
      <c r="I71" s="634">
        <f t="shared" si="28"/>
        <v>0</v>
      </c>
      <c r="J71" s="634">
        <f t="shared" si="28"/>
        <v>0</v>
      </c>
      <c r="K71" s="634">
        <f t="shared" si="28"/>
        <v>0</v>
      </c>
      <c r="L71" s="634">
        <f t="shared" si="28"/>
        <v>0</v>
      </c>
      <c r="M71" s="41"/>
      <c r="N71" s="343"/>
    </row>
    <row r="72" spans="1:14" ht="15" customHeight="1" outlineLevel="1">
      <c r="A72" s="346">
        <f>ROW()</f>
        <v>72</v>
      </c>
      <c r="B72" s="31" t="s">
        <v>790</v>
      </c>
      <c r="C72" s="31"/>
      <c r="D72" s="31"/>
      <c r="E72" s="31"/>
      <c r="F72" s="155"/>
      <c r="G72" s="507">
        <f t="shared" ref="G72:L72" si="29">(($C$57+$C$59)/50)+G65+G66+G67+G68</f>
        <v>0</v>
      </c>
      <c r="H72" s="507">
        <f t="shared" si="29"/>
        <v>0</v>
      </c>
      <c r="I72" s="507">
        <f t="shared" si="29"/>
        <v>0</v>
      </c>
      <c r="J72" s="507">
        <f t="shared" si="29"/>
        <v>0</v>
      </c>
      <c r="K72" s="507">
        <f t="shared" si="29"/>
        <v>0</v>
      </c>
      <c r="L72" s="507">
        <f t="shared" si="29"/>
        <v>0</v>
      </c>
      <c r="M72" s="41"/>
      <c r="N72" s="343"/>
    </row>
    <row r="73" spans="1:14" outlineLevel="1">
      <c r="A73" s="346">
        <f>ROW()</f>
        <v>73</v>
      </c>
      <c r="G73" s="503"/>
      <c r="H73" s="508"/>
      <c r="I73" s="508"/>
      <c r="J73" s="508"/>
      <c r="K73" s="508"/>
      <c r="L73" s="508"/>
      <c r="M73" s="41"/>
      <c r="N73" s="343"/>
    </row>
    <row r="74" spans="1:14" outlineLevel="1">
      <c r="A74" s="346">
        <f>ROW()</f>
        <v>74</v>
      </c>
      <c r="B74" s="523" t="s">
        <v>791</v>
      </c>
      <c r="C74" s="524"/>
      <c r="D74" s="524"/>
      <c r="E74" s="525">
        <f>SUM(F74:L74)</f>
        <v>8418981.8998299316</v>
      </c>
      <c r="F74" s="526">
        <f t="shared" ref="F74:L75" si="30">IF($C$7="Lease",F41,F71)</f>
        <v>616575</v>
      </c>
      <c r="G74" s="526">
        <f t="shared" si="30"/>
        <v>1237373.2320000001</v>
      </c>
      <c r="H74" s="526">
        <f t="shared" si="30"/>
        <v>1261766.0896127999</v>
      </c>
      <c r="I74" s="526">
        <f t="shared" si="30"/>
        <v>1286760.0280487731</v>
      </c>
      <c r="J74" s="526">
        <f t="shared" si="30"/>
        <v>1312371.7204016002</v>
      </c>
      <c r="K74" s="526">
        <f t="shared" si="30"/>
        <v>1338618.3258207305</v>
      </c>
      <c r="L74" s="526">
        <f t="shared" si="30"/>
        <v>1365517.5039460282</v>
      </c>
      <c r="M74" s="41"/>
      <c r="N74" s="343"/>
    </row>
    <row r="75" spans="1:14" outlineLevel="1">
      <c r="A75" s="346">
        <f>ROW()</f>
        <v>75</v>
      </c>
      <c r="B75" s="518" t="s">
        <v>792</v>
      </c>
      <c r="C75" s="519"/>
      <c r="D75" s="519"/>
      <c r="E75" s="520">
        <f>SUM(F75:L75)</f>
        <v>8418981.8998299316</v>
      </c>
      <c r="F75" s="522">
        <f t="shared" si="30"/>
        <v>616575</v>
      </c>
      <c r="G75" s="522">
        <f t="shared" si="30"/>
        <v>1237373.2320000001</v>
      </c>
      <c r="H75" s="521">
        <f t="shared" si="30"/>
        <v>1261766.0896127999</v>
      </c>
      <c r="I75" s="521">
        <f t="shared" si="30"/>
        <v>1286760.0280487731</v>
      </c>
      <c r="J75" s="521">
        <f t="shared" si="30"/>
        <v>1312371.7204016002</v>
      </c>
      <c r="K75" s="521">
        <f t="shared" si="30"/>
        <v>1338618.3258207305</v>
      </c>
      <c r="L75" s="521">
        <f t="shared" si="30"/>
        <v>1365517.5039460282</v>
      </c>
      <c r="M75" s="41"/>
      <c r="N75" s="343"/>
    </row>
    <row r="76" spans="1:14">
      <c r="A76" s="346">
        <f>ROW()</f>
        <v>76</v>
      </c>
      <c r="B76" s="523" t="str">
        <f>IF(C7="Lease",$B$42,B75)</f>
        <v>Total lease book expense (shown on Summary tab)</v>
      </c>
      <c r="C76" s="524"/>
      <c r="D76" s="524"/>
      <c r="E76" s="728">
        <f>SUM(F76:L76)</f>
        <v>8418981.8998299316</v>
      </c>
      <c r="F76" s="526">
        <f t="shared" ref="F76:L76" si="31">IF($C$7="Lease",F42,F72)</f>
        <v>616575</v>
      </c>
      <c r="G76" s="526">
        <f t="shared" si="31"/>
        <v>1237373.2320000001</v>
      </c>
      <c r="H76" s="526">
        <f t="shared" si="31"/>
        <v>1261766.0896127999</v>
      </c>
      <c r="I76" s="526">
        <f t="shared" si="31"/>
        <v>1286760.0280487731</v>
      </c>
      <c r="J76" s="526">
        <f t="shared" si="31"/>
        <v>1312371.7204016002</v>
      </c>
      <c r="K76" s="526">
        <f t="shared" si="31"/>
        <v>1338618.3258207305</v>
      </c>
      <c r="L76" s="526">
        <f t="shared" si="31"/>
        <v>1365517.5039460282</v>
      </c>
      <c r="M76" s="41"/>
      <c r="N76" s="343"/>
    </row>
    <row r="77" spans="1:14">
      <c r="A77" s="346">
        <f>ROW()</f>
        <v>77</v>
      </c>
      <c r="B77" s="33" t="s">
        <v>793</v>
      </c>
      <c r="E77" s="503"/>
      <c r="F77" s="509">
        <f t="shared" ref="F77:L77" si="32">+F76-F74</f>
        <v>0</v>
      </c>
      <c r="G77" s="509">
        <f t="shared" si="32"/>
        <v>0</v>
      </c>
      <c r="H77" s="509">
        <f t="shared" si="32"/>
        <v>0</v>
      </c>
      <c r="I77" s="509">
        <f t="shared" si="32"/>
        <v>0</v>
      </c>
      <c r="J77" s="509">
        <f t="shared" si="32"/>
        <v>0</v>
      </c>
      <c r="K77" s="509">
        <f t="shared" si="32"/>
        <v>0</v>
      </c>
      <c r="L77" s="509">
        <f t="shared" si="32"/>
        <v>0</v>
      </c>
      <c r="N77" s="343"/>
    </row>
    <row r="78" spans="1:14">
      <c r="A78" s="346">
        <f>ROW()</f>
        <v>78</v>
      </c>
      <c r="F78" s="179"/>
      <c r="G78" s="179"/>
      <c r="H78" s="179"/>
      <c r="I78" s="179"/>
      <c r="J78" s="179"/>
      <c r="K78" s="179"/>
      <c r="L78" s="179"/>
      <c r="N78" s="343"/>
    </row>
    <row r="79" spans="1:14">
      <c r="A79" s="346">
        <f>ROW()</f>
        <v>79</v>
      </c>
      <c r="F79" s="57">
        <f>Levers!C6</f>
        <v>0</v>
      </c>
      <c r="G79" s="516">
        <f>Levers!D6</f>
        <v>1</v>
      </c>
      <c r="H79" s="516">
        <f>Levers!E6</f>
        <v>2</v>
      </c>
      <c r="I79" s="516">
        <f>Levers!F6</f>
        <v>3</v>
      </c>
      <c r="J79" s="516">
        <f>Levers!G6</f>
        <v>4</v>
      </c>
      <c r="K79" s="516">
        <f>Levers!H6</f>
        <v>5</v>
      </c>
      <c r="L79" s="516">
        <f>Levers!I6</f>
        <v>6</v>
      </c>
      <c r="N79" s="343"/>
    </row>
    <row r="80" spans="1:14" ht="15.6">
      <c r="A80" s="346">
        <f>ROW()</f>
        <v>80</v>
      </c>
      <c r="F80" s="729">
        <f>Levers!C7</f>
        <v>2024</v>
      </c>
      <c r="G80" s="730">
        <f>Levers!D7</f>
        <v>2025</v>
      </c>
      <c r="H80" s="731">
        <f>Levers!E7</f>
        <v>2026</v>
      </c>
      <c r="I80" s="731">
        <f>Levers!F7</f>
        <v>2027</v>
      </c>
      <c r="J80" s="731">
        <f>Levers!G7</f>
        <v>2028</v>
      </c>
      <c r="K80" s="731">
        <f>Levers!H7</f>
        <v>2029</v>
      </c>
      <c r="L80" s="732">
        <f>Levers!I7</f>
        <v>2030</v>
      </c>
      <c r="N80" s="343"/>
    </row>
    <row r="81" spans="1:14" ht="15.6">
      <c r="A81" s="346">
        <f>ROW()</f>
        <v>81</v>
      </c>
      <c r="B81" s="292"/>
      <c r="E81" s="515" t="str">
        <f>Levers!B8</f>
        <v>Totals</v>
      </c>
      <c r="F81" s="733">
        <f>Levers!C8</f>
        <v>2025</v>
      </c>
      <c r="G81" s="734">
        <f>Levers!D8</f>
        <v>2026</v>
      </c>
      <c r="H81" s="735">
        <f>Levers!E8</f>
        <v>2027</v>
      </c>
      <c r="I81" s="735">
        <f>Levers!F8</f>
        <v>2028</v>
      </c>
      <c r="J81" s="735">
        <f>Levers!G8</f>
        <v>2029</v>
      </c>
      <c r="K81" s="735">
        <f>Levers!H8</f>
        <v>2030</v>
      </c>
      <c r="L81" s="736">
        <f>Levers!I8</f>
        <v>2031</v>
      </c>
      <c r="N81" s="343"/>
    </row>
    <row r="82" spans="1:14" ht="15.6">
      <c r="A82" s="346">
        <f>ROW()</f>
        <v>82</v>
      </c>
      <c r="B82" s="482" t="str">
        <f>Levers!A9</f>
        <v>Total Enrollment</v>
      </c>
      <c r="E82" s="737">
        <f>Levers!B9</f>
        <v>11107.52649304775</v>
      </c>
      <c r="F82" s="738" t="str">
        <f>Levers!C9</f>
        <v xml:space="preserve"> </v>
      </c>
      <c r="G82" s="737">
        <f>Levers!D9</f>
        <v>1595</v>
      </c>
      <c r="H82" s="737">
        <f>Levers!E9</f>
        <v>1688</v>
      </c>
      <c r="I82" s="737">
        <f>Levers!F9</f>
        <v>1788.6201881600005</v>
      </c>
      <c r="J82" s="737">
        <f>Levers!G9</f>
        <v>1895.9373994496007</v>
      </c>
      <c r="K82" s="737">
        <f>Levers!H9</f>
        <v>2009.6936434165768</v>
      </c>
      <c r="L82" s="737">
        <f>Levers!I9</f>
        <v>2130.2752620215715</v>
      </c>
      <c r="N82" s="343"/>
    </row>
    <row r="83" spans="1:14" ht="15.6">
      <c r="A83" s="346">
        <f>ROW()</f>
        <v>83</v>
      </c>
      <c r="B83" s="483" t="str">
        <f>Levers!A10</f>
        <v>Total Revenue</v>
      </c>
      <c r="E83" s="465">
        <f>Levers!B10</f>
        <v>113313088.27620967</v>
      </c>
      <c r="F83" s="465">
        <f>Levers!C10</f>
        <v>0</v>
      </c>
      <c r="G83" s="465">
        <f>Levers!D10</f>
        <v>15606245.845000001</v>
      </c>
      <c r="H83" s="465">
        <f>Levers!E10</f>
        <v>17335514.31800412</v>
      </c>
      <c r="I83" s="465">
        <f>Levers!F10</f>
        <v>18369626.809209835</v>
      </c>
      <c r="J83" s="465">
        <f>Levers!G10</f>
        <v>19473416.592535403</v>
      </c>
      <c r="K83" s="465">
        <f>Levers!H10</f>
        <v>20643825.588087529</v>
      </c>
      <c r="L83" s="465">
        <f>Levers!I10</f>
        <v>21884459.123372782</v>
      </c>
      <c r="N83" s="343"/>
    </row>
    <row r="84" spans="1:14" ht="15.6">
      <c r="A84" s="346">
        <f>ROW()</f>
        <v>84</v>
      </c>
      <c r="B84" s="483" t="str">
        <f>Levers!A11</f>
        <v>Rev per student</v>
      </c>
      <c r="E84" s="465">
        <f>Levers!B11</f>
        <v>10201.46909819507</v>
      </c>
      <c r="F84" s="465"/>
      <c r="G84" s="465">
        <f>Levers!D11</f>
        <v>9784.4801536050163</v>
      </c>
      <c r="H84" s="465">
        <f>Levers!E11</f>
        <v>10269.854453793911</v>
      </c>
      <c r="I84" s="465">
        <f>Levers!F11</f>
        <v>10270.278134402108</v>
      </c>
      <c r="J84" s="465">
        <f>Levers!G11</f>
        <v>10271.128465627939</v>
      </c>
      <c r="K84" s="465">
        <f>Levers!H11</f>
        <v>10272.125632537714</v>
      </c>
      <c r="L84" s="465">
        <f>Levers!I11</f>
        <v>10273.066356037503</v>
      </c>
      <c r="N84" s="343"/>
    </row>
    <row r="85" spans="1:14" ht="15.6">
      <c r="A85" s="346">
        <f>ROW()</f>
        <v>85</v>
      </c>
      <c r="B85" s="483" t="str">
        <f>Levers!A20</f>
        <v>Total Facilities</v>
      </c>
      <c r="E85" s="465">
        <f>Levers!B20</f>
        <v>8418981.8998299316</v>
      </c>
      <c r="F85" s="465">
        <f>Levers!C20</f>
        <v>616575</v>
      </c>
      <c r="G85" s="465">
        <f>Levers!D20</f>
        <v>1237373.2320000001</v>
      </c>
      <c r="H85" s="465">
        <f>Levers!E20</f>
        <v>1261766.0896127999</v>
      </c>
      <c r="I85" s="465">
        <f>Levers!F20</f>
        <v>1286760.0280487731</v>
      </c>
      <c r="J85" s="465">
        <f>Levers!G20</f>
        <v>1312371.7204016002</v>
      </c>
      <c r="K85" s="465">
        <f>Levers!H20</f>
        <v>1338618.3258207305</v>
      </c>
      <c r="L85" s="465">
        <f>Levers!I20</f>
        <v>1365517.5039460282</v>
      </c>
      <c r="N85" s="343"/>
    </row>
    <row r="86" spans="1:14" ht="15.6">
      <c r="A86" s="346">
        <f>ROW()</f>
        <v>86</v>
      </c>
      <c r="B86" s="483" t="str">
        <f>Levers!A21</f>
        <v>Facilities per Student</v>
      </c>
      <c r="E86" s="465">
        <f>Levers!B21</f>
        <v>757.95289843327498</v>
      </c>
      <c r="F86" s="465"/>
      <c r="G86" s="465">
        <f>Levers!D21</f>
        <v>775.78259059561128</v>
      </c>
      <c r="H86" s="465">
        <f>Levers!E21</f>
        <v>747.49175924928909</v>
      </c>
      <c r="I86" s="465">
        <f>Levers!F21</f>
        <v>719.41490796461164</v>
      </c>
      <c r="J86" s="465">
        <f>Levers!G21</f>
        <v>692.20203197773708</v>
      </c>
      <c r="K86" s="465">
        <f>Levers!H21</f>
        <v>666.0807880871904</v>
      </c>
      <c r="L86" s="465">
        <f>Levers!I21</f>
        <v>641.00519228214216</v>
      </c>
      <c r="N86" s="343"/>
    </row>
    <row r="87" spans="1:14" ht="15.6">
      <c r="A87" s="346">
        <f>ROW()</f>
        <v>87</v>
      </c>
      <c r="B87" s="483" t="str">
        <f>Levers!A22</f>
        <v>Net Surplus after Facilities</v>
      </c>
      <c r="E87" s="465">
        <f>Levers!B22</f>
        <v>104894106.37637973</v>
      </c>
      <c r="F87" s="465">
        <f>Levers!C22</f>
        <v>-616575</v>
      </c>
      <c r="G87" s="465">
        <f>Levers!D22</f>
        <v>14368872.613</v>
      </c>
      <c r="H87" s="465">
        <f>Levers!E22</f>
        <v>16073748.22839132</v>
      </c>
      <c r="I87" s="465">
        <f>Levers!F22</f>
        <v>17082866.781161062</v>
      </c>
      <c r="J87" s="465">
        <f>Levers!G22</f>
        <v>18161044.872133803</v>
      </c>
      <c r="K87" s="465">
        <f>Levers!H22</f>
        <v>19305207.2622668</v>
      </c>
      <c r="L87" s="465">
        <f>Levers!I22</f>
        <v>20518941.619426753</v>
      </c>
      <c r="N87" s="343"/>
    </row>
    <row r="88" spans="1:14">
      <c r="A88" s="346">
        <f>ROW()</f>
        <v>88</v>
      </c>
      <c r="B88" s="33" t="str">
        <f>Levers!A23</f>
        <v>Net Surplus after Facilities per Student</v>
      </c>
      <c r="E88" s="466">
        <f>Levers!B23</f>
        <v>9443.5161997617943</v>
      </c>
      <c r="F88" s="466"/>
      <c r="G88" s="466">
        <f>Levers!D23</f>
        <v>9008.6975630094039</v>
      </c>
      <c r="H88" s="466">
        <f>Levers!E23</f>
        <v>9522.3626945446213</v>
      </c>
      <c r="I88" s="466">
        <f>Levers!F23</f>
        <v>9550.8632264374955</v>
      </c>
      <c r="J88" s="466">
        <f>Levers!G23</f>
        <v>9578.9264336502019</v>
      </c>
      <c r="K88" s="466">
        <f>Levers!H23</f>
        <v>9606.0448444505255</v>
      </c>
      <c r="L88" s="466">
        <f>Levers!I23</f>
        <v>9632.0611637553611</v>
      </c>
      <c r="N88" s="343"/>
    </row>
    <row r="89" spans="1:14">
      <c r="A89" s="346">
        <f>ROW()</f>
        <v>89</v>
      </c>
      <c r="B89" s="33" t="s">
        <v>600</v>
      </c>
      <c r="E89" s="466">
        <f>Levers!B38</f>
        <v>-2863485.8035573382</v>
      </c>
      <c r="F89" s="466">
        <f>Levers!C38</f>
        <v>-616575</v>
      </c>
      <c r="G89" s="466">
        <f>Levers!D38</f>
        <v>-1500523.496254225</v>
      </c>
      <c r="H89" s="466">
        <f>Levers!E38</f>
        <v>-604445.1229895436</v>
      </c>
      <c r="I89" s="466">
        <f>Levers!F38</f>
        <v>-368066.24564993981</v>
      </c>
      <c r="J89" s="466">
        <f>Levers!G38</f>
        <v>-202675.7344154873</v>
      </c>
      <c r="K89" s="466">
        <f>Levers!H38</f>
        <v>84372.659407600819</v>
      </c>
      <c r="L89" s="466">
        <f>Levers!I38</f>
        <v>344427.13634425722</v>
      </c>
      <c r="N89" s="343"/>
    </row>
    <row r="90" spans="1:14">
      <c r="A90" s="346">
        <f>ROW()</f>
        <v>90</v>
      </c>
      <c r="B90" s="43" t="s">
        <v>601</v>
      </c>
      <c r="E90" s="466">
        <f>Levers!B39</f>
        <v>-257.79689162565643</v>
      </c>
      <c r="F90" s="466"/>
      <c r="G90" s="466">
        <f>Levers!D39</f>
        <v>-940.7670822910502</v>
      </c>
      <c r="H90" s="466">
        <f>Levers!E39</f>
        <v>-358.08360366679125</v>
      </c>
      <c r="I90" s="466">
        <f>Levers!F39</f>
        <v>-205.78222704093429</v>
      </c>
      <c r="J90" s="466">
        <f>Levers!G39</f>
        <v>-106.900013932066</v>
      </c>
      <c r="K90" s="466">
        <f>Levers!H39</f>
        <v>41.982846332818767</v>
      </c>
      <c r="L90" s="466">
        <f>Levers!I39</f>
        <v>161.68198658862775</v>
      </c>
      <c r="N90" s="343"/>
    </row>
    <row r="91" spans="1:14">
      <c r="A91" s="346">
        <f>ROW()</f>
        <v>91</v>
      </c>
      <c r="N91" s="343"/>
    </row>
    <row r="92" spans="1:14">
      <c r="A92" s="346">
        <f>ROW()</f>
        <v>92</v>
      </c>
      <c r="B92" s="63" t="s">
        <v>794</v>
      </c>
      <c r="C92" s="63"/>
      <c r="D92" s="63"/>
      <c r="E92" s="63"/>
      <c r="F92" s="63" t="s">
        <v>795</v>
      </c>
      <c r="G92" s="517" t="s">
        <v>796</v>
      </c>
      <c r="H92" s="517" t="s">
        <v>797</v>
      </c>
      <c r="I92" s="517" t="s">
        <v>798</v>
      </c>
      <c r="J92" s="517" t="s">
        <v>799</v>
      </c>
      <c r="K92" s="517" t="s">
        <v>800</v>
      </c>
      <c r="L92" s="517" t="s">
        <v>801</v>
      </c>
      <c r="N92" s="343"/>
    </row>
    <row r="93" spans="1:14">
      <c r="A93" s="346">
        <f>ROW()</f>
        <v>93</v>
      </c>
      <c r="B93" s="33" t="s">
        <v>802</v>
      </c>
      <c r="G93" s="50">
        <f t="shared" ref="G93:L93" si="33">IF($C$7="lease",G11,$C$55)</f>
        <v>41294</v>
      </c>
      <c r="H93" s="50">
        <f t="shared" si="33"/>
        <v>41294</v>
      </c>
      <c r="I93" s="50">
        <f t="shared" si="33"/>
        <v>41294</v>
      </c>
      <c r="J93" s="50">
        <f t="shared" si="33"/>
        <v>41294</v>
      </c>
      <c r="K93" s="50">
        <f t="shared" si="33"/>
        <v>41294</v>
      </c>
      <c r="L93" s="50">
        <f t="shared" si="33"/>
        <v>41294</v>
      </c>
      <c r="N93" s="343"/>
    </row>
    <row r="94" spans="1:14">
      <c r="A94" s="346">
        <f>ROW()</f>
        <v>94</v>
      </c>
      <c r="B94" s="12" t="s">
        <v>555</v>
      </c>
      <c r="G94" s="50">
        <f t="shared" ref="G94:L94" si="34">IF($C$7="lease",G23,G62)</f>
        <v>641213.23200000008</v>
      </c>
      <c r="H94" s="50">
        <f t="shared" si="34"/>
        <v>647881.84961279994</v>
      </c>
      <c r="I94" s="50">
        <f t="shared" si="34"/>
        <v>654619.820848773</v>
      </c>
      <c r="J94" s="50">
        <f t="shared" si="34"/>
        <v>661427.86698560021</v>
      </c>
      <c r="K94" s="50">
        <f t="shared" si="34"/>
        <v>668306.71680225036</v>
      </c>
      <c r="L94" s="50">
        <f t="shared" si="34"/>
        <v>675257.10665699374</v>
      </c>
      <c r="N94" s="343"/>
    </row>
    <row r="95" spans="1:14">
      <c r="A95" s="346">
        <f>ROW()</f>
        <v>95</v>
      </c>
      <c r="B95" s="12" t="s">
        <v>556</v>
      </c>
      <c r="G95" s="50">
        <f t="shared" ref="G95:L97" si="35">IF($C$7="lease",G25,G65)</f>
        <v>61800</v>
      </c>
      <c r="H95" s="50">
        <f t="shared" si="35"/>
        <v>63654</v>
      </c>
      <c r="I95" s="50">
        <f t="shared" si="35"/>
        <v>65563.62</v>
      </c>
      <c r="J95" s="50">
        <f t="shared" si="35"/>
        <v>67530.528599999991</v>
      </c>
      <c r="K95" s="50">
        <f t="shared" si="35"/>
        <v>69556.444457999998</v>
      </c>
      <c r="L95" s="50">
        <f t="shared" si="35"/>
        <v>71643.137791739995</v>
      </c>
      <c r="N95" s="343"/>
    </row>
    <row r="96" spans="1:14">
      <c r="A96" s="346">
        <f>ROW()</f>
        <v>96</v>
      </c>
      <c r="B96" s="12" t="s">
        <v>557</v>
      </c>
      <c r="G96" s="50">
        <f t="shared" si="35"/>
        <v>77250</v>
      </c>
      <c r="H96" s="50">
        <f t="shared" si="35"/>
        <v>79567.5</v>
      </c>
      <c r="I96" s="50">
        <f t="shared" si="35"/>
        <v>81954.525000000009</v>
      </c>
      <c r="J96" s="50">
        <f t="shared" si="35"/>
        <v>84413.16075000001</v>
      </c>
      <c r="K96" s="50">
        <f t="shared" si="35"/>
        <v>86945.555572500016</v>
      </c>
      <c r="L96" s="50">
        <f t="shared" si="35"/>
        <v>89553.922239675012</v>
      </c>
      <c r="N96" s="343"/>
    </row>
    <row r="97" spans="1:14">
      <c r="A97" s="346">
        <f>ROW()</f>
        <v>97</v>
      </c>
      <c r="B97" s="116" t="s">
        <v>558</v>
      </c>
      <c r="G97" s="50">
        <f t="shared" si="35"/>
        <v>0</v>
      </c>
      <c r="H97" s="50">
        <f t="shared" si="35"/>
        <v>0</v>
      </c>
      <c r="I97" s="50">
        <f t="shared" si="35"/>
        <v>0</v>
      </c>
      <c r="J97" s="50">
        <f t="shared" si="35"/>
        <v>0</v>
      </c>
      <c r="K97" s="50">
        <f t="shared" si="35"/>
        <v>0</v>
      </c>
      <c r="L97" s="50">
        <f t="shared" si="35"/>
        <v>0</v>
      </c>
      <c r="N97" s="343"/>
    </row>
    <row r="98" spans="1:14">
      <c r="A98" s="346">
        <f>ROW()</f>
        <v>98</v>
      </c>
      <c r="B98" s="116" t="s">
        <v>559</v>
      </c>
      <c r="G98" s="50">
        <f t="shared" ref="G98:L98" si="36">IF($C$7="lease",G29,G68)</f>
        <v>0</v>
      </c>
      <c r="H98" s="50">
        <f t="shared" si="36"/>
        <v>0</v>
      </c>
      <c r="I98" s="50">
        <f t="shared" si="36"/>
        <v>0</v>
      </c>
      <c r="J98" s="50">
        <f t="shared" si="36"/>
        <v>0</v>
      </c>
      <c r="K98" s="50">
        <f t="shared" si="36"/>
        <v>0</v>
      </c>
      <c r="L98" s="50">
        <f t="shared" si="36"/>
        <v>0</v>
      </c>
      <c r="N98" s="343"/>
    </row>
    <row r="99" spans="1:14">
      <c r="A99" s="346">
        <f>ROW()</f>
        <v>99</v>
      </c>
      <c r="B99" s="116" t="s">
        <v>560</v>
      </c>
      <c r="G99" s="50">
        <f t="shared" ref="G99:L99" si="37">IF($C$7="lease",G35,0)</f>
        <v>0</v>
      </c>
      <c r="H99" s="50">
        <f t="shared" si="37"/>
        <v>0</v>
      </c>
      <c r="I99" s="50">
        <f t="shared" si="37"/>
        <v>0</v>
      </c>
      <c r="J99" s="50">
        <f t="shared" si="37"/>
        <v>0</v>
      </c>
      <c r="K99" s="50">
        <f t="shared" si="37"/>
        <v>0</v>
      </c>
      <c r="L99" s="50">
        <f t="shared" si="37"/>
        <v>0</v>
      </c>
      <c r="N99" s="343"/>
    </row>
    <row r="100" spans="1:14">
      <c r="A100" s="346">
        <f>ROW()</f>
        <v>100</v>
      </c>
      <c r="B100" s="116" t="s">
        <v>524</v>
      </c>
      <c r="G100" s="50">
        <f t="shared" ref="G100:L100" si="38">IF($C$7="lease",G34,0)</f>
        <v>0</v>
      </c>
      <c r="H100" s="50">
        <f t="shared" si="38"/>
        <v>0</v>
      </c>
      <c r="I100" s="50">
        <f t="shared" si="38"/>
        <v>0</v>
      </c>
      <c r="J100" s="50">
        <f t="shared" si="38"/>
        <v>0</v>
      </c>
      <c r="K100" s="50">
        <f t="shared" si="38"/>
        <v>0</v>
      </c>
      <c r="L100" s="50">
        <f t="shared" si="38"/>
        <v>0</v>
      </c>
      <c r="N100" s="343"/>
    </row>
    <row r="101" spans="1:14">
      <c r="A101" s="346"/>
      <c r="B101" s="116"/>
      <c r="N101" s="343"/>
    </row>
    <row r="103" spans="1:14" ht="14.4">
      <c r="M103"/>
    </row>
    <row r="104" spans="1:14" ht="14.4">
      <c r="M104" s="2"/>
    </row>
  </sheetData>
  <sheetProtection algorithmName="SHA-512" hashValue="inZQY/K6yKbxCQPuEvUiXTVGxL15ITuNtHDyZzLAG557Al/IsCk5vit5i424HzizjySwDHrYdPi7DyeYSCsSUg==" saltValue="QW4tLV4bGhsKK4Qv4nuBHg==" spinCount="100000" sheet="1" objects="1" scenarios="1"/>
  <mergeCells count="2">
    <mergeCell ref="G2:K2"/>
    <mergeCell ref="G3:K3"/>
  </mergeCells>
  <conditionalFormatting sqref="D1">
    <cfRule type="expression" dxfId="29" priority="3" stopIfTrue="1">
      <formula>MOD(ROW(),2)=0</formula>
    </cfRule>
  </conditionalFormatting>
  <conditionalFormatting sqref="F71:F72">
    <cfRule type="cellIs" dxfId="28" priority="8" stopIfTrue="1" operator="equal">
      <formula>0</formula>
    </cfRule>
  </conditionalFormatting>
  <conditionalFormatting sqref="G57">
    <cfRule type="expression" dxfId="27" priority="6">
      <formula>"'=or(&lt;0.95*Facilities!$I$16,&gt;1.05*Facilities!$I$16,&lt;0.95*Facilities!$I$51,&gt;1.05*Facilities!$I$51)"</formula>
    </cfRule>
    <cfRule type="expression" priority="7">
      <formula>"'=or(&lt;.95*Facilities!$I$16,&gt;1.05*Facilities!$I$16,&lt;.95*Facilities!$I$51,&gt;1.05*Facilities!$I$51)"</formula>
    </cfRule>
  </conditionalFormatting>
  <conditionalFormatting sqref="Z1:Z6">
    <cfRule type="cellIs" dxfId="26" priority="2" stopIfTrue="1" operator="equal">
      <formula>0</formula>
    </cfRule>
  </conditionalFormatting>
  <hyperlinks>
    <hyperlink ref="D1" location="HypLink1" display="HypLink1"/>
  </hyperlinks>
  <pageMargins left="0.25" right="0.25" top="0.5" bottom="0.45" header="0.25" footer="0.25"/>
  <pageSetup scale="65" fitToHeight="2" orientation="landscape" r:id="rId1"/>
  <headerFooter>
    <oddHeader xml:space="preserve">&amp;L &amp;C &amp;R </oddHeader>
    <oddFooter>&amp;L&amp;7&amp;D  at &amp;T Mike 702.486.8879&amp;C&amp;7&amp;F  &amp;A&amp;R&amp;7Page &amp;P of &amp;N</oddFooter>
  </headerFooter>
  <rowBreaks count="1" manualBreakCount="1">
    <brk id="53" max="11"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pageSetUpPr fitToPage="1"/>
  </sheetPr>
  <dimension ref="A1:R200"/>
  <sheetViews>
    <sheetView workbookViewId="0">
      <selection activeCell="B137" sqref="A137:XFD137"/>
    </sheetView>
  </sheetViews>
  <sheetFormatPr defaultColWidth="8.77734375" defaultRowHeight="13.8"/>
  <cols>
    <col min="1" max="1" width="8.21875" style="33" customWidth="1"/>
    <col min="2" max="2" width="47.77734375" style="33" customWidth="1"/>
    <col min="3" max="3" width="17.77734375" style="33" customWidth="1"/>
    <col min="4" max="4" width="9" style="33" customWidth="1"/>
    <col min="5" max="5" width="8.77734375" style="33" customWidth="1"/>
    <col min="6" max="6" width="15.21875" style="33" customWidth="1"/>
    <col min="7" max="7" width="16.21875" style="33" customWidth="1"/>
    <col min="8" max="9" width="21" style="33" customWidth="1"/>
    <col min="10" max="12" width="17" style="33" customWidth="1"/>
    <col min="13" max="16" width="1.21875" style="33" customWidth="1"/>
    <col min="17" max="17" width="0.44140625" style="33" customWidth="1"/>
    <col min="18" max="18" width="88.77734375" style="307" customWidth="1"/>
    <col min="19" max="19" width="10.77734375" style="33" customWidth="1"/>
    <col min="20" max="20" width="3.77734375" style="33" customWidth="1"/>
    <col min="21" max="21" width="6.21875" style="33" customWidth="1"/>
    <col min="22" max="22" width="6" style="33" customWidth="1"/>
    <col min="23" max="23" width="5.21875" style="33" customWidth="1"/>
    <col min="24" max="24" width="6.5546875" style="33" customWidth="1"/>
    <col min="25" max="25" width="17.21875" style="33" customWidth="1"/>
    <col min="26" max="16384" width="8.77734375" style="33"/>
  </cols>
  <sheetData>
    <row r="1" spans="1:18" ht="17.399999999999999">
      <c r="A1" s="123" t="s">
        <v>803</v>
      </c>
      <c r="B1" s="35"/>
      <c r="D1" s="408" t="s">
        <v>3</v>
      </c>
      <c r="P1" s="36"/>
    </row>
    <row r="2" spans="1:18" ht="15.6">
      <c r="A2" s="114" t="str">
        <f>SchoolName</f>
        <v>The Delta Academy</v>
      </c>
      <c r="B2" s="38"/>
    </row>
    <row r="3" spans="1:18">
      <c r="A3" s="39" t="s">
        <v>80</v>
      </c>
      <c r="K3" s="31"/>
    </row>
    <row r="4" spans="1:18">
      <c r="A4" s="40" t="s">
        <v>81</v>
      </c>
    </row>
    <row r="5" spans="1:18">
      <c r="A5" s="30" t="str">
        <f ca="1">CELL("filename")</f>
        <v>C:\Users\kyle.konold\Downloads\[FY25 Budget - Delta Academy_Final.xlsx]Form 1 Cover</v>
      </c>
    </row>
    <row r="6" spans="1:18" ht="15.6">
      <c r="A6" s="64"/>
      <c r="D6" s="65" t="s">
        <v>341</v>
      </c>
      <c r="E6" s="65"/>
      <c r="G6" s="260">
        <f>Cover!E11</f>
        <v>2025</v>
      </c>
      <c r="J6" s="65"/>
    </row>
    <row r="7" spans="1:18">
      <c r="A7" s="64"/>
      <c r="D7" s="32" t="s">
        <v>342</v>
      </c>
      <c r="E7" s="32"/>
      <c r="G7" s="32">
        <f>+G6+1</f>
        <v>2026</v>
      </c>
      <c r="J7" s="32"/>
    </row>
    <row r="8" spans="1:18">
      <c r="A8" s="64"/>
      <c r="F8" s="32"/>
      <c r="G8" s="31"/>
    </row>
    <row r="9" spans="1:18">
      <c r="A9" s="64"/>
      <c r="B9" s="31"/>
      <c r="F9" s="1638">
        <v>0</v>
      </c>
      <c r="G9" s="718">
        <v>1</v>
      </c>
      <c r="H9" s="718">
        <f>1+G9</f>
        <v>2</v>
      </c>
      <c r="I9" s="718">
        <f t="shared" ref="I9:L9" si="0">1+H9</f>
        <v>3</v>
      </c>
      <c r="J9" s="718">
        <f t="shared" si="0"/>
        <v>4</v>
      </c>
      <c r="K9" s="718">
        <f t="shared" si="0"/>
        <v>5</v>
      </c>
      <c r="L9" s="1188">
        <f t="shared" si="0"/>
        <v>6</v>
      </c>
    </row>
    <row r="10" spans="1:18">
      <c r="A10" s="64"/>
      <c r="D10" s="1790" t="s">
        <v>804</v>
      </c>
      <c r="E10" s="1791"/>
      <c r="F10" s="719">
        <f>+G10-1</f>
        <v>2024</v>
      </c>
      <c r="G10" s="720">
        <f>+G6</f>
        <v>2025</v>
      </c>
      <c r="H10" s="720">
        <f>+G11</f>
        <v>2026</v>
      </c>
      <c r="I10" s="720">
        <f>+H11</f>
        <v>2027</v>
      </c>
      <c r="J10" s="720">
        <f>+I11</f>
        <v>2028</v>
      </c>
      <c r="K10" s="720">
        <f>+J11</f>
        <v>2029</v>
      </c>
      <c r="L10" s="721">
        <f>+K11</f>
        <v>2030</v>
      </c>
    </row>
    <row r="11" spans="1:18" ht="15.6">
      <c r="A11" s="64"/>
      <c r="B11" s="67"/>
      <c r="C11" s="594" t="s">
        <v>343</v>
      </c>
      <c r="D11" s="595"/>
      <c r="E11" s="595"/>
      <c r="F11" s="722">
        <f>+G11-1</f>
        <v>2025</v>
      </c>
      <c r="G11" s="723">
        <f t="shared" ref="G11:L11" si="1">+G10+1</f>
        <v>2026</v>
      </c>
      <c r="H11" s="723">
        <f t="shared" si="1"/>
        <v>2027</v>
      </c>
      <c r="I11" s="723">
        <f t="shared" si="1"/>
        <v>2028</v>
      </c>
      <c r="J11" s="723">
        <f t="shared" si="1"/>
        <v>2029</v>
      </c>
      <c r="K11" s="723">
        <f t="shared" si="1"/>
        <v>2030</v>
      </c>
      <c r="L11" s="724">
        <f t="shared" si="1"/>
        <v>2031</v>
      </c>
    </row>
    <row r="12" spans="1:18" ht="15.6">
      <c r="A12" s="64"/>
      <c r="B12" s="183" t="s">
        <v>805</v>
      </c>
      <c r="D12" s="283"/>
      <c r="E12" s="283"/>
      <c r="F12" s="1204"/>
      <c r="G12" s="1205"/>
      <c r="H12" s="1205"/>
      <c r="I12" s="1205"/>
      <c r="J12" s="1205"/>
      <c r="K12" s="1205"/>
      <c r="L12" s="1205"/>
    </row>
    <row r="13" spans="1:18" ht="15.6">
      <c r="A13" s="346">
        <f>ROW()</f>
        <v>13</v>
      </c>
      <c r="B13" s="434" t="s">
        <v>275</v>
      </c>
      <c r="C13" s="62"/>
      <c r="D13" s="62"/>
      <c r="E13" s="62"/>
      <c r="F13" s="576"/>
      <c r="G13" s="577"/>
      <c r="H13" s="577"/>
      <c r="I13" s="577"/>
      <c r="J13" s="577"/>
      <c r="K13" s="577"/>
      <c r="L13" s="577"/>
      <c r="R13" s="1365" t="s">
        <v>103</v>
      </c>
    </row>
    <row r="14" spans="1:18" ht="15.6">
      <c r="A14" s="346">
        <f>ROW()</f>
        <v>14</v>
      </c>
      <c r="B14" s="31" t="s">
        <v>296</v>
      </c>
      <c r="F14" s="578"/>
      <c r="G14" s="610"/>
      <c r="H14" s="610"/>
      <c r="I14" s="610"/>
      <c r="J14" s="610"/>
      <c r="K14" s="610"/>
      <c r="L14" s="610"/>
      <c r="R14" s="462"/>
    </row>
    <row r="15" spans="1:18">
      <c r="A15" s="346">
        <f>ROW()</f>
        <v>15</v>
      </c>
      <c r="B15" s="143" t="s">
        <v>297</v>
      </c>
      <c r="C15" s="125"/>
      <c r="D15" s="125"/>
      <c r="E15" s="125"/>
      <c r="F15" s="611">
        <f>' Enrol &amp; Rev'!F17</f>
        <v>0</v>
      </c>
      <c r="G15" s="1517">
        <f>' Enrol &amp; Rev'!G17</f>
        <v>7</v>
      </c>
      <c r="H15" s="1517">
        <f>' Enrol &amp; Rev'!H17</f>
        <v>7</v>
      </c>
      <c r="I15" s="1517">
        <f>' Enrol &amp; Rev'!I17</f>
        <v>7</v>
      </c>
      <c r="J15" s="1517">
        <f>' Enrol &amp; Rev'!J17</f>
        <v>7</v>
      </c>
      <c r="K15" s="1517">
        <f>' Enrol &amp; Rev'!K17</f>
        <v>7</v>
      </c>
      <c r="L15" s="1517">
        <f>' Enrol &amp; Rev'!L17</f>
        <v>7</v>
      </c>
      <c r="R15" s="343" t="s">
        <v>806</v>
      </c>
    </row>
    <row r="16" spans="1:18">
      <c r="A16" s="346">
        <f>ROW()</f>
        <v>16</v>
      </c>
      <c r="B16" s="69" t="s">
        <v>298</v>
      </c>
      <c r="F16" s="660">
        <f>' Enrol &amp; Rev'!F19</f>
        <v>0</v>
      </c>
      <c r="G16" s="661">
        <f>' Enrol &amp; Rev'!G19</f>
        <v>0</v>
      </c>
      <c r="H16" s="661">
        <f>' Enrol &amp; Rev'!H19</f>
        <v>0</v>
      </c>
      <c r="I16" s="661">
        <f>' Enrol &amp; Rev'!I19</f>
        <v>0</v>
      </c>
      <c r="J16" s="661">
        <f>' Enrol &amp; Rev'!J19</f>
        <v>0</v>
      </c>
      <c r="K16" s="661">
        <f>' Enrol &amp; Rev'!K19</f>
        <v>0</v>
      </c>
      <c r="L16" s="661">
        <f>' Enrol &amp; Rev'!L19</f>
        <v>0</v>
      </c>
      <c r="R16" s="343"/>
    </row>
    <row r="17" spans="1:18" hidden="1">
      <c r="A17" s="346">
        <f>ROW()</f>
        <v>17</v>
      </c>
      <c r="B17" s="41"/>
      <c r="C17" s="306"/>
      <c r="D17" s="306"/>
      <c r="E17" s="306"/>
      <c r="F17" s="589"/>
      <c r="G17" s="589"/>
      <c r="H17" s="589"/>
      <c r="I17" s="589"/>
      <c r="J17" s="589"/>
      <c r="K17" s="589"/>
      <c r="L17" s="589"/>
      <c r="R17" s="343"/>
    </row>
    <row r="18" spans="1:18" hidden="1">
      <c r="A18" s="346">
        <f>ROW()</f>
        <v>18</v>
      </c>
      <c r="B18" s="1206" t="s">
        <v>299</v>
      </c>
      <c r="C18" s="365"/>
      <c r="D18" s="365"/>
      <c r="E18" s="365"/>
      <c r="F18" s="579">
        <f>' Enrol &amp; Rev'!F23</f>
        <v>0</v>
      </c>
      <c r="G18" s="579">
        <f>' Enrol &amp; Rev'!G23</f>
        <v>0</v>
      </c>
      <c r="H18" s="579">
        <f>' Enrol &amp; Rev'!H23</f>
        <v>0</v>
      </c>
      <c r="I18" s="579">
        <f>' Enrol &amp; Rev'!I23</f>
        <v>0</v>
      </c>
      <c r="J18" s="579">
        <f>' Enrol &amp; Rev'!J23</f>
        <v>0</v>
      </c>
      <c r="K18" s="579">
        <f>' Enrol &amp; Rev'!K23</f>
        <v>0</v>
      </c>
      <c r="L18" s="579">
        <f>' Enrol &amp; Rev'!L23</f>
        <v>0</v>
      </c>
      <c r="R18" s="343"/>
    </row>
    <row r="19" spans="1:18" hidden="1">
      <c r="A19" s="346">
        <f>ROW()</f>
        <v>19</v>
      </c>
      <c r="B19" s="366" t="s">
        <v>300</v>
      </c>
      <c r="C19" s="365"/>
      <c r="D19" s="365"/>
      <c r="E19" s="365"/>
      <c r="F19" s="580">
        <f>' Enrol &amp; Rev'!F24</f>
        <v>0</v>
      </c>
      <c r="G19" s="580">
        <f>' Enrol &amp; Rev'!G24</f>
        <v>0</v>
      </c>
      <c r="H19" s="580">
        <f>' Enrol &amp; Rev'!H24</f>
        <v>0</v>
      </c>
      <c r="I19" s="580">
        <f>' Enrol &amp; Rev'!I24</f>
        <v>0</v>
      </c>
      <c r="J19" s="580">
        <f>' Enrol &amp; Rev'!J24</f>
        <v>0</v>
      </c>
      <c r="K19" s="580">
        <f>' Enrol &amp; Rev'!K24</f>
        <v>0</v>
      </c>
      <c r="L19" s="580">
        <f>' Enrol &amp; Rev'!L24</f>
        <v>0</v>
      </c>
      <c r="R19" s="343"/>
    </row>
    <row r="20" spans="1:18" hidden="1">
      <c r="A20" s="346">
        <f>ROW()</f>
        <v>20</v>
      </c>
      <c r="B20" s="366" t="s">
        <v>301</v>
      </c>
      <c r="C20" s="365"/>
      <c r="D20" s="365"/>
      <c r="E20" s="365"/>
      <c r="F20" s="580">
        <f>' Enrol &amp; Rev'!F25</f>
        <v>0</v>
      </c>
      <c r="G20" s="581">
        <f>' Enrol &amp; Rev'!G25</f>
        <v>0</v>
      </c>
      <c r="H20" s="581">
        <f>' Enrol &amp; Rev'!H25</f>
        <v>0</v>
      </c>
      <c r="I20" s="581">
        <f>' Enrol &amp; Rev'!I25</f>
        <v>0</v>
      </c>
      <c r="J20" s="581">
        <f>' Enrol &amp; Rev'!J25</f>
        <v>0</v>
      </c>
      <c r="K20" s="581">
        <f>' Enrol &amp; Rev'!K25</f>
        <v>0</v>
      </c>
      <c r="L20" s="581">
        <f>' Enrol &amp; Rev'!L25</f>
        <v>0</v>
      </c>
      <c r="R20" s="343"/>
    </row>
    <row r="21" spans="1:18" hidden="1">
      <c r="A21" s="346">
        <f>ROW()</f>
        <v>21</v>
      </c>
      <c r="B21" s="366" t="s">
        <v>302</v>
      </c>
      <c r="C21" s="365"/>
      <c r="D21" s="365"/>
      <c r="E21" s="365"/>
      <c r="F21" s="582">
        <f>' Enrol &amp; Rev'!F26</f>
        <v>0</v>
      </c>
      <c r="G21" s="583">
        <f>' Enrol &amp; Rev'!G26</f>
        <v>0</v>
      </c>
      <c r="H21" s="583">
        <f>' Enrol &amp; Rev'!H26</f>
        <v>0</v>
      </c>
      <c r="I21" s="583">
        <f>' Enrol &amp; Rev'!I26</f>
        <v>0</v>
      </c>
      <c r="J21" s="583">
        <f>' Enrol &amp; Rev'!J26</f>
        <v>0</v>
      </c>
      <c r="K21" s="583">
        <f>' Enrol &amp; Rev'!K26</f>
        <v>0</v>
      </c>
      <c r="L21" s="583">
        <f>' Enrol &amp; Rev'!L26</f>
        <v>0</v>
      </c>
      <c r="R21" s="343"/>
    </row>
    <row r="22" spans="1:18" hidden="1">
      <c r="A22" s="346">
        <f>ROW()</f>
        <v>22</v>
      </c>
      <c r="B22" s="366" t="s">
        <v>303</v>
      </c>
      <c r="C22" s="365"/>
      <c r="D22" s="365"/>
      <c r="E22" s="365"/>
      <c r="F22" s="582">
        <f>' Enrol &amp; Rev'!F27</f>
        <v>0</v>
      </c>
      <c r="G22" s="583">
        <f>' Enrol &amp; Rev'!G27</f>
        <v>0</v>
      </c>
      <c r="H22" s="583">
        <f>' Enrol &amp; Rev'!H27</f>
        <v>0</v>
      </c>
      <c r="I22" s="583">
        <f>' Enrol &amp; Rev'!I27</f>
        <v>0</v>
      </c>
      <c r="J22" s="583">
        <f>' Enrol &amp; Rev'!J27</f>
        <v>0</v>
      </c>
      <c r="K22" s="583">
        <f>' Enrol &amp; Rev'!K27</f>
        <v>0</v>
      </c>
      <c r="L22" s="583">
        <f>' Enrol &amp; Rev'!L27</f>
        <v>0</v>
      </c>
    </row>
    <row r="23" spans="1:18" hidden="1">
      <c r="A23" s="346">
        <f>ROW()</f>
        <v>23</v>
      </c>
      <c r="B23" s="366" t="s">
        <v>304</v>
      </c>
      <c r="C23" s="365"/>
      <c r="D23" s="365"/>
      <c r="E23" s="365"/>
      <c r="F23" s="582">
        <f>' Enrol &amp; Rev'!F28</f>
        <v>0</v>
      </c>
      <c r="G23" s="582">
        <f>' Enrol &amp; Rev'!G28</f>
        <v>0</v>
      </c>
      <c r="H23" s="582">
        <f>' Enrol &amp; Rev'!H28</f>
        <v>0</v>
      </c>
      <c r="I23" s="582">
        <f>' Enrol &amp; Rev'!I28</f>
        <v>0</v>
      </c>
      <c r="J23" s="582">
        <f>' Enrol &amp; Rev'!J28</f>
        <v>0</v>
      </c>
      <c r="K23" s="582">
        <f>' Enrol &amp; Rev'!K28</f>
        <v>0</v>
      </c>
      <c r="L23" s="582">
        <f>' Enrol &amp; Rev'!L28</f>
        <v>0</v>
      </c>
    </row>
    <row r="24" spans="1:18" hidden="1">
      <c r="A24" s="346">
        <f>ROW()</f>
        <v>24</v>
      </c>
      <c r="B24" s="366" t="s">
        <v>305</v>
      </c>
      <c r="C24" s="365"/>
      <c r="D24" s="365"/>
      <c r="E24" s="365"/>
      <c r="F24" s="582">
        <f>' Enrol &amp; Rev'!F29</f>
        <v>0</v>
      </c>
      <c r="G24" s="582">
        <f>' Enrol &amp; Rev'!G29</f>
        <v>101</v>
      </c>
      <c r="H24" s="584">
        <f>' Enrol &amp; Rev'!H29</f>
        <v>107</v>
      </c>
      <c r="I24" s="584">
        <f>' Enrol &amp; Rev'!I29</f>
        <v>113.95641088000002</v>
      </c>
      <c r="J24" s="584">
        <f>' Enrol &amp; Rev'!J29</f>
        <v>120.79379553280003</v>
      </c>
      <c r="K24" s="584">
        <f>' Enrol &amp; Rev'!K29</f>
        <v>128.04142326476804</v>
      </c>
      <c r="L24" s="584">
        <f>' Enrol &amp; Rev'!L29</f>
        <v>135.72390866065413</v>
      </c>
    </row>
    <row r="25" spans="1:18" hidden="1">
      <c r="A25" s="346">
        <f>ROW()</f>
        <v>25</v>
      </c>
      <c r="B25" s="366" t="s">
        <v>306</v>
      </c>
      <c r="C25" s="365"/>
      <c r="D25" s="365"/>
      <c r="E25" s="365"/>
      <c r="F25" s="582">
        <f>' Enrol &amp; Rev'!F30</f>
        <v>0</v>
      </c>
      <c r="G25" s="582">
        <f>' Enrol &amp; Rev'!G30</f>
        <v>166</v>
      </c>
      <c r="H25" s="584">
        <f>' Enrol &amp; Rev'!H30</f>
        <v>177</v>
      </c>
      <c r="I25" s="584">
        <f>' Enrol &amp; Rev'!I30</f>
        <v>187.03715264000004</v>
      </c>
      <c r="J25" s="584">
        <f>' Enrol &amp; Rev'!J30</f>
        <v>198.25938179840006</v>
      </c>
      <c r="K25" s="584">
        <f>' Enrol &amp; Rev'!K30</f>
        <v>210.15494470630406</v>
      </c>
      <c r="L25" s="584">
        <f>' Enrol &amp; Rev'!L30</f>
        <v>222.76424138868231</v>
      </c>
    </row>
    <row r="26" spans="1:18" hidden="1">
      <c r="A26" s="346">
        <f>ROW()</f>
        <v>26</v>
      </c>
      <c r="B26" s="366" t="s">
        <v>307</v>
      </c>
      <c r="C26" s="365"/>
      <c r="D26" s="365"/>
      <c r="E26" s="365"/>
      <c r="F26" s="582">
        <f>' Enrol &amp; Rev'!F31</f>
        <v>0</v>
      </c>
      <c r="G26" s="582">
        <f>' Enrol &amp; Rev'!G31</f>
        <v>264</v>
      </c>
      <c r="H26" s="584">
        <f>' Enrol &amp; Rev'!H31</f>
        <v>280</v>
      </c>
      <c r="I26" s="584">
        <f>' Enrol &amp; Rev'!I31</f>
        <v>296.03893696000006</v>
      </c>
      <c r="J26" s="584">
        <f>' Enrol &amp; Rev'!J31</f>
        <v>313.80127317760008</v>
      </c>
      <c r="K26" s="584">
        <f>' Enrol &amp; Rev'!K31</f>
        <v>332.62934956825609</v>
      </c>
      <c r="L26" s="584">
        <f>' Enrol &amp; Rev'!L31</f>
        <v>352.58711054235147</v>
      </c>
    </row>
    <row r="27" spans="1:18" hidden="1">
      <c r="A27" s="346">
        <f>ROW()</f>
        <v>27</v>
      </c>
      <c r="B27" s="366" t="s">
        <v>308</v>
      </c>
      <c r="C27" s="365"/>
      <c r="D27" s="365"/>
      <c r="E27" s="365"/>
      <c r="F27" s="582">
        <f>' Enrol &amp; Rev'!F32</f>
        <v>0</v>
      </c>
      <c r="G27" s="582">
        <f>' Enrol &amp; Rev'!G32</f>
        <v>165</v>
      </c>
      <c r="H27" s="584">
        <f>' Enrol &amp; Rev'!H32</f>
        <v>174</v>
      </c>
      <c r="I27" s="584">
        <f>' Enrol &amp; Rev'!I32</f>
        <v>184.55983936000004</v>
      </c>
      <c r="J27" s="584">
        <f>' Enrol &amp; Rev'!J32</f>
        <v>195.63342972160007</v>
      </c>
      <c r="K27" s="584">
        <f>' Enrol &amp; Rev'!K32</f>
        <v>207.37143550489608</v>
      </c>
      <c r="L27" s="584">
        <f>' Enrol &amp; Rev'!L32</f>
        <v>219.81372163518986</v>
      </c>
    </row>
    <row r="28" spans="1:18" hidden="1">
      <c r="A28" s="346">
        <f>ROW()</f>
        <v>28</v>
      </c>
      <c r="B28" s="366" t="s">
        <v>309</v>
      </c>
      <c r="C28" s="365"/>
      <c r="D28" s="365"/>
      <c r="E28" s="365"/>
      <c r="F28" s="582">
        <f>' Enrol &amp; Rev'!F33</f>
        <v>0</v>
      </c>
      <c r="G28" s="582">
        <f>' Enrol &amp; Rev'!G33</f>
        <v>237</v>
      </c>
      <c r="H28" s="584">
        <f>' Enrol &amp; Rev'!H33</f>
        <v>250</v>
      </c>
      <c r="I28" s="584">
        <f>' Enrol &amp; Rev'!I33</f>
        <v>265.07252096000002</v>
      </c>
      <c r="J28" s="584">
        <f>' Enrol &amp; Rev'!J33</f>
        <v>280.97687221760003</v>
      </c>
      <c r="K28" s="584">
        <f>' Enrol &amp; Rev'!K33</f>
        <v>297.83548455065608</v>
      </c>
      <c r="L28" s="584">
        <f>' Enrol &amp; Rev'!L33</f>
        <v>315.70561362369546</v>
      </c>
    </row>
    <row r="29" spans="1:18" hidden="1">
      <c r="A29" s="346">
        <f>ROW()</f>
        <v>29</v>
      </c>
      <c r="B29" s="366" t="s">
        <v>310</v>
      </c>
      <c r="C29" s="365"/>
      <c r="D29" s="365"/>
      <c r="E29" s="365"/>
      <c r="F29" s="582">
        <f>' Enrol &amp; Rev'!F34</f>
        <v>0</v>
      </c>
      <c r="G29" s="582">
        <f>' Enrol &amp; Rev'!G34</f>
        <v>293</v>
      </c>
      <c r="H29" s="584">
        <f>' Enrol &amp; Rev'!H34</f>
        <v>310</v>
      </c>
      <c r="I29" s="584">
        <f>' Enrol &amp; Rev'!I34</f>
        <v>328.24400960000008</v>
      </c>
      <c r="J29" s="584">
        <f>' Enrol &amp; Rev'!J34</f>
        <v>347.93865017600012</v>
      </c>
      <c r="K29" s="584">
        <f>' Enrol &amp; Rev'!K34</f>
        <v>368.81496918656018</v>
      </c>
      <c r="L29" s="584">
        <f>' Enrol &amp; Rev'!L34</f>
        <v>390.94386733775383</v>
      </c>
    </row>
    <row r="30" spans="1:18" hidden="1">
      <c r="A30" s="346">
        <f>ROW()</f>
        <v>30</v>
      </c>
      <c r="B30" s="366" t="s">
        <v>311</v>
      </c>
      <c r="C30" s="365"/>
      <c r="D30" s="365"/>
      <c r="E30" s="365"/>
      <c r="F30" s="585">
        <f>' Enrol &amp; Rev'!F35</f>
        <v>0</v>
      </c>
      <c r="G30" s="585">
        <f>' Enrol &amp; Rev'!G35</f>
        <v>369</v>
      </c>
      <c r="H30" s="586">
        <f>' Enrol &amp; Rev'!H35</f>
        <v>390</v>
      </c>
      <c r="I30" s="586">
        <f>' Enrol &amp; Rev'!I35</f>
        <v>413.7113177600001</v>
      </c>
      <c r="J30" s="586">
        <f>' Enrol &amp; Rev'!J35</f>
        <v>438.53399682560013</v>
      </c>
      <c r="K30" s="586">
        <f>' Enrol &amp; Rev'!K35</f>
        <v>464.84603663513616</v>
      </c>
      <c r="L30" s="586">
        <f>' Enrol &amp; Rev'!L35</f>
        <v>492.73679883324434</v>
      </c>
    </row>
    <row r="31" spans="1:18" ht="15.6">
      <c r="A31" s="346">
        <f>ROW()</f>
        <v>31</v>
      </c>
      <c r="B31" s="612" t="s">
        <v>312</v>
      </c>
      <c r="C31" s="463"/>
      <c r="D31" s="463"/>
      <c r="E31" s="463"/>
      <c r="F31" s="448"/>
      <c r="G31" s="1516">
        <f t="shared" ref="G31:L31" si="2">SUM(G18:G30)</f>
        <v>1595</v>
      </c>
      <c r="H31" s="1516">
        <f t="shared" si="2"/>
        <v>1688</v>
      </c>
      <c r="I31" s="1516">
        <f t="shared" si="2"/>
        <v>1788.6201881600005</v>
      </c>
      <c r="J31" s="1516">
        <f t="shared" si="2"/>
        <v>1895.9373994496007</v>
      </c>
      <c r="K31" s="1516">
        <f t="shared" si="2"/>
        <v>2009.6936434165768</v>
      </c>
      <c r="L31" s="1516">
        <f t="shared" si="2"/>
        <v>2130.2752620215715</v>
      </c>
      <c r="R31" s="343"/>
    </row>
    <row r="32" spans="1:18">
      <c r="A32" s="346">
        <f>ROW()</f>
        <v>32</v>
      </c>
      <c r="B32" s="72" t="s">
        <v>807</v>
      </c>
      <c r="C32" s="72"/>
      <c r="D32" s="72"/>
      <c r="E32" s="72"/>
      <c r="F32" s="449"/>
      <c r="G32" s="1546">
        <f>IFERROR(G31/G16,0)</f>
        <v>0</v>
      </c>
      <c r="H32" s="1546">
        <f t="shared" ref="H32:L32" si="3">IFERROR(H31/H16,0)</f>
        <v>0</v>
      </c>
      <c r="I32" s="1546">
        <f t="shared" si="3"/>
        <v>0</v>
      </c>
      <c r="J32" s="1546">
        <f t="shared" si="3"/>
        <v>0</v>
      </c>
      <c r="K32" s="1546">
        <f t="shared" si="3"/>
        <v>0</v>
      </c>
      <c r="L32" s="1546">
        <f t="shared" si="3"/>
        <v>0</v>
      </c>
      <c r="R32" s="343"/>
    </row>
    <row r="33" spans="1:18">
      <c r="A33" s="346">
        <f>ROW()</f>
        <v>33</v>
      </c>
      <c r="B33" s="441" t="s">
        <v>355</v>
      </c>
      <c r="C33" s="72"/>
      <c r="D33" s="72"/>
      <c r="E33" s="72"/>
      <c r="F33" s="1543">
        <f>' Enrol &amp; Rev'!F44</f>
        <v>0</v>
      </c>
      <c r="G33" s="1548">
        <f>' Enrol &amp; Rev'!G44</f>
        <v>0.85</v>
      </c>
      <c r="H33" s="1548">
        <f>' Enrol &amp; Rev'!H44</f>
        <v>0.85</v>
      </c>
      <c r="I33" s="1548">
        <f>' Enrol &amp; Rev'!I44</f>
        <v>0.85</v>
      </c>
      <c r="J33" s="1548">
        <f>' Enrol &amp; Rev'!J44</f>
        <v>0.85</v>
      </c>
      <c r="K33" s="1548">
        <f>' Enrol &amp; Rev'!K44</f>
        <v>0.85</v>
      </c>
      <c r="L33" s="1548">
        <f>' Enrol &amp; Rev'!L44</f>
        <v>0.85</v>
      </c>
      <c r="R33" s="343"/>
    </row>
    <row r="34" spans="1:18">
      <c r="A34" s="346">
        <f>ROW()</f>
        <v>34</v>
      </c>
      <c r="B34" s="441" t="s">
        <v>808</v>
      </c>
      <c r="C34" s="72"/>
      <c r="D34" s="72"/>
      <c r="E34" s="72"/>
      <c r="F34" s="450"/>
      <c r="G34" s="587">
        <f t="shared" ref="G34:L34" si="4">+G31*(1-G33)</f>
        <v>239.25000000000003</v>
      </c>
      <c r="H34" s="587">
        <f t="shared" si="4"/>
        <v>253.20000000000005</v>
      </c>
      <c r="I34" s="587">
        <f t="shared" si="4"/>
        <v>268.29302822400012</v>
      </c>
      <c r="J34" s="587">
        <f t="shared" si="4"/>
        <v>284.39060991744014</v>
      </c>
      <c r="K34" s="587">
        <f t="shared" si="4"/>
        <v>301.45404651248657</v>
      </c>
      <c r="L34" s="587">
        <f t="shared" si="4"/>
        <v>319.54128930323577</v>
      </c>
      <c r="R34" s="343"/>
    </row>
    <row r="35" spans="1:18">
      <c r="A35" s="346">
        <f>ROW()</f>
        <v>35</v>
      </c>
      <c r="B35" s="441"/>
      <c r="C35" s="72"/>
      <c r="D35" s="72"/>
      <c r="E35" s="72"/>
      <c r="F35" s="450"/>
      <c r="G35" s="587"/>
      <c r="H35" s="587"/>
      <c r="I35" s="587"/>
      <c r="J35" s="587"/>
      <c r="K35" s="587"/>
      <c r="L35" s="587"/>
      <c r="R35" s="343"/>
    </row>
    <row r="36" spans="1:18">
      <c r="A36" s="346">
        <f>ROW()</f>
        <v>36</v>
      </c>
      <c r="B36" s="72" t="s">
        <v>809</v>
      </c>
      <c r="C36" s="72"/>
      <c r="D36" s="72"/>
      <c r="E36" s="72"/>
      <c r="F36" s="1543">
        <f>' Enrol &amp; Rev'!F92</f>
        <v>0</v>
      </c>
      <c r="G36" s="1548">
        <f>' Enrol &amp; Rev'!G92</f>
        <v>0</v>
      </c>
      <c r="H36" s="1548">
        <f>' Enrol &amp; Rev'!H92</f>
        <v>0</v>
      </c>
      <c r="I36" s="1548">
        <f>' Enrol &amp; Rev'!I92</f>
        <v>0</v>
      </c>
      <c r="J36" s="1548">
        <f>' Enrol &amp; Rev'!J92</f>
        <v>0</v>
      </c>
      <c r="K36" s="1548">
        <f>' Enrol &amp; Rev'!K92</f>
        <v>0</v>
      </c>
      <c r="L36" s="1548">
        <f>' Enrol &amp; Rev'!L92</f>
        <v>0</v>
      </c>
      <c r="R36" s="343"/>
    </row>
    <row r="37" spans="1:18">
      <c r="A37" s="346">
        <f>ROW()</f>
        <v>37</v>
      </c>
      <c r="B37" s="72" t="s">
        <v>810</v>
      </c>
      <c r="C37" s="72"/>
      <c r="D37" s="72"/>
      <c r="E37" s="72"/>
      <c r="F37" s="1544"/>
      <c r="G37" s="588">
        <f t="shared" ref="G37:L37" si="5">+G$31*G36</f>
        <v>0</v>
      </c>
      <c r="H37" s="588">
        <f t="shared" si="5"/>
        <v>0</v>
      </c>
      <c r="I37" s="588">
        <f t="shared" si="5"/>
        <v>0</v>
      </c>
      <c r="J37" s="588">
        <f t="shared" si="5"/>
        <v>0</v>
      </c>
      <c r="K37" s="588">
        <f t="shared" si="5"/>
        <v>0</v>
      </c>
      <c r="L37" s="588">
        <f t="shared" si="5"/>
        <v>0</v>
      </c>
      <c r="R37" s="343"/>
    </row>
    <row r="38" spans="1:18">
      <c r="A38" s="346">
        <f>ROW()</f>
        <v>38</v>
      </c>
      <c r="B38" s="72" t="s">
        <v>394</v>
      </c>
      <c r="C38" s="72"/>
      <c r="D38" s="72"/>
      <c r="E38" s="72"/>
      <c r="F38" s="1543">
        <f>' Enrol &amp; Rev'!F93</f>
        <v>0</v>
      </c>
      <c r="G38" s="1548">
        <f>' Enrol &amp; Rev'!G93</f>
        <v>9.1999999999999998E-2</v>
      </c>
      <c r="H38" s="1548">
        <f>' Enrol &amp; Rev'!H93</f>
        <v>9.1999999999999998E-2</v>
      </c>
      <c r="I38" s="1548">
        <f>' Enrol &amp; Rev'!I93</f>
        <v>9.1999999999999998E-2</v>
      </c>
      <c r="J38" s="1548">
        <f>' Enrol &amp; Rev'!J93</f>
        <v>9.1999999999999998E-2</v>
      </c>
      <c r="K38" s="1548">
        <f>' Enrol &amp; Rev'!K93</f>
        <v>9.1999999999999998E-2</v>
      </c>
      <c r="L38" s="1548">
        <f>' Enrol &amp; Rev'!L93</f>
        <v>9.1999999999999998E-2</v>
      </c>
      <c r="R38" s="343"/>
    </row>
    <row r="39" spans="1:18">
      <c r="A39" s="346">
        <f>ROW()</f>
        <v>39</v>
      </c>
      <c r="B39" s="72" t="s">
        <v>811</v>
      </c>
      <c r="C39" s="72"/>
      <c r="D39" s="72"/>
      <c r="E39" s="72"/>
      <c r="F39" s="1544"/>
      <c r="G39" s="588">
        <f t="shared" ref="G39:L39" si="6">+G$31*G38</f>
        <v>146.74</v>
      </c>
      <c r="H39" s="588">
        <f t="shared" si="6"/>
        <v>155.29599999999999</v>
      </c>
      <c r="I39" s="588">
        <f t="shared" si="6"/>
        <v>164.55305731072005</v>
      </c>
      <c r="J39" s="588">
        <f t="shared" si="6"/>
        <v>174.42624074936325</v>
      </c>
      <c r="K39" s="588">
        <f t="shared" si="6"/>
        <v>184.89181519432506</v>
      </c>
      <c r="L39" s="588">
        <f t="shared" si="6"/>
        <v>195.98532410598457</v>
      </c>
      <c r="R39" s="343"/>
    </row>
    <row r="40" spans="1:18">
      <c r="A40" s="346">
        <f>ROW()</f>
        <v>40</v>
      </c>
      <c r="B40" s="72" t="s">
        <v>395</v>
      </c>
      <c r="C40" s="72"/>
      <c r="D40" s="72"/>
      <c r="E40" s="72"/>
      <c r="F40" s="1543">
        <f>' Enrol &amp; Rev'!F94</f>
        <v>0</v>
      </c>
      <c r="G40" s="1548">
        <f>' Enrol &amp; Rev'!G94</f>
        <v>0.11</v>
      </c>
      <c r="H40" s="1548">
        <f>' Enrol &amp; Rev'!H94</f>
        <v>0.11</v>
      </c>
      <c r="I40" s="1548">
        <f>' Enrol &amp; Rev'!I94</f>
        <v>0.11</v>
      </c>
      <c r="J40" s="1548">
        <f>' Enrol &amp; Rev'!J94</f>
        <v>0.11</v>
      </c>
      <c r="K40" s="1548">
        <f>' Enrol &amp; Rev'!K94</f>
        <v>0.11</v>
      </c>
      <c r="L40" s="1548">
        <f>' Enrol &amp; Rev'!L94</f>
        <v>0.11</v>
      </c>
      <c r="R40" s="343"/>
    </row>
    <row r="41" spans="1:18">
      <c r="A41" s="346">
        <f>ROW()</f>
        <v>41</v>
      </c>
      <c r="B41" s="72" t="s">
        <v>396</v>
      </c>
      <c r="C41" s="72"/>
      <c r="D41" s="72"/>
      <c r="E41" s="72"/>
      <c r="F41" s="1544"/>
      <c r="G41" s="588">
        <f t="shared" ref="G41:L41" si="7">+G$31*G40</f>
        <v>175.45</v>
      </c>
      <c r="H41" s="588">
        <f t="shared" si="7"/>
        <v>185.68</v>
      </c>
      <c r="I41" s="588">
        <f t="shared" si="7"/>
        <v>196.74822069760006</v>
      </c>
      <c r="J41" s="588">
        <f t="shared" si="7"/>
        <v>208.55311393945607</v>
      </c>
      <c r="K41" s="588">
        <f t="shared" si="7"/>
        <v>221.06630077582346</v>
      </c>
      <c r="L41" s="588">
        <f t="shared" si="7"/>
        <v>234.33027882237286</v>
      </c>
      <c r="R41" s="343"/>
    </row>
    <row r="42" spans="1:18">
      <c r="A42" s="346">
        <f>ROW()</f>
        <v>42</v>
      </c>
      <c r="B42" s="72"/>
      <c r="C42" s="72"/>
      <c r="D42" s="72"/>
      <c r="E42" s="72"/>
      <c r="F42" s="1545"/>
      <c r="G42" s="1549"/>
      <c r="H42" s="1549"/>
      <c r="I42" s="1549"/>
      <c r="J42" s="1549"/>
      <c r="K42" s="1549"/>
      <c r="L42" s="1549"/>
      <c r="R42" s="343"/>
    </row>
    <row r="43" spans="1:18">
      <c r="A43" s="346">
        <f>ROW()</f>
        <v>43</v>
      </c>
      <c r="B43" s="72"/>
      <c r="C43" s="72"/>
      <c r="D43" s="72"/>
      <c r="E43" s="72"/>
      <c r="F43" s="451"/>
      <c r="G43" s="1547"/>
      <c r="H43" s="1547"/>
      <c r="I43" s="1547"/>
      <c r="J43" s="1547"/>
      <c r="K43" s="1547"/>
      <c r="L43" s="1547"/>
      <c r="R43" s="343"/>
    </row>
    <row r="44" spans="1:18">
      <c r="A44" s="346">
        <f>ROW()</f>
        <v>44</v>
      </c>
      <c r="B44" s="519"/>
      <c r="C44" s="519"/>
      <c r="D44" s="519"/>
      <c r="E44" s="519"/>
      <c r="F44" s="520"/>
      <c r="G44" s="613"/>
      <c r="H44" s="613"/>
      <c r="I44" s="613"/>
      <c r="J44" s="614"/>
      <c r="K44" s="614"/>
      <c r="L44" s="614"/>
      <c r="M44" s="76"/>
      <c r="N44" s="76"/>
      <c r="O44" s="76"/>
      <c r="P44" s="76"/>
      <c r="Q44" s="76"/>
      <c r="R44" s="343"/>
    </row>
    <row r="45" spans="1:18" ht="15.6">
      <c r="A45" s="346">
        <f>ROW()</f>
        <v>45</v>
      </c>
      <c r="B45" s="523" t="s">
        <v>180</v>
      </c>
      <c r="C45" s="463">
        <f t="shared" ref="C45" si="8">SUM(G45:L45)</f>
        <v>113313088.27620967</v>
      </c>
      <c r="D45" s="463"/>
      <c r="E45" s="463"/>
      <c r="F45" s="615">
        <f>' Enrol &amp; Rev'!F145</f>
        <v>0</v>
      </c>
      <c r="G45" s="616">
        <f>' Enrol &amp; Rev'!G145</f>
        <v>15606245.845000001</v>
      </c>
      <c r="H45" s="616">
        <f>' Enrol &amp; Rev'!H145</f>
        <v>17335514.31800412</v>
      </c>
      <c r="I45" s="616">
        <f>' Enrol &amp; Rev'!I145</f>
        <v>18369626.809209835</v>
      </c>
      <c r="J45" s="616">
        <f>' Enrol &amp; Rev'!J145</f>
        <v>19473416.592535403</v>
      </c>
      <c r="K45" s="616">
        <f>' Enrol &amp; Rev'!K145</f>
        <v>20643825.588087529</v>
      </c>
      <c r="L45" s="616">
        <f>' Enrol &amp; Rev'!L145</f>
        <v>21884459.123372782</v>
      </c>
      <c r="R45" s="343"/>
    </row>
    <row r="46" spans="1:18" ht="15.6">
      <c r="A46" s="346">
        <f>ROW()</f>
        <v>46</v>
      </c>
      <c r="B46" s="72" t="s">
        <v>812</v>
      </c>
      <c r="C46" s="440"/>
      <c r="D46" s="440"/>
      <c r="E46" s="440"/>
      <c r="F46" s="448"/>
      <c r="G46" s="447">
        <f t="shared" ref="G46:L46" si="9">IFERROR(G45/G31,0)</f>
        <v>9784.4801536050163</v>
      </c>
      <c r="H46" s="447">
        <f t="shared" si="9"/>
        <v>10269.854453793911</v>
      </c>
      <c r="I46" s="447">
        <f t="shared" si="9"/>
        <v>10270.278134402108</v>
      </c>
      <c r="J46" s="447">
        <f t="shared" si="9"/>
        <v>10271.128465627939</v>
      </c>
      <c r="K46" s="447">
        <f t="shared" si="9"/>
        <v>10272.125632537714</v>
      </c>
      <c r="L46" s="447">
        <f t="shared" si="9"/>
        <v>10273.066356037503</v>
      </c>
      <c r="R46" s="343"/>
    </row>
    <row r="47" spans="1:18" ht="15.6">
      <c r="A47" s="346">
        <f>ROW()</f>
        <v>47</v>
      </c>
      <c r="B47" s="72" t="s">
        <v>813</v>
      </c>
      <c r="C47" s="440">
        <f>SUM(G47:L47)</f>
        <v>49058630.460473381</v>
      </c>
      <c r="D47" s="440"/>
      <c r="E47" s="440"/>
      <c r="F47" s="448">
        <f>Levers!C16</f>
        <v>0</v>
      </c>
      <c r="G47" s="447">
        <f>Levers!D16</f>
        <v>7019373.1394213699</v>
      </c>
      <c r="H47" s="447">
        <f>Levers!E16</f>
        <v>7483649.8404728128</v>
      </c>
      <c r="I47" s="447">
        <f>Levers!F16</f>
        <v>7904974.8157994384</v>
      </c>
      <c r="J47" s="447">
        <f>Levers!G16</f>
        <v>8393185.4837793801</v>
      </c>
      <c r="K47" s="447">
        <f>Levers!H16</f>
        <v>8866799.6951712426</v>
      </c>
      <c r="L47" s="447">
        <f>Levers!I16</f>
        <v>9390647.4858291373</v>
      </c>
      <c r="R47" s="343"/>
    </row>
    <row r="48" spans="1:18" ht="15.6">
      <c r="A48" s="346">
        <f>ROW()</f>
        <v>48</v>
      </c>
      <c r="B48" s="72" t="s">
        <v>814</v>
      </c>
      <c r="C48" s="440">
        <f>Levers!$B$17</f>
        <v>4416.7016384052195</v>
      </c>
      <c r="D48" s="440"/>
      <c r="E48" s="440"/>
      <c r="F48" s="448"/>
      <c r="G48" s="447">
        <f>Levers!D17</f>
        <v>4400.8609024585394</v>
      </c>
      <c r="H48" s="447">
        <f>Levers!E17</f>
        <v>4433.4418486213344</v>
      </c>
      <c r="I48" s="447">
        <f>Levers!F17</f>
        <v>4419.5938680148129</v>
      </c>
      <c r="J48" s="447">
        <f>Levers!G17</f>
        <v>4426.9317574599036</v>
      </c>
      <c r="K48" s="447">
        <f>Levers!H17</f>
        <v>4412.0155946242894</v>
      </c>
      <c r="L48" s="447">
        <f>Levers!I17</f>
        <v>4408.1850140425868</v>
      </c>
      <c r="R48" s="343"/>
    </row>
    <row r="49" spans="1:18" ht="15.6">
      <c r="A49" s="346">
        <f>ROW()</f>
        <v>49</v>
      </c>
      <c r="B49" s="72" t="s">
        <v>815</v>
      </c>
      <c r="C49" s="440">
        <f>SUM(G49:L49)</f>
        <v>64254457.815736294</v>
      </c>
      <c r="D49" s="440"/>
      <c r="E49" s="440"/>
      <c r="F49" s="448">
        <f>Levers!C18</f>
        <v>0</v>
      </c>
      <c r="G49" s="447">
        <f>Levers!D18</f>
        <v>8586872.7055786308</v>
      </c>
      <c r="H49" s="447">
        <f>Levers!E18</f>
        <v>9851864.4775313064</v>
      </c>
      <c r="I49" s="447">
        <f>Levers!F18</f>
        <v>10464651.993410397</v>
      </c>
      <c r="J49" s="447">
        <f>Levers!G18</f>
        <v>11080231.108756023</v>
      </c>
      <c r="K49" s="447">
        <f>Levers!H18</f>
        <v>11777025.892916286</v>
      </c>
      <c r="L49" s="447">
        <f>Levers!I18</f>
        <v>12493811.637543645</v>
      </c>
      <c r="R49" s="343"/>
    </row>
    <row r="50" spans="1:18" ht="15.6">
      <c r="A50" s="346">
        <f>ROW()</f>
        <v>50</v>
      </c>
      <c r="B50" s="72" t="s">
        <v>816</v>
      </c>
      <c r="C50" s="440">
        <f>Levers!$B$19</f>
        <v>5784.7674597898495</v>
      </c>
      <c r="D50" s="440"/>
      <c r="E50" s="440"/>
      <c r="F50" s="448"/>
      <c r="G50" s="447">
        <f>Levers!D19</f>
        <v>5383.6192511464769</v>
      </c>
      <c r="H50" s="447">
        <f>Levers!E19</f>
        <v>5836.4126051725752</v>
      </c>
      <c r="I50" s="447">
        <f>Levers!F19</f>
        <v>5850.6842663872949</v>
      </c>
      <c r="J50" s="447">
        <f>Levers!G19</f>
        <v>5844.1967081680359</v>
      </c>
      <c r="K50" s="447">
        <f>Levers!H19</f>
        <v>5860.1100379134259</v>
      </c>
      <c r="L50" s="447">
        <f>Levers!I19</f>
        <v>5864.8813419949156</v>
      </c>
      <c r="R50" s="343"/>
    </row>
    <row r="51" spans="1:18" ht="15.6">
      <c r="A51" s="346">
        <f>ROW()</f>
        <v>51</v>
      </c>
      <c r="B51" s="72" t="s">
        <v>600</v>
      </c>
      <c r="C51" s="440">
        <f>Levers!B38</f>
        <v>-2863485.8035573382</v>
      </c>
      <c r="D51" s="440"/>
      <c r="E51" s="440"/>
      <c r="F51" s="448">
        <f>Levers!C38</f>
        <v>-616575</v>
      </c>
      <c r="G51" s="447">
        <f>Levers!D38</f>
        <v>-1500523.496254225</v>
      </c>
      <c r="H51" s="447">
        <f>Levers!E38</f>
        <v>-604445.1229895436</v>
      </c>
      <c r="I51" s="447">
        <f>Levers!F38</f>
        <v>-368066.24564993981</v>
      </c>
      <c r="J51" s="447">
        <f>Levers!G38</f>
        <v>-202675.7344154873</v>
      </c>
      <c r="K51" s="447">
        <f>Levers!H38</f>
        <v>84372.659407600819</v>
      </c>
      <c r="L51" s="447">
        <f>Levers!I38</f>
        <v>344427.13634425722</v>
      </c>
      <c r="R51" s="343"/>
    </row>
    <row r="52" spans="1:18" ht="15.6">
      <c r="A52" s="346">
        <f>ROW()</f>
        <v>52</v>
      </c>
      <c r="B52" s="72" t="s">
        <v>601</v>
      </c>
      <c r="C52" s="440">
        <f>Levers!B39</f>
        <v>-257.79689162565643</v>
      </c>
      <c r="D52" s="440"/>
      <c r="E52" s="440"/>
      <c r="F52" s="448">
        <f>Levers!C39</f>
        <v>0</v>
      </c>
      <c r="G52" s="447">
        <f>Levers!D39</f>
        <v>-940.7670822910502</v>
      </c>
      <c r="H52" s="447">
        <f>Levers!E39</f>
        <v>-358.08360366679125</v>
      </c>
      <c r="I52" s="447">
        <f>Levers!F39</f>
        <v>-205.78222704093429</v>
      </c>
      <c r="J52" s="447">
        <f>Levers!G39</f>
        <v>-106.900013932066</v>
      </c>
      <c r="K52" s="447">
        <f>Levers!H39</f>
        <v>41.982846332818767</v>
      </c>
      <c r="L52" s="447">
        <f>Levers!I39</f>
        <v>161.68198658862775</v>
      </c>
      <c r="R52" s="343"/>
    </row>
    <row r="53" spans="1:18">
      <c r="A53" s="346">
        <f>ROW()</f>
        <v>53</v>
      </c>
      <c r="B53" s="31"/>
      <c r="C53" s="31"/>
      <c r="D53" s="31"/>
      <c r="E53" s="31"/>
      <c r="F53" s="503"/>
      <c r="G53" s="503"/>
      <c r="H53" s="503"/>
      <c r="I53" s="503"/>
      <c r="J53" s="503"/>
      <c r="K53" s="503"/>
      <c r="L53" s="503"/>
      <c r="R53" s="343"/>
    </row>
    <row r="54" spans="1:18">
      <c r="A54" s="346">
        <f>ROW()</f>
        <v>54</v>
      </c>
      <c r="B54" s="1650" t="s">
        <v>817</v>
      </c>
      <c r="C54" s="1650"/>
      <c r="D54" s="1650"/>
      <c r="E54" s="464"/>
      <c r="F54" s="589"/>
      <c r="G54" s="590"/>
      <c r="H54" s="590"/>
      <c r="I54" s="590"/>
      <c r="J54" s="590"/>
      <c r="K54" s="590"/>
      <c r="L54" s="590"/>
      <c r="M54" s="96"/>
      <c r="N54" s="41"/>
      <c r="O54" s="41"/>
      <c r="R54" s="343"/>
    </row>
    <row r="55" spans="1:18">
      <c r="A55" s="346">
        <f>ROW()</f>
        <v>55</v>
      </c>
      <c r="B55" s="33" t="s">
        <v>577</v>
      </c>
      <c r="E55" s="46"/>
      <c r="F55" s="100">
        <f>+Staff!G17</f>
        <v>0</v>
      </c>
      <c r="G55" s="591">
        <f>+Staff!H17</f>
        <v>4</v>
      </c>
      <c r="H55" s="591">
        <f>+Staff!I17</f>
        <v>4</v>
      </c>
      <c r="I55" s="591">
        <f>+Staff!J17</f>
        <v>4</v>
      </c>
      <c r="J55" s="591">
        <f>+Staff!K17</f>
        <v>4</v>
      </c>
      <c r="K55" s="591">
        <f>+Staff!L17</f>
        <v>4</v>
      </c>
      <c r="L55" s="591">
        <f>+Staff!M17</f>
        <v>4</v>
      </c>
      <c r="M55" s="96"/>
      <c r="N55" s="41"/>
      <c r="O55" s="41"/>
      <c r="R55" s="343"/>
    </row>
    <row r="56" spans="1:18">
      <c r="A56" s="346">
        <f>ROW()</f>
        <v>56</v>
      </c>
      <c r="B56" s="72" t="s">
        <v>578</v>
      </c>
      <c r="C56" s="72"/>
      <c r="D56" s="72"/>
      <c r="E56" s="1518"/>
      <c r="F56" s="447">
        <f>+Staff!G18</f>
        <v>0</v>
      </c>
      <c r="G56" s="1519">
        <f>+Staff!H18</f>
        <v>0</v>
      </c>
      <c r="H56" s="1519">
        <f>+Staff!I18</f>
        <v>0</v>
      </c>
      <c r="I56" s="1519">
        <f>+Staff!J18</f>
        <v>0</v>
      </c>
      <c r="J56" s="1519">
        <f>+Staff!K18</f>
        <v>0</v>
      </c>
      <c r="K56" s="1519">
        <f>+Staff!L18</f>
        <v>0</v>
      </c>
      <c r="L56" s="1519">
        <f>+Staff!M18</f>
        <v>0</v>
      </c>
      <c r="M56" s="96"/>
      <c r="N56" s="41"/>
      <c r="O56" s="41"/>
      <c r="R56" s="343"/>
    </row>
    <row r="57" spans="1:18">
      <c r="A57" s="346">
        <f>ROW()</f>
        <v>57</v>
      </c>
      <c r="B57" s="72" t="s">
        <v>579</v>
      </c>
      <c r="C57" s="72"/>
      <c r="D57" s="72"/>
      <c r="E57" s="1518"/>
      <c r="F57" s="447">
        <f>+Staff!G19</f>
        <v>0</v>
      </c>
      <c r="G57" s="1519">
        <f>+Staff!H19</f>
        <v>10</v>
      </c>
      <c r="H57" s="1519">
        <f>+Staff!I19</f>
        <v>10</v>
      </c>
      <c r="I57" s="1519">
        <f>+Staff!J19</f>
        <v>10</v>
      </c>
      <c r="J57" s="1519">
        <f>+Staff!K19</f>
        <v>11</v>
      </c>
      <c r="K57" s="1519">
        <f>+Staff!L19</f>
        <v>11</v>
      </c>
      <c r="L57" s="1519">
        <f>+Staff!M19</f>
        <v>12</v>
      </c>
      <c r="M57" s="96"/>
      <c r="N57" s="41"/>
      <c r="O57" s="41"/>
      <c r="R57" s="343"/>
    </row>
    <row r="58" spans="1:18">
      <c r="A58" s="346">
        <f>ROW()</f>
        <v>58</v>
      </c>
      <c r="B58" s="72" t="s">
        <v>580</v>
      </c>
      <c r="C58" s="72"/>
      <c r="D58" s="72"/>
      <c r="E58" s="1518"/>
      <c r="F58" s="447">
        <f>+Staff!G20</f>
        <v>0</v>
      </c>
      <c r="G58" s="1519">
        <f>+Staff!H20</f>
        <v>0</v>
      </c>
      <c r="H58" s="1519">
        <f>+Staff!I20</f>
        <v>0</v>
      </c>
      <c r="I58" s="1519">
        <f>+Staff!J20</f>
        <v>0</v>
      </c>
      <c r="J58" s="1519">
        <f>+Staff!K20</f>
        <v>0</v>
      </c>
      <c r="K58" s="1519">
        <f>+Staff!L20</f>
        <v>0</v>
      </c>
      <c r="L58" s="1519">
        <f>+Staff!M20</f>
        <v>0</v>
      </c>
      <c r="M58" s="96"/>
      <c r="N58" s="41"/>
      <c r="O58" s="41"/>
      <c r="R58" s="343"/>
    </row>
    <row r="59" spans="1:18">
      <c r="A59" s="346">
        <f>ROW()</f>
        <v>59</v>
      </c>
      <c r="B59" s="72" t="s">
        <v>581</v>
      </c>
      <c r="C59" s="72"/>
      <c r="D59" s="72"/>
      <c r="E59" s="1518"/>
      <c r="F59" s="447">
        <f>+Staff!G21</f>
        <v>0</v>
      </c>
      <c r="G59" s="1519">
        <f>+Staff!H21</f>
        <v>3</v>
      </c>
      <c r="H59" s="1519">
        <f>+Staff!I21</f>
        <v>4</v>
      </c>
      <c r="I59" s="1519">
        <f>+Staff!J21</f>
        <v>4</v>
      </c>
      <c r="J59" s="1519">
        <f>+Staff!K21</f>
        <v>4</v>
      </c>
      <c r="K59" s="1519">
        <f>+Staff!L21</f>
        <v>4</v>
      </c>
      <c r="L59" s="1519">
        <f>+Staff!M21</f>
        <v>5</v>
      </c>
      <c r="M59" s="96"/>
      <c r="N59" s="41"/>
      <c r="O59" s="41"/>
      <c r="R59" s="343"/>
    </row>
    <row r="60" spans="1:18">
      <c r="A60" s="346">
        <f>ROW()</f>
        <v>60</v>
      </c>
      <c r="B60" s="33" t="s">
        <v>582</v>
      </c>
      <c r="E60" s="464"/>
      <c r="F60" s="100">
        <f>+Staff!G22</f>
        <v>0</v>
      </c>
      <c r="G60" s="591">
        <f>+Staff!H22</f>
        <v>29</v>
      </c>
      <c r="H60" s="591">
        <f>+Staff!I22</f>
        <v>29</v>
      </c>
      <c r="I60" s="591">
        <f>+Staff!J22</f>
        <v>29</v>
      </c>
      <c r="J60" s="591">
        <f>+Staff!K22</f>
        <v>32</v>
      </c>
      <c r="K60" s="591">
        <f>+Staff!L22</f>
        <v>32</v>
      </c>
      <c r="L60" s="591">
        <f>+Staff!M22</f>
        <v>32</v>
      </c>
      <c r="M60" s="96"/>
      <c r="N60" s="41"/>
      <c r="O60" s="41"/>
      <c r="R60" s="343"/>
    </row>
    <row r="61" spans="1:18">
      <c r="A61" s="346">
        <f>ROW()</f>
        <v>61</v>
      </c>
      <c r="B61" s="127" t="s">
        <v>818</v>
      </c>
      <c r="C61" s="127"/>
      <c r="D61" s="127"/>
      <c r="E61" s="46"/>
      <c r="F61" s="1520">
        <f>SUM(F55:F60)</f>
        <v>0</v>
      </c>
      <c r="G61" s="1520">
        <f t="shared" ref="G61:L61" si="10">SUM(G55:G60)</f>
        <v>46</v>
      </c>
      <c r="H61" s="1520">
        <f t="shared" si="10"/>
        <v>47</v>
      </c>
      <c r="I61" s="1520">
        <f t="shared" si="10"/>
        <v>47</v>
      </c>
      <c r="J61" s="1520">
        <f t="shared" si="10"/>
        <v>51</v>
      </c>
      <c r="K61" s="1520">
        <f t="shared" si="10"/>
        <v>51</v>
      </c>
      <c r="L61" s="1520">
        <f t="shared" si="10"/>
        <v>53</v>
      </c>
      <c r="M61" s="96"/>
      <c r="N61" s="41"/>
      <c r="O61" s="41"/>
      <c r="R61" s="343"/>
    </row>
    <row r="62" spans="1:18">
      <c r="A62" s="346">
        <f>ROW()</f>
        <v>62</v>
      </c>
      <c r="M62" s="96"/>
      <c r="N62" s="41"/>
      <c r="O62" s="41"/>
      <c r="P62" s="98"/>
      <c r="Q62" s="98"/>
      <c r="R62" s="343"/>
    </row>
    <row r="63" spans="1:18">
      <c r="A63" s="346">
        <f>ROW()</f>
        <v>63</v>
      </c>
      <c r="B63" s="56" t="s">
        <v>819</v>
      </c>
      <c r="C63" s="442"/>
      <c r="D63" s="56"/>
      <c r="E63" s="56"/>
      <c r="F63" s="443"/>
      <c r="G63" s="443"/>
      <c r="H63" s="443"/>
      <c r="I63" s="443"/>
      <c r="J63" s="443"/>
      <c r="K63" s="443"/>
      <c r="L63" s="443"/>
      <c r="R63" s="343"/>
    </row>
    <row r="64" spans="1:18">
      <c r="A64" s="346">
        <f>ROW()</f>
        <v>64</v>
      </c>
      <c r="B64" s="31" t="s">
        <v>820</v>
      </c>
      <c r="C64" s="133" t="s">
        <v>821</v>
      </c>
      <c r="D64" s="32"/>
      <c r="E64" s="32"/>
      <c r="F64" s="1523" t="s">
        <v>822</v>
      </c>
      <c r="G64" s="31" t="s">
        <v>823</v>
      </c>
      <c r="R64" s="343"/>
    </row>
    <row r="65" spans="1:18">
      <c r="A65" s="346">
        <f>ROW()</f>
        <v>65</v>
      </c>
      <c r="B65" s="72" t="s">
        <v>824</v>
      </c>
      <c r="C65" s="801">
        <v>7368.4210526315701</v>
      </c>
      <c r="D65" s="97" t="s">
        <v>825</v>
      </c>
      <c r="E65" s="97"/>
      <c r="F65" s="1521">
        <v>0</v>
      </c>
      <c r="G65" s="794">
        <v>280000</v>
      </c>
      <c r="H65" s="794">
        <f>$C$65*Staff!I23</f>
        <v>346315.78947368381</v>
      </c>
      <c r="I65" s="794">
        <f>$C$65*Staff!J23</f>
        <v>346315.78947368381</v>
      </c>
      <c r="J65" s="794">
        <f>$C$65*Staff!K23</f>
        <v>375789.4736842101</v>
      </c>
      <c r="K65" s="794">
        <f>$C$65*Staff!L23</f>
        <v>375789.4736842101</v>
      </c>
      <c r="L65" s="794">
        <f>$C$65*Staff!M23</f>
        <v>390526.31578947324</v>
      </c>
      <c r="R65" s="343" t="s">
        <v>1556</v>
      </c>
    </row>
    <row r="66" spans="1:18">
      <c r="A66" s="346">
        <f>ROW()</f>
        <v>66</v>
      </c>
      <c r="B66" s="72" t="s">
        <v>826</v>
      </c>
      <c r="C66" s="801">
        <v>13516</v>
      </c>
      <c r="D66" s="97" t="s">
        <v>827</v>
      </c>
      <c r="E66" s="97"/>
      <c r="F66" s="1522">
        <v>0</v>
      </c>
      <c r="G66" s="694">
        <v>13516</v>
      </c>
      <c r="H66" s="694">
        <f t="shared" ref="H66:L66" si="11">$C66</f>
        <v>13516</v>
      </c>
      <c r="I66" s="694">
        <f t="shared" si="11"/>
        <v>13516</v>
      </c>
      <c r="J66" s="694">
        <f t="shared" si="11"/>
        <v>13516</v>
      </c>
      <c r="K66" s="694">
        <f t="shared" si="11"/>
        <v>13516</v>
      </c>
      <c r="L66" s="694">
        <f t="shared" si="11"/>
        <v>13516</v>
      </c>
      <c r="R66" s="343" t="s">
        <v>1555</v>
      </c>
    </row>
    <row r="67" spans="1:18">
      <c r="A67" s="346">
        <f>ROW()</f>
        <v>67</v>
      </c>
      <c r="B67" s="72" t="s">
        <v>828</v>
      </c>
      <c r="C67" s="801">
        <v>145000</v>
      </c>
      <c r="D67" s="97" t="s">
        <v>829</v>
      </c>
      <c r="E67" s="97"/>
      <c r="F67" s="1522">
        <v>0</v>
      </c>
      <c r="G67" s="694">
        <f>C67*1.03</f>
        <v>149350</v>
      </c>
      <c r="H67" s="694">
        <f>G67*1.03</f>
        <v>153830.5</v>
      </c>
      <c r="I67" s="694">
        <f t="shared" ref="I67:L67" si="12">H67*1.03</f>
        <v>158445.41500000001</v>
      </c>
      <c r="J67" s="694">
        <f t="shared" si="12"/>
        <v>163198.77745000002</v>
      </c>
      <c r="K67" s="694">
        <f t="shared" si="12"/>
        <v>168094.74077350003</v>
      </c>
      <c r="L67" s="694">
        <f t="shared" si="12"/>
        <v>173137.58299670502</v>
      </c>
      <c r="R67" s="343" t="s">
        <v>1578</v>
      </c>
    </row>
    <row r="68" spans="1:18">
      <c r="A68" s="346">
        <f>ROW()</f>
        <v>68</v>
      </c>
      <c r="B68" s="72" t="s">
        <v>830</v>
      </c>
      <c r="C68" s="489"/>
      <c r="D68" s="97"/>
      <c r="E68" s="97"/>
      <c r="F68" s="1522">
        <v>0</v>
      </c>
      <c r="G68" s="100"/>
      <c r="H68" s="100"/>
      <c r="I68" s="100"/>
      <c r="J68" s="100"/>
      <c r="K68" s="100"/>
      <c r="L68" s="100"/>
      <c r="R68" s="343"/>
    </row>
    <row r="69" spans="1:18">
      <c r="A69" s="346">
        <f>ROW()</f>
        <v>69</v>
      </c>
      <c r="B69" s="72" t="s">
        <v>831</v>
      </c>
      <c r="C69" s="801">
        <v>35</v>
      </c>
      <c r="D69" s="97" t="s">
        <v>416</v>
      </c>
      <c r="E69" s="97"/>
      <c r="F69" s="1522">
        <v>0</v>
      </c>
      <c r="G69" s="694">
        <f>75000*1.03</f>
        <v>77250</v>
      </c>
      <c r="H69" s="694">
        <f t="shared" ref="H69:L69" si="13">75000*1.03</f>
        <v>77250</v>
      </c>
      <c r="I69" s="694">
        <f t="shared" si="13"/>
        <v>77250</v>
      </c>
      <c r="J69" s="694">
        <f t="shared" si="13"/>
        <v>77250</v>
      </c>
      <c r="K69" s="694">
        <f t="shared" si="13"/>
        <v>77250</v>
      </c>
      <c r="L69" s="694">
        <f t="shared" si="13"/>
        <v>77250</v>
      </c>
      <c r="R69" s="343" t="s">
        <v>1554</v>
      </c>
    </row>
    <row r="70" spans="1:18">
      <c r="A70" s="346">
        <f>ROW()</f>
        <v>70</v>
      </c>
      <c r="B70" s="72" t="s">
        <v>832</v>
      </c>
      <c r="C70" s="801">
        <v>0</v>
      </c>
      <c r="D70" s="97" t="s">
        <v>833</v>
      </c>
      <c r="E70" s="97"/>
      <c r="F70" s="1522">
        <v>0</v>
      </c>
      <c r="G70" s="694"/>
      <c r="H70" s="694"/>
      <c r="I70" s="694"/>
      <c r="J70" s="694"/>
      <c r="K70" s="694"/>
      <c r="L70" s="694"/>
      <c r="R70" s="343"/>
    </row>
    <row r="71" spans="1:18">
      <c r="A71" s="346">
        <f>ROW()</f>
        <v>71</v>
      </c>
      <c r="B71" s="72" t="s">
        <v>834</v>
      </c>
      <c r="C71" s="801">
        <v>14.3</v>
      </c>
      <c r="D71" s="97" t="s">
        <v>835</v>
      </c>
      <c r="E71" s="97"/>
      <c r="F71" s="1522">
        <v>0</v>
      </c>
      <c r="G71" s="694">
        <v>5000</v>
      </c>
      <c r="H71" s="694">
        <f>G71*1.03</f>
        <v>5150</v>
      </c>
      <c r="I71" s="694">
        <f t="shared" ref="I71:L71" si="14">H71*1.03</f>
        <v>5304.5</v>
      </c>
      <c r="J71" s="694">
        <f t="shared" si="14"/>
        <v>5463.6350000000002</v>
      </c>
      <c r="K71" s="694">
        <f t="shared" si="14"/>
        <v>5627.5440500000004</v>
      </c>
      <c r="L71" s="694">
        <f t="shared" si="14"/>
        <v>5796.3703715000001</v>
      </c>
      <c r="R71" s="343" t="s">
        <v>1601</v>
      </c>
    </row>
    <row r="72" spans="1:18">
      <c r="A72" s="346">
        <f>ROW()</f>
        <v>72</v>
      </c>
      <c r="B72" s="72" t="s">
        <v>836</v>
      </c>
      <c r="C72" s="234">
        <v>14.22</v>
      </c>
      <c r="D72" s="97" t="s">
        <v>416</v>
      </c>
      <c r="E72" s="97"/>
      <c r="F72" s="1522">
        <v>0</v>
      </c>
      <c r="G72" s="694">
        <f>29379*1.03</f>
        <v>30260.37</v>
      </c>
      <c r="H72" s="694">
        <f>G72*1.03</f>
        <v>31168.181099999998</v>
      </c>
      <c r="I72" s="694">
        <f t="shared" ref="I72:L72" si="15">H72*1.03</f>
        <v>32103.226532999997</v>
      </c>
      <c r="J72" s="694">
        <f t="shared" si="15"/>
        <v>33066.323328989994</v>
      </c>
      <c r="K72" s="694">
        <f t="shared" si="15"/>
        <v>34058.313028859695</v>
      </c>
      <c r="L72" s="694">
        <f t="shared" si="15"/>
        <v>35080.062419725487</v>
      </c>
      <c r="R72" s="343" t="s">
        <v>1602</v>
      </c>
    </row>
    <row r="73" spans="1:18">
      <c r="A73" s="346">
        <f>ROW()</f>
        <v>73</v>
      </c>
      <c r="B73" s="72" t="s">
        <v>837</v>
      </c>
      <c r="C73" s="234">
        <v>3.74</v>
      </c>
      <c r="D73" s="97" t="s">
        <v>838</v>
      </c>
      <c r="E73" s="97"/>
      <c r="F73" s="1522">
        <v>0</v>
      </c>
      <c r="G73" s="962">
        <f>$C$73*' Enrol &amp; Rev'!G36</f>
        <v>5965.3</v>
      </c>
      <c r="H73" s="962">
        <f>$C$73*' Enrol &amp; Rev'!H36</f>
        <v>6313.1200000000008</v>
      </c>
      <c r="I73" s="962">
        <f>$C$73*' Enrol &amp; Rev'!I36</f>
        <v>6689.4395037184022</v>
      </c>
      <c r="J73" s="962">
        <f>$C$73*' Enrol &amp; Rev'!J36</f>
        <v>7090.8058739415064</v>
      </c>
      <c r="K73" s="962">
        <f>$C$73*' Enrol &amp; Rev'!K36</f>
        <v>7516.2542263779978</v>
      </c>
      <c r="L73" s="962">
        <f>$C$73*' Enrol &amp; Rev'!L36</f>
        <v>7967.229479960678</v>
      </c>
      <c r="R73" s="343" t="s">
        <v>1553</v>
      </c>
    </row>
    <row r="74" spans="1:18">
      <c r="A74" s="346">
        <f>ROW()</f>
        <v>74</v>
      </c>
      <c r="B74" s="72" t="s">
        <v>839</v>
      </c>
      <c r="C74" s="801">
        <v>0</v>
      </c>
      <c r="D74" s="97" t="s">
        <v>840</v>
      </c>
      <c r="E74" s="97"/>
      <c r="F74" s="1522">
        <v>0</v>
      </c>
      <c r="G74" s="694">
        <f>(' Enrol &amp; Rev'!G119+' Enrol &amp; Rev'!G135)*$C$74</f>
        <v>0</v>
      </c>
      <c r="H74" s="694">
        <f>(' Enrol &amp; Rev'!H119+' Enrol &amp; Rev'!H135)*$C$74</f>
        <v>0</v>
      </c>
      <c r="I74" s="694">
        <f>(' Enrol &amp; Rev'!I119+' Enrol &amp; Rev'!I135)*$C$74</f>
        <v>0</v>
      </c>
      <c r="J74" s="694">
        <f>(' Enrol &amp; Rev'!J119+' Enrol &amp; Rev'!J135)*$C$74</f>
        <v>0</v>
      </c>
      <c r="K74" s="694">
        <f>(' Enrol &amp; Rev'!K119+' Enrol &amp; Rev'!K135)*$C$74</f>
        <v>0</v>
      </c>
      <c r="L74" s="694">
        <f>(' Enrol &amp; Rev'!L119+' Enrol &amp; Rev'!L135)*$C$74</f>
        <v>0</v>
      </c>
      <c r="R74" s="343"/>
    </row>
    <row r="75" spans="1:18">
      <c r="A75" s="346">
        <f>ROW()</f>
        <v>75</v>
      </c>
      <c r="B75" s="72" t="s">
        <v>841</v>
      </c>
      <c r="C75" s="801">
        <v>3.4499999999999999E-3</v>
      </c>
      <c r="D75" s="97" t="s">
        <v>840</v>
      </c>
      <c r="E75" s="97"/>
      <c r="F75" s="1522">
        <v>0</v>
      </c>
      <c r="G75" s="694">
        <f>(' Enrol &amp; Rev'!G119+' Enrol &amp; Rev'!G135)*$C$75</f>
        <v>52744.109634</v>
      </c>
      <c r="H75" s="694">
        <f>(' Enrol &amp; Rev'!H119+' Enrol &amp; Rev'!H135)*$C$75</f>
        <v>58639.378547114211</v>
      </c>
      <c r="I75" s="694">
        <f>(' Enrol &amp; Rev'!I119+' Enrol &amp; Rev'!I135)*$C$75</f>
        <v>62130.565741592058</v>
      </c>
      <c r="J75" s="694">
        <f>(' Enrol &amp; Rev'!J119+' Enrol &amp; Rev'!J135)*$C$75</f>
        <v>65857.047889054345</v>
      </c>
      <c r="K75" s="694">
        <f>(' Enrol &amp; Rev'!K119+' Enrol &amp; Rev'!K135)*$C$75</f>
        <v>69808.470762397628</v>
      </c>
      <c r="L75" s="694">
        <f>(' Enrol &amp; Rev'!L119+' Enrol &amp; Rev'!L135)*$C$75</f>
        <v>73996.979008141483</v>
      </c>
      <c r="R75" s="343"/>
    </row>
    <row r="76" spans="1:18">
      <c r="A76" s="346">
        <f>ROW()</f>
        <v>76</v>
      </c>
      <c r="B76" s="72" t="s">
        <v>842</v>
      </c>
      <c r="C76" s="801">
        <v>0</v>
      </c>
      <c r="D76" s="97" t="s">
        <v>416</v>
      </c>
      <c r="E76" s="97"/>
      <c r="F76" s="1522">
        <v>0</v>
      </c>
      <c r="G76" s="692">
        <f>$C$76*' Enrol &amp; Rev'!G36</f>
        <v>0</v>
      </c>
      <c r="H76" s="692">
        <f>$C$76*' Enrol &amp; Rev'!H36</f>
        <v>0</v>
      </c>
      <c r="I76" s="692">
        <f>$C$76*' Enrol &amp; Rev'!I36</f>
        <v>0</v>
      </c>
      <c r="J76" s="692">
        <f>$C$76*' Enrol &amp; Rev'!J36</f>
        <v>0</v>
      </c>
      <c r="K76" s="692">
        <f>$C$76*' Enrol &amp; Rev'!K36</f>
        <v>0</v>
      </c>
      <c r="L76" s="692">
        <f>$C$76*' Enrol &amp; Rev'!L36</f>
        <v>0</v>
      </c>
      <c r="R76" s="343"/>
    </row>
    <row r="77" spans="1:18">
      <c r="A77" s="346">
        <f>ROW()</f>
        <v>77</v>
      </c>
      <c r="B77" s="72" t="s">
        <v>843</v>
      </c>
      <c r="C77" s="801"/>
      <c r="D77" s="97" t="s">
        <v>416</v>
      </c>
      <c r="E77" s="97"/>
      <c r="F77" s="1522">
        <v>0</v>
      </c>
      <c r="G77" s="692">
        <f>$C$77*' Enrol &amp; Rev'!G36</f>
        <v>0</v>
      </c>
      <c r="H77" s="692">
        <f>$C$77*' Enrol &amp; Rev'!H36</f>
        <v>0</v>
      </c>
      <c r="I77" s="692">
        <f>$C$77*' Enrol &amp; Rev'!I36</f>
        <v>0</v>
      </c>
      <c r="J77" s="692">
        <f>$C$77*' Enrol &amp; Rev'!J36</f>
        <v>0</v>
      </c>
      <c r="K77" s="692">
        <f>$C$77*' Enrol &amp; Rev'!K36</f>
        <v>0</v>
      </c>
      <c r="L77" s="692">
        <f>$C$77*' Enrol &amp; Rev'!L36</f>
        <v>0</v>
      </c>
      <c r="R77" s="343" t="s">
        <v>1607</v>
      </c>
    </row>
    <row r="78" spans="1:18">
      <c r="A78" s="346">
        <f>ROW()</f>
        <v>78</v>
      </c>
      <c r="B78" s="72" t="s">
        <v>844</v>
      </c>
      <c r="C78" s="801"/>
      <c r="D78" s="97" t="s">
        <v>416</v>
      </c>
      <c r="E78" s="97"/>
      <c r="F78" s="1522">
        <v>0</v>
      </c>
      <c r="G78" s="692">
        <f>$C$77*' Enrol &amp; Rev'!G$36</f>
        <v>0</v>
      </c>
      <c r="H78" s="692">
        <f>$C$77*' Enrol &amp; Rev'!H$36</f>
        <v>0</v>
      </c>
      <c r="I78" s="692">
        <f>$C$77*' Enrol &amp; Rev'!I$36</f>
        <v>0</v>
      </c>
      <c r="J78" s="692">
        <f>$C$77*' Enrol &amp; Rev'!J$36</f>
        <v>0</v>
      </c>
      <c r="K78" s="692">
        <f>$C$77*' Enrol &amp; Rev'!K$36</f>
        <v>0</v>
      </c>
      <c r="L78" s="692">
        <f>$C$77*' Enrol &amp; Rev'!L$36</f>
        <v>0</v>
      </c>
      <c r="R78" s="343" t="s">
        <v>1606</v>
      </c>
    </row>
    <row r="79" spans="1:18">
      <c r="A79" s="346">
        <f>ROW()</f>
        <v>79</v>
      </c>
      <c r="B79" s="72" t="s">
        <v>845</v>
      </c>
      <c r="C79" s="801">
        <v>0</v>
      </c>
      <c r="D79" s="97" t="s">
        <v>416</v>
      </c>
      <c r="E79" s="97"/>
      <c r="F79" s="1522">
        <v>0</v>
      </c>
      <c r="G79" s="692">
        <f>$C$79*' Enrol &amp; Rev'!G36</f>
        <v>0</v>
      </c>
      <c r="H79" s="692">
        <f>$C$79*' Enrol &amp; Rev'!H36</f>
        <v>0</v>
      </c>
      <c r="I79" s="692">
        <f>$C$79*' Enrol &amp; Rev'!I36</f>
        <v>0</v>
      </c>
      <c r="J79" s="692">
        <f>$C$79*' Enrol &amp; Rev'!J36</f>
        <v>0</v>
      </c>
      <c r="K79" s="692">
        <f>$C$79*' Enrol &amp; Rev'!K36</f>
        <v>0</v>
      </c>
      <c r="L79" s="692">
        <f>$C$79*' Enrol &amp; Rev'!L36</f>
        <v>0</v>
      </c>
      <c r="R79" s="343"/>
    </row>
    <row r="80" spans="1:18">
      <c r="A80" s="346">
        <f>ROW()</f>
        <v>80</v>
      </c>
      <c r="B80" s="72" t="s">
        <v>846</v>
      </c>
      <c r="C80" s="801">
        <v>0</v>
      </c>
      <c r="D80" s="97" t="s">
        <v>416</v>
      </c>
      <c r="E80" s="97"/>
      <c r="F80" s="1522">
        <v>0</v>
      </c>
      <c r="G80" s="692">
        <f>$C$80*' Enrol &amp; Rev'!G36</f>
        <v>0</v>
      </c>
      <c r="H80" s="692">
        <f>$C$80*' Enrol &amp; Rev'!H36</f>
        <v>0</v>
      </c>
      <c r="I80" s="692">
        <f>$C$80*' Enrol &amp; Rev'!I36</f>
        <v>0</v>
      </c>
      <c r="J80" s="692">
        <f>$C$80*' Enrol &amp; Rev'!J36</f>
        <v>0</v>
      </c>
      <c r="K80" s="692">
        <f>$C$80*' Enrol &amp; Rev'!K36</f>
        <v>0</v>
      </c>
      <c r="L80" s="692">
        <f>$C$80*' Enrol &amp; Rev'!L36</f>
        <v>0</v>
      </c>
      <c r="R80" s="343"/>
    </row>
    <row r="81" spans="1:18">
      <c r="A81" s="346">
        <f>ROW()</f>
        <v>81</v>
      </c>
      <c r="B81" s="72" t="s">
        <v>847</v>
      </c>
      <c r="C81" s="801">
        <v>0</v>
      </c>
      <c r="D81" s="97" t="s">
        <v>409</v>
      </c>
      <c r="E81" s="97"/>
      <c r="F81" s="1522">
        <v>0</v>
      </c>
      <c r="G81" s="692">
        <f>$C$81*' Enrol &amp; Rev'!G36*' Enrol &amp; Rev'!G94</f>
        <v>0</v>
      </c>
      <c r="H81" s="692">
        <f>$C$81*' Enrol &amp; Rev'!H36*' Enrol &amp; Rev'!H94</f>
        <v>0</v>
      </c>
      <c r="I81" s="692">
        <f>$C$81*' Enrol &amp; Rev'!I36*' Enrol &amp; Rev'!I94</f>
        <v>0</v>
      </c>
      <c r="J81" s="692">
        <f>$C$81*' Enrol &amp; Rev'!J36*' Enrol &amp; Rev'!J94</f>
        <v>0</v>
      </c>
      <c r="K81" s="692">
        <f>$C$81*' Enrol &amp; Rev'!K36*' Enrol &amp; Rev'!K94</f>
        <v>0</v>
      </c>
      <c r="L81" s="692">
        <f>$C$81*' Enrol &amp; Rev'!L36*' Enrol &amp; Rev'!L94</f>
        <v>0</v>
      </c>
      <c r="R81" s="343"/>
    </row>
    <row r="82" spans="1:18">
      <c r="A82" s="346">
        <f>ROW()</f>
        <v>82</v>
      </c>
      <c r="B82" s="72" t="s">
        <v>848</v>
      </c>
      <c r="C82" s="801">
        <v>2000</v>
      </c>
      <c r="D82" s="97" t="s">
        <v>849</v>
      </c>
      <c r="E82" s="97"/>
      <c r="F82" s="1522">
        <v>0</v>
      </c>
      <c r="G82" s="692">
        <v>95000</v>
      </c>
      <c r="H82" s="692">
        <v>95000</v>
      </c>
      <c r="I82" s="692">
        <v>95000</v>
      </c>
      <c r="J82" s="692">
        <v>95000</v>
      </c>
      <c r="K82" s="692">
        <v>95000</v>
      </c>
      <c r="L82" s="692">
        <v>95000</v>
      </c>
      <c r="R82" s="343" t="s">
        <v>1573</v>
      </c>
    </row>
    <row r="83" spans="1:18">
      <c r="A83" s="346">
        <f>ROW()</f>
        <v>83</v>
      </c>
      <c r="B83" s="72" t="s">
        <v>850</v>
      </c>
      <c r="C83" s="801">
        <v>200</v>
      </c>
      <c r="D83" s="97" t="s">
        <v>851</v>
      </c>
      <c r="E83" s="97"/>
      <c r="F83" s="1522">
        <v>0</v>
      </c>
      <c r="G83" s="692">
        <f t="shared" ref="G83:L83" si="16">$C$83*12</f>
        <v>2400</v>
      </c>
      <c r="H83" s="692">
        <f t="shared" si="16"/>
        <v>2400</v>
      </c>
      <c r="I83" s="692">
        <f t="shared" si="16"/>
        <v>2400</v>
      </c>
      <c r="J83" s="692">
        <f t="shared" si="16"/>
        <v>2400</v>
      </c>
      <c r="K83" s="692">
        <f t="shared" si="16"/>
        <v>2400</v>
      </c>
      <c r="L83" s="692">
        <f t="shared" si="16"/>
        <v>2400</v>
      </c>
      <c r="R83" s="343" t="s">
        <v>1572</v>
      </c>
    </row>
    <row r="84" spans="1:18">
      <c r="A84" s="346">
        <f>ROW()</f>
        <v>84</v>
      </c>
      <c r="B84" s="72" t="s">
        <v>852</v>
      </c>
      <c r="C84" s="801">
        <v>44</v>
      </c>
      <c r="D84" s="97" t="s">
        <v>853</v>
      </c>
      <c r="E84" s="97"/>
      <c r="F84" s="1522">
        <v>0</v>
      </c>
      <c r="G84" s="692">
        <v>10340</v>
      </c>
      <c r="H84" s="692">
        <f>$C$84*(' Enrol &amp; Rev'!H36-' Enrol &amp; Rev'!G36)</f>
        <v>4092</v>
      </c>
      <c r="I84" s="692">
        <f>$C$84*(' Enrol &amp; Rev'!I36-' Enrol &amp; Rev'!H36)</f>
        <v>4427.2882790400199</v>
      </c>
      <c r="J84" s="692">
        <f>$C$84*(' Enrol &amp; Rev'!J36-' Enrol &amp; Rev'!I36)</f>
        <v>4721.9572967424092</v>
      </c>
      <c r="K84" s="692">
        <f>$C$84*(' Enrol &amp; Rev'!K36-' Enrol &amp; Rev'!J36)</f>
        <v>5005.2747345469515</v>
      </c>
      <c r="L84" s="692">
        <f>$C$84*(' Enrol &amp; Rev'!L36-' Enrol &amp; Rev'!K36)</f>
        <v>5305.5912186197656</v>
      </c>
      <c r="R84" s="343" t="s">
        <v>1604</v>
      </c>
    </row>
    <row r="85" spans="1:18">
      <c r="A85" s="346">
        <f>ROW()</f>
        <v>85</v>
      </c>
      <c r="B85" s="72" t="s">
        <v>854</v>
      </c>
      <c r="C85" s="801"/>
      <c r="D85" s="97" t="s">
        <v>855</v>
      </c>
      <c r="E85" s="97"/>
      <c r="F85" s="1522">
        <v>0</v>
      </c>
      <c r="G85" s="692">
        <v>0</v>
      </c>
      <c r="H85" s="692">
        <v>0</v>
      </c>
      <c r="I85" s="692">
        <v>0</v>
      </c>
      <c r="J85" s="692">
        <v>0</v>
      </c>
      <c r="K85" s="692">
        <v>0</v>
      </c>
      <c r="L85" s="692">
        <v>0</v>
      </c>
      <c r="R85" s="343"/>
    </row>
    <row r="86" spans="1:18">
      <c r="A86" s="346">
        <f>ROW()</f>
        <v>86</v>
      </c>
      <c r="B86" s="72" t="s">
        <v>856</v>
      </c>
      <c r="C86" s="801">
        <v>33000</v>
      </c>
      <c r="D86" s="97" t="s">
        <v>857</v>
      </c>
      <c r="E86" s="97"/>
      <c r="F86" s="1522">
        <v>0</v>
      </c>
      <c r="G86" s="692">
        <f>C86*1.03</f>
        <v>33990</v>
      </c>
      <c r="H86" s="692">
        <f>G86*1.03</f>
        <v>35009.700000000004</v>
      </c>
      <c r="I86" s="692">
        <f t="shared" ref="I86:L86" si="17">H86*1.03</f>
        <v>36059.991000000002</v>
      </c>
      <c r="J86" s="692">
        <f t="shared" si="17"/>
        <v>37141.790730000001</v>
      </c>
      <c r="K86" s="692">
        <f t="shared" si="17"/>
        <v>38256.044451900001</v>
      </c>
      <c r="L86" s="692">
        <f t="shared" si="17"/>
        <v>39403.725785457005</v>
      </c>
      <c r="R86" s="343" t="s">
        <v>1603</v>
      </c>
    </row>
    <row r="87" spans="1:18">
      <c r="A87" s="346">
        <f>ROW()</f>
        <v>87</v>
      </c>
      <c r="B87" s="72" t="s">
        <v>858</v>
      </c>
      <c r="C87" s="801">
        <v>0</v>
      </c>
      <c r="D87" s="97" t="s">
        <v>859</v>
      </c>
      <c r="E87" s="97"/>
      <c r="F87" s="1522">
        <v>0</v>
      </c>
      <c r="G87" s="692">
        <f>$C$87*' Enrol &amp; Rev'!G36</f>
        <v>0</v>
      </c>
      <c r="H87" s="692">
        <f>$C$87*' Enrol &amp; Rev'!H36</f>
        <v>0</v>
      </c>
      <c r="I87" s="692">
        <f>$C$87*' Enrol &amp; Rev'!I36</f>
        <v>0</v>
      </c>
      <c r="J87" s="692">
        <f>$C$87*' Enrol &amp; Rev'!J36</f>
        <v>0</v>
      </c>
      <c r="K87" s="692">
        <f>$C$87*' Enrol &amp; Rev'!K36</f>
        <v>0</v>
      </c>
      <c r="L87" s="692">
        <f>$C$87*' Enrol &amp; Rev'!L36</f>
        <v>0</v>
      </c>
      <c r="R87" s="343"/>
    </row>
    <row r="88" spans="1:18">
      <c r="A88" s="346">
        <f>ROW()</f>
        <v>88</v>
      </c>
      <c r="B88" s="72" t="s">
        <v>860</v>
      </c>
      <c r="C88" s="801">
        <v>11317.44</v>
      </c>
      <c r="D88" s="97" t="s">
        <v>857</v>
      </c>
      <c r="E88" s="97"/>
      <c r="F88" s="1522">
        <v>0</v>
      </c>
      <c r="G88" s="692">
        <f t="shared" ref="G88:L88" si="18">$C$88</f>
        <v>11317.44</v>
      </c>
      <c r="H88" s="692">
        <f t="shared" si="18"/>
        <v>11317.44</v>
      </c>
      <c r="I88" s="692">
        <f t="shared" si="18"/>
        <v>11317.44</v>
      </c>
      <c r="J88" s="692">
        <f t="shared" si="18"/>
        <v>11317.44</v>
      </c>
      <c r="K88" s="692">
        <f t="shared" si="18"/>
        <v>11317.44</v>
      </c>
      <c r="L88" s="692">
        <f t="shared" si="18"/>
        <v>11317.44</v>
      </c>
      <c r="R88" s="343"/>
    </row>
    <row r="89" spans="1:18">
      <c r="A89" s="346">
        <f>ROW()</f>
        <v>89</v>
      </c>
      <c r="B89" s="72" t="s">
        <v>861</v>
      </c>
      <c r="C89" s="801">
        <v>0</v>
      </c>
      <c r="D89" s="97" t="s">
        <v>838</v>
      </c>
      <c r="E89" s="97"/>
      <c r="F89" s="1522">
        <v>0</v>
      </c>
      <c r="G89" s="692">
        <f>+G193</f>
        <v>0</v>
      </c>
      <c r="H89" s="692">
        <f t="shared" ref="H89:L89" si="19">+H193</f>
        <v>0</v>
      </c>
      <c r="I89" s="692">
        <f t="shared" si="19"/>
        <v>0</v>
      </c>
      <c r="J89" s="692">
        <f t="shared" si="19"/>
        <v>0</v>
      </c>
      <c r="K89" s="692">
        <f t="shared" si="19"/>
        <v>0</v>
      </c>
      <c r="L89" s="692">
        <f t="shared" si="19"/>
        <v>0</v>
      </c>
      <c r="R89" s="343"/>
    </row>
    <row r="90" spans="1:18">
      <c r="A90" s="346">
        <f>ROW()</f>
        <v>90</v>
      </c>
      <c r="B90" s="72" t="s">
        <v>862</v>
      </c>
      <c r="C90" s="801"/>
      <c r="D90" s="97" t="s">
        <v>416</v>
      </c>
      <c r="E90" s="97"/>
      <c r="F90" s="1522">
        <v>0</v>
      </c>
      <c r="G90" s="692">
        <v>2100</v>
      </c>
      <c r="H90" s="692">
        <v>2200</v>
      </c>
      <c r="I90" s="692">
        <v>2300</v>
      </c>
      <c r="J90" s="692">
        <v>2400</v>
      </c>
      <c r="K90" s="692">
        <v>2500</v>
      </c>
      <c r="L90" s="692">
        <v>2600</v>
      </c>
      <c r="R90" s="343" t="s">
        <v>1551</v>
      </c>
    </row>
    <row r="91" spans="1:18">
      <c r="A91" s="346">
        <f>ROW()</f>
        <v>91</v>
      </c>
      <c r="B91" s="72" t="s">
        <v>863</v>
      </c>
      <c r="C91" s="801">
        <v>4.62</v>
      </c>
      <c r="D91" s="97" t="s">
        <v>416</v>
      </c>
      <c r="E91" s="97"/>
      <c r="F91" s="1522">
        <v>0</v>
      </c>
      <c r="G91" s="692">
        <f>$C$91*' Enrol &amp; Rev'!G36</f>
        <v>7368.9000000000005</v>
      </c>
      <c r="H91" s="692">
        <f>$C$91*' Enrol &amp; Rev'!H36</f>
        <v>7798.56</v>
      </c>
      <c r="I91" s="692">
        <f>$C$91*' Enrol &amp; Rev'!I36</f>
        <v>8263.4252692992031</v>
      </c>
      <c r="J91" s="692">
        <f>$C$91*' Enrol &amp; Rev'!J36</f>
        <v>8759.2307854571554</v>
      </c>
      <c r="K91" s="692">
        <f>$C$91*' Enrol &amp; Rev'!K36</f>
        <v>9284.7846325845858</v>
      </c>
      <c r="L91" s="692">
        <f>$C$91*' Enrol &amp; Rev'!L36</f>
        <v>9841.8717105396609</v>
      </c>
      <c r="R91" s="343" t="s">
        <v>1563</v>
      </c>
    </row>
    <row r="92" spans="1:18">
      <c r="A92" s="346">
        <f>ROW()</f>
        <v>92</v>
      </c>
      <c r="B92" s="72" t="s">
        <v>864</v>
      </c>
      <c r="C92" s="801">
        <v>859.08078947368404</v>
      </c>
      <c r="D92" s="97" t="s">
        <v>825</v>
      </c>
      <c r="E92" s="97"/>
      <c r="F92" s="1522">
        <v>0</v>
      </c>
      <c r="G92" s="692">
        <f>$C$92*Staff!H$23</f>
        <v>39517.716315789468</v>
      </c>
      <c r="H92" s="692">
        <f>$C$92*Staff!I$23</f>
        <v>40376.797105263147</v>
      </c>
      <c r="I92" s="692">
        <f>$C$92*Staff!J$23</f>
        <v>40376.797105263147</v>
      </c>
      <c r="J92" s="692">
        <f>$C$92*Staff!K$23</f>
        <v>43813.120263157885</v>
      </c>
      <c r="K92" s="692">
        <f>$C$92*Staff!L$23</f>
        <v>43813.120263157885</v>
      </c>
      <c r="L92" s="692">
        <f>$C$92*Staff!M$23</f>
        <v>45531.281842105251</v>
      </c>
      <c r="R92" s="343" t="s">
        <v>1552</v>
      </c>
    </row>
    <row r="93" spans="1:18">
      <c r="A93" s="346">
        <f>ROW()</f>
        <v>93</v>
      </c>
      <c r="B93" s="72" t="s">
        <v>865</v>
      </c>
      <c r="C93" s="801">
        <v>85.657894736842096</v>
      </c>
      <c r="D93" s="97" t="s">
        <v>825</v>
      </c>
      <c r="E93" s="97"/>
      <c r="F93" s="1522">
        <v>0</v>
      </c>
      <c r="G93" s="692">
        <f>$C$93*Staff!H$23</f>
        <v>3940.2631578947362</v>
      </c>
      <c r="H93" s="692">
        <f>$C$93*Staff!I$23</f>
        <v>4025.9210526315783</v>
      </c>
      <c r="I93" s="692">
        <f>$C$93*Staff!J$23</f>
        <v>4025.9210526315783</v>
      </c>
      <c r="J93" s="692">
        <f>$C$93*Staff!K$23</f>
        <v>4368.5526315789466</v>
      </c>
      <c r="K93" s="692">
        <f>$C$93*Staff!L$23</f>
        <v>4368.5526315789466</v>
      </c>
      <c r="L93" s="692">
        <f>$C$93*Staff!M$23</f>
        <v>4539.8684210526308</v>
      </c>
      <c r="R93" s="343"/>
    </row>
    <row r="94" spans="1:18">
      <c r="A94" s="346">
        <f>ROW()</f>
        <v>94</v>
      </c>
      <c r="B94" s="72" t="s">
        <v>866</v>
      </c>
      <c r="C94" s="801">
        <v>1039.05131578947</v>
      </c>
      <c r="D94" s="97" t="s">
        <v>825</v>
      </c>
      <c r="E94" s="97"/>
      <c r="F94" s="1522">
        <v>0</v>
      </c>
      <c r="G94" s="692">
        <f>$C$94*Staff!H$23</f>
        <v>47796.360526315621</v>
      </c>
      <c r="H94" s="692">
        <f>$C$94*Staff!I$23</f>
        <v>48835.411842105088</v>
      </c>
      <c r="I94" s="692">
        <f>$C$94*Staff!J$23</f>
        <v>48835.411842105088</v>
      </c>
      <c r="J94" s="692">
        <f>$C$94*Staff!K$23</f>
        <v>52991.617105262972</v>
      </c>
      <c r="K94" s="692">
        <f>$C$94*Staff!L$23</f>
        <v>52991.617105262972</v>
      </c>
      <c r="L94" s="692">
        <f>$C$94*Staff!M$23</f>
        <v>55069.719736841907</v>
      </c>
      <c r="R94" s="343" t="s">
        <v>1571</v>
      </c>
    </row>
    <row r="95" spans="1:18">
      <c r="A95" s="346">
        <f>ROW()</f>
        <v>95</v>
      </c>
      <c r="B95" s="72" t="s">
        <v>867</v>
      </c>
      <c r="C95" s="801">
        <v>59</v>
      </c>
      <c r="D95" s="97" t="s">
        <v>868</v>
      </c>
      <c r="E95" s="97"/>
      <c r="F95" s="1522">
        <v>0</v>
      </c>
      <c r="G95" s="692">
        <v>1000</v>
      </c>
      <c r="H95" s="692">
        <v>1000</v>
      </c>
      <c r="I95" s="692">
        <v>1000</v>
      </c>
      <c r="J95" s="692">
        <v>1000</v>
      </c>
      <c r="K95" s="692">
        <v>1000</v>
      </c>
      <c r="L95" s="692">
        <v>1000</v>
      </c>
      <c r="R95" s="343" t="s">
        <v>1565</v>
      </c>
    </row>
    <row r="96" spans="1:18">
      <c r="A96" s="346">
        <f>ROW()</f>
        <v>96</v>
      </c>
      <c r="B96" s="72" t="s">
        <v>869</v>
      </c>
      <c r="C96" s="801">
        <v>90000</v>
      </c>
      <c r="D96" s="97" t="s">
        <v>857</v>
      </c>
      <c r="E96" s="97"/>
      <c r="F96" s="1522">
        <v>0</v>
      </c>
      <c r="G96" s="692">
        <f t="shared" ref="G96:L96" si="20">$C$96</f>
        <v>90000</v>
      </c>
      <c r="H96" s="692">
        <f t="shared" si="20"/>
        <v>90000</v>
      </c>
      <c r="I96" s="692">
        <f t="shared" si="20"/>
        <v>90000</v>
      </c>
      <c r="J96" s="692">
        <f t="shared" si="20"/>
        <v>90000</v>
      </c>
      <c r="K96" s="692">
        <f t="shared" si="20"/>
        <v>90000</v>
      </c>
      <c r="L96" s="692">
        <f t="shared" si="20"/>
        <v>90000</v>
      </c>
      <c r="R96" s="343" t="s">
        <v>1564</v>
      </c>
    </row>
    <row r="97" spans="1:18">
      <c r="A97" s="346">
        <f>ROW()</f>
        <v>97</v>
      </c>
      <c r="B97" s="72" t="s">
        <v>870</v>
      </c>
      <c r="C97" s="801">
        <v>929.52</v>
      </c>
      <c r="D97" s="97" t="s">
        <v>871</v>
      </c>
      <c r="E97" s="97"/>
      <c r="F97" s="1522">
        <v>0</v>
      </c>
      <c r="G97" s="692">
        <f>$C$97*' Enrol &amp; Rev'!G17</f>
        <v>6506.6399999999994</v>
      </c>
      <c r="H97" s="692">
        <f>$C$97*' Enrol &amp; Rev'!H17</f>
        <v>6506.6399999999994</v>
      </c>
      <c r="I97" s="692">
        <f>$C$97*' Enrol &amp; Rev'!I17</f>
        <v>6506.6399999999994</v>
      </c>
      <c r="J97" s="692">
        <f>$C$97*' Enrol &amp; Rev'!J17</f>
        <v>6506.6399999999994</v>
      </c>
      <c r="K97" s="692">
        <f>$C$97*' Enrol &amp; Rev'!K17</f>
        <v>6506.6399999999994</v>
      </c>
      <c r="L97" s="692">
        <f>$C$97*' Enrol &amp; Rev'!L17</f>
        <v>6506.6399999999994</v>
      </c>
      <c r="R97" s="343"/>
    </row>
    <row r="98" spans="1:18">
      <c r="A98" s="346">
        <f>ROW()</f>
        <v>98</v>
      </c>
      <c r="B98" s="72" t="s">
        <v>872</v>
      </c>
      <c r="C98" s="801">
        <v>1672.69</v>
      </c>
      <c r="D98" s="97" t="s">
        <v>871</v>
      </c>
      <c r="E98" s="97"/>
      <c r="F98" s="1522">
        <v>0</v>
      </c>
      <c r="G98" s="692">
        <v>11700</v>
      </c>
      <c r="H98" s="692">
        <f>$C$98*' Enrol &amp; Rev'!H17</f>
        <v>11708.83</v>
      </c>
      <c r="I98" s="692">
        <f>$C$98*' Enrol &amp; Rev'!I17</f>
        <v>11708.83</v>
      </c>
      <c r="J98" s="692">
        <f>$C$98*' Enrol &amp; Rev'!J17</f>
        <v>11708.83</v>
      </c>
      <c r="K98" s="692">
        <f>$C$98*' Enrol &amp; Rev'!K17</f>
        <v>11708.83</v>
      </c>
      <c r="L98" s="692">
        <f>$C$98*' Enrol &amp; Rev'!L17</f>
        <v>11708.83</v>
      </c>
      <c r="R98" s="343"/>
    </row>
    <row r="99" spans="1:18">
      <c r="A99" s="346">
        <f>ROW()</f>
        <v>99</v>
      </c>
      <c r="B99" s="72" t="s">
        <v>873</v>
      </c>
      <c r="C99" s="234">
        <v>0</v>
      </c>
      <c r="D99" s="97" t="s">
        <v>608</v>
      </c>
      <c r="E99" s="97"/>
      <c r="F99" s="1522">
        <v>0</v>
      </c>
      <c r="G99" s="692">
        <f t="shared" ref="G99:L100" si="21">+$C99</f>
        <v>0</v>
      </c>
      <c r="H99" s="692">
        <f t="shared" si="21"/>
        <v>0</v>
      </c>
      <c r="I99" s="692">
        <f t="shared" si="21"/>
        <v>0</v>
      </c>
      <c r="J99" s="692">
        <f t="shared" si="21"/>
        <v>0</v>
      </c>
      <c r="K99" s="692">
        <f t="shared" si="21"/>
        <v>0</v>
      </c>
      <c r="L99" s="692">
        <f t="shared" si="21"/>
        <v>0</v>
      </c>
      <c r="R99" s="343"/>
    </row>
    <row r="100" spans="1:18">
      <c r="A100" s="346">
        <f>ROW()</f>
        <v>100</v>
      </c>
      <c r="B100" s="72" t="s">
        <v>874</v>
      </c>
      <c r="C100" s="234">
        <v>0</v>
      </c>
      <c r="D100" s="97" t="s">
        <v>608</v>
      </c>
      <c r="E100" s="97"/>
      <c r="F100" s="1522">
        <v>0</v>
      </c>
      <c r="G100" s="692">
        <f t="shared" si="21"/>
        <v>0</v>
      </c>
      <c r="H100" s="692">
        <f t="shared" si="21"/>
        <v>0</v>
      </c>
      <c r="I100" s="692">
        <f t="shared" si="21"/>
        <v>0</v>
      </c>
      <c r="J100" s="692">
        <f t="shared" si="21"/>
        <v>0</v>
      </c>
      <c r="K100" s="692">
        <f t="shared" si="21"/>
        <v>0</v>
      </c>
      <c r="L100" s="692">
        <f t="shared" si="21"/>
        <v>0</v>
      </c>
      <c r="R100" s="343"/>
    </row>
    <row r="101" spans="1:18">
      <c r="A101" s="346">
        <f>ROW()</f>
        <v>101</v>
      </c>
      <c r="B101" s="72" t="s">
        <v>875</v>
      </c>
      <c r="C101" s="234">
        <v>0</v>
      </c>
      <c r="D101" s="97" t="s">
        <v>608</v>
      </c>
      <c r="E101" s="97"/>
      <c r="F101" s="1522">
        <v>0</v>
      </c>
      <c r="G101" s="692">
        <v>0</v>
      </c>
      <c r="H101" s="692">
        <v>0</v>
      </c>
      <c r="I101" s="692">
        <v>0</v>
      </c>
      <c r="J101" s="692">
        <v>0</v>
      </c>
      <c r="K101" s="692">
        <v>0</v>
      </c>
      <c r="L101" s="692">
        <v>0</v>
      </c>
      <c r="R101" s="343"/>
    </row>
    <row r="102" spans="1:18">
      <c r="A102" s="346">
        <f>ROW()</f>
        <v>102</v>
      </c>
      <c r="B102" s="72" t="s">
        <v>876</v>
      </c>
      <c r="C102" s="801">
        <v>0</v>
      </c>
      <c r="D102" s="97" t="s">
        <v>857</v>
      </c>
      <c r="E102" s="97"/>
      <c r="F102" s="1522">
        <v>0</v>
      </c>
      <c r="G102" s="692">
        <v>0</v>
      </c>
      <c r="H102" s="692">
        <f>$C$102</f>
        <v>0</v>
      </c>
      <c r="I102" s="692">
        <f>$C$102</f>
        <v>0</v>
      </c>
      <c r="J102" s="692">
        <f>$C$102</f>
        <v>0</v>
      </c>
      <c r="K102" s="692">
        <f>$C$102</f>
        <v>0</v>
      </c>
      <c r="L102" s="692">
        <f>$C$102</f>
        <v>0</v>
      </c>
      <c r="R102" s="343"/>
    </row>
    <row r="103" spans="1:18">
      <c r="A103" s="346">
        <f>ROW()</f>
        <v>103</v>
      </c>
      <c r="B103" s="72" t="s">
        <v>877</v>
      </c>
      <c r="C103" s="234" t="s">
        <v>878</v>
      </c>
      <c r="D103" s="97" t="s">
        <v>879</v>
      </c>
      <c r="E103" s="97"/>
      <c r="F103" s="1522">
        <v>0</v>
      </c>
      <c r="G103" s="692">
        <v>0</v>
      </c>
      <c r="H103" s="692">
        <f>IF($C$103="yes",Staff!$C$73*Staff!$C$72*Staff!$C$71,0)</f>
        <v>0</v>
      </c>
      <c r="I103" s="692">
        <f>IF($C$103="yes",Staff!$C$73*Staff!$C$72*Staff!$C$71,0)</f>
        <v>0</v>
      </c>
      <c r="J103" s="692">
        <f>IF($C$103="yes",Staff!$C$73*Staff!$C$72*Staff!$C$71,0)</f>
        <v>0</v>
      </c>
      <c r="K103" s="692">
        <f>IF($C$103="yes",Staff!$C$73*Staff!$C$72*Staff!$C$71,0)</f>
        <v>0</v>
      </c>
      <c r="L103" s="692">
        <f>IF($C$103="yes",Staff!$C$73*Staff!$C$72*Staff!$C$71,0)</f>
        <v>0</v>
      </c>
      <c r="R103" s="343"/>
    </row>
    <row r="104" spans="1:18">
      <c r="A104" s="346">
        <f>ROW()</f>
        <v>104</v>
      </c>
      <c r="C104" s="130"/>
      <c r="D104" s="58"/>
      <c r="E104" s="58"/>
      <c r="F104" s="310"/>
      <c r="G104" s="310"/>
      <c r="H104" s="310"/>
      <c r="I104" s="310"/>
      <c r="J104" s="310"/>
      <c r="K104" s="310"/>
      <c r="L104" s="310"/>
      <c r="R104" s="343"/>
    </row>
    <row r="105" spans="1:18" ht="14.4" thickBot="1">
      <c r="A105" s="346">
        <f>ROW()</f>
        <v>105</v>
      </c>
      <c r="B105" s="966" t="s">
        <v>880</v>
      </c>
      <c r="C105" s="967"/>
      <c r="D105" s="966"/>
      <c r="E105" s="966"/>
      <c r="F105" s="968">
        <f t="shared" ref="F105:L105" si="22">SUM(F65:F104)</f>
        <v>0</v>
      </c>
      <c r="G105" s="968">
        <f t="shared" si="22"/>
        <v>977063.09963399987</v>
      </c>
      <c r="H105" s="968">
        <f t="shared" si="22"/>
        <v>1052454.2691207977</v>
      </c>
      <c r="I105" s="968">
        <f t="shared" si="22"/>
        <v>1063976.6808003334</v>
      </c>
      <c r="J105" s="968">
        <f t="shared" si="22"/>
        <v>1113361.2420383953</v>
      </c>
      <c r="K105" s="968">
        <f t="shared" si="22"/>
        <v>1125813.1003443766</v>
      </c>
      <c r="L105" s="968">
        <f t="shared" si="22"/>
        <v>1157495.508780122</v>
      </c>
      <c r="R105" s="343"/>
    </row>
    <row r="106" spans="1:18" ht="14.4" thickTop="1">
      <c r="A106" s="346">
        <f>ROW()</f>
        <v>106</v>
      </c>
      <c r="B106" s="80" t="s">
        <v>416</v>
      </c>
      <c r="C106" s="134"/>
      <c r="D106" s="80"/>
      <c r="E106" s="80"/>
      <c r="F106" s="593">
        <f>IFERROR(F105/' Enrol &amp; Rev'!F36,0)</f>
        <v>0</v>
      </c>
      <c r="G106" s="593">
        <f>IFERROR(G105/' Enrol &amp; Rev'!G36,0)</f>
        <v>612.57874585203751</v>
      </c>
      <c r="H106" s="593">
        <f>IFERROR(H105/' Enrol &amp; Rev'!H36,0)</f>
        <v>623.49186559288967</v>
      </c>
      <c r="I106" s="593">
        <f>IFERROR(I105/' Enrol &amp; Rev'!I36,0)</f>
        <v>594.8589241268005</v>
      </c>
      <c r="J106" s="593">
        <f>IFERROR(J105/' Enrol &amp; Rev'!J36,0)</f>
        <v>587.23523380128961</v>
      </c>
      <c r="K106" s="593">
        <f>IFERROR(K105/' Enrol &amp; Rev'!K36,0)</f>
        <v>560.19140232261452</v>
      </c>
      <c r="L106" s="593">
        <f>IFERROR(L105/' Enrol &amp; Rev'!L36,0)</f>
        <v>543.35490319766996</v>
      </c>
      <c r="M106" s="80"/>
      <c r="N106" s="80"/>
      <c r="O106" s="80"/>
      <c r="P106" s="80"/>
      <c r="Q106" s="80"/>
      <c r="R106" s="343"/>
    </row>
    <row r="107" spans="1:18">
      <c r="A107" s="346">
        <f>ROW()</f>
        <v>107</v>
      </c>
      <c r="B107" s="31"/>
      <c r="C107" s="133"/>
      <c r="D107" s="31"/>
      <c r="E107" s="80"/>
      <c r="F107" s="130"/>
      <c r="G107" s="575"/>
      <c r="H107" s="575"/>
      <c r="I107" s="575"/>
      <c r="J107" s="575"/>
      <c r="K107" s="575"/>
      <c r="L107" s="575"/>
      <c r="M107" s="59"/>
      <c r="R107" s="343"/>
    </row>
    <row r="108" spans="1:18">
      <c r="A108" s="346">
        <f>ROW()</f>
        <v>108</v>
      </c>
      <c r="B108" s="31" t="s">
        <v>881</v>
      </c>
      <c r="C108" s="133"/>
      <c r="D108" s="31"/>
      <c r="E108" s="80"/>
      <c r="F108" s="575"/>
      <c r="G108" s="575"/>
      <c r="H108" s="575"/>
      <c r="I108" s="575"/>
      <c r="J108" s="575"/>
      <c r="K108" s="575"/>
      <c r="L108" s="575"/>
      <c r="R108" s="343"/>
    </row>
    <row r="109" spans="1:18">
      <c r="A109" s="346">
        <f>ROW()</f>
        <v>109</v>
      </c>
      <c r="B109" s="33" t="s">
        <v>452</v>
      </c>
      <c r="C109" s="133"/>
      <c r="D109" s="31"/>
      <c r="E109" s="80"/>
      <c r="F109" s="1346"/>
      <c r="G109" s="1346"/>
      <c r="H109" s="1346"/>
      <c r="I109" s="1346"/>
      <c r="J109" s="1346"/>
      <c r="K109" s="1346"/>
      <c r="L109" s="1346"/>
      <c r="R109" s="343"/>
    </row>
    <row r="110" spans="1:18">
      <c r="A110" s="346">
        <f>ROW()</f>
        <v>110</v>
      </c>
      <c r="B110" s="33" t="s">
        <v>882</v>
      </c>
      <c r="C110" s="133"/>
      <c r="D110" s="31"/>
      <c r="E110" s="80"/>
      <c r="F110" s="1346"/>
      <c r="G110" s="1346">
        <f>19750*1.03</f>
        <v>20342.5</v>
      </c>
      <c r="H110" s="1346">
        <f t="shared" ref="H110:L110" si="23">G110*1.03</f>
        <v>20952.775000000001</v>
      </c>
      <c r="I110" s="1346">
        <f t="shared" si="23"/>
        <v>21581.358250000001</v>
      </c>
      <c r="J110" s="1346">
        <f t="shared" si="23"/>
        <v>22228.798997500002</v>
      </c>
      <c r="K110" s="1346">
        <f t="shared" si="23"/>
        <v>22895.662967425003</v>
      </c>
      <c r="L110" s="1346">
        <f t="shared" si="23"/>
        <v>23582.532856447753</v>
      </c>
      <c r="R110" s="343" t="s">
        <v>1562</v>
      </c>
    </row>
    <row r="111" spans="1:18">
      <c r="A111" s="346">
        <f>ROW()</f>
        <v>111</v>
      </c>
      <c r="B111" s="33" t="s">
        <v>453</v>
      </c>
      <c r="C111" s="133"/>
      <c r="D111" s="31"/>
      <c r="E111" s="80"/>
      <c r="F111" s="1346"/>
      <c r="G111" s="1346"/>
      <c r="H111" s="1346"/>
      <c r="I111" s="1346"/>
      <c r="J111" s="1346"/>
      <c r="K111" s="1346"/>
      <c r="L111" s="1346"/>
      <c r="R111" s="343"/>
    </row>
    <row r="112" spans="1:18">
      <c r="A112" s="346">
        <f>ROW()</f>
        <v>112</v>
      </c>
      <c r="B112" s="33" t="s">
        <v>454</v>
      </c>
      <c r="C112" s="133"/>
      <c r="D112" s="31"/>
      <c r="E112" s="80"/>
      <c r="F112" s="1346"/>
      <c r="G112" s="1346"/>
      <c r="H112" s="1346"/>
      <c r="I112" s="1346"/>
      <c r="J112" s="1346"/>
      <c r="K112" s="1346"/>
      <c r="L112" s="1346"/>
      <c r="R112" s="343"/>
    </row>
    <row r="113" spans="1:18">
      <c r="A113" s="346">
        <f>ROW()</f>
        <v>113</v>
      </c>
      <c r="B113" s="33" t="s">
        <v>883</v>
      </c>
      <c r="C113" s="133"/>
      <c r="D113" s="31"/>
      <c r="E113" s="80"/>
      <c r="F113" s="1346"/>
      <c r="G113" s="1346"/>
      <c r="H113" s="1346"/>
      <c r="I113" s="1346"/>
      <c r="J113" s="1346"/>
      <c r="K113" s="1346"/>
      <c r="L113" s="1346"/>
      <c r="R113" s="343"/>
    </row>
    <row r="114" spans="1:18">
      <c r="A114" s="346">
        <f>ROW()</f>
        <v>114</v>
      </c>
      <c r="B114" s="33" t="s">
        <v>456</v>
      </c>
      <c r="C114" s="133"/>
      <c r="D114" s="31"/>
      <c r="E114" s="80"/>
      <c r="F114" s="1346"/>
      <c r="G114" s="1346"/>
      <c r="H114" s="1346"/>
      <c r="I114" s="1346"/>
      <c r="J114" s="1346"/>
      <c r="K114" s="1346"/>
      <c r="L114" s="1346"/>
      <c r="R114" s="343"/>
    </row>
    <row r="115" spans="1:18">
      <c r="A115" s="346">
        <f>ROW()</f>
        <v>115</v>
      </c>
      <c r="B115" s="33" t="s">
        <v>884</v>
      </c>
      <c r="C115" s="133"/>
      <c r="D115" s="31"/>
      <c r="E115" s="80"/>
      <c r="F115" s="1346"/>
      <c r="G115" s="1346"/>
      <c r="H115" s="1346"/>
      <c r="I115" s="1346"/>
      <c r="J115" s="1346"/>
      <c r="K115" s="1346"/>
      <c r="L115" s="1346"/>
      <c r="R115" s="343"/>
    </row>
    <row r="116" spans="1:18">
      <c r="A116" s="346">
        <f>ROW()</f>
        <v>116</v>
      </c>
      <c r="B116" s="33" t="s">
        <v>457</v>
      </c>
      <c r="C116" s="133"/>
      <c r="D116" s="31"/>
      <c r="E116" s="80"/>
      <c r="F116" s="1346"/>
      <c r="G116" s="1346"/>
      <c r="H116" s="1346"/>
      <c r="I116" s="1346"/>
      <c r="J116" s="1346"/>
      <c r="K116" s="1346"/>
      <c r="L116" s="1346"/>
      <c r="R116" s="343"/>
    </row>
    <row r="117" spans="1:18">
      <c r="A117" s="346">
        <f>ROW()</f>
        <v>117</v>
      </c>
      <c r="B117" s="33" t="s">
        <v>885</v>
      </c>
      <c r="C117" s="133"/>
      <c r="D117" s="31"/>
      <c r="E117" s="80"/>
      <c r="F117" s="1346"/>
      <c r="G117" s="1346"/>
      <c r="H117" s="1346"/>
      <c r="I117" s="1346"/>
      <c r="J117" s="1346"/>
      <c r="K117" s="1346"/>
      <c r="L117" s="1346"/>
      <c r="R117" s="343"/>
    </row>
    <row r="118" spans="1:18">
      <c r="A118" s="346">
        <f>ROW()</f>
        <v>118</v>
      </c>
      <c r="B118" s="33" t="s">
        <v>459</v>
      </c>
      <c r="C118" s="133"/>
      <c r="D118" s="31"/>
      <c r="E118" s="80"/>
      <c r="F118" s="1346"/>
      <c r="G118" s="1346"/>
      <c r="H118" s="1346"/>
      <c r="I118" s="1346"/>
      <c r="J118" s="1346"/>
      <c r="K118" s="1346"/>
      <c r="L118" s="1346"/>
      <c r="R118" s="343"/>
    </row>
    <row r="119" spans="1:18">
      <c r="A119" s="346">
        <f>ROW()</f>
        <v>119</v>
      </c>
      <c r="B119" s="33" t="s">
        <v>886</v>
      </c>
      <c r="C119" s="133"/>
      <c r="D119" s="31"/>
      <c r="E119" s="80"/>
      <c r="F119" s="1346"/>
      <c r="G119" s="1346"/>
      <c r="H119" s="1346"/>
      <c r="I119" s="1346"/>
      <c r="J119" s="1346"/>
      <c r="K119" s="1346"/>
      <c r="L119" s="1346"/>
      <c r="R119" s="343"/>
    </row>
    <row r="120" spans="1:18">
      <c r="A120" s="346">
        <f>ROW()</f>
        <v>120</v>
      </c>
      <c r="B120" s="33" t="s">
        <v>887</v>
      </c>
      <c r="C120" s="133"/>
      <c r="D120" s="31"/>
      <c r="E120" s="80"/>
      <c r="F120" s="1346"/>
      <c r="G120" s="1346"/>
      <c r="H120" s="1346"/>
      <c r="I120" s="1346"/>
      <c r="J120" s="1346"/>
      <c r="K120" s="1346"/>
      <c r="L120" s="1346"/>
      <c r="R120" s="343"/>
    </row>
    <row r="121" spans="1:18">
      <c r="A121" s="346">
        <f>ROW()</f>
        <v>121</v>
      </c>
      <c r="B121" s="33" t="s">
        <v>888</v>
      </c>
      <c r="C121" s="133"/>
      <c r="D121" s="31"/>
      <c r="E121" s="80"/>
      <c r="F121" s="1346"/>
      <c r="G121" s="1346"/>
      <c r="H121" s="1347"/>
      <c r="I121" s="1347"/>
      <c r="J121" s="1347"/>
      <c r="K121" s="1347"/>
      <c r="L121" s="1347"/>
      <c r="R121" s="343"/>
    </row>
    <row r="122" spans="1:18">
      <c r="A122" s="346">
        <f>ROW()</f>
        <v>122</v>
      </c>
      <c r="B122" s="33" t="s">
        <v>889</v>
      </c>
      <c r="C122" s="133"/>
      <c r="D122" s="31"/>
      <c r="E122" s="80"/>
      <c r="F122" s="1346"/>
      <c r="G122" s="1346"/>
      <c r="H122" s="1346"/>
      <c r="I122" s="1346"/>
      <c r="J122" s="1346"/>
      <c r="K122" s="1346"/>
      <c r="L122" s="1346"/>
      <c r="R122" s="343"/>
    </row>
    <row r="123" spans="1:18">
      <c r="A123" s="346">
        <f>ROW()</f>
        <v>123</v>
      </c>
      <c r="B123" s="33" t="s">
        <v>890</v>
      </c>
      <c r="C123" s="133"/>
      <c r="D123" s="31"/>
      <c r="E123" s="80"/>
      <c r="F123" s="1346"/>
      <c r="G123" s="1346"/>
      <c r="H123" s="1346"/>
      <c r="I123" s="1346"/>
      <c r="J123" s="1346"/>
      <c r="K123" s="1346"/>
      <c r="L123" s="1346"/>
      <c r="R123" s="343" t="s">
        <v>891</v>
      </c>
    </row>
    <row r="124" spans="1:18">
      <c r="A124" s="346">
        <f>ROW()</f>
        <v>124</v>
      </c>
      <c r="B124" s="33" t="s">
        <v>892</v>
      </c>
      <c r="C124" s="133"/>
      <c r="D124" s="31"/>
      <c r="E124" s="80"/>
      <c r="F124" s="1346"/>
      <c r="G124" s="1346"/>
      <c r="H124" s="1346"/>
      <c r="I124" s="1346"/>
      <c r="J124" s="1346"/>
      <c r="K124" s="1346"/>
      <c r="L124" s="1346"/>
      <c r="R124" s="343" t="s">
        <v>891</v>
      </c>
    </row>
    <row r="125" spans="1:18">
      <c r="A125" s="346">
        <f>ROW()</f>
        <v>125</v>
      </c>
      <c r="B125" s="33" t="s">
        <v>893</v>
      </c>
      <c r="C125" s="133"/>
      <c r="D125" s="31"/>
      <c r="E125" s="80"/>
      <c r="F125" s="1346"/>
      <c r="G125" s="1346"/>
      <c r="H125" s="1346"/>
      <c r="I125" s="1346"/>
      <c r="J125" s="1346"/>
      <c r="K125" s="1346"/>
      <c r="L125" s="1346"/>
      <c r="R125" s="343"/>
    </row>
    <row r="126" spans="1:18">
      <c r="A126" s="346">
        <f>ROW()</f>
        <v>126</v>
      </c>
      <c r="B126" s="33" t="s">
        <v>468</v>
      </c>
      <c r="C126" s="133"/>
      <c r="D126" s="31"/>
      <c r="E126" s="80"/>
      <c r="F126" s="1346"/>
      <c r="G126" s="1346"/>
      <c r="H126" s="1346"/>
      <c r="I126" s="1346"/>
      <c r="J126" s="1346"/>
      <c r="K126" s="1346"/>
      <c r="L126" s="1346"/>
      <c r="R126" s="343"/>
    </row>
    <row r="127" spans="1:18">
      <c r="A127" s="346">
        <f>ROW()</f>
        <v>127</v>
      </c>
      <c r="B127" s="33" t="s">
        <v>469</v>
      </c>
      <c r="C127" s="133"/>
      <c r="D127" s="31"/>
      <c r="E127" s="80"/>
      <c r="F127" s="1346"/>
      <c r="G127" s="1346"/>
      <c r="H127" s="1346"/>
      <c r="I127" s="1346"/>
      <c r="J127" s="1346"/>
      <c r="K127" s="1346"/>
      <c r="L127" s="1346"/>
      <c r="R127" s="343"/>
    </row>
    <row r="128" spans="1:18">
      <c r="A128" s="346">
        <f>ROW()</f>
        <v>128</v>
      </c>
      <c r="C128" s="133"/>
      <c r="D128" s="31"/>
      <c r="E128" s="80"/>
      <c r="F128" s="1346"/>
      <c r="G128" s="307"/>
      <c r="H128" s="1346"/>
      <c r="I128" s="1346"/>
      <c r="J128" s="1346"/>
      <c r="K128" s="1346"/>
      <c r="L128" s="1346"/>
      <c r="R128" s="343" t="s">
        <v>1589</v>
      </c>
    </row>
    <row r="129" spans="1:18">
      <c r="A129" s="346">
        <f>ROW()</f>
        <v>129</v>
      </c>
      <c r="B129" s="1443" t="s">
        <v>1549</v>
      </c>
      <c r="C129" s="133"/>
      <c r="D129" s="31"/>
      <c r="E129" s="80"/>
      <c r="F129" s="1346"/>
      <c r="G129" s="1346">
        <f>2226800.4*1.03</f>
        <v>2293604.412</v>
      </c>
      <c r="H129" s="1346">
        <f t="shared" ref="H129:L129" si="24">G129*1.03</f>
        <v>2362412.5443600002</v>
      </c>
      <c r="I129" s="1346">
        <f t="shared" si="24"/>
        <v>2433284.9206908001</v>
      </c>
      <c r="J129" s="1346">
        <f t="shared" si="24"/>
        <v>2506283.468311524</v>
      </c>
      <c r="K129" s="1346">
        <f t="shared" si="24"/>
        <v>2581471.9723608699</v>
      </c>
      <c r="L129" s="1346">
        <f t="shared" si="24"/>
        <v>2658916.1315316958</v>
      </c>
      <c r="R129" s="343" t="s">
        <v>1630</v>
      </c>
    </row>
    <row r="130" spans="1:18">
      <c r="A130" s="346">
        <f>ROW()</f>
        <v>130</v>
      </c>
      <c r="B130" s="1443" t="s">
        <v>1550</v>
      </c>
      <c r="C130" s="133"/>
      <c r="D130" s="31"/>
      <c r="E130" s="80"/>
      <c r="F130" s="1346"/>
      <c r="G130" s="1346">
        <f>688426.08*1.03</f>
        <v>709078.86239999998</v>
      </c>
      <c r="H130" s="1346">
        <f t="shared" ref="H130:L139" si="25">G130*1.03</f>
        <v>730351.22827199998</v>
      </c>
      <c r="I130" s="1346">
        <f t="shared" si="25"/>
        <v>752261.76512015995</v>
      </c>
      <c r="J130" s="1346">
        <f t="shared" si="25"/>
        <v>774829.61807376472</v>
      </c>
      <c r="K130" s="1346">
        <f t="shared" si="25"/>
        <v>798074.50661597773</v>
      </c>
      <c r="L130" s="1346">
        <f t="shared" si="25"/>
        <v>822016.74181445711</v>
      </c>
      <c r="R130" s="343" t="s">
        <v>1629</v>
      </c>
    </row>
    <row r="131" spans="1:18">
      <c r="A131" s="346">
        <f>ROW()</f>
        <v>131</v>
      </c>
      <c r="B131" s="1443" t="s">
        <v>1542</v>
      </c>
      <c r="C131" s="133"/>
      <c r="D131" s="31"/>
      <c r="E131" s="80"/>
      <c r="F131" s="1346"/>
      <c r="G131" s="1346">
        <f>858809.16*1.03</f>
        <v>884573.43480000005</v>
      </c>
      <c r="H131" s="1346">
        <f t="shared" si="25"/>
        <v>911110.63784400013</v>
      </c>
      <c r="I131" s="1346">
        <f t="shared" si="25"/>
        <v>938443.95697932015</v>
      </c>
      <c r="J131" s="1346">
        <f t="shared" si="25"/>
        <v>966597.2756886998</v>
      </c>
      <c r="K131" s="1346">
        <f t="shared" si="25"/>
        <v>995595.19395936083</v>
      </c>
      <c r="L131" s="1346">
        <f t="shared" si="25"/>
        <v>1025463.0497781417</v>
      </c>
      <c r="R131" s="343" t="s">
        <v>1622</v>
      </c>
    </row>
    <row r="132" spans="1:18">
      <c r="A132" s="346">
        <f>ROW()</f>
        <v>132</v>
      </c>
      <c r="B132" s="1443" t="s">
        <v>1543</v>
      </c>
      <c r="C132" s="133"/>
      <c r="D132" s="31"/>
      <c r="E132" s="80"/>
      <c r="F132" s="1346"/>
      <c r="G132" s="1346">
        <f>395629.8403*1.03</f>
        <v>407498.73550900002</v>
      </c>
      <c r="H132" s="1346">
        <f t="shared" si="25"/>
        <v>419723.69757427002</v>
      </c>
      <c r="I132" s="1346">
        <f t="shared" si="25"/>
        <v>432315.40850149811</v>
      </c>
      <c r="J132" s="1346">
        <f t="shared" si="25"/>
        <v>445284.87075654307</v>
      </c>
      <c r="K132" s="1346">
        <f t="shared" si="25"/>
        <v>458643.41687923938</v>
      </c>
      <c r="L132" s="1346">
        <f t="shared" si="25"/>
        <v>472402.7193856166</v>
      </c>
      <c r="R132" s="343" t="s">
        <v>1623</v>
      </c>
    </row>
    <row r="133" spans="1:18">
      <c r="A133" s="346">
        <f>ROW()</f>
        <v>133</v>
      </c>
      <c r="B133" s="1443" t="s">
        <v>1544</v>
      </c>
      <c r="C133" s="133"/>
      <c r="D133" s="31"/>
      <c r="E133" s="80"/>
      <c r="F133" s="1346"/>
      <c r="G133" s="1346">
        <f>261216.48*1.03</f>
        <v>269052.97440000001</v>
      </c>
      <c r="H133" s="1346">
        <f t="shared" si="25"/>
        <v>277124.563632</v>
      </c>
      <c r="I133" s="1346">
        <f t="shared" si="25"/>
        <v>285438.30054095999</v>
      </c>
      <c r="J133" s="1346">
        <f t="shared" si="25"/>
        <v>294001.44955718878</v>
      </c>
      <c r="K133" s="1346">
        <f t="shared" si="25"/>
        <v>302821.49304390443</v>
      </c>
      <c r="L133" s="1346">
        <f t="shared" si="25"/>
        <v>311906.13783522154</v>
      </c>
      <c r="R133" s="343" t="s">
        <v>1624</v>
      </c>
    </row>
    <row r="134" spans="1:18">
      <c r="A134" s="346">
        <f>ROW()</f>
        <v>134</v>
      </c>
      <c r="B134" s="1443" t="s">
        <v>1545</v>
      </c>
      <c r="C134" s="133"/>
      <c r="D134" s="31"/>
      <c r="E134" s="80"/>
      <c r="F134" s="1346"/>
      <c r="G134" s="1346">
        <f>137266.9012*1.03</f>
        <v>141384.90823599999</v>
      </c>
      <c r="H134" s="1346">
        <f t="shared" si="25"/>
        <v>145626.45548308</v>
      </c>
      <c r="I134" s="1346">
        <f t="shared" si="25"/>
        <v>149995.24914757241</v>
      </c>
      <c r="J134" s="1346">
        <f t="shared" si="25"/>
        <v>154495.10662199958</v>
      </c>
      <c r="K134" s="1346">
        <f t="shared" si="25"/>
        <v>159129.95982065957</v>
      </c>
      <c r="L134" s="1346">
        <f t="shared" si="25"/>
        <v>163903.85861527937</v>
      </c>
      <c r="R134" s="343" t="s">
        <v>1625</v>
      </c>
    </row>
    <row r="135" spans="1:18">
      <c r="A135" s="346">
        <f>ROW()</f>
        <v>135</v>
      </c>
      <c r="B135" s="1443" t="s">
        <v>1546</v>
      </c>
      <c r="C135" s="133"/>
      <c r="D135" s="31"/>
      <c r="E135" s="80"/>
      <c r="F135" s="1346"/>
      <c r="G135" s="1346">
        <f>175687.27*1.03</f>
        <v>180957.88809999998</v>
      </c>
      <c r="H135" s="1346">
        <f t="shared" si="25"/>
        <v>186386.62474299999</v>
      </c>
      <c r="I135" s="1346">
        <f t="shared" si="25"/>
        <v>191978.22348528999</v>
      </c>
      <c r="J135" s="1346">
        <f t="shared" si="25"/>
        <v>197737.57018984869</v>
      </c>
      <c r="K135" s="1346">
        <f t="shared" si="25"/>
        <v>203669.69729554415</v>
      </c>
      <c r="L135" s="1346">
        <f t="shared" si="25"/>
        <v>209779.78821441048</v>
      </c>
      <c r="R135" s="343" t="s">
        <v>1627</v>
      </c>
    </row>
    <row r="136" spans="1:18">
      <c r="A136" s="346">
        <f>ROW()</f>
        <v>136</v>
      </c>
      <c r="B136" s="1443" t="s">
        <v>1547</v>
      </c>
      <c r="C136" s="133"/>
      <c r="D136" s="31"/>
      <c r="E136" s="80"/>
      <c r="F136" s="1346"/>
      <c r="G136" s="1346">
        <f>141188.67*1.03</f>
        <v>145424.33010000002</v>
      </c>
      <c r="H136" s="1346">
        <f t="shared" si="25"/>
        <v>149787.06000300002</v>
      </c>
      <c r="I136" s="1346">
        <f t="shared" si="25"/>
        <v>154280.67180309002</v>
      </c>
      <c r="J136" s="1346">
        <f t="shared" si="25"/>
        <v>158909.09195718274</v>
      </c>
      <c r="K136" s="1346">
        <f t="shared" si="25"/>
        <v>163676.36471589823</v>
      </c>
      <c r="L136" s="1346">
        <f t="shared" si="25"/>
        <v>168586.65565737517</v>
      </c>
      <c r="R136" s="343" t="s">
        <v>1626</v>
      </c>
    </row>
    <row r="137" spans="1:18">
      <c r="A137" s="346">
        <f>ROW()</f>
        <v>137</v>
      </c>
      <c r="B137" s="1443" t="s">
        <v>1618</v>
      </c>
      <c r="C137" s="133"/>
      <c r="D137" s="31"/>
      <c r="E137" s="80"/>
      <c r="F137" s="1346"/>
      <c r="G137" s="1346">
        <f>144000*1.03</f>
        <v>148320</v>
      </c>
      <c r="H137" s="1346">
        <f t="shared" si="25"/>
        <v>152769.60000000001</v>
      </c>
      <c r="I137" s="1346">
        <f t="shared" si="25"/>
        <v>157352.68800000002</v>
      </c>
      <c r="J137" s="1346">
        <f t="shared" si="25"/>
        <v>162073.26864000002</v>
      </c>
      <c r="K137" s="1346">
        <f t="shared" si="25"/>
        <v>166935.46669920004</v>
      </c>
      <c r="L137" s="1346">
        <f t="shared" si="25"/>
        <v>171943.53070017605</v>
      </c>
      <c r="R137" s="343" t="s">
        <v>1628</v>
      </c>
    </row>
    <row r="138" spans="1:18">
      <c r="A138" s="346">
        <f>ROW()</f>
        <v>138</v>
      </c>
      <c r="B138" s="1443" t="s">
        <v>1548</v>
      </c>
      <c r="C138" s="133"/>
      <c r="D138" s="31"/>
      <c r="E138" s="80"/>
      <c r="F138" s="1346"/>
      <c r="G138" s="1346">
        <f>47563.2*1.03</f>
        <v>48990.095999999998</v>
      </c>
      <c r="H138" s="1346">
        <f t="shared" si="25"/>
        <v>50459.798880000002</v>
      </c>
      <c r="I138" s="1346">
        <f t="shared" si="25"/>
        <v>51973.592846400003</v>
      </c>
      <c r="J138" s="1346">
        <f t="shared" si="25"/>
        <v>53532.800631792001</v>
      </c>
      <c r="K138" s="1346">
        <f t="shared" si="25"/>
        <v>55138.784650745765</v>
      </c>
      <c r="L138" s="1346">
        <f t="shared" si="25"/>
        <v>56792.948190268136</v>
      </c>
      <c r="R138" s="343" t="s">
        <v>1624</v>
      </c>
    </row>
    <row r="139" spans="1:18">
      <c r="A139" s="346">
        <f>ROW()</f>
        <v>139</v>
      </c>
      <c r="B139" s="1443" t="s">
        <v>1617</v>
      </c>
      <c r="C139" s="133"/>
      <c r="D139" s="31"/>
      <c r="E139" s="80"/>
      <c r="F139" s="1346"/>
      <c r="G139" s="1346">
        <f>60529.23*1.03</f>
        <v>62345.106900000006</v>
      </c>
      <c r="H139" s="1346">
        <f t="shared" si="25"/>
        <v>64215.460107000006</v>
      </c>
      <c r="I139" s="1346">
        <f t="shared" si="25"/>
        <v>66141.923910210011</v>
      </c>
      <c r="J139" s="1346">
        <f t="shared" si="25"/>
        <v>68126.181627516315</v>
      </c>
      <c r="K139" s="1346">
        <f t="shared" si="25"/>
        <v>70169.967076341811</v>
      </c>
      <c r="L139" s="1346">
        <f t="shared" si="25"/>
        <v>72275.066088632069</v>
      </c>
      <c r="R139" s="343"/>
    </row>
    <row r="140" spans="1:18">
      <c r="A140" s="346">
        <f>ROW()</f>
        <v>140</v>
      </c>
      <c r="B140" s="343" t="s">
        <v>1621</v>
      </c>
      <c r="C140" s="133"/>
      <c r="D140" s="31"/>
      <c r="E140" s="80"/>
      <c r="F140" s="1346"/>
      <c r="G140" s="1346">
        <f>(141211*1.03)+93712.5+15250+271879.2</f>
        <v>526289.03</v>
      </c>
      <c r="H140" s="1346">
        <f>(145477*1.03)+93712.5+15250+271879.2</f>
        <v>530683.01</v>
      </c>
      <c r="I140" s="1346">
        <f>(149811*1.03)+93712.5+15250+271879.2</f>
        <v>535147.03</v>
      </c>
      <c r="J140" s="1346">
        <f>(154305*1.03)+93712.5+15250+271879.2</f>
        <v>539775.85000000009</v>
      </c>
      <c r="K140" s="1346">
        <f>(158934*1.03)+93712.5+15250+271879.2</f>
        <v>544543.72</v>
      </c>
      <c r="L140" s="1346">
        <f>(163702*1.03)+93712.5+15250+271879.2</f>
        <v>549454.76</v>
      </c>
      <c r="R140" s="343" t="s">
        <v>1581</v>
      </c>
    </row>
    <row r="141" spans="1:18">
      <c r="A141" s="346">
        <f>ROW()</f>
        <v>141</v>
      </c>
      <c r="B141" s="343"/>
      <c r="C141" s="133"/>
      <c r="D141" s="31"/>
      <c r="E141" s="80"/>
      <c r="F141" s="1346"/>
      <c r="G141" s="1346"/>
      <c r="H141" s="1346"/>
      <c r="I141" s="1346"/>
      <c r="J141" s="1346"/>
      <c r="K141" s="1346"/>
      <c r="L141" s="1346"/>
      <c r="R141" s="343" t="s">
        <v>1611</v>
      </c>
    </row>
    <row r="142" spans="1:18">
      <c r="A142" s="346">
        <f>ROW()</f>
        <v>142</v>
      </c>
      <c r="B142" s="31"/>
      <c r="C142" s="130"/>
      <c r="D142" s="58"/>
      <c r="E142" s="80"/>
      <c r="F142" s="789"/>
      <c r="G142" s="789"/>
      <c r="H142" s="789"/>
      <c r="I142" s="789"/>
      <c r="J142" s="789"/>
      <c r="K142" s="789"/>
      <c r="L142" s="789"/>
      <c r="R142" s="343" t="s">
        <v>1620</v>
      </c>
    </row>
    <row r="143" spans="1:18" ht="14.4" thickBot="1">
      <c r="A143" s="346">
        <f>ROW()</f>
        <v>143</v>
      </c>
      <c r="B143" s="966" t="s">
        <v>894</v>
      </c>
      <c r="C143" s="967"/>
      <c r="D143" s="966"/>
      <c r="E143" s="966"/>
      <c r="F143" s="968">
        <f t="shared" ref="F143:L143" si="26">SUM(F109:F141)</f>
        <v>0</v>
      </c>
      <c r="G143" s="968">
        <f>SUM(G109:G140)</f>
        <v>5837862.2784449998</v>
      </c>
      <c r="H143" s="968">
        <f t="shared" si="26"/>
        <v>6001603.4558983492</v>
      </c>
      <c r="I143" s="968">
        <f t="shared" si="26"/>
        <v>6170195.0892753014</v>
      </c>
      <c r="J143" s="968">
        <f t="shared" si="26"/>
        <v>6343875.3510535602</v>
      </c>
      <c r="K143" s="968">
        <f t="shared" si="26"/>
        <v>6522766.206085166</v>
      </c>
      <c r="L143" s="968">
        <f t="shared" si="26"/>
        <v>6707023.920667721</v>
      </c>
      <c r="R143" s="343"/>
    </row>
    <row r="144" spans="1:18" ht="14.4" thickTop="1">
      <c r="A144" s="346">
        <f>ROW()</f>
        <v>144</v>
      </c>
      <c r="B144" s="31"/>
      <c r="C144" s="133"/>
      <c r="D144" s="31"/>
      <c r="E144" s="80"/>
      <c r="F144" s="130"/>
      <c r="G144" s="130"/>
      <c r="H144" s="130"/>
      <c r="I144" s="575"/>
      <c r="J144" s="575"/>
      <c r="K144" s="575"/>
      <c r="L144" s="575"/>
      <c r="N144" s="59"/>
      <c r="O144" s="59"/>
      <c r="P144" s="59"/>
      <c r="Q144" s="59"/>
      <c r="R144" s="343"/>
    </row>
    <row r="145" spans="1:18">
      <c r="A145" s="346">
        <f>ROW()</f>
        <v>145</v>
      </c>
      <c r="B145" s="31" t="s">
        <v>895</v>
      </c>
      <c r="C145" s="133" t="s">
        <v>896</v>
      </c>
      <c r="D145" s="31"/>
      <c r="E145" s="31"/>
      <c r="F145" s="130"/>
      <c r="G145" s="130"/>
      <c r="H145" s="130"/>
      <c r="I145" s="575"/>
      <c r="J145" s="575"/>
      <c r="K145" s="575"/>
      <c r="L145" s="575"/>
      <c r="N145" s="59"/>
      <c r="O145" s="59"/>
      <c r="P145" s="59"/>
      <c r="Q145" s="59"/>
      <c r="R145" s="343" t="s">
        <v>1631</v>
      </c>
    </row>
    <row r="146" spans="1:18">
      <c r="A146" s="346">
        <f>ROW()</f>
        <v>146</v>
      </c>
      <c r="B146" s="33" t="s">
        <v>897</v>
      </c>
      <c r="C146" s="323" t="s">
        <v>878</v>
      </c>
      <c r="D146" s="348"/>
      <c r="E146" s="596"/>
      <c r="F146" s="575"/>
      <c r="G146" s="575">
        <f>IF($C$146="yes",' Enrol &amp; Rev'!G36*Staff!$C$70*$D$146,(' Enrol &amp; Rev'!G36*' Enrol &amp; Rev'!G92)*Staff!$C$70*$D$146)</f>
        <v>0</v>
      </c>
      <c r="H146" s="575">
        <f>IF($C$146="yes",' Enrol &amp; Rev'!H36*Staff!$C$70*$D$146,(' Enrol &amp; Rev'!H36*' Enrol &amp; Rev'!H92)*Staff!$C$70*$D$146)</f>
        <v>0</v>
      </c>
      <c r="I146" s="575">
        <f>IF($C$146="yes",' Enrol &amp; Rev'!I36*Staff!$C$70*$D$146,(' Enrol &amp; Rev'!I36*' Enrol &amp; Rev'!I92)*Staff!$C$70*$D$146)</f>
        <v>0</v>
      </c>
      <c r="J146" s="575">
        <f>IF($C$146="yes",' Enrol &amp; Rev'!J36*Staff!$C$70*$D$146,(' Enrol &amp; Rev'!J36*' Enrol &amp; Rev'!J92)*Staff!$C$70*$D$146)</f>
        <v>0</v>
      </c>
      <c r="K146" s="575">
        <f>IF($C$146="yes",' Enrol &amp; Rev'!K36*Staff!$C$70*$D$146,(' Enrol &amp; Rev'!K36*' Enrol &amp; Rev'!K92)*Staff!$C$70*$D$146)</f>
        <v>0</v>
      </c>
      <c r="L146" s="575">
        <f>IF($C$146="yes",' Enrol &amp; Rev'!L36*Staff!$C$70*$D$146,(' Enrol &amp; Rev'!L36*' Enrol &amp; Rev'!L92)*Staff!$C$70*$D$146)</f>
        <v>0</v>
      </c>
      <c r="R146" s="343" t="s">
        <v>1632</v>
      </c>
    </row>
    <row r="147" spans="1:18">
      <c r="A147" s="346">
        <f>ROW()</f>
        <v>147</v>
      </c>
      <c r="B147" s="43" t="s">
        <v>898</v>
      </c>
      <c r="C147" s="323" t="s">
        <v>878</v>
      </c>
      <c r="D147" s="598">
        <v>0</v>
      </c>
      <c r="E147" s="597"/>
      <c r="F147" s="790"/>
      <c r="G147" s="575">
        <f>IF($C$147="yes",' Enrol &amp; Rev'!G36*Staff!$C$70*$D$147,(' Enrol &amp; Rev'!G36*' Enrol &amp; Rev'!G92)*Staff!$C$70*$D$147)</f>
        <v>0</v>
      </c>
      <c r="H147" s="575">
        <f>IF($C$147="yes",' Enrol &amp; Rev'!H36*Staff!$C$70*$D$147,(' Enrol &amp; Rev'!H36*' Enrol &amp; Rev'!H92)*Staff!$C$70*$D$147)</f>
        <v>0</v>
      </c>
      <c r="I147" s="575">
        <f>IF($C$147="yes",' Enrol &amp; Rev'!I36*Staff!$C$70*$D$147,(' Enrol &amp; Rev'!I36*' Enrol &amp; Rev'!I92)*Staff!$C$70*$D$147)</f>
        <v>0</v>
      </c>
      <c r="J147" s="575">
        <f>IF($C$147="yes",' Enrol &amp; Rev'!J36*Staff!$C$70*$D$147,(' Enrol &amp; Rev'!J36*' Enrol &amp; Rev'!J92)*Staff!$C$70*$D$147)</f>
        <v>0</v>
      </c>
      <c r="K147" s="575">
        <f>IF($C$147="yes",' Enrol &amp; Rev'!K36*Staff!$C$70*$D$147,(' Enrol &amp; Rev'!K36*' Enrol &amp; Rev'!K92)*Staff!$C$70*$D$147)</f>
        <v>0</v>
      </c>
      <c r="L147" s="575">
        <f>IF($C$147="yes",' Enrol &amp; Rev'!L36*Staff!$C$70*$D$147,(' Enrol &amp; Rev'!L36*' Enrol &amp; Rev'!L92)*Staff!$C$70*$D$147)</f>
        <v>0</v>
      </c>
      <c r="M147" s="43"/>
      <c r="N147" s="43"/>
      <c r="O147" s="43"/>
      <c r="P147" s="43"/>
      <c r="Q147" s="43"/>
      <c r="R147" s="343" t="s">
        <v>1633</v>
      </c>
    </row>
    <row r="148" spans="1:18">
      <c r="A148" s="346">
        <f>ROW()</f>
        <v>148</v>
      </c>
      <c r="B148" s="33" t="s">
        <v>899</v>
      </c>
      <c r="C148" s="323" t="s">
        <v>878</v>
      </c>
      <c r="D148" s="348">
        <v>0</v>
      </c>
      <c r="E148" s="596"/>
      <c r="F148" s="575"/>
      <c r="G148" s="575">
        <f>IF($C$148="yes",$D$148*' Enrol &amp; Rev'!G36*Staff!$C$70,0)</f>
        <v>0</v>
      </c>
      <c r="H148" s="575">
        <f>IF($C$148="yes",$D$148*' Enrol &amp; Rev'!H36*Staff!$C$70,0)</f>
        <v>0</v>
      </c>
      <c r="I148" s="575">
        <f>IF($C$148="yes",$D$148*' Enrol &amp; Rev'!I36*Staff!$C$70,0)</f>
        <v>0</v>
      </c>
      <c r="J148" s="575">
        <f>IF($C$148="yes",$D$148*' Enrol &amp; Rev'!J36*Staff!$C$70,0)</f>
        <v>0</v>
      </c>
      <c r="K148" s="575">
        <f>IF($C$148="yes",$D$148*' Enrol &amp; Rev'!K36*Staff!$C$70,0)</f>
        <v>0</v>
      </c>
      <c r="L148" s="575">
        <f>IF($C$148="yes",$D$148*' Enrol &amp; Rev'!L36*Staff!$C$70,0)</f>
        <v>0</v>
      </c>
      <c r="R148" s="343"/>
    </row>
    <row r="149" spans="1:18">
      <c r="A149" s="346">
        <f>ROW()</f>
        <v>149</v>
      </c>
      <c r="B149" s="33" t="s">
        <v>900</v>
      </c>
      <c r="C149" s="323" t="s">
        <v>878</v>
      </c>
      <c r="D149" s="348">
        <v>0</v>
      </c>
      <c r="E149" s="596"/>
      <c r="F149" s="575"/>
      <c r="G149" s="575">
        <f>IF($C$149="yes",$D$149*Staff!$C$71*' Enrol &amp; Rev'!G36,0)</f>
        <v>0</v>
      </c>
      <c r="H149" s="575">
        <f>IF($C$149="yes",$D$149*Staff!$C$71*' Enrol &amp; Rev'!H36,0)</f>
        <v>0</v>
      </c>
      <c r="I149" s="575">
        <f>IF($C$149="yes",$D$149*Staff!$C$71*' Enrol &amp; Rev'!I36,0)</f>
        <v>0</v>
      </c>
      <c r="J149" s="575">
        <f>IF($C$149="yes",$D$149*Staff!$C$71*' Enrol &amp; Rev'!J36,0)</f>
        <v>0</v>
      </c>
      <c r="K149" s="575">
        <f>IF($C$149="yes",$D$149*Staff!$C$71*' Enrol &amp; Rev'!K36,0)</f>
        <v>0</v>
      </c>
      <c r="L149" s="575">
        <f>IF($C$149="yes",$D$149*Staff!$C$71*' Enrol &amp; Rev'!L36,0)</f>
        <v>0</v>
      </c>
      <c r="R149" s="343"/>
    </row>
    <row r="150" spans="1:18">
      <c r="A150" s="346">
        <f>ROW()</f>
        <v>150</v>
      </c>
      <c r="C150" s="130"/>
      <c r="F150" s="789"/>
      <c r="G150" s="789"/>
      <c r="H150" s="789"/>
      <c r="I150" s="789"/>
      <c r="J150" s="789"/>
      <c r="K150" s="789"/>
      <c r="L150" s="789"/>
      <c r="R150" s="343"/>
    </row>
    <row r="151" spans="1:18" ht="14.4" thickBot="1">
      <c r="A151" s="346">
        <f>ROW()</f>
        <v>151</v>
      </c>
      <c r="B151" s="966" t="s">
        <v>901</v>
      </c>
      <c r="C151" s="967"/>
      <c r="D151" s="966"/>
      <c r="E151" s="966"/>
      <c r="F151" s="968">
        <f t="shared" ref="F151:L151" si="27">SUM(F146:F149)</f>
        <v>0</v>
      </c>
      <c r="G151" s="968">
        <f t="shared" si="27"/>
        <v>0</v>
      </c>
      <c r="H151" s="968">
        <f t="shared" si="27"/>
        <v>0</v>
      </c>
      <c r="I151" s="968">
        <f t="shared" si="27"/>
        <v>0</v>
      </c>
      <c r="J151" s="968">
        <f t="shared" si="27"/>
        <v>0</v>
      </c>
      <c r="K151" s="968">
        <f t="shared" si="27"/>
        <v>0</v>
      </c>
      <c r="L151" s="968">
        <f t="shared" si="27"/>
        <v>0</v>
      </c>
      <c r="R151" s="343"/>
    </row>
    <row r="152" spans="1:18" ht="14.4" thickTop="1">
      <c r="A152" s="346">
        <f>ROW()</f>
        <v>152</v>
      </c>
      <c r="C152" s="130"/>
      <c r="F152" s="575"/>
      <c r="G152" s="575"/>
      <c r="H152" s="575"/>
      <c r="I152" s="575"/>
      <c r="J152" s="575"/>
      <c r="K152" s="575"/>
      <c r="L152" s="575"/>
      <c r="R152" s="343"/>
    </row>
    <row r="153" spans="1:18">
      <c r="A153" s="346">
        <f>ROW()</f>
        <v>153</v>
      </c>
      <c r="B153" s="31" t="s">
        <v>902</v>
      </c>
      <c r="C153" s="133"/>
      <c r="D153" s="31"/>
      <c r="E153" s="31"/>
      <c r="G153" s="103"/>
      <c r="H153" s="103"/>
      <c r="I153" s="103"/>
      <c r="J153" s="103"/>
      <c r="K153" s="103"/>
      <c r="L153" s="103"/>
      <c r="R153" s="343"/>
    </row>
    <row r="154" spans="1:18">
      <c r="A154" s="346">
        <f>ROW()</f>
        <v>154</v>
      </c>
      <c r="B154" s="41" t="s">
        <v>903</v>
      </c>
      <c r="C154" s="136"/>
      <c r="D154" s="41"/>
      <c r="E154" s="41"/>
      <c r="F154" s="693">
        <v>0</v>
      </c>
      <c r="G154" s="693"/>
      <c r="H154" s="693">
        <v>0</v>
      </c>
      <c r="I154" s="693">
        <v>0</v>
      </c>
      <c r="J154" s="693">
        <v>0</v>
      </c>
      <c r="K154" s="693">
        <v>0</v>
      </c>
      <c r="L154" s="693">
        <v>0</v>
      </c>
      <c r="R154" s="343"/>
    </row>
    <row r="155" spans="1:18">
      <c r="A155" s="346">
        <f>ROW()</f>
        <v>155</v>
      </c>
      <c r="B155" s="41"/>
      <c r="C155" s="136"/>
      <c r="D155" s="41"/>
      <c r="E155" s="41"/>
      <c r="F155" s="41"/>
      <c r="G155" s="103"/>
      <c r="H155" s="103"/>
      <c r="I155" s="103"/>
      <c r="J155" s="103"/>
      <c r="K155" s="103"/>
      <c r="L155" s="103"/>
      <c r="R155" s="343"/>
    </row>
    <row r="156" spans="1:18">
      <c r="A156" s="346">
        <f>ROW()</f>
        <v>156</v>
      </c>
      <c r="B156" s="31" t="s">
        <v>904</v>
      </c>
      <c r="C156" s="133"/>
      <c r="D156" s="31"/>
      <c r="E156" s="31"/>
      <c r="M156" s="32"/>
      <c r="N156" s="32"/>
      <c r="O156" s="32"/>
      <c r="P156" s="32"/>
      <c r="Q156" s="32"/>
      <c r="R156" s="343"/>
    </row>
    <row r="157" spans="1:18">
      <c r="A157" s="346">
        <f>ROW()</f>
        <v>157</v>
      </c>
      <c r="B157" s="41" t="s">
        <v>905</v>
      </c>
      <c r="C157" s="133"/>
      <c r="D157" s="41"/>
      <c r="E157" s="41"/>
      <c r="G157" s="1583"/>
      <c r="H157" s="1583"/>
      <c r="I157" s="1583"/>
      <c r="J157" s="1583"/>
      <c r="K157" s="1583"/>
      <c r="L157" s="1583"/>
      <c r="M157" s="41"/>
      <c r="N157" s="41"/>
      <c r="O157" s="41"/>
      <c r="P157" s="41"/>
      <c r="Q157" s="101"/>
      <c r="R157" s="343"/>
    </row>
    <row r="158" spans="1:18">
      <c r="A158" s="346">
        <f>ROW()</f>
        <v>158</v>
      </c>
      <c r="B158" s="41" t="s">
        <v>906</v>
      </c>
      <c r="C158" s="133"/>
      <c r="D158" s="41"/>
      <c r="E158" s="41"/>
      <c r="G158" s="148"/>
      <c r="H158" s="148"/>
      <c r="I158" s="148"/>
      <c r="J158" s="148"/>
      <c r="K158" s="148"/>
      <c r="L158" s="148"/>
      <c r="M158" s="41"/>
      <c r="N158" s="41"/>
      <c r="O158" s="41"/>
      <c r="P158" s="41"/>
      <c r="Q158" s="41"/>
      <c r="R158" s="343"/>
    </row>
    <row r="159" spans="1:18">
      <c r="A159" s="346">
        <f>ROW()</f>
        <v>159</v>
      </c>
      <c r="B159" s="41" t="s">
        <v>907</v>
      </c>
      <c r="C159" s="311"/>
      <c r="D159" s="311"/>
      <c r="E159" s="41"/>
      <c r="G159" s="798"/>
      <c r="H159" s="798"/>
      <c r="I159" s="798"/>
      <c r="J159" s="798"/>
      <c r="K159" s="798"/>
      <c r="L159" s="798"/>
      <c r="M159" s="41"/>
      <c r="N159" s="41"/>
      <c r="O159" s="41"/>
      <c r="P159" s="41"/>
      <c r="Q159" s="41"/>
      <c r="R159" s="343"/>
    </row>
    <row r="160" spans="1:18">
      <c r="A160" s="346">
        <f>ROW()</f>
        <v>160</v>
      </c>
      <c r="B160" s="41" t="s">
        <v>908</v>
      </c>
      <c r="C160" s="873"/>
      <c r="D160" s="312"/>
      <c r="E160" s="41"/>
      <c r="H160" s="312"/>
      <c r="I160" s="312"/>
      <c r="J160" s="41"/>
      <c r="K160" s="41"/>
      <c r="L160" s="41"/>
      <c r="M160" s="41"/>
      <c r="N160" s="41"/>
      <c r="O160" s="41"/>
      <c r="P160" s="41"/>
      <c r="Q160" s="41"/>
      <c r="R160" s="343"/>
    </row>
    <row r="161" spans="1:18">
      <c r="A161" s="346">
        <f>ROW()</f>
        <v>161</v>
      </c>
      <c r="B161" s="41" t="s">
        <v>909</v>
      </c>
      <c r="C161" s="1444">
        <f>C160*Staff!C70</f>
        <v>0</v>
      </c>
      <c r="D161" s="312"/>
      <c r="E161" s="41"/>
      <c r="H161" s="312"/>
      <c r="I161" s="312"/>
      <c r="J161" s="41"/>
      <c r="K161" s="41"/>
      <c r="L161" s="41"/>
      <c r="M161" s="41"/>
      <c r="N161" s="41"/>
      <c r="O161" s="41"/>
      <c r="P161" s="41"/>
      <c r="Q161" s="41"/>
      <c r="R161" s="343"/>
    </row>
    <row r="162" spans="1:18">
      <c r="A162" s="346">
        <f>ROW()</f>
        <v>162</v>
      </c>
      <c r="B162" s="41" t="s">
        <v>910</v>
      </c>
      <c r="C162" s="875"/>
      <c r="D162" s="41"/>
      <c r="E162" s="41"/>
      <c r="H162" s="41"/>
      <c r="I162" s="41"/>
      <c r="J162" s="41"/>
      <c r="K162" s="41"/>
      <c r="L162" s="41"/>
      <c r="M162" s="41"/>
      <c r="N162" s="41"/>
      <c r="O162" s="41"/>
      <c r="P162" s="41"/>
      <c r="Q162" s="41"/>
      <c r="R162" s="343"/>
    </row>
    <row r="163" spans="1:18">
      <c r="A163" s="346">
        <f>ROW()</f>
        <v>163</v>
      </c>
      <c r="B163" s="41" t="s">
        <v>911</v>
      </c>
      <c r="C163" s="1444">
        <f>IF(C161&lt;&gt;0,C161/C162,0)</f>
        <v>0</v>
      </c>
      <c r="D163" s="41"/>
      <c r="E163" s="41"/>
      <c r="H163" s="41"/>
      <c r="I163" s="41"/>
      <c r="J163" s="41"/>
      <c r="K163" s="41"/>
      <c r="L163" s="41"/>
      <c r="M163" s="41"/>
      <c r="N163" s="41"/>
      <c r="O163" s="41"/>
      <c r="P163" s="41"/>
      <c r="Q163" s="41"/>
      <c r="R163" s="343"/>
    </row>
    <row r="164" spans="1:18">
      <c r="A164" s="346">
        <f>ROW()</f>
        <v>164</v>
      </c>
      <c r="B164" s="41" t="s">
        <v>912</v>
      </c>
      <c r="C164" s="876"/>
      <c r="D164" s="41"/>
      <c r="E164" s="41"/>
      <c r="H164" s="41"/>
      <c r="I164" s="41"/>
      <c r="J164" s="41"/>
      <c r="K164" s="41"/>
      <c r="L164" s="41"/>
      <c r="M164" s="41"/>
      <c r="N164" s="41"/>
      <c r="O164" s="41"/>
      <c r="P164" s="41"/>
      <c r="Q164" s="41"/>
      <c r="R164" s="343"/>
    </row>
    <row r="165" spans="1:18">
      <c r="A165" s="346">
        <f>ROW()</f>
        <v>165</v>
      </c>
      <c r="B165" s="41" t="s">
        <v>913</v>
      </c>
      <c r="C165" s="1445">
        <f>C163*C164</f>
        <v>0</v>
      </c>
      <c r="D165" s="41"/>
      <c r="E165" s="41"/>
      <c r="H165" s="41"/>
      <c r="I165" s="41"/>
      <c r="J165" s="41"/>
      <c r="K165" s="41"/>
      <c r="L165" s="41"/>
      <c r="M165" s="41"/>
      <c r="N165" s="41"/>
      <c r="O165" s="41"/>
      <c r="P165" s="41"/>
      <c r="Q165" s="41"/>
      <c r="R165" s="343"/>
    </row>
    <row r="166" spans="1:18">
      <c r="A166" s="346">
        <f>ROW()</f>
        <v>166</v>
      </c>
      <c r="B166" s="41" t="s">
        <v>914</v>
      </c>
      <c r="C166" s="877"/>
      <c r="D166" s="41" t="s">
        <v>915</v>
      </c>
      <c r="E166" s="41"/>
      <c r="H166" s="41"/>
      <c r="I166" s="41"/>
      <c r="J166" s="41"/>
      <c r="K166" s="41"/>
      <c r="L166" s="41"/>
      <c r="M166" s="41"/>
      <c r="N166" s="41"/>
      <c r="O166" s="41"/>
      <c r="P166" s="41"/>
      <c r="Q166" s="41"/>
      <c r="R166" s="343"/>
    </row>
    <row r="167" spans="1:18">
      <c r="A167" s="346">
        <f>ROW()</f>
        <v>167</v>
      </c>
      <c r="B167" s="41" t="s">
        <v>916</v>
      </c>
      <c r="C167" s="1446">
        <f>C166*C161</f>
        <v>0</v>
      </c>
      <c r="D167" s="41"/>
      <c r="E167" s="41"/>
      <c r="H167" s="41"/>
      <c r="I167" s="41"/>
      <c r="J167" s="41"/>
      <c r="K167" s="41"/>
      <c r="L167" s="41"/>
      <c r="M167" s="41"/>
      <c r="N167" s="41"/>
      <c r="O167" s="41"/>
      <c r="P167" s="41"/>
      <c r="Q167" s="41"/>
      <c r="R167" s="343"/>
    </row>
    <row r="168" spans="1:18">
      <c r="A168" s="346">
        <f>ROW()</f>
        <v>168</v>
      </c>
      <c r="B168" s="41" t="s">
        <v>917</v>
      </c>
      <c r="C168" s="874"/>
      <c r="D168" s="41" t="s">
        <v>918</v>
      </c>
      <c r="E168" s="41"/>
      <c r="H168" s="41"/>
      <c r="I168" s="41"/>
      <c r="J168" s="41"/>
      <c r="K168" s="41"/>
      <c r="L168" s="41"/>
      <c r="M168" s="41"/>
      <c r="N168" s="41"/>
      <c r="O168" s="41"/>
      <c r="P168" s="41"/>
      <c r="Q168" s="41"/>
      <c r="R168" s="343"/>
    </row>
    <row r="169" spans="1:18">
      <c r="A169" s="346">
        <f>ROW()</f>
        <v>169</v>
      </c>
      <c r="B169" s="33" t="s">
        <v>919</v>
      </c>
      <c r="C169" s="1387"/>
      <c r="G169" s="503">
        <f>' Enrol &amp; Rev'!G36</f>
        <v>1595</v>
      </c>
      <c r="H169" s="503">
        <f>' Enrol &amp; Rev'!H36</f>
        <v>1688</v>
      </c>
      <c r="I169" s="503">
        <f>' Enrol &amp; Rev'!I36</f>
        <v>1788.6201881600005</v>
      </c>
      <c r="J169" s="503">
        <f>' Enrol &amp; Rev'!J36</f>
        <v>1895.9373994496007</v>
      </c>
      <c r="K169" s="503">
        <f>' Enrol &amp; Rev'!K36</f>
        <v>2009.6936434165768</v>
      </c>
      <c r="L169" s="503">
        <f>' Enrol &amp; Rev'!L36</f>
        <v>2130.2752620215715</v>
      </c>
      <c r="R169" s="343"/>
    </row>
    <row r="170" spans="1:18">
      <c r="A170" s="346">
        <f>ROW()</f>
        <v>170</v>
      </c>
      <c r="B170" s="33" t="s">
        <v>920</v>
      </c>
      <c r="C170" s="130"/>
      <c r="F170" s="42"/>
      <c r="G170" s="138">
        <f t="shared" ref="G170:L170" si="28">G$157*G169</f>
        <v>0</v>
      </c>
      <c r="H170" s="138">
        <f t="shared" si="28"/>
        <v>0</v>
      </c>
      <c r="I170" s="138">
        <f t="shared" si="28"/>
        <v>0</v>
      </c>
      <c r="J170" s="138">
        <f t="shared" si="28"/>
        <v>0</v>
      </c>
      <c r="K170" s="138">
        <f t="shared" si="28"/>
        <v>0</v>
      </c>
      <c r="L170" s="138">
        <f t="shared" si="28"/>
        <v>0</v>
      </c>
      <c r="R170" s="343"/>
    </row>
    <row r="171" spans="1:18">
      <c r="A171" s="346">
        <f>ROW()</f>
        <v>171</v>
      </c>
      <c r="B171" s="63" t="s">
        <v>921</v>
      </c>
      <c r="C171" s="137"/>
      <c r="D171" s="63"/>
      <c r="E171" s="63"/>
      <c r="F171" s="313"/>
      <c r="G171" s="139">
        <f t="shared" ref="G171:L171" si="29">IF(G170=0,0,IF(G170&gt;(G$158*5),6,IF(G170&gt;(G$158*4),5,IF(G170&gt;(G$158*3),4,IF(G170&gt;(G$158*2),3,IF(G170&gt;G$158,2,IF(G170&gt;0,1)))))))</f>
        <v>0</v>
      </c>
      <c r="H171" s="139">
        <f t="shared" si="29"/>
        <v>0</v>
      </c>
      <c r="I171" s="139">
        <f t="shared" si="29"/>
        <v>0</v>
      </c>
      <c r="J171" s="139">
        <f t="shared" si="29"/>
        <v>0</v>
      </c>
      <c r="K171" s="139">
        <f t="shared" si="29"/>
        <v>0</v>
      </c>
      <c r="L171" s="139">
        <f t="shared" si="29"/>
        <v>0</v>
      </c>
      <c r="R171" s="343"/>
    </row>
    <row r="172" spans="1:18">
      <c r="A172" s="346">
        <f>ROW()</f>
        <v>172</v>
      </c>
      <c r="B172" s="33" t="s">
        <v>922</v>
      </c>
      <c r="C172" s="130"/>
      <c r="F172" s="59"/>
      <c r="G172" s="575">
        <f>G171*G$159</f>
        <v>0</v>
      </c>
      <c r="H172" s="575">
        <f>(H171-G171)*H$159</f>
        <v>0</v>
      </c>
      <c r="I172" s="575">
        <f>(I171-H171)*I$159</f>
        <v>0</v>
      </c>
      <c r="J172" s="575">
        <f>(J171-I171)*J$159</f>
        <v>0</v>
      </c>
      <c r="K172" s="575">
        <f t="shared" ref="K172:L172" si="30">(K171-J171)*K$159</f>
        <v>0</v>
      </c>
      <c r="L172" s="575">
        <f t="shared" si="30"/>
        <v>0</v>
      </c>
      <c r="R172" s="343"/>
    </row>
    <row r="173" spans="1:18">
      <c r="A173" s="346">
        <f>ROW()</f>
        <v>173</v>
      </c>
      <c r="B173" s="33" t="s">
        <v>923</v>
      </c>
      <c r="C173" s="130"/>
      <c r="F173" s="52"/>
      <c r="G173" s="130">
        <f t="shared" ref="G173:L173" si="31">G171*$C$165</f>
        <v>0</v>
      </c>
      <c r="H173" s="130">
        <f t="shared" si="31"/>
        <v>0</v>
      </c>
      <c r="I173" s="130">
        <f t="shared" si="31"/>
        <v>0</v>
      </c>
      <c r="J173" s="130">
        <f t="shared" si="31"/>
        <v>0</v>
      </c>
      <c r="K173" s="130">
        <f t="shared" si="31"/>
        <v>0</v>
      </c>
      <c r="L173" s="130">
        <f t="shared" si="31"/>
        <v>0</v>
      </c>
      <c r="R173" s="343"/>
    </row>
    <row r="174" spans="1:18">
      <c r="A174" s="346">
        <f>ROW()</f>
        <v>174</v>
      </c>
      <c r="B174" s="33" t="s">
        <v>924</v>
      </c>
      <c r="C174" s="130"/>
      <c r="F174" s="52"/>
      <c r="G174" s="130">
        <f t="shared" ref="G174:L174" si="32">G171*$C$167</f>
        <v>0</v>
      </c>
      <c r="H174" s="130">
        <f t="shared" si="32"/>
        <v>0</v>
      </c>
      <c r="I174" s="130">
        <f t="shared" si="32"/>
        <v>0</v>
      </c>
      <c r="J174" s="130">
        <f t="shared" si="32"/>
        <v>0</v>
      </c>
      <c r="K174" s="130">
        <f t="shared" si="32"/>
        <v>0</v>
      </c>
      <c r="L174" s="130">
        <f t="shared" si="32"/>
        <v>0</v>
      </c>
      <c r="R174" s="343"/>
    </row>
    <row r="175" spans="1:18">
      <c r="A175" s="346">
        <f>ROW()</f>
        <v>175</v>
      </c>
      <c r="B175" s="33" t="s">
        <v>917</v>
      </c>
      <c r="C175" s="130"/>
      <c r="F175" s="52"/>
      <c r="G175" s="130">
        <f t="shared" ref="G175:L175" si="33">G171*$C$168</f>
        <v>0</v>
      </c>
      <c r="H175" s="130">
        <f t="shared" si="33"/>
        <v>0</v>
      </c>
      <c r="I175" s="130">
        <f t="shared" si="33"/>
        <v>0</v>
      </c>
      <c r="J175" s="130">
        <f t="shared" si="33"/>
        <v>0</v>
      </c>
      <c r="K175" s="130">
        <f t="shared" si="33"/>
        <v>0</v>
      </c>
      <c r="L175" s="130">
        <f t="shared" si="33"/>
        <v>0</v>
      </c>
      <c r="R175" s="343"/>
    </row>
    <row r="176" spans="1:18" ht="14.4" thickBot="1">
      <c r="A176" s="346">
        <f>ROW()</f>
        <v>176</v>
      </c>
      <c r="C176" s="130"/>
      <c r="F176" s="314"/>
      <c r="G176" s="314"/>
      <c r="H176" s="314"/>
      <c r="I176" s="314"/>
      <c r="J176" s="314"/>
      <c r="K176" s="314"/>
      <c r="L176" s="314"/>
      <c r="R176" s="343"/>
    </row>
    <row r="177" spans="1:18" ht="14.4" thickBot="1">
      <c r="A177" s="346">
        <f>ROW()</f>
        <v>177</v>
      </c>
      <c r="B177" s="903" t="s">
        <v>925</v>
      </c>
      <c r="C177" s="904">
        <f>SUM(F177:L177)</f>
        <v>0</v>
      </c>
      <c r="D177" s="752"/>
      <c r="E177" s="752"/>
      <c r="F177" s="904">
        <f t="shared" ref="F177" si="34">SUM(F172:F175)</f>
        <v>0</v>
      </c>
      <c r="G177" s="904">
        <f t="shared" ref="G177:L177" si="35">SUM(G172:G175)</f>
        <v>0</v>
      </c>
      <c r="H177" s="904">
        <f>SUM(H172:H175)</f>
        <v>0</v>
      </c>
      <c r="I177" s="904">
        <f t="shared" si="35"/>
        <v>0</v>
      </c>
      <c r="J177" s="904">
        <f t="shared" si="35"/>
        <v>0</v>
      </c>
      <c r="K177" s="904">
        <f t="shared" si="35"/>
        <v>0</v>
      </c>
      <c r="L177" s="904">
        <f t="shared" si="35"/>
        <v>0</v>
      </c>
      <c r="R177" s="343"/>
    </row>
    <row r="178" spans="1:18">
      <c r="A178" s="346">
        <f>ROW()</f>
        <v>178</v>
      </c>
      <c r="B178" s="33" t="s">
        <v>926</v>
      </c>
      <c r="G178" s="606" t="e">
        <f>+G177/G158</f>
        <v>#DIV/0!</v>
      </c>
      <c r="H178" s="606" t="e">
        <f t="shared" ref="H178:L178" si="36">+H177/H158</f>
        <v>#DIV/0!</v>
      </c>
      <c r="I178" s="606" t="e">
        <f t="shared" si="36"/>
        <v>#DIV/0!</v>
      </c>
      <c r="J178" s="606" t="e">
        <f t="shared" si="36"/>
        <v>#DIV/0!</v>
      </c>
      <c r="K178" s="606" t="e">
        <f t="shared" si="36"/>
        <v>#DIV/0!</v>
      </c>
      <c r="L178" s="606" t="e">
        <f t="shared" si="36"/>
        <v>#DIV/0!</v>
      </c>
      <c r="R178" s="343"/>
    </row>
    <row r="179" spans="1:18">
      <c r="A179" s="346">
        <f>ROW()</f>
        <v>179</v>
      </c>
      <c r="R179" s="343"/>
    </row>
    <row r="180" spans="1:18" ht="14.4" thickBot="1">
      <c r="A180" s="346">
        <f>ROW()</f>
        <v>180</v>
      </c>
      <c r="B180" s="966" t="s">
        <v>927</v>
      </c>
      <c r="C180" s="967">
        <f>SUM(F180:L180)</f>
        <v>0</v>
      </c>
      <c r="D180" s="966"/>
      <c r="E180" s="966"/>
      <c r="F180" s="968">
        <f t="shared" ref="F180" si="37">F177-F154</f>
        <v>0</v>
      </c>
      <c r="G180" s="968">
        <f>G177-G154</f>
        <v>0</v>
      </c>
      <c r="H180" s="968">
        <f t="shared" ref="H180:L180" si="38">H177-H154</f>
        <v>0</v>
      </c>
      <c r="I180" s="968">
        <f t="shared" si="38"/>
        <v>0</v>
      </c>
      <c r="J180" s="968">
        <f t="shared" si="38"/>
        <v>0</v>
      </c>
      <c r="K180" s="968">
        <f t="shared" si="38"/>
        <v>0</v>
      </c>
      <c r="L180" s="968">
        <f t="shared" si="38"/>
        <v>0</v>
      </c>
      <c r="R180" s="969" t="s">
        <v>928</v>
      </c>
    </row>
    <row r="181" spans="1:18" ht="14.4" thickTop="1">
      <c r="A181" s="346">
        <f>ROW()</f>
        <v>181</v>
      </c>
      <c r="C181" s="130"/>
    </row>
    <row r="182" spans="1:18">
      <c r="A182" s="346">
        <f>ROW()</f>
        <v>182</v>
      </c>
      <c r="B182" s="1650" t="s">
        <v>929</v>
      </c>
      <c r="C182" s="137"/>
      <c r="D182" s="65"/>
      <c r="E182" s="65"/>
      <c r="F182" s="75"/>
      <c r="G182" s="63"/>
      <c r="H182" s="1650"/>
      <c r="I182" s="63"/>
      <c r="J182" s="63"/>
      <c r="K182" s="63"/>
      <c r="L182" s="63"/>
    </row>
    <row r="183" spans="1:18">
      <c r="A183" s="346">
        <f>ROW()</f>
        <v>183</v>
      </c>
      <c r="B183" s="252" t="s">
        <v>930</v>
      </c>
      <c r="C183" s="1387"/>
      <c r="D183" s="1447"/>
      <c r="E183" s="971"/>
      <c r="F183" s="691">
        <v>0</v>
      </c>
      <c r="G183" s="691">
        <v>0</v>
      </c>
      <c r="H183" s="691">
        <v>0</v>
      </c>
      <c r="I183" s="691">
        <v>0</v>
      </c>
      <c r="J183" s="691">
        <v>0</v>
      </c>
      <c r="K183" s="691">
        <v>0</v>
      </c>
      <c r="L183" s="691">
        <v>0</v>
      </c>
    </row>
    <row r="184" spans="1:18">
      <c r="A184" s="346">
        <f>ROW()</f>
        <v>184</v>
      </c>
      <c r="B184" s="1652" t="s">
        <v>931</v>
      </c>
      <c r="C184" s="1387"/>
      <c r="D184" s="1448"/>
      <c r="E184" s="970"/>
      <c r="F184" s="692">
        <v>0</v>
      </c>
      <c r="G184" s="692">
        <v>0</v>
      </c>
      <c r="H184" s="692">
        <v>0</v>
      </c>
      <c r="I184" s="692">
        <v>0</v>
      </c>
      <c r="J184" s="692">
        <v>0</v>
      </c>
      <c r="K184" s="692">
        <v>0</v>
      </c>
      <c r="L184" s="692">
        <v>0</v>
      </c>
    </row>
    <row r="185" spans="1:18">
      <c r="A185" s="346">
        <f>ROW()</f>
        <v>185</v>
      </c>
      <c r="B185" s="1652" t="s">
        <v>932</v>
      </c>
      <c r="C185" s="1387"/>
      <c r="D185" s="1448"/>
      <c r="E185" s="970"/>
      <c r="F185" s="692">
        <v>0</v>
      </c>
      <c r="G185" s="692">
        <v>0</v>
      </c>
      <c r="H185" s="692">
        <v>0</v>
      </c>
      <c r="I185" s="692">
        <v>0</v>
      </c>
      <c r="J185" s="692">
        <v>0</v>
      </c>
      <c r="K185" s="692">
        <v>0</v>
      </c>
      <c r="L185" s="692">
        <v>0</v>
      </c>
    </row>
    <row r="186" spans="1:18">
      <c r="A186" s="346">
        <f>ROW()</f>
        <v>186</v>
      </c>
      <c r="B186" s="1652" t="s">
        <v>933</v>
      </c>
      <c r="C186" s="1387"/>
      <c r="D186" s="1448"/>
      <c r="E186" s="970"/>
      <c r="F186" s="692">
        <v>0</v>
      </c>
      <c r="G186" s="692">
        <v>0</v>
      </c>
      <c r="H186" s="692">
        <v>0</v>
      </c>
      <c r="I186" s="692">
        <v>0</v>
      </c>
      <c r="J186" s="692">
        <v>0</v>
      </c>
      <c r="K186" s="692">
        <v>0</v>
      </c>
      <c r="L186" s="692">
        <v>0</v>
      </c>
    </row>
    <row r="187" spans="1:18">
      <c r="A187" s="346">
        <f>ROW()</f>
        <v>187</v>
      </c>
      <c r="B187" s="1652" t="s">
        <v>934</v>
      </c>
      <c r="C187" s="1387"/>
      <c r="D187" s="1448"/>
      <c r="E187" s="970"/>
      <c r="F187" s="692">
        <v>0</v>
      </c>
      <c r="G187" s="692">
        <v>0</v>
      </c>
      <c r="H187" s="692">
        <v>0</v>
      </c>
      <c r="I187" s="692">
        <v>0</v>
      </c>
      <c r="J187" s="692">
        <v>0</v>
      </c>
      <c r="K187" s="692">
        <v>0</v>
      </c>
      <c r="L187" s="692">
        <v>0</v>
      </c>
    </row>
    <row r="188" spans="1:18">
      <c r="A188" s="346">
        <f>ROW()</f>
        <v>188</v>
      </c>
      <c r="B188" s="1652" t="s">
        <v>935</v>
      </c>
      <c r="C188" s="1387"/>
      <c r="D188" s="1448"/>
      <c r="E188" s="970"/>
      <c r="F188" s="692">
        <v>0</v>
      </c>
      <c r="G188" s="692">
        <v>0</v>
      </c>
      <c r="H188" s="692">
        <v>0</v>
      </c>
      <c r="I188" s="692">
        <v>0</v>
      </c>
      <c r="J188" s="692">
        <v>0</v>
      </c>
      <c r="K188" s="692">
        <v>0</v>
      </c>
      <c r="L188" s="692">
        <v>0</v>
      </c>
    </row>
    <row r="189" spans="1:18">
      <c r="A189" s="346">
        <f>ROW()</f>
        <v>189</v>
      </c>
      <c r="B189" s="1652" t="s">
        <v>936</v>
      </c>
      <c r="C189" s="1387"/>
      <c r="D189" s="1448"/>
      <c r="E189" s="970"/>
      <c r="F189" s="692">
        <v>0</v>
      </c>
      <c r="G189" s="692">
        <v>0</v>
      </c>
      <c r="H189" s="692">
        <v>0</v>
      </c>
      <c r="I189" s="692">
        <v>0</v>
      </c>
      <c r="J189" s="692">
        <v>0</v>
      </c>
      <c r="K189" s="692">
        <v>0</v>
      </c>
      <c r="L189" s="692">
        <v>0</v>
      </c>
    </row>
    <row r="190" spans="1:18">
      <c r="A190" s="346">
        <f>ROW()</f>
        <v>190</v>
      </c>
      <c r="B190" s="1652" t="s">
        <v>937</v>
      </c>
      <c r="C190" s="1387"/>
      <c r="D190" s="1448"/>
      <c r="E190" s="970"/>
      <c r="F190" s="692">
        <v>0</v>
      </c>
      <c r="G190" s="692">
        <v>0</v>
      </c>
      <c r="H190" s="692">
        <v>0</v>
      </c>
      <c r="I190" s="692">
        <v>0</v>
      </c>
      <c r="J190" s="692">
        <v>0</v>
      </c>
      <c r="K190" s="692">
        <v>0</v>
      </c>
      <c r="L190" s="692">
        <v>0</v>
      </c>
    </row>
    <row r="191" spans="1:18">
      <c r="A191" s="346">
        <f>ROW()</f>
        <v>191</v>
      </c>
      <c r="B191" s="1652" t="s">
        <v>938</v>
      </c>
      <c r="C191" s="1387"/>
      <c r="D191" s="1448"/>
      <c r="E191" s="970"/>
      <c r="F191" s="692">
        <v>0</v>
      </c>
      <c r="G191" s="692">
        <v>0</v>
      </c>
      <c r="H191" s="692">
        <v>0</v>
      </c>
      <c r="I191" s="692">
        <v>0</v>
      </c>
      <c r="J191" s="692">
        <v>0</v>
      </c>
      <c r="K191" s="692">
        <v>0</v>
      </c>
      <c r="L191" s="692">
        <v>0</v>
      </c>
    </row>
    <row r="192" spans="1:18" ht="14.4" thickBot="1">
      <c r="A192" s="346">
        <f>ROW()</f>
        <v>192</v>
      </c>
      <c r="C192" s="130"/>
      <c r="D192" s="55"/>
    </row>
    <row r="193" spans="1:12" ht="14.4" thickBot="1">
      <c r="A193" s="346">
        <f>ROW()</f>
        <v>193</v>
      </c>
      <c r="B193" s="963" t="s">
        <v>939</v>
      </c>
      <c r="C193" s="964">
        <f>SUM(F193:L193)</f>
        <v>0</v>
      </c>
      <c r="D193" s="965"/>
      <c r="E193" s="965"/>
      <c r="F193" s="964">
        <f t="shared" ref="F193:L193" si="39">SUM(F183:F191)</f>
        <v>0</v>
      </c>
      <c r="G193" s="964">
        <f t="shared" si="39"/>
        <v>0</v>
      </c>
      <c r="H193" s="964">
        <f t="shared" si="39"/>
        <v>0</v>
      </c>
      <c r="I193" s="964">
        <f t="shared" si="39"/>
        <v>0</v>
      </c>
      <c r="J193" s="964">
        <f t="shared" si="39"/>
        <v>0</v>
      </c>
      <c r="K193" s="964">
        <f t="shared" si="39"/>
        <v>0</v>
      </c>
      <c r="L193" s="964">
        <f t="shared" si="39"/>
        <v>0</v>
      </c>
    </row>
    <row r="194" spans="1:12">
      <c r="A194" s="346">
        <f>ROW()</f>
        <v>194</v>
      </c>
    </row>
    <row r="195" spans="1:12">
      <c r="A195" s="346">
        <f>ROW()</f>
        <v>195</v>
      </c>
      <c r="B195" s="33" t="s">
        <v>940</v>
      </c>
      <c r="C195" s="459">
        <v>0.03</v>
      </c>
      <c r="F195" s="791">
        <f t="shared" ref="F195:L195" si="40">SUM(F151,F143,F105,F180,F193)*((1+$C$195)^(F11-$F11)-1)</f>
        <v>0</v>
      </c>
      <c r="G195" s="575">
        <f>SUM(G151,G143,G105,G180,G193)*((1+$C$195)^(G11-$F11)-1)</f>
        <v>204447.76134237018</v>
      </c>
      <c r="H195" s="575">
        <f>SUM(H151,H143,H105,H180,H193)*((1+$C$195)^(H11-$F11)-1)</f>
        <v>429592.11545366573</v>
      </c>
      <c r="I195" s="791">
        <f t="shared" si="40"/>
        <v>670803.04572380346</v>
      </c>
      <c r="J195" s="791">
        <f t="shared" si="40"/>
        <v>935948.89068742492</v>
      </c>
      <c r="K195" s="791">
        <f>SUM(K151,K143,K105,K180,K193)*((1+$C$195)^(K11-$F11)-1)</f>
        <v>1218220.3887417002</v>
      </c>
      <c r="L195" s="791">
        <f t="shared" si="40"/>
        <v>1526128.056381294</v>
      </c>
    </row>
    <row r="196" spans="1:12" ht="14.4" thickBot="1">
      <c r="A196" s="346">
        <f>ROW()</f>
        <v>196</v>
      </c>
      <c r="C196" s="130"/>
      <c r="F196" s="592"/>
      <c r="G196" s="688"/>
      <c r="H196" s="688"/>
      <c r="I196" s="688"/>
      <c r="J196" s="688"/>
      <c r="K196" s="688"/>
      <c r="L196" s="688"/>
    </row>
    <row r="197" spans="1:12" ht="14.4" thickBot="1">
      <c r="A197" s="346">
        <f>ROW()</f>
        <v>197</v>
      </c>
      <c r="B197" s="903" t="s">
        <v>941</v>
      </c>
      <c r="C197" s="632">
        <f>SUM(F197:L197)</f>
        <v>49058630.460473381</v>
      </c>
      <c r="D197" s="1292"/>
      <c r="E197" s="1292"/>
      <c r="F197" s="632">
        <f>SUM(F151,F143,F105,F195,F180,F193)</f>
        <v>0</v>
      </c>
      <c r="G197" s="632">
        <f>SUM(G151,G143,G105,G195,G180,G193)</f>
        <v>7019373.1394213699</v>
      </c>
      <c r="H197" s="632">
        <f t="shared" ref="H197:L197" si="41">SUM(H151,H143,H105,H195,H180,H193)</f>
        <v>7483649.8404728128</v>
      </c>
      <c r="I197" s="632">
        <f>SUM(I151,I143,I105,I195,I180,I193)</f>
        <v>7904974.8157994384</v>
      </c>
      <c r="J197" s="632">
        <f t="shared" si="41"/>
        <v>8393185.4837793801</v>
      </c>
      <c r="K197" s="632">
        <f t="shared" si="41"/>
        <v>8866799.6951712426</v>
      </c>
      <c r="L197" s="632">
        <f t="shared" si="41"/>
        <v>9390647.4858291373</v>
      </c>
    </row>
    <row r="198" spans="1:12" ht="14.4" thickBot="1">
      <c r="A198" s="346">
        <f>ROW()</f>
        <v>198</v>
      </c>
    </row>
    <row r="199" spans="1:12" ht="14.4" thickBot="1">
      <c r="A199" s="346">
        <f>ROW()</f>
        <v>199</v>
      </c>
      <c r="B199" s="1632" t="s">
        <v>942</v>
      </c>
      <c r="C199" s="1633">
        <f>SUM(F199:L199)</f>
        <v>49058630.460473381</v>
      </c>
      <c r="D199" s="1634"/>
      <c r="E199" s="1634"/>
      <c r="F199" s="1633">
        <f>+F197-F180</f>
        <v>0</v>
      </c>
      <c r="G199" s="1633">
        <f>+G197-G180</f>
        <v>7019373.1394213699</v>
      </c>
      <c r="H199" s="1633">
        <f t="shared" ref="H199:L199" si="42">+H197-H180</f>
        <v>7483649.8404728128</v>
      </c>
      <c r="I199" s="1633">
        <f t="shared" si="42"/>
        <v>7904974.8157994384</v>
      </c>
      <c r="J199" s="1633">
        <f t="shared" si="42"/>
        <v>8393185.4837793801</v>
      </c>
      <c r="K199" s="1633">
        <f t="shared" si="42"/>
        <v>8866799.6951712426</v>
      </c>
      <c r="L199" s="1633">
        <f t="shared" si="42"/>
        <v>9390647.4858291373</v>
      </c>
    </row>
    <row r="200" spans="1:12">
      <c r="B200" s="243" t="s">
        <v>943</v>
      </c>
    </row>
  </sheetData>
  <sheetProtection algorithmName="SHA-512" hashValue="oGnboLFeYUBy7XfL/H44esenORP7kjJ+5OVVgxubY4FXoMpHlp8CS/XC2Q+fZUikzcce+5UespnH8hQDj9R2Iw==" saltValue="RuePCF8QOkXKZGGsgfqOAw==" spinCount="100000" sheet="1" objects="1" scenarios="1"/>
  <sortState ref="B110:B127">
    <sortCondition ref="B110:B127"/>
  </sortState>
  <mergeCells count="1">
    <mergeCell ref="D10:E10"/>
  </mergeCells>
  <conditionalFormatting sqref="B43:E43">
    <cfRule type="expression" dxfId="25" priority="19" stopIfTrue="1">
      <formula>MOD(ROW(),2)=0</formula>
    </cfRule>
  </conditionalFormatting>
  <conditionalFormatting sqref="B15:L34">
    <cfRule type="expression" dxfId="24" priority="26" stopIfTrue="1">
      <formula>MOD(ROW(),2)=0</formula>
    </cfRule>
  </conditionalFormatting>
  <conditionalFormatting sqref="B36:L42">
    <cfRule type="expression" dxfId="23" priority="25" stopIfTrue="1">
      <formula>MOD(ROW(),2)=0</formula>
    </cfRule>
  </conditionalFormatting>
  <conditionalFormatting sqref="B46:L52">
    <cfRule type="expression" dxfId="22" priority="27" stopIfTrue="1">
      <formula>MOD(ROW(),2)=0</formula>
    </cfRule>
  </conditionalFormatting>
  <conditionalFormatting sqref="B55:L60">
    <cfRule type="expression" dxfId="21" priority="28" stopIfTrue="1">
      <formula>MOD(ROW(),2)=0</formula>
    </cfRule>
  </conditionalFormatting>
  <conditionalFormatting sqref="C13:E13">
    <cfRule type="expression" dxfId="20" priority="20" stopIfTrue="1">
      <formula>MOD(ROW(),2)=0</formula>
    </cfRule>
  </conditionalFormatting>
  <conditionalFormatting sqref="D1">
    <cfRule type="expression" dxfId="19" priority="10" stopIfTrue="1">
      <formula>MOD(ROW(),2)=0</formula>
    </cfRule>
  </conditionalFormatting>
  <hyperlinks>
    <hyperlink ref="D1" location="HypLink1" display="HypLink1"/>
  </hyperlinks>
  <pageMargins left="0.25" right="0.25" top="0.5" bottom="0.45" header="0.25" footer="0.25"/>
  <pageSetup scale="62" fitToHeight="3" orientation="landscape" r:id="rId1"/>
  <headerFooter>
    <oddHeader xml:space="preserve">&amp;L &amp;C &amp;R </oddHeader>
    <oddFooter>&amp;L&amp;7&amp;D  at &amp;T Mike 702.854.0691&amp;C&amp;7&amp;F  &amp;A&amp;R&amp;7Page &amp;P of &amp;N</oddFooter>
  </headerFooter>
  <rowBreaks count="1" manualBreakCount="1">
    <brk id="62" max="11"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Z69"/>
  <sheetViews>
    <sheetView topLeftCell="A46" zoomScale="105" workbookViewId="0">
      <selection activeCell="F68" sqref="F68"/>
    </sheetView>
  </sheetViews>
  <sheetFormatPr defaultColWidth="8.77734375" defaultRowHeight="13.8"/>
  <cols>
    <col min="1" max="1" width="7" style="33" customWidth="1"/>
    <col min="2" max="2" width="32.77734375" style="33" customWidth="1"/>
    <col min="3" max="3" width="15.5546875" style="33" customWidth="1"/>
    <col min="4" max="4" width="17.21875" style="33" customWidth="1"/>
    <col min="5" max="5" width="2.21875" style="33" customWidth="1"/>
    <col min="6" max="6" width="12.21875" style="33" customWidth="1"/>
    <col min="7" max="12" width="13.77734375" style="33" customWidth="1"/>
    <col min="13" max="13" width="4.77734375" style="33" customWidth="1"/>
    <col min="14" max="14" width="76.5546875" style="307" customWidth="1"/>
    <col min="15" max="15" width="11.5546875" style="33" bestFit="1" customWidth="1"/>
    <col min="16" max="16" width="8.77734375" style="33"/>
    <col min="17" max="17" width="17.21875" style="33" customWidth="1"/>
    <col min="18" max="16384" width="8.77734375" style="33"/>
  </cols>
  <sheetData>
    <row r="1" spans="1:26" ht="33.6" customHeight="1">
      <c r="A1" s="1793" t="s">
        <v>944</v>
      </c>
      <c r="B1" s="1793"/>
      <c r="D1" s="408" t="s">
        <v>3</v>
      </c>
      <c r="F1" s="90"/>
      <c r="K1" s="669"/>
      <c r="O1" s="7" cm="1">
        <f t="array" aca="1" ref="O1" ca="1">CELL("protect",A1)</f>
        <v>1</v>
      </c>
      <c r="P1" s="7" cm="1">
        <f t="array" aca="1" ref="P1" ca="1">CELL("protect",B1)</f>
        <v>1</v>
      </c>
      <c r="Q1" s="7" cm="1">
        <f t="array" aca="1" ref="Q1" ca="1">CELL("protect",C1)</f>
        <v>1</v>
      </c>
      <c r="R1" s="7" cm="1">
        <f t="array" aca="1" ref="R1" ca="1">CELL("protect",D1)</f>
        <v>1</v>
      </c>
      <c r="S1" s="7" cm="1">
        <f t="array" aca="1" ref="S1" ca="1">CELL("protect",E1)</f>
        <v>1</v>
      </c>
      <c r="T1" s="7" cm="1">
        <f t="array" aca="1" ref="T1" ca="1">CELL("protect",F1)</f>
        <v>1</v>
      </c>
      <c r="U1" s="7" cm="1">
        <f t="array" aca="1" ref="U1" ca="1">CELL("protect",G1)</f>
        <v>1</v>
      </c>
      <c r="V1" s="7" cm="1">
        <f t="array" aca="1" ref="V1" ca="1">CELL("protect",H1)</f>
        <v>1</v>
      </c>
      <c r="W1" s="7" cm="1">
        <f t="array" aca="1" ref="W1" ca="1">CELL("protect",I1)</f>
        <v>1</v>
      </c>
      <c r="X1" s="7" cm="1">
        <f t="array" aca="1" ref="X1" ca="1">CELL("protect",J1)</f>
        <v>1</v>
      </c>
      <c r="Y1" s="7" cm="1">
        <f t="array" aca="1" ref="Y1" ca="1">CELL("protect",K1)</f>
        <v>1</v>
      </c>
      <c r="Z1" s="7" cm="1">
        <f t="array" aca="1" ref="Z1" ca="1">CELL("protect",L1)</f>
        <v>1</v>
      </c>
    </row>
    <row r="2" spans="1:26" ht="15.6">
      <c r="A2" s="114" t="str">
        <f>SchoolName</f>
        <v>The Delta Academy</v>
      </c>
      <c r="B2" s="115"/>
      <c r="C2" s="31"/>
      <c r="F2" s="1792"/>
      <c r="G2" s="1792"/>
      <c r="H2" s="1792"/>
      <c r="I2" s="1792"/>
      <c r="J2" s="1792"/>
      <c r="K2" s="1792"/>
      <c r="L2" s="1792"/>
    </row>
    <row r="3" spans="1:26">
      <c r="A3" s="39" t="s">
        <v>80</v>
      </c>
      <c r="F3" s="1792"/>
      <c r="G3" s="1792"/>
      <c r="H3" s="1792"/>
      <c r="I3" s="1792"/>
      <c r="J3" s="1792"/>
      <c r="K3" s="1792"/>
      <c r="L3" s="1792"/>
    </row>
    <row r="4" spans="1:26">
      <c r="A4" s="40" t="s">
        <v>81</v>
      </c>
      <c r="F4" s="1792"/>
      <c r="G4" s="1792"/>
      <c r="H4" s="1792"/>
      <c r="I4" s="1792"/>
      <c r="J4" s="1792"/>
      <c r="K4" s="1792"/>
      <c r="L4" s="1792"/>
    </row>
    <row r="5" spans="1:26">
      <c r="A5" s="30" t="str">
        <f ca="1">CELL("filename")</f>
        <v>C:\Users\kyle.konold\Downloads\[FY25 Budget - Delta Academy_Final.xlsx]Form 1 Cover</v>
      </c>
    </row>
    <row r="6" spans="1:26">
      <c r="F6" s="1638">
        <f>' Enrol &amp; Rev'!F9</f>
        <v>0</v>
      </c>
      <c r="G6" s="745">
        <f>' Enrol &amp; Rev'!G9</f>
        <v>1</v>
      </c>
      <c r="H6" s="745">
        <f>' Enrol &amp; Rev'!H9</f>
        <v>2</v>
      </c>
      <c r="I6" s="745">
        <f>' Enrol &amp; Rev'!I9</f>
        <v>3</v>
      </c>
      <c r="J6" s="745">
        <f>' Enrol &amp; Rev'!J9</f>
        <v>4</v>
      </c>
      <c r="K6" s="745">
        <f>' Enrol &amp; Rev'!K9</f>
        <v>5</v>
      </c>
      <c r="L6" s="746">
        <f>' Enrol &amp; Rev'!L9</f>
        <v>6</v>
      </c>
      <c r="M6" s="41"/>
      <c r="N6" s="1377"/>
    </row>
    <row r="7" spans="1:26">
      <c r="F7" s="747">
        <f>' Enrol &amp; Rev'!F10</f>
        <v>2024</v>
      </c>
      <c r="G7" s="747">
        <f>' Enrol &amp; Rev'!G10</f>
        <v>2025</v>
      </c>
      <c r="H7" s="748">
        <f>' Enrol &amp; Rev'!H10</f>
        <v>2026</v>
      </c>
      <c r="I7" s="748">
        <f>' Enrol &amp; Rev'!I10</f>
        <v>2027</v>
      </c>
      <c r="J7" s="748">
        <f>' Enrol &amp; Rev'!J10</f>
        <v>2028</v>
      </c>
      <c r="K7" s="748">
        <f>' Enrol &amp; Rev'!K10</f>
        <v>2029</v>
      </c>
      <c r="L7" s="749">
        <f>' Enrol &amp; Rev'!L10</f>
        <v>2030</v>
      </c>
      <c r="M7" s="41"/>
      <c r="N7" s="1377"/>
    </row>
    <row r="8" spans="1:26">
      <c r="F8" s="741">
        <f>' Enrol &amp; Rev'!F11</f>
        <v>2025</v>
      </c>
      <c r="G8" s="741">
        <f>' Enrol &amp; Rev'!G11</f>
        <v>2026</v>
      </c>
      <c r="H8" s="742">
        <f>' Enrol &amp; Rev'!H11</f>
        <v>2027</v>
      </c>
      <c r="I8" s="742">
        <f>' Enrol &amp; Rev'!I11</f>
        <v>2028</v>
      </c>
      <c r="J8" s="742">
        <f>' Enrol &amp; Rev'!J11</f>
        <v>2029</v>
      </c>
      <c r="K8" s="742">
        <f>' Enrol &amp; Rev'!K11</f>
        <v>2030</v>
      </c>
      <c r="L8" s="743">
        <f>' Enrol &amp; Rev'!L11</f>
        <v>2031</v>
      </c>
      <c r="M8" s="41"/>
      <c r="N8" s="1377"/>
    </row>
    <row r="9" spans="1:26">
      <c r="M9" s="41"/>
      <c r="N9" s="1377"/>
    </row>
    <row r="10" spans="1:26">
      <c r="A10" s="346">
        <f>ROW()</f>
        <v>10</v>
      </c>
      <c r="B10" s="1459" t="s">
        <v>603</v>
      </c>
      <c r="G10" s="32"/>
      <c r="H10" s="32"/>
      <c r="I10" s="32"/>
      <c r="J10" s="32"/>
      <c r="K10" s="32"/>
      <c r="L10" s="32"/>
      <c r="M10" s="41"/>
      <c r="N10" s="1365" t="s">
        <v>945</v>
      </c>
    </row>
    <row r="11" spans="1:26">
      <c r="A11" s="346">
        <f>ROW()</f>
        <v>11</v>
      </c>
      <c r="B11" s="33" t="s">
        <v>946</v>
      </c>
      <c r="G11" s="422">
        <f>' Enrol &amp; Rev'!G36</f>
        <v>1595</v>
      </c>
      <c r="H11" s="422">
        <f>' Enrol &amp; Rev'!H36</f>
        <v>1688</v>
      </c>
      <c r="I11" s="422">
        <f>' Enrol &amp; Rev'!I36</f>
        <v>1788.6201881600005</v>
      </c>
      <c r="J11" s="422">
        <f>' Enrol &amp; Rev'!J36</f>
        <v>1895.9373994496007</v>
      </c>
      <c r="K11" s="422">
        <f>' Enrol &amp; Rev'!K36</f>
        <v>2009.6936434165768</v>
      </c>
      <c r="L11" s="422">
        <f>' Enrol &amp; Rev'!L36</f>
        <v>2130.2752620215715</v>
      </c>
      <c r="M11" s="53"/>
      <c r="N11" s="462" t="s">
        <v>1588</v>
      </c>
    </row>
    <row r="12" spans="1:26">
      <c r="A12" s="346">
        <f>ROW()</f>
        <v>12</v>
      </c>
      <c r="B12" s="33" t="s">
        <v>947</v>
      </c>
      <c r="G12" s="1202">
        <f>+Staff!H23</f>
        <v>46</v>
      </c>
      <c r="H12" s="1202">
        <f>+Staff!I23</f>
        <v>47</v>
      </c>
      <c r="I12" s="1202">
        <f>+Staff!J23</f>
        <v>47</v>
      </c>
      <c r="J12" s="1202">
        <f>+Staff!K23</f>
        <v>51</v>
      </c>
      <c r="K12" s="1202">
        <f>+Staff!L23</f>
        <v>51</v>
      </c>
      <c r="L12" s="1202">
        <f>+Staff!M23</f>
        <v>53</v>
      </c>
      <c r="M12" s="53"/>
      <c r="N12" s="462"/>
    </row>
    <row r="13" spans="1:26">
      <c r="A13" s="346">
        <f>ROW()</f>
        <v>13</v>
      </c>
      <c r="F13" s="1449" t="s">
        <v>948</v>
      </c>
      <c r="M13" s="41"/>
      <c r="N13" s="343"/>
    </row>
    <row r="14" spans="1:26">
      <c r="A14" s="346">
        <f>ROW()</f>
        <v>14</v>
      </c>
      <c r="B14" s="33" t="s">
        <v>949</v>
      </c>
      <c r="C14" s="1452"/>
      <c r="D14" s="307">
        <v>4</v>
      </c>
      <c r="E14" s="307"/>
      <c r="F14" s="1450">
        <v>0</v>
      </c>
      <c r="G14" s="1450"/>
      <c r="H14" s="1450">
        <v>0</v>
      </c>
      <c r="I14" s="1450">
        <v>0</v>
      </c>
      <c r="J14" s="1450">
        <v>0</v>
      </c>
      <c r="K14" s="1450">
        <v>0</v>
      </c>
      <c r="L14" s="1450">
        <v>0</v>
      </c>
      <c r="M14" s="41"/>
      <c r="N14" s="343"/>
    </row>
    <row r="15" spans="1:26">
      <c r="A15" s="346">
        <f>ROW()</f>
        <v>15</v>
      </c>
      <c r="B15" s="33" t="s">
        <v>950</v>
      </c>
      <c r="C15" s="1452"/>
      <c r="D15" s="307"/>
      <c r="E15" s="307"/>
      <c r="F15" s="1450"/>
      <c r="G15" s="1450">
        <v>29215.919999999998</v>
      </c>
      <c r="H15" s="1450">
        <f>G15*1.03</f>
        <v>30092.3976</v>
      </c>
      <c r="I15" s="1450">
        <f t="shared" ref="I15:L15" si="0">H15*1.03</f>
        <v>30995.169528000002</v>
      </c>
      <c r="J15" s="1450">
        <f t="shared" si="0"/>
        <v>31925.024613840003</v>
      </c>
      <c r="K15" s="1450">
        <f t="shared" si="0"/>
        <v>32882.775352255201</v>
      </c>
      <c r="L15" s="1450">
        <f t="shared" si="0"/>
        <v>33869.258612822858</v>
      </c>
      <c r="M15" s="41"/>
      <c r="N15" s="343" t="s">
        <v>1569</v>
      </c>
    </row>
    <row r="16" spans="1:26">
      <c r="A16" s="346">
        <f>ROW()</f>
        <v>16</v>
      </c>
      <c r="B16" s="33" t="s">
        <v>951</v>
      </c>
      <c r="C16" s="802"/>
      <c r="D16" s="307" t="s">
        <v>416</v>
      </c>
      <c r="E16" s="307"/>
      <c r="F16" s="1451">
        <v>0</v>
      </c>
      <c r="G16" s="1451"/>
      <c r="H16" s="1451"/>
      <c r="I16" s="1451"/>
      <c r="J16" s="1451"/>
      <c r="K16" s="1451"/>
      <c r="L16" s="1451"/>
      <c r="M16" s="41"/>
      <c r="N16" s="343"/>
    </row>
    <row r="17" spans="1:14">
      <c r="A17" s="346">
        <f>ROW()</f>
        <v>17</v>
      </c>
      <c r="B17" s="33" t="s">
        <v>952</v>
      </c>
      <c r="C17" s="802">
        <v>1200</v>
      </c>
      <c r="D17" s="307" t="s">
        <v>953</v>
      </c>
      <c r="E17" s="307"/>
      <c r="F17" s="1451"/>
      <c r="G17" s="1451">
        <f>40000*1.03</f>
        <v>41200</v>
      </c>
      <c r="H17" s="1451">
        <f>G17*1.03</f>
        <v>42436</v>
      </c>
      <c r="I17" s="1451">
        <f t="shared" ref="I17:L17" si="1">H17*1.03</f>
        <v>43709.08</v>
      </c>
      <c r="J17" s="1451">
        <f t="shared" si="1"/>
        <v>45020.352400000003</v>
      </c>
      <c r="K17" s="1451">
        <f t="shared" si="1"/>
        <v>46370.962972000001</v>
      </c>
      <c r="L17" s="1451">
        <f t="shared" si="1"/>
        <v>47762.091861159999</v>
      </c>
      <c r="M17" s="41"/>
      <c r="N17" s="343" t="s">
        <v>1575</v>
      </c>
    </row>
    <row r="18" spans="1:14">
      <c r="A18" s="346">
        <f>ROW()</f>
        <v>18</v>
      </c>
      <c r="B18" s="33" t="s">
        <v>954</v>
      </c>
      <c r="C18" s="802">
        <v>1200</v>
      </c>
      <c r="D18" s="307"/>
      <c r="E18" s="307"/>
      <c r="F18" s="1451">
        <v>0</v>
      </c>
      <c r="G18" s="1451"/>
      <c r="H18" s="1451"/>
      <c r="I18" s="1451"/>
      <c r="J18" s="1451"/>
      <c r="K18" s="1451"/>
      <c r="L18" s="1451"/>
      <c r="M18" s="41"/>
      <c r="N18" s="343"/>
    </row>
    <row r="19" spans="1:14">
      <c r="A19" s="346">
        <f>ROW()</f>
        <v>19</v>
      </c>
      <c r="B19" s="33" t="s">
        <v>955</v>
      </c>
      <c r="C19" s="802">
        <v>239.22</v>
      </c>
      <c r="D19" s="307"/>
      <c r="E19" s="307"/>
      <c r="F19" s="1451"/>
      <c r="G19" s="1451">
        <f>106100*1.03</f>
        <v>109283</v>
      </c>
      <c r="H19" s="1451">
        <f>G19*1.03</f>
        <v>112561.49</v>
      </c>
      <c r="I19" s="1451">
        <f t="shared" ref="I19:L19" si="2">H19*1.03</f>
        <v>115938.33470000001</v>
      </c>
      <c r="J19" s="1451">
        <f t="shared" si="2"/>
        <v>119416.48474100001</v>
      </c>
      <c r="K19" s="1451">
        <f t="shared" si="2"/>
        <v>122998.97928323002</v>
      </c>
      <c r="L19" s="1451">
        <f t="shared" si="2"/>
        <v>126688.94866172691</v>
      </c>
      <c r="M19" s="41"/>
      <c r="N19" s="343" t="s">
        <v>1568</v>
      </c>
    </row>
    <row r="20" spans="1:14">
      <c r="A20" s="346">
        <f>ROW()</f>
        <v>20</v>
      </c>
      <c r="B20" s="33" t="s">
        <v>956</v>
      </c>
      <c r="C20" s="802">
        <v>239.22</v>
      </c>
      <c r="D20" s="307"/>
      <c r="E20" s="307"/>
      <c r="F20" s="1451">
        <v>0</v>
      </c>
      <c r="G20" s="1451"/>
      <c r="H20" s="1451"/>
      <c r="I20" s="1451"/>
      <c r="J20" s="1451"/>
      <c r="K20" s="1451"/>
      <c r="L20" s="1451"/>
      <c r="M20" s="41"/>
      <c r="N20" s="343"/>
    </row>
    <row r="21" spans="1:14">
      <c r="A21" s="346">
        <f>ROW()</f>
        <v>21</v>
      </c>
      <c r="B21" s="33" t="s">
        <v>957</v>
      </c>
      <c r="C21" s="802">
        <v>30000</v>
      </c>
      <c r="D21" s="307"/>
      <c r="E21" s="307"/>
      <c r="F21" s="1451">
        <v>0</v>
      </c>
      <c r="G21" s="1451"/>
      <c r="H21" s="1451"/>
      <c r="I21" s="1451"/>
      <c r="J21" s="1451"/>
      <c r="K21" s="1451"/>
      <c r="L21" s="1451"/>
      <c r="M21" s="41"/>
      <c r="N21" s="343" t="s">
        <v>1596</v>
      </c>
    </row>
    <row r="22" spans="1:14">
      <c r="A22" s="346">
        <f>ROW()</f>
        <v>22</v>
      </c>
      <c r="B22" s="33" t="s">
        <v>958</v>
      </c>
      <c r="C22" s="802">
        <v>0</v>
      </c>
      <c r="D22" s="307" t="s">
        <v>959</v>
      </c>
      <c r="E22" s="307"/>
      <c r="F22" s="1451">
        <v>0</v>
      </c>
      <c r="G22" s="1451">
        <f>IF($C$22*(Staff!H23-Staff!G23)&gt;0,$C$22*(Staff!H23-Staff!G23),0)</f>
        <v>0</v>
      </c>
      <c r="H22" s="1451">
        <f>IF($C$22*(Staff!I23-Staff!H23)&gt;0,$C$22*(Staff!I23-Staff!H23),0)</f>
        <v>0</v>
      </c>
      <c r="I22" s="1451">
        <f>IF($C$22*(Staff!J23-Staff!I23)&gt;0,$C$22*(Staff!J23-Staff!I23),0)</f>
        <v>0</v>
      </c>
      <c r="J22" s="1451">
        <f>IF($C$22*(Staff!K23-Staff!J23)&gt;0,$C$22*(Staff!K23-Staff!J23),0)</f>
        <v>0</v>
      </c>
      <c r="K22" s="1451">
        <f>IF($C$22*(Staff!L23-Staff!K23)&gt;0,$C$22*(Staff!L23-Staff!K23),0)</f>
        <v>0</v>
      </c>
      <c r="L22" s="1451">
        <f>IF($C$22*(Staff!M23-Staff!L23)&gt;0,$C$22*(Staff!M23-Staff!L23),0)</f>
        <v>0</v>
      </c>
      <c r="M22" s="41"/>
      <c r="N22" s="343"/>
    </row>
    <row r="23" spans="1:14">
      <c r="A23" s="346">
        <f>ROW()</f>
        <v>23</v>
      </c>
      <c r="B23" s="33" t="s">
        <v>960</v>
      </c>
      <c r="C23" s="802"/>
      <c r="D23" s="307" t="s">
        <v>851</v>
      </c>
      <c r="E23" s="307"/>
      <c r="F23" s="1451">
        <v>0</v>
      </c>
      <c r="G23" s="1451"/>
      <c r="H23" s="1451"/>
      <c r="I23" s="1451"/>
      <c r="J23" s="1451"/>
      <c r="K23" s="1451"/>
      <c r="L23" s="1451"/>
      <c r="M23" s="41"/>
      <c r="N23" s="343"/>
    </row>
    <row r="24" spans="1:14">
      <c r="A24" s="346">
        <f>ROW()</f>
        <v>24</v>
      </c>
      <c r="B24" s="33" t="s">
        <v>961</v>
      </c>
      <c r="C24" s="490"/>
      <c r="D24" s="307"/>
      <c r="E24" s="307"/>
      <c r="F24" s="1451">
        <v>0</v>
      </c>
      <c r="G24" s="1451"/>
      <c r="H24" s="1451"/>
      <c r="I24" s="1451"/>
      <c r="J24" s="1451"/>
      <c r="K24" s="1451"/>
      <c r="L24" s="1451"/>
      <c r="M24" s="41"/>
      <c r="N24" s="343"/>
    </row>
    <row r="25" spans="1:14">
      <c r="A25" s="346">
        <f>ROW()</f>
        <v>25</v>
      </c>
      <c r="B25" s="33" t="s">
        <v>962</v>
      </c>
      <c r="C25" s="490"/>
      <c r="D25" s="307"/>
      <c r="E25" s="307"/>
      <c r="F25" s="1451">
        <v>0</v>
      </c>
      <c r="G25" s="1451"/>
      <c r="H25" s="1451"/>
      <c r="I25" s="1451"/>
      <c r="J25" s="1451"/>
      <c r="K25" s="1451"/>
      <c r="L25" s="1451"/>
      <c r="M25" s="41"/>
      <c r="N25" s="343"/>
    </row>
    <row r="26" spans="1:14">
      <c r="A26" s="346">
        <f>ROW()</f>
        <v>26</v>
      </c>
      <c r="B26" s="33" t="s">
        <v>963</v>
      </c>
      <c r="C26" s="802"/>
      <c r="D26" s="307" t="s">
        <v>964</v>
      </c>
      <c r="E26" s="307"/>
      <c r="F26" s="1451">
        <v>0</v>
      </c>
      <c r="G26" s="1451"/>
      <c r="H26" s="1451"/>
      <c r="I26" s="1451"/>
      <c r="J26" s="1451"/>
      <c r="K26" s="1451"/>
      <c r="L26" s="1451"/>
      <c r="M26" s="41"/>
      <c r="N26" s="343"/>
    </row>
    <row r="27" spans="1:14">
      <c r="A27" s="346">
        <f>ROW()</f>
        <v>27</v>
      </c>
      <c r="B27" s="33" t="s">
        <v>965</v>
      </c>
      <c r="C27" s="802">
        <v>69.400000000000006</v>
      </c>
      <c r="D27" s="307" t="s">
        <v>416</v>
      </c>
      <c r="E27" s="307"/>
      <c r="F27" s="1451"/>
      <c r="G27" s="1451">
        <f t="shared" ref="G27:L27" si="3">($C27*G$11)*1.03</f>
        <v>114013.79000000002</v>
      </c>
      <c r="H27" s="1451">
        <f t="shared" si="3"/>
        <v>120661.61600000001</v>
      </c>
      <c r="I27" s="1451">
        <f t="shared" si="3"/>
        <v>127854.14829005317</v>
      </c>
      <c r="J27" s="1451">
        <f t="shared" si="3"/>
        <v>135525.39718745637</v>
      </c>
      <c r="K27" s="1451">
        <f t="shared" si="3"/>
        <v>143656.92101870375</v>
      </c>
      <c r="L27" s="1451">
        <f t="shared" si="3"/>
        <v>152276.33627982598</v>
      </c>
      <c r="M27" s="41"/>
      <c r="N27" s="343" t="s">
        <v>1585</v>
      </c>
    </row>
    <row r="28" spans="1:14">
      <c r="A28" s="346">
        <f>ROW()</f>
        <v>28</v>
      </c>
      <c r="B28" s="33" t="s">
        <v>966</v>
      </c>
      <c r="C28" s="802">
        <v>15.54</v>
      </c>
      <c r="D28" s="307" t="s">
        <v>416</v>
      </c>
      <c r="E28" s="307"/>
      <c r="F28" s="1451"/>
      <c r="G28" s="1451">
        <f t="shared" ref="G28:L28" si="4">$C28*G$11*1.03</f>
        <v>25529.888999999999</v>
      </c>
      <c r="H28" s="1451">
        <f t="shared" si="4"/>
        <v>27018.465599999996</v>
      </c>
      <c r="I28" s="1451">
        <f t="shared" si="4"/>
        <v>28629.012455726599</v>
      </c>
      <c r="J28" s="1451">
        <f t="shared" si="4"/>
        <v>30346.753203070195</v>
      </c>
      <c r="K28" s="1451">
        <f t="shared" si="4"/>
        <v>32167.558395254411</v>
      </c>
      <c r="L28" s="1451">
        <f t="shared" si="4"/>
        <v>34097.61189896967</v>
      </c>
      <c r="M28" s="41"/>
      <c r="N28" s="343" t="s">
        <v>1584</v>
      </c>
    </row>
    <row r="29" spans="1:14">
      <c r="A29" s="346">
        <f>ROW()</f>
        <v>29</v>
      </c>
      <c r="B29" s="33" t="s">
        <v>967</v>
      </c>
      <c r="C29" s="802">
        <v>0</v>
      </c>
      <c r="D29" s="307" t="s">
        <v>416</v>
      </c>
      <c r="E29" s="307"/>
      <c r="F29" s="1451">
        <v>0</v>
      </c>
      <c r="G29" s="1451">
        <f>$C29*G$11*1.03</f>
        <v>0</v>
      </c>
      <c r="H29" s="1451">
        <f t="shared" ref="G29:L31" si="5">$C29*H$11</f>
        <v>0</v>
      </c>
      <c r="I29" s="1451">
        <f t="shared" si="5"/>
        <v>0</v>
      </c>
      <c r="J29" s="1451">
        <f t="shared" si="5"/>
        <v>0</v>
      </c>
      <c r="K29" s="1451">
        <f t="shared" si="5"/>
        <v>0</v>
      </c>
      <c r="L29" s="1451">
        <f t="shared" si="5"/>
        <v>0</v>
      </c>
      <c r="M29" s="41"/>
      <c r="N29" s="343"/>
    </row>
    <row r="30" spans="1:14">
      <c r="A30" s="346">
        <f>ROW()</f>
        <v>30</v>
      </c>
      <c r="B30" s="33" t="s">
        <v>968</v>
      </c>
      <c r="C30" s="802">
        <v>0</v>
      </c>
      <c r="D30" s="307" t="s">
        <v>416</v>
      </c>
      <c r="E30" s="307"/>
      <c r="F30" s="1451">
        <v>0</v>
      </c>
      <c r="G30" s="1451">
        <f t="shared" si="5"/>
        <v>0</v>
      </c>
      <c r="H30" s="1451">
        <f t="shared" si="5"/>
        <v>0</v>
      </c>
      <c r="I30" s="1451">
        <f t="shared" si="5"/>
        <v>0</v>
      </c>
      <c r="J30" s="1451">
        <f t="shared" si="5"/>
        <v>0</v>
      </c>
      <c r="K30" s="1451">
        <f t="shared" si="5"/>
        <v>0</v>
      </c>
      <c r="L30" s="1451">
        <f t="shared" si="5"/>
        <v>0</v>
      </c>
      <c r="M30" s="41"/>
      <c r="N30" s="343"/>
    </row>
    <row r="31" spans="1:14">
      <c r="A31" s="346">
        <f>ROW()</f>
        <v>31</v>
      </c>
      <c r="B31" s="33" t="s">
        <v>969</v>
      </c>
      <c r="C31" s="802">
        <v>0</v>
      </c>
      <c r="D31" s="307" t="s">
        <v>416</v>
      </c>
      <c r="E31" s="307"/>
      <c r="F31" s="1451">
        <v>0</v>
      </c>
      <c r="G31" s="1451">
        <f t="shared" si="5"/>
        <v>0</v>
      </c>
      <c r="H31" s="1451">
        <f t="shared" si="5"/>
        <v>0</v>
      </c>
      <c r="I31" s="1451">
        <f t="shared" si="5"/>
        <v>0</v>
      </c>
      <c r="J31" s="1451">
        <f t="shared" si="5"/>
        <v>0</v>
      </c>
      <c r="K31" s="1451">
        <f t="shared" si="5"/>
        <v>0</v>
      </c>
      <c r="L31" s="1451">
        <f t="shared" si="5"/>
        <v>0</v>
      </c>
      <c r="M31" s="41"/>
      <c r="N31" s="343"/>
    </row>
    <row r="32" spans="1:14">
      <c r="A32" s="346">
        <f>ROW()</f>
        <v>32</v>
      </c>
      <c r="B32" s="33" t="s">
        <v>970</v>
      </c>
      <c r="C32" s="802">
        <v>10000</v>
      </c>
      <c r="D32" s="307" t="s">
        <v>851</v>
      </c>
      <c r="E32" s="307"/>
      <c r="F32" s="1451"/>
      <c r="G32" s="1451">
        <f>$C$32*12*1.03</f>
        <v>123600</v>
      </c>
      <c r="H32" s="1451">
        <f>G32*1.03</f>
        <v>127308</v>
      </c>
      <c r="I32" s="1451">
        <f t="shared" ref="I32:L32" si="6">H32*1.03</f>
        <v>131127.24</v>
      </c>
      <c r="J32" s="1451">
        <f t="shared" si="6"/>
        <v>135061.05719999998</v>
      </c>
      <c r="K32" s="1451">
        <f t="shared" si="6"/>
        <v>139112.888916</v>
      </c>
      <c r="L32" s="1451">
        <f t="shared" si="6"/>
        <v>143286.27558347999</v>
      </c>
      <c r="M32" s="41"/>
      <c r="N32" s="343" t="s">
        <v>1577</v>
      </c>
    </row>
    <row r="33" spans="1:14">
      <c r="A33" s="346">
        <f>ROW()</f>
        <v>33</v>
      </c>
      <c r="B33" s="33" t="s">
        <v>971</v>
      </c>
      <c r="C33" s="802">
        <v>6000</v>
      </c>
      <c r="D33" s="307" t="s">
        <v>851</v>
      </c>
      <c r="E33" s="307"/>
      <c r="F33" s="1451"/>
      <c r="G33" s="1451">
        <f>$C$33*12*1.03</f>
        <v>74160</v>
      </c>
      <c r="H33" s="1451">
        <f>G33*1.03</f>
        <v>76384.800000000003</v>
      </c>
      <c r="I33" s="1451">
        <f t="shared" ref="I33:L33" si="7">H33*1.03</f>
        <v>78676.344000000012</v>
      </c>
      <c r="J33" s="1451">
        <f t="shared" si="7"/>
        <v>81036.634320000012</v>
      </c>
      <c r="K33" s="1451">
        <f t="shared" si="7"/>
        <v>83467.733349600021</v>
      </c>
      <c r="L33" s="1451">
        <f t="shared" si="7"/>
        <v>85971.765350088026</v>
      </c>
      <c r="M33" s="41"/>
      <c r="N33" s="343" t="s">
        <v>1595</v>
      </c>
    </row>
    <row r="34" spans="1:14">
      <c r="A34" s="346">
        <f>ROW()</f>
        <v>34</v>
      </c>
      <c r="B34" s="33" t="s">
        <v>972</v>
      </c>
      <c r="C34" s="802">
        <v>833.33</v>
      </c>
      <c r="D34" s="307" t="s">
        <v>1495</v>
      </c>
      <c r="E34" s="307"/>
      <c r="F34" s="1451"/>
      <c r="G34" s="1451">
        <f>C34*1.03</f>
        <v>858.32990000000007</v>
      </c>
      <c r="H34" s="1451">
        <f>G34*1.03</f>
        <v>884.0797970000001</v>
      </c>
      <c r="I34" s="1451">
        <f t="shared" ref="I34:L34" si="8">H34*1.03</f>
        <v>910.6021909100001</v>
      </c>
      <c r="J34" s="1451">
        <f t="shared" si="8"/>
        <v>937.9202566373001</v>
      </c>
      <c r="K34" s="1451">
        <f t="shared" si="8"/>
        <v>966.05786433641913</v>
      </c>
      <c r="L34" s="1451">
        <f t="shared" si="8"/>
        <v>995.03960026651168</v>
      </c>
      <c r="M34" s="41"/>
      <c r="N34" s="343" t="s">
        <v>1496</v>
      </c>
    </row>
    <row r="35" spans="1:14" ht="27.6">
      <c r="A35" s="346">
        <f>ROW()</f>
        <v>35</v>
      </c>
      <c r="B35" s="43" t="s">
        <v>973</v>
      </c>
      <c r="C35" s="490">
        <v>30000</v>
      </c>
      <c r="D35" s="307" t="s">
        <v>1495</v>
      </c>
      <c r="E35" s="307"/>
      <c r="F35" s="1451"/>
      <c r="G35" s="1451">
        <f>C35*1.03</f>
        <v>30900</v>
      </c>
      <c r="H35" s="1451">
        <f>G35*1.03</f>
        <v>31827</v>
      </c>
      <c r="I35" s="1451">
        <f t="shared" ref="I35:L35" si="9">H35*1.03</f>
        <v>32781.81</v>
      </c>
      <c r="J35" s="1451">
        <f t="shared" si="9"/>
        <v>33765.264299999995</v>
      </c>
      <c r="K35" s="1451">
        <f t="shared" si="9"/>
        <v>34778.222228999999</v>
      </c>
      <c r="L35" s="1451">
        <f t="shared" si="9"/>
        <v>35821.568895869998</v>
      </c>
      <c r="M35" s="41"/>
      <c r="N35" s="343" t="s">
        <v>1598</v>
      </c>
    </row>
    <row r="36" spans="1:14">
      <c r="A36" s="346">
        <f>ROW()</f>
        <v>36</v>
      </c>
      <c r="B36" s="33" t="s">
        <v>974</v>
      </c>
      <c r="C36" s="802">
        <v>0</v>
      </c>
      <c r="D36" s="307" t="s">
        <v>975</v>
      </c>
      <c r="E36" s="307"/>
      <c r="F36" s="1451">
        <v>0</v>
      </c>
      <c r="G36" s="1451">
        <v>0</v>
      </c>
      <c r="H36" s="1451">
        <v>0</v>
      </c>
      <c r="I36" s="1451">
        <v>0</v>
      </c>
      <c r="J36" s="1451">
        <v>0</v>
      </c>
      <c r="K36" s="1451">
        <v>0</v>
      </c>
      <c r="L36" s="1451">
        <v>0</v>
      </c>
      <c r="M36" s="41"/>
      <c r="N36" s="343"/>
    </row>
    <row r="37" spans="1:14">
      <c r="A37" s="346">
        <f>ROW()</f>
        <v>37</v>
      </c>
      <c r="B37" s="33" t="s">
        <v>976</v>
      </c>
      <c r="C37" s="802">
        <v>1200</v>
      </c>
      <c r="D37" s="307" t="s">
        <v>851</v>
      </c>
      <c r="E37" s="307"/>
      <c r="F37" s="1451"/>
      <c r="G37" s="1451">
        <f>$C$37*12*1.03</f>
        <v>14832</v>
      </c>
      <c r="H37" s="1451">
        <f>G37*1.03</f>
        <v>15276.960000000001</v>
      </c>
      <c r="I37" s="1451">
        <f t="shared" ref="I37:L37" si="10">H37*1.03</f>
        <v>15735.268800000002</v>
      </c>
      <c r="J37" s="1451">
        <f t="shared" si="10"/>
        <v>16207.326864000002</v>
      </c>
      <c r="K37" s="1451">
        <f t="shared" si="10"/>
        <v>16693.546669920004</v>
      </c>
      <c r="L37" s="1451">
        <f t="shared" si="10"/>
        <v>17194.353070017605</v>
      </c>
      <c r="M37" s="41"/>
      <c r="N37" s="343" t="s">
        <v>1605</v>
      </c>
    </row>
    <row r="38" spans="1:14">
      <c r="A38" s="346">
        <f>ROW()</f>
        <v>38</v>
      </c>
      <c r="B38" s="33" t="s">
        <v>977</v>
      </c>
      <c r="C38" s="802">
        <v>800</v>
      </c>
      <c r="D38" s="307" t="s">
        <v>868</v>
      </c>
      <c r="E38" s="307"/>
      <c r="F38" s="1451"/>
      <c r="G38" s="1451">
        <f>34000*1.03</f>
        <v>35020</v>
      </c>
      <c r="H38" s="1451">
        <f>G38*1.03</f>
        <v>36070.6</v>
      </c>
      <c r="I38" s="1451">
        <f t="shared" ref="I38:L38" si="11">H38*1.03</f>
        <v>37152.718000000001</v>
      </c>
      <c r="J38" s="1451">
        <f t="shared" si="11"/>
        <v>38267.29954</v>
      </c>
      <c r="K38" s="1451">
        <f t="shared" si="11"/>
        <v>39415.318526200004</v>
      </c>
      <c r="L38" s="1451">
        <f t="shared" si="11"/>
        <v>40597.778081986005</v>
      </c>
      <c r="M38" s="41"/>
      <c r="N38" s="343" t="s">
        <v>1593</v>
      </c>
    </row>
    <row r="39" spans="1:14">
      <c r="A39" s="346">
        <f>ROW()</f>
        <v>39</v>
      </c>
      <c r="B39" s="33" t="s">
        <v>978</v>
      </c>
      <c r="C39" s="802">
        <v>4500</v>
      </c>
      <c r="D39" s="307" t="s">
        <v>825</v>
      </c>
      <c r="E39" s="307"/>
      <c r="F39" s="1451"/>
      <c r="G39" s="1451">
        <f>$C$39*Staff!H23*1.03</f>
        <v>213210</v>
      </c>
      <c r="H39" s="1451">
        <f>$C$39*Staff!I23</f>
        <v>211500</v>
      </c>
      <c r="I39" s="1451">
        <f>$C$39*Staff!J23</f>
        <v>211500</v>
      </c>
      <c r="J39" s="1451">
        <f>$C$39*Staff!K23</f>
        <v>229500</v>
      </c>
      <c r="K39" s="1451">
        <f>$C$39*Staff!L23</f>
        <v>229500</v>
      </c>
      <c r="L39" s="1451">
        <f>$C$39*Staff!M23</f>
        <v>238500</v>
      </c>
      <c r="M39" s="41"/>
      <c r="N39" s="343" t="s">
        <v>1594</v>
      </c>
    </row>
    <row r="40" spans="1:14">
      <c r="A40" s="346">
        <f>ROW()</f>
        <v>40</v>
      </c>
      <c r="B40" s="33" t="s">
        <v>979</v>
      </c>
      <c r="C40" s="802">
        <v>1000</v>
      </c>
      <c r="D40" s="307" t="s">
        <v>868</v>
      </c>
      <c r="E40" s="307"/>
      <c r="F40" s="1451"/>
      <c r="G40" s="1451">
        <f>38000*1.03</f>
        <v>39140</v>
      </c>
      <c r="H40" s="1451">
        <f>G40*1.03</f>
        <v>40314.200000000004</v>
      </c>
      <c r="I40" s="1451">
        <f t="shared" ref="I40:L40" si="12">H40*1.03</f>
        <v>41523.626000000004</v>
      </c>
      <c r="J40" s="1451">
        <f t="shared" si="12"/>
        <v>42769.334780000005</v>
      </c>
      <c r="K40" s="1451">
        <f t="shared" si="12"/>
        <v>44052.414823400009</v>
      </c>
      <c r="L40" s="1451">
        <f t="shared" si="12"/>
        <v>45373.987268102013</v>
      </c>
      <c r="M40" s="41"/>
      <c r="N40" s="343" t="s">
        <v>1590</v>
      </c>
    </row>
    <row r="41" spans="1:14">
      <c r="A41" s="346">
        <f>ROW()</f>
        <v>41</v>
      </c>
      <c r="B41" s="33" t="s">
        <v>980</v>
      </c>
      <c r="C41" s="802">
        <v>270</v>
      </c>
      <c r="D41" s="307" t="s">
        <v>853</v>
      </c>
      <c r="E41" s="307"/>
      <c r="F41" s="1451"/>
      <c r="G41" s="1451">
        <f>(C41*350)*1.03</f>
        <v>97335</v>
      </c>
      <c r="H41" s="1451">
        <f>G41*1.03</f>
        <v>100255.05</v>
      </c>
      <c r="I41" s="1451">
        <f t="shared" ref="I41:L41" si="13">H41*1.03</f>
        <v>103262.70150000001</v>
      </c>
      <c r="J41" s="1451">
        <f t="shared" si="13"/>
        <v>106360.58254500001</v>
      </c>
      <c r="K41" s="1451">
        <f t="shared" si="13"/>
        <v>109551.40002135001</v>
      </c>
      <c r="L41" s="1451">
        <f t="shared" si="13"/>
        <v>112837.94202199052</v>
      </c>
      <c r="M41" s="41"/>
      <c r="N41" s="343" t="s">
        <v>1592</v>
      </c>
    </row>
    <row r="42" spans="1:14" ht="14.4" thickBot="1">
      <c r="A42" s="346">
        <f>ROW()</f>
        <v>42</v>
      </c>
      <c r="G42" s="54"/>
      <c r="H42" s="54"/>
      <c r="I42" s="54"/>
      <c r="J42" s="54"/>
      <c r="K42" s="54"/>
      <c r="L42" s="54"/>
      <c r="M42" s="41"/>
      <c r="N42" s="343" t="s">
        <v>1591</v>
      </c>
    </row>
    <row r="43" spans="1:14" ht="28.2" thickBot="1">
      <c r="A43" s="346">
        <f>ROW()</f>
        <v>43</v>
      </c>
      <c r="B43" s="750" t="s">
        <v>981</v>
      </c>
      <c r="C43" s="751">
        <f>SUM(G43:L43)</f>
        <v>6157711.8119202498</v>
      </c>
      <c r="D43" s="752"/>
      <c r="E43" s="752"/>
      <c r="F43" s="753">
        <f t="shared" ref="F43:L43" si="14">SUM(F15:F42)</f>
        <v>0</v>
      </c>
      <c r="G43" s="753">
        <f>SUM(G15:G42)</f>
        <v>948297.92890000006</v>
      </c>
      <c r="H43" s="753">
        <f t="shared" si="14"/>
        <v>972590.65899700008</v>
      </c>
      <c r="I43" s="753">
        <f t="shared" si="14"/>
        <v>999796.05546468985</v>
      </c>
      <c r="J43" s="753">
        <f t="shared" si="14"/>
        <v>1046139.4319510041</v>
      </c>
      <c r="K43" s="753">
        <f t="shared" si="14"/>
        <v>1075614.7794212499</v>
      </c>
      <c r="L43" s="753">
        <f t="shared" si="14"/>
        <v>1115272.9571863061</v>
      </c>
      <c r="M43" s="41"/>
      <c r="N43" s="343"/>
    </row>
    <row r="44" spans="1:14">
      <c r="A44" s="346">
        <f>ROW()</f>
        <v>44</v>
      </c>
      <c r="B44" s="80"/>
      <c r="N44" s="343"/>
    </row>
    <row r="45" spans="1:14" ht="14.4">
      <c r="A45" s="346">
        <f>ROW()</f>
        <v>45</v>
      </c>
      <c r="B45" s="183" t="s">
        <v>982</v>
      </c>
      <c r="N45" s="343"/>
    </row>
    <row r="46" spans="1:14">
      <c r="A46" s="346">
        <f>ROW()</f>
        <v>46</v>
      </c>
      <c r="B46" s="343"/>
      <c r="C46" s="345"/>
      <c r="D46" s="345"/>
      <c r="E46" s="345"/>
      <c r="F46" s="345"/>
      <c r="G46" s="345"/>
      <c r="H46" s="345"/>
      <c r="I46" s="345"/>
      <c r="J46" s="345"/>
      <c r="K46" s="345"/>
      <c r="L46" s="345"/>
      <c r="N46" s="343"/>
    </row>
    <row r="47" spans="1:14">
      <c r="A47" s="346">
        <f>ROW()</f>
        <v>47</v>
      </c>
      <c r="B47" s="343"/>
      <c r="C47" s="345"/>
      <c r="D47" s="345"/>
      <c r="E47" s="345"/>
      <c r="F47" s="345"/>
      <c r="G47" s="345"/>
      <c r="H47" s="345"/>
      <c r="I47" s="345"/>
      <c r="J47" s="345"/>
      <c r="K47" s="345"/>
      <c r="L47" s="345"/>
      <c r="N47" s="343"/>
    </row>
    <row r="48" spans="1:14">
      <c r="A48" s="346">
        <f>ROW()</f>
        <v>48</v>
      </c>
      <c r="B48" s="343"/>
      <c r="C48" s="345"/>
      <c r="D48" s="345"/>
      <c r="E48" s="345"/>
      <c r="F48" s="345"/>
      <c r="G48" s="345"/>
      <c r="H48" s="345"/>
      <c r="I48" s="345"/>
      <c r="J48" s="345"/>
      <c r="K48" s="345"/>
      <c r="L48" s="345"/>
      <c r="N48" s="343"/>
    </row>
    <row r="49" spans="1:14">
      <c r="A49" s="346">
        <f>ROW()</f>
        <v>49</v>
      </c>
      <c r="B49" s="343"/>
      <c r="C49" s="345"/>
      <c r="D49" s="345"/>
      <c r="E49" s="345"/>
      <c r="F49" s="345"/>
      <c r="G49" s="345"/>
      <c r="H49" s="345"/>
      <c r="I49" s="345"/>
      <c r="J49" s="345"/>
      <c r="K49" s="345"/>
      <c r="L49" s="345"/>
      <c r="N49" s="343"/>
    </row>
    <row r="50" spans="1:14">
      <c r="A50" s="346">
        <f>ROW()</f>
        <v>50</v>
      </c>
      <c r="B50" s="343"/>
      <c r="C50" s="345"/>
      <c r="D50" s="345"/>
      <c r="E50" s="345"/>
      <c r="F50" s="345"/>
      <c r="G50" s="345"/>
      <c r="H50" s="345"/>
      <c r="I50" s="345"/>
      <c r="J50" s="345"/>
      <c r="K50" s="345"/>
      <c r="L50" s="345"/>
      <c r="N50" s="343"/>
    </row>
    <row r="51" spans="1:14">
      <c r="A51" s="346">
        <f>ROW()</f>
        <v>51</v>
      </c>
      <c r="B51" s="343"/>
      <c r="C51" s="345"/>
      <c r="D51" s="345"/>
      <c r="E51" s="345"/>
      <c r="F51" s="345"/>
      <c r="G51" s="345"/>
      <c r="H51" s="345"/>
      <c r="I51" s="345"/>
      <c r="J51" s="345"/>
      <c r="K51" s="345"/>
      <c r="L51" s="345"/>
      <c r="N51" s="343"/>
    </row>
    <row r="52" spans="1:14">
      <c r="A52" s="346">
        <f>ROW()</f>
        <v>52</v>
      </c>
      <c r="B52" s="343"/>
      <c r="C52" s="345"/>
      <c r="D52" s="345"/>
      <c r="E52" s="345"/>
      <c r="F52" s="345"/>
      <c r="G52" s="345"/>
      <c r="H52" s="345"/>
      <c r="I52" s="345"/>
      <c r="J52" s="345"/>
      <c r="K52" s="345"/>
      <c r="L52" s="345"/>
      <c r="N52" s="343"/>
    </row>
    <row r="53" spans="1:14">
      <c r="A53" s="346">
        <f>ROW()</f>
        <v>53</v>
      </c>
      <c r="B53" s="343"/>
      <c r="C53" s="345"/>
      <c r="D53" s="345"/>
      <c r="E53" s="345"/>
      <c r="F53" s="345"/>
      <c r="G53" s="345"/>
      <c r="H53" s="345"/>
      <c r="I53" s="345"/>
      <c r="J53" s="345"/>
      <c r="K53" s="345"/>
      <c r="L53" s="345"/>
      <c r="N53" s="343"/>
    </row>
    <row r="54" spans="1:14">
      <c r="A54" s="346">
        <f>ROW()</f>
        <v>54</v>
      </c>
      <c r="B54" s="343"/>
      <c r="C54" s="345"/>
      <c r="D54" s="345"/>
      <c r="E54" s="345"/>
      <c r="F54" s="345"/>
      <c r="G54" s="345"/>
      <c r="H54" s="345"/>
      <c r="I54" s="345"/>
      <c r="J54" s="345"/>
      <c r="K54" s="345"/>
      <c r="L54" s="345"/>
      <c r="N54" s="343"/>
    </row>
    <row r="55" spans="1:14">
      <c r="A55" s="346">
        <f>ROW()</f>
        <v>55</v>
      </c>
      <c r="B55" s="343"/>
      <c r="C55" s="345"/>
      <c r="D55" s="345"/>
      <c r="E55" s="345"/>
      <c r="F55" s="345"/>
      <c r="G55" s="345"/>
      <c r="H55" s="345"/>
      <c r="I55" s="345"/>
      <c r="J55" s="345"/>
      <c r="K55" s="345"/>
      <c r="L55" s="345"/>
      <c r="N55" s="343"/>
    </row>
    <row r="56" spans="1:14">
      <c r="A56" s="346">
        <f>ROW()</f>
        <v>56</v>
      </c>
      <c r="N56" s="343"/>
    </row>
    <row r="57" spans="1:14">
      <c r="A57" s="346">
        <f>ROW()</f>
        <v>57</v>
      </c>
      <c r="N57" s="343"/>
    </row>
    <row r="58" spans="1:14">
      <c r="A58" s="346">
        <f>ROW()</f>
        <v>58</v>
      </c>
      <c r="C58" s="31" t="s">
        <v>983</v>
      </c>
      <c r="F58" s="744">
        <f t="shared" ref="F58:L60" si="15">F6</f>
        <v>0</v>
      </c>
      <c r="G58" s="745">
        <f t="shared" si="15"/>
        <v>1</v>
      </c>
      <c r="H58" s="745">
        <f t="shared" si="15"/>
        <v>2</v>
      </c>
      <c r="I58" s="745">
        <f t="shared" si="15"/>
        <v>3</v>
      </c>
      <c r="J58" s="745">
        <f t="shared" si="15"/>
        <v>4</v>
      </c>
      <c r="K58" s="745">
        <f t="shared" si="15"/>
        <v>5</v>
      </c>
      <c r="L58" s="746">
        <f t="shared" si="15"/>
        <v>6</v>
      </c>
      <c r="N58" s="343"/>
    </row>
    <row r="59" spans="1:14">
      <c r="A59" s="346">
        <f>ROW()</f>
        <v>59</v>
      </c>
      <c r="F59" s="747">
        <f t="shared" si="15"/>
        <v>2024</v>
      </c>
      <c r="G59" s="747">
        <f t="shared" si="15"/>
        <v>2025</v>
      </c>
      <c r="H59" s="748">
        <f t="shared" si="15"/>
        <v>2026</v>
      </c>
      <c r="I59" s="748">
        <f t="shared" si="15"/>
        <v>2027</v>
      </c>
      <c r="J59" s="748">
        <f t="shared" si="15"/>
        <v>2028</v>
      </c>
      <c r="K59" s="748">
        <f t="shared" si="15"/>
        <v>2029</v>
      </c>
      <c r="L59" s="749">
        <f t="shared" si="15"/>
        <v>2030</v>
      </c>
      <c r="N59" s="343"/>
    </row>
    <row r="60" spans="1:14">
      <c r="A60" s="346">
        <f>ROW()</f>
        <v>60</v>
      </c>
      <c r="D60" s="33" t="s">
        <v>156</v>
      </c>
      <c r="F60" s="741">
        <f t="shared" si="15"/>
        <v>2025</v>
      </c>
      <c r="G60" s="741">
        <f t="shared" si="15"/>
        <v>2026</v>
      </c>
      <c r="H60" s="742">
        <f t="shared" si="15"/>
        <v>2027</v>
      </c>
      <c r="I60" s="742">
        <f t="shared" si="15"/>
        <v>2028</v>
      </c>
      <c r="J60" s="742">
        <f t="shared" si="15"/>
        <v>2029</v>
      </c>
      <c r="K60" s="742">
        <f t="shared" si="15"/>
        <v>2030</v>
      </c>
      <c r="L60" s="743">
        <f t="shared" si="15"/>
        <v>2031</v>
      </c>
      <c r="N60" s="343"/>
    </row>
    <row r="61" spans="1:14">
      <c r="A61" s="346">
        <f>ROW()</f>
        <v>61</v>
      </c>
      <c r="C61" s="33" t="s">
        <v>984</v>
      </c>
      <c r="D61" s="398">
        <f>Levers!B9</f>
        <v>11107.52649304775</v>
      </c>
      <c r="E61" s="398"/>
      <c r="F61" s="398"/>
      <c r="G61" s="399">
        <f>Levers!D9</f>
        <v>1595</v>
      </c>
      <c r="H61" s="399">
        <f>Levers!E9</f>
        <v>1688</v>
      </c>
      <c r="I61" s="399">
        <f>Levers!F9</f>
        <v>1788.6201881600005</v>
      </c>
      <c r="J61" s="399">
        <f>Levers!G9</f>
        <v>1895.9373994496007</v>
      </c>
      <c r="K61" s="399">
        <f>Levers!H9</f>
        <v>2009.6936434165768</v>
      </c>
      <c r="L61" s="399">
        <f>Levers!I9</f>
        <v>2130.2752620215715</v>
      </c>
      <c r="N61" s="343"/>
    </row>
    <row r="62" spans="1:14">
      <c r="A62" s="346">
        <f>ROW()</f>
        <v>62</v>
      </c>
      <c r="C62" s="33" t="s">
        <v>590</v>
      </c>
      <c r="D62" s="484">
        <f>Levers!B10</f>
        <v>113313088.27620967</v>
      </c>
      <c r="E62" s="484"/>
      <c r="F62" s="484">
        <f>Levers!C10</f>
        <v>0</v>
      </c>
      <c r="G62" s="485">
        <f>Levers!D10</f>
        <v>15606245.845000001</v>
      </c>
      <c r="H62" s="485">
        <f>Levers!E10</f>
        <v>17335514.31800412</v>
      </c>
      <c r="I62" s="485">
        <f>Levers!F10</f>
        <v>18369626.809209835</v>
      </c>
      <c r="J62" s="485">
        <f>Levers!G10</f>
        <v>19473416.592535403</v>
      </c>
      <c r="K62" s="485">
        <f>Levers!H10</f>
        <v>20643825.588087529</v>
      </c>
      <c r="L62" s="485">
        <f>Levers!I10</f>
        <v>21884459.123372782</v>
      </c>
      <c r="N62" s="343"/>
    </row>
    <row r="63" spans="1:14">
      <c r="A63" s="346">
        <f>ROW()</f>
        <v>63</v>
      </c>
      <c r="C63" s="33" t="s">
        <v>985</v>
      </c>
      <c r="D63" s="484">
        <f>Levers!B11</f>
        <v>10201.46909819507</v>
      </c>
      <c r="E63" s="484"/>
      <c r="F63" s="486"/>
      <c r="G63" s="487">
        <f>Levers!D11</f>
        <v>9784.4801536050163</v>
      </c>
      <c r="H63" s="487">
        <f>Levers!E11</f>
        <v>10269.854453793911</v>
      </c>
      <c r="I63" s="487">
        <f>Levers!F11</f>
        <v>10270.278134402108</v>
      </c>
      <c r="J63" s="487">
        <f>Levers!G11</f>
        <v>10271.128465627939</v>
      </c>
      <c r="K63" s="487">
        <f>Levers!H11</f>
        <v>10272.125632537714</v>
      </c>
      <c r="L63" s="487">
        <f>Levers!I11</f>
        <v>10273.066356037503</v>
      </c>
      <c r="N63" s="343"/>
    </row>
    <row r="64" spans="1:14">
      <c r="A64" s="346">
        <f>ROW()</f>
        <v>64</v>
      </c>
      <c r="C64" s="33" t="s">
        <v>986</v>
      </c>
      <c r="D64" s="484">
        <f>Levers!B24</f>
        <v>6157711.8119202498</v>
      </c>
      <c r="E64" s="484"/>
      <c r="F64" s="486">
        <f>Levers!C24</f>
        <v>0</v>
      </c>
      <c r="G64" s="487">
        <f>Levers!D24</f>
        <v>948297.92890000006</v>
      </c>
      <c r="H64" s="487">
        <f>Levers!E24</f>
        <v>972590.65899700008</v>
      </c>
      <c r="I64" s="487">
        <f>Levers!F24</f>
        <v>999796.05546468985</v>
      </c>
      <c r="J64" s="487">
        <f>Levers!G24</f>
        <v>1046139.4319510041</v>
      </c>
      <c r="K64" s="487">
        <f>Levers!H24</f>
        <v>1075614.7794212499</v>
      </c>
      <c r="L64" s="487">
        <f>Levers!I24</f>
        <v>1115272.9571863061</v>
      </c>
      <c r="N64" s="343"/>
    </row>
    <row r="65" spans="1:14">
      <c r="A65" s="346">
        <f>ROW()</f>
        <v>65</v>
      </c>
      <c r="C65" s="33" t="s">
        <v>987</v>
      </c>
      <c r="D65" s="484">
        <f>Levers!B25</f>
        <v>554.37291243684081</v>
      </c>
      <c r="E65" s="484"/>
      <c r="F65" s="486"/>
      <c r="G65" s="487">
        <f>Levers!D25</f>
        <v>594.54415605015674</v>
      </c>
      <c r="H65" s="487">
        <f>Levers!E25</f>
        <v>576.17930035367306</v>
      </c>
      <c r="I65" s="487">
        <f>Levers!F25</f>
        <v>558.9761661435823</v>
      </c>
      <c r="J65" s="487">
        <f>Levers!G25</f>
        <v>551.77952196876504</v>
      </c>
      <c r="K65" s="487">
        <f>Levers!H25</f>
        <v>535.21330623937911</v>
      </c>
      <c r="L65" s="487">
        <f>Levers!I25</f>
        <v>523.53467041059446</v>
      </c>
      <c r="N65" s="343"/>
    </row>
    <row r="66" spans="1:14" ht="29.25" customHeight="1">
      <c r="A66" s="346">
        <f>ROW()</f>
        <v>66</v>
      </c>
      <c r="C66" s="43" t="s">
        <v>988</v>
      </c>
      <c r="D66" s="484">
        <f>Levers!B26</f>
        <v>107155376.46428941</v>
      </c>
      <c r="E66" s="484"/>
      <c r="F66" s="486">
        <f>Levers!C26</f>
        <v>0</v>
      </c>
      <c r="G66" s="487">
        <f>Levers!D26</f>
        <v>14657947.916100001</v>
      </c>
      <c r="H66" s="487">
        <f>Levers!E26</f>
        <v>16362923.659007121</v>
      </c>
      <c r="I66" s="487">
        <f>Levers!F26</f>
        <v>17369830.753745146</v>
      </c>
      <c r="J66" s="487">
        <f>Levers!G26</f>
        <v>18427277.160584398</v>
      </c>
      <c r="K66" s="487">
        <f>Levers!H26</f>
        <v>19568210.808666278</v>
      </c>
      <c r="L66" s="487">
        <f>Levers!I26</f>
        <v>20769186.166186474</v>
      </c>
      <c r="N66" s="343"/>
    </row>
    <row r="67" spans="1:14" ht="29.25" customHeight="1">
      <c r="A67" s="346">
        <f>ROW()</f>
        <v>67</v>
      </c>
      <c r="C67" s="43" t="s">
        <v>989</v>
      </c>
      <c r="D67" s="484">
        <f>Levers!B27</f>
        <v>9647.0961857582279</v>
      </c>
      <c r="E67" s="484"/>
      <c r="F67" s="486"/>
      <c r="G67" s="487">
        <f>Levers!D27</f>
        <v>9189.9359975548596</v>
      </c>
      <c r="H67" s="487">
        <f>Levers!E27</f>
        <v>9693.6751534402374</v>
      </c>
      <c r="I67" s="487">
        <f>Levers!F27</f>
        <v>9711.3019682585254</v>
      </c>
      <c r="J67" s="487">
        <f>Levers!G27</f>
        <v>9719.3489436591735</v>
      </c>
      <c r="K67" s="487">
        <f>Levers!H27</f>
        <v>9736.9123262983358</v>
      </c>
      <c r="L67" s="487">
        <f>Levers!I27</f>
        <v>9749.5316856269073</v>
      </c>
      <c r="N67" s="343"/>
    </row>
    <row r="68" spans="1:14">
      <c r="A68" s="346">
        <f>ROW()</f>
        <v>68</v>
      </c>
      <c r="C68" s="33" t="s">
        <v>600</v>
      </c>
      <c r="D68" s="484">
        <f>Levers!B38</f>
        <v>-2863485.8035573382</v>
      </c>
      <c r="E68" s="55"/>
      <c r="F68" s="486">
        <f>Levers!C38</f>
        <v>-616575</v>
      </c>
      <c r="G68" s="487">
        <f>Levers!D38</f>
        <v>-1500523.496254225</v>
      </c>
      <c r="H68" s="487">
        <f>Levers!E38</f>
        <v>-604445.1229895436</v>
      </c>
      <c r="I68" s="487">
        <f>Levers!F38</f>
        <v>-368066.24564993981</v>
      </c>
      <c r="J68" s="487">
        <f>Levers!G38</f>
        <v>-202675.7344154873</v>
      </c>
      <c r="K68" s="487">
        <f>Levers!H38</f>
        <v>84372.659407600819</v>
      </c>
      <c r="L68" s="487">
        <f>Levers!I38</f>
        <v>344427.13634425722</v>
      </c>
      <c r="N68" s="343"/>
    </row>
    <row r="69" spans="1:14" ht="30.75" customHeight="1">
      <c r="A69" s="346">
        <f>ROW()</f>
        <v>69</v>
      </c>
      <c r="C69" s="43" t="s">
        <v>601</v>
      </c>
      <c r="D69" s="484">
        <f>Levers!B39</f>
        <v>-257.79689162565643</v>
      </c>
      <c r="E69" s="55"/>
      <c r="F69" s="486">
        <f>Levers!C39</f>
        <v>0</v>
      </c>
      <c r="G69" s="487">
        <f>Levers!D39</f>
        <v>-940.7670822910502</v>
      </c>
      <c r="H69" s="487">
        <f>Levers!E39</f>
        <v>-358.08360366679125</v>
      </c>
      <c r="I69" s="487">
        <f>Levers!F39</f>
        <v>-205.78222704093429</v>
      </c>
      <c r="J69" s="487">
        <f>Levers!G39</f>
        <v>-106.900013932066</v>
      </c>
      <c r="K69" s="487">
        <f>Levers!H39</f>
        <v>41.982846332818767</v>
      </c>
      <c r="L69" s="487">
        <f>Levers!I39</f>
        <v>161.68198658862775</v>
      </c>
      <c r="N69" s="343"/>
    </row>
  </sheetData>
  <sheetProtection algorithmName="SHA-512" hashValue="oS9H7sTEBXbpM3t34xQ1eDurHOXPnA3Gsr8H+3A1+o3BKYiQA2FMu7kGVF+yg4KUA8yD1RzxQBPPryqoK9BR/g==" saltValue="yVBM/zKqsrUT0bScOvWaOA==" spinCount="100000" sheet="1" objects="1" scenarios="1"/>
  <mergeCells count="4">
    <mergeCell ref="F2:L2"/>
    <mergeCell ref="F3:L3"/>
    <mergeCell ref="F4:L4"/>
    <mergeCell ref="A1:B1"/>
  </mergeCells>
  <phoneticPr fontId="7" type="noConversion"/>
  <conditionalFormatting sqref="D1">
    <cfRule type="expression" dxfId="18" priority="3" stopIfTrue="1">
      <formula>MOD(ROW(),2)=0</formula>
    </cfRule>
  </conditionalFormatting>
  <conditionalFormatting sqref="O1:Z1">
    <cfRule type="cellIs" dxfId="17" priority="2" stopIfTrue="1" operator="equal">
      <formula>0</formula>
    </cfRule>
  </conditionalFormatting>
  <hyperlinks>
    <hyperlink ref="D1" location="HypLink1" display="HypLink1"/>
  </hyperlinks>
  <pageMargins left="0.25" right="0.25" top="0.5" bottom="0.45" header="0.25" footer="0.25"/>
  <pageSetup scale="79" fitToHeight="2" orientation="landscape" r:id="rId1"/>
  <headerFooter>
    <oddHeader xml:space="preserve">&amp;L &amp;C &amp;R </oddHeader>
    <oddFooter>&amp;L&amp;7&amp;D  at &amp;T Mike 702.486.8879&amp;C&amp;7&amp;F  &amp;A&amp;R&amp;7Page &amp;P of &amp;N</oddFooter>
  </headerFooter>
  <rowBreaks count="1" manualBreakCount="1">
    <brk id="44" max="11"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AM100"/>
  <sheetViews>
    <sheetView topLeftCell="A37" workbookViewId="0">
      <selection activeCell="C34" sqref="C34"/>
    </sheetView>
  </sheetViews>
  <sheetFormatPr defaultColWidth="8.77734375" defaultRowHeight="13.8"/>
  <cols>
    <col min="1" max="1" width="5.44140625" style="33" customWidth="1"/>
    <col min="2" max="2" width="57.44140625" style="33" customWidth="1"/>
    <col min="3" max="3" width="12.21875" style="33" customWidth="1"/>
    <col min="4" max="4" width="8.77734375" style="33" customWidth="1"/>
    <col min="5" max="5" width="11.21875" style="33" customWidth="1"/>
    <col min="6" max="6" width="12.77734375" style="33" customWidth="1"/>
    <col min="7" max="7" width="12.77734375" style="33" bestFit="1" customWidth="1"/>
    <col min="8" max="8" width="12.44140625" style="33" bestFit="1" customWidth="1"/>
    <col min="9" max="12" width="12.77734375" style="33" bestFit="1" customWidth="1"/>
    <col min="13" max="13" width="4.77734375" style="33" customWidth="1"/>
    <col min="14" max="14" width="56.77734375" style="307" customWidth="1"/>
    <col min="15" max="16384" width="8.77734375" style="33"/>
  </cols>
  <sheetData>
    <row r="1" spans="1:39" ht="15.6">
      <c r="A1" s="112" t="s">
        <v>990</v>
      </c>
      <c r="B1" s="113"/>
      <c r="C1" s="408" t="s">
        <v>3</v>
      </c>
      <c r="D1" s="183" t="s">
        <v>991</v>
      </c>
      <c r="K1" s="36"/>
      <c r="Y1" s="7" cm="1">
        <f t="array" aca="1" ref="Y1" ca="1">CELL("protect",A1)</f>
        <v>1</v>
      </c>
      <c r="Z1" s="7" cm="1">
        <f t="array" aca="1" ref="Z1" ca="1">CELL("protect",B1)</f>
        <v>1</v>
      </c>
      <c r="AA1" s="7" cm="1">
        <f t="array" aca="1" ref="AA1" ca="1">CELL("protect",C1)</f>
        <v>1</v>
      </c>
      <c r="AB1" s="7" cm="1">
        <f t="array" aca="1" ref="AB1" ca="1">CELL("protect",D1)</f>
        <v>1</v>
      </c>
      <c r="AC1" s="7" cm="1">
        <f t="array" aca="1" ref="AC1" ca="1">CELL("protect",E1)</f>
        <v>1</v>
      </c>
      <c r="AD1" s="7" cm="1">
        <f t="array" aca="1" ref="AD1" ca="1">CELL("protect",F1)</f>
        <v>1</v>
      </c>
      <c r="AE1" s="7" cm="1">
        <f t="array" aca="1" ref="AE1" ca="1">CELL("protect",G1)</f>
        <v>1</v>
      </c>
      <c r="AF1" s="7" cm="1">
        <f t="array" aca="1" ref="AF1" ca="1">CELL("protect",H1)</f>
        <v>1</v>
      </c>
      <c r="AG1" s="7" cm="1">
        <f t="array" aca="1" ref="AG1" ca="1">CELL("protect",I1)</f>
        <v>1</v>
      </c>
      <c r="AH1" s="7" cm="1">
        <f t="array" aca="1" ref="AH1" ca="1">CELL("protect",J1)</f>
        <v>1</v>
      </c>
      <c r="AI1" s="7" cm="1">
        <f t="array" aca="1" ref="AI1" ca="1">CELL("protect",K1)</f>
        <v>1</v>
      </c>
      <c r="AJ1" s="7" cm="1">
        <f t="array" aca="1" ref="AJ1" ca="1">CELL("protect",L1)</f>
        <v>1</v>
      </c>
      <c r="AK1" s="7"/>
      <c r="AL1" s="7"/>
      <c r="AM1" s="7"/>
    </row>
    <row r="2" spans="1:39" ht="15.6">
      <c r="A2" s="114" t="str">
        <f>SchoolName</f>
        <v>The Delta Academy</v>
      </c>
      <c r="B2" s="115"/>
      <c r="Y2" s="7" cm="1">
        <f t="array" aca="1" ref="Y2" ca="1">CELL("protect",A2)</f>
        <v>1</v>
      </c>
      <c r="Z2" s="7" cm="1">
        <f t="array" aca="1" ref="Z2" ca="1">CELL("protect",B2)</f>
        <v>1</v>
      </c>
      <c r="AA2" s="7" cm="1">
        <f t="array" aca="1" ref="AA2" ca="1">CELL("protect",C2)</f>
        <v>1</v>
      </c>
      <c r="AB2" s="7" cm="1">
        <f t="array" aca="1" ref="AB2" ca="1">CELL("protect",D2)</f>
        <v>1</v>
      </c>
      <c r="AC2" s="7" cm="1">
        <f t="array" aca="1" ref="AC2" ca="1">CELL("protect",E2)</f>
        <v>1</v>
      </c>
      <c r="AD2" s="7" cm="1">
        <f t="array" aca="1" ref="AD2" ca="1">CELL("protect",F2)</f>
        <v>1</v>
      </c>
      <c r="AE2" s="7" cm="1">
        <f t="array" aca="1" ref="AE2" ca="1">CELL("protect",G2)</f>
        <v>1</v>
      </c>
      <c r="AF2" s="7" cm="1">
        <f t="array" aca="1" ref="AF2" ca="1">CELL("protect",H2)</f>
        <v>1</v>
      </c>
      <c r="AG2" s="7" cm="1">
        <f t="array" aca="1" ref="AG2" ca="1">CELL("protect",I2)</f>
        <v>1</v>
      </c>
      <c r="AH2" s="7" cm="1">
        <f t="array" aca="1" ref="AH2" ca="1">CELL("protect",J2)</f>
        <v>1</v>
      </c>
      <c r="AI2" s="7" cm="1">
        <f t="array" aca="1" ref="AI2" ca="1">CELL("protect",K2)</f>
        <v>1</v>
      </c>
      <c r="AJ2" s="7" cm="1">
        <f t="array" aca="1" ref="AJ2" ca="1">CELL("protect",L2)</f>
        <v>1</v>
      </c>
      <c r="AK2" s="7"/>
      <c r="AL2" s="7"/>
      <c r="AM2" s="7"/>
    </row>
    <row r="3" spans="1:39">
      <c r="A3" s="39" t="s">
        <v>80</v>
      </c>
      <c r="Y3" s="7" cm="1">
        <f t="array" aca="1" ref="Y3" ca="1">CELL("protect",A3)</f>
        <v>1</v>
      </c>
      <c r="Z3" s="7" cm="1">
        <f t="array" aca="1" ref="Z3" ca="1">CELL("protect",B3)</f>
        <v>1</v>
      </c>
      <c r="AA3" s="7" cm="1">
        <f t="array" aca="1" ref="AA3" ca="1">CELL("protect",C3)</f>
        <v>1</v>
      </c>
      <c r="AB3" s="7" cm="1">
        <f t="array" aca="1" ref="AB3" ca="1">CELL("protect",D3)</f>
        <v>1</v>
      </c>
      <c r="AC3" s="7" cm="1">
        <f t="array" aca="1" ref="AC3" ca="1">CELL("protect",E3)</f>
        <v>1</v>
      </c>
      <c r="AD3" s="7" cm="1">
        <f t="array" aca="1" ref="AD3" ca="1">CELL("protect",F3)</f>
        <v>1</v>
      </c>
      <c r="AE3" s="7" cm="1">
        <f t="array" aca="1" ref="AE3" ca="1">CELL("protect",G3)</f>
        <v>1</v>
      </c>
      <c r="AF3" s="7" cm="1">
        <f t="array" aca="1" ref="AF3" ca="1">CELL("protect",H3)</f>
        <v>1</v>
      </c>
      <c r="AG3" s="7" cm="1">
        <f t="array" aca="1" ref="AG3" ca="1">CELL("protect",I3)</f>
        <v>1</v>
      </c>
      <c r="AH3" s="7" cm="1">
        <f t="array" aca="1" ref="AH3" ca="1">CELL("protect",J3)</f>
        <v>1</v>
      </c>
      <c r="AI3" s="7" cm="1">
        <f t="array" aca="1" ref="AI3" ca="1">CELL("protect",K3)</f>
        <v>1</v>
      </c>
      <c r="AJ3" s="7" cm="1">
        <f t="array" aca="1" ref="AJ3" ca="1">CELL("protect",L3)</f>
        <v>1</v>
      </c>
      <c r="AK3" s="7"/>
      <c r="AL3" s="7"/>
      <c r="AM3" s="7"/>
    </row>
    <row r="4" spans="1:39">
      <c r="A4" s="40" t="s">
        <v>81</v>
      </c>
      <c r="Y4" s="7" cm="1">
        <f t="array" aca="1" ref="Y4" ca="1">CELL("protect",A4)</f>
        <v>1</v>
      </c>
      <c r="Z4" s="7" cm="1">
        <f t="array" aca="1" ref="Z4" ca="1">CELL("protect",B4)</f>
        <v>1</v>
      </c>
      <c r="AA4" s="7" cm="1">
        <f t="array" aca="1" ref="AA4" ca="1">CELL("protect",C4)</f>
        <v>1</v>
      </c>
      <c r="AB4" s="7" cm="1">
        <f t="array" aca="1" ref="AB4" ca="1">CELL("protect",D4)</f>
        <v>1</v>
      </c>
      <c r="AC4" s="7" cm="1">
        <f t="array" aca="1" ref="AC4" ca="1">CELL("protect",E4)</f>
        <v>1</v>
      </c>
      <c r="AD4" s="7" cm="1">
        <f t="array" aca="1" ref="AD4" ca="1">CELL("protect",F4)</f>
        <v>1</v>
      </c>
      <c r="AE4" s="7" cm="1">
        <f t="array" aca="1" ref="AE4" ca="1">CELL("protect",G4)</f>
        <v>1</v>
      </c>
      <c r="AF4" s="7" cm="1">
        <f t="array" aca="1" ref="AF4" ca="1">CELL("protect",H4)</f>
        <v>1</v>
      </c>
      <c r="AG4" s="7" cm="1">
        <f t="array" aca="1" ref="AG4" ca="1">CELL("protect",I4)</f>
        <v>1</v>
      </c>
      <c r="AH4" s="7" cm="1">
        <f t="array" aca="1" ref="AH4" ca="1">CELL("protect",J4)</f>
        <v>1</v>
      </c>
      <c r="AI4" s="7" cm="1">
        <f t="array" aca="1" ref="AI4" ca="1">CELL("protect",K4)</f>
        <v>1</v>
      </c>
      <c r="AJ4" s="7" cm="1">
        <f t="array" aca="1" ref="AJ4" ca="1">CELL("protect",L4)</f>
        <v>1</v>
      </c>
      <c r="AK4" s="7"/>
      <c r="AL4" s="7"/>
      <c r="AM4" s="7"/>
    </row>
    <row r="5" spans="1:39">
      <c r="A5" s="30" t="str">
        <f ca="1">CELL("filename")</f>
        <v>C:\Users\kyle.konold\Downloads\[FY25 Budget - Delta Academy_Final.xlsx]Form 1 Cover</v>
      </c>
      <c r="Y5" s="7" cm="1">
        <f t="array" aca="1" ref="Y5" ca="1">CELL("protect",A5)</f>
        <v>1</v>
      </c>
      <c r="Z5" s="7" cm="1">
        <f t="array" aca="1" ref="Z5" ca="1">CELL("protect",B5)</f>
        <v>1</v>
      </c>
      <c r="AA5" s="7" cm="1">
        <f t="array" aca="1" ref="AA5" ca="1">CELL("protect",C5)</f>
        <v>1</v>
      </c>
      <c r="AB5" s="7" cm="1">
        <f t="array" aca="1" ref="AB5" ca="1">CELL("protect",D5)</f>
        <v>1</v>
      </c>
      <c r="AC5" s="7" cm="1">
        <f t="array" aca="1" ref="AC5" ca="1">CELL("protect",E5)</f>
        <v>1</v>
      </c>
      <c r="AD5" s="7" cm="1">
        <f t="array" aca="1" ref="AD5" ca="1">CELL("protect",F5)</f>
        <v>1</v>
      </c>
      <c r="AE5" s="7" cm="1">
        <f t="array" aca="1" ref="AE5" ca="1">CELL("protect",G5)</f>
        <v>1</v>
      </c>
      <c r="AF5" s="7" cm="1">
        <f t="array" aca="1" ref="AF5" ca="1">CELL("protect",H5)</f>
        <v>1</v>
      </c>
      <c r="AG5" s="7" cm="1">
        <f t="array" aca="1" ref="AG5" ca="1">CELL("protect",I5)</f>
        <v>1</v>
      </c>
      <c r="AH5" s="7" cm="1">
        <f t="array" aca="1" ref="AH5" ca="1">CELL("protect",J5)</f>
        <v>1</v>
      </c>
      <c r="AI5" s="7" cm="1">
        <f t="array" aca="1" ref="AI5" ca="1">CELL("protect",K5)</f>
        <v>1</v>
      </c>
      <c r="AJ5" s="7" cm="1">
        <f t="array" aca="1" ref="AJ5" ca="1">CELL("protect",L5)</f>
        <v>1</v>
      </c>
      <c r="AK5" s="7"/>
      <c r="AL5" s="7"/>
      <c r="AM5" s="7"/>
    </row>
    <row r="6" spans="1:39" ht="14.4">
      <c r="F6" s="31" t="s">
        <v>992</v>
      </c>
      <c r="G6" s="183" t="s">
        <v>993</v>
      </c>
      <c r="Y6" s="7" cm="1">
        <f t="array" aca="1" ref="Y6" ca="1">CELL("protect",A6)</f>
        <v>1</v>
      </c>
      <c r="Z6" s="7" cm="1">
        <f t="array" aca="1" ref="Z6" ca="1">CELL("protect",B6)</f>
        <v>1</v>
      </c>
      <c r="AA6" s="7" cm="1">
        <f t="array" aca="1" ref="AA6" ca="1">CELL("protect",C6)</f>
        <v>1</v>
      </c>
      <c r="AB6" s="7" cm="1">
        <f t="array" aca="1" ref="AB6" ca="1">CELL("protect",D6)</f>
        <v>1</v>
      </c>
      <c r="AC6" s="7" cm="1">
        <f t="array" aca="1" ref="AC6" ca="1">CELL("protect",E6)</f>
        <v>1</v>
      </c>
      <c r="AD6" s="7" cm="1">
        <f t="array" aca="1" ref="AD6" ca="1">CELL("protect",F6)</f>
        <v>1</v>
      </c>
      <c r="AE6" s="7" cm="1">
        <f t="array" aca="1" ref="AE6" ca="1">CELL("protect",G6)</f>
        <v>1</v>
      </c>
      <c r="AF6" s="7" cm="1">
        <f t="array" aca="1" ref="AF6" ca="1">CELL("protect",H6)</f>
        <v>1</v>
      </c>
      <c r="AG6" s="7" cm="1">
        <f t="array" aca="1" ref="AG6" ca="1">CELL("protect",I6)</f>
        <v>1</v>
      </c>
      <c r="AH6" s="7" cm="1">
        <f t="array" aca="1" ref="AH6" ca="1">CELL("protect",J6)</f>
        <v>1</v>
      </c>
      <c r="AI6" s="7" cm="1">
        <f t="array" aca="1" ref="AI6" ca="1">CELL("protect",K6)</f>
        <v>1</v>
      </c>
      <c r="AJ6" s="7" cm="1">
        <f t="array" aca="1" ref="AJ6" ca="1">CELL("protect",L6)</f>
        <v>1</v>
      </c>
      <c r="AK6" s="7"/>
      <c r="AL6" s="7"/>
      <c r="AM6" s="7"/>
    </row>
    <row r="7" spans="1:39" ht="15.6">
      <c r="B7" s="1603" t="s">
        <v>994</v>
      </c>
      <c r="C7" s="1604" t="s">
        <v>995</v>
      </c>
      <c r="D7" s="1605" t="s">
        <v>996</v>
      </c>
      <c r="E7" s="1606" t="s">
        <v>343</v>
      </c>
      <c r="F7" s="1638">
        <v>0</v>
      </c>
      <c r="G7" s="745">
        <v>1</v>
      </c>
      <c r="H7" s="745">
        <f>+G7+1</f>
        <v>2</v>
      </c>
      <c r="I7" s="745">
        <f>+H7+1</f>
        <v>3</v>
      </c>
      <c r="J7" s="745">
        <f>+I7+1</f>
        <v>4</v>
      </c>
      <c r="K7" s="745">
        <f>+J7+1</f>
        <v>5</v>
      </c>
      <c r="L7" s="746">
        <f>+K7+1</f>
        <v>6</v>
      </c>
      <c r="N7" s="1365" t="s">
        <v>103</v>
      </c>
      <c r="Y7" s="7" cm="1">
        <f t="array" aca="1" ref="Y7" ca="1">CELL("protect",A7)</f>
        <v>1</v>
      </c>
      <c r="Z7" s="7" cm="1">
        <f t="array" aca="1" ref="Z7" ca="1">CELL("protect",B7)</f>
        <v>1</v>
      </c>
      <c r="AA7" s="7" cm="1">
        <f t="array" aca="1" ref="AA7" ca="1">CELL("protect",C7)</f>
        <v>1</v>
      </c>
      <c r="AB7" s="7" cm="1">
        <f t="array" aca="1" ref="AB7" ca="1">CELL("protect",D7)</f>
        <v>1</v>
      </c>
      <c r="AC7" s="7" cm="1">
        <f t="array" aca="1" ref="AC7" ca="1">CELL("protect",E7)</f>
        <v>1</v>
      </c>
      <c r="AD7" s="7" cm="1">
        <f t="array" aca="1" ref="AD7" ca="1">CELL("protect",F7)</f>
        <v>1</v>
      </c>
      <c r="AE7" s="7" cm="1">
        <f t="array" aca="1" ref="AE7" ca="1">CELL("protect",G7)</f>
        <v>1</v>
      </c>
      <c r="AF7" s="7" cm="1">
        <f t="array" aca="1" ref="AF7" ca="1">CELL("protect",H7)</f>
        <v>1</v>
      </c>
      <c r="AG7" s="7" cm="1">
        <f t="array" aca="1" ref="AG7" ca="1">CELL("protect",I7)</f>
        <v>1</v>
      </c>
      <c r="AH7" s="7" cm="1">
        <f t="array" aca="1" ref="AH7" ca="1">CELL("protect",J7)</f>
        <v>1</v>
      </c>
      <c r="AI7" s="7" cm="1">
        <f t="array" aca="1" ref="AI7" ca="1">CELL("protect",K7)</f>
        <v>1</v>
      </c>
      <c r="AJ7" s="7" cm="1">
        <f t="array" aca="1" ref="AJ7" ca="1">CELL("protect",L7)</f>
        <v>1</v>
      </c>
      <c r="AK7" s="7"/>
      <c r="AL7" s="7"/>
      <c r="AM7" s="7"/>
    </row>
    <row r="8" spans="1:39" ht="15.6">
      <c r="B8" s="1607"/>
      <c r="C8" s="740"/>
      <c r="D8" s="1605"/>
      <c r="E8" s="1608"/>
      <c r="F8" s="747">
        <f>+'FFE&amp;T'!F7</f>
        <v>2024</v>
      </c>
      <c r="G8" s="747">
        <f>+'FFE&amp;T'!G7</f>
        <v>2025</v>
      </c>
      <c r="H8" s="748">
        <f>+'FFE&amp;T'!H7</f>
        <v>2026</v>
      </c>
      <c r="I8" s="748">
        <f>+'FFE&amp;T'!I7</f>
        <v>2027</v>
      </c>
      <c r="J8" s="748">
        <f>+'FFE&amp;T'!J7</f>
        <v>2028</v>
      </c>
      <c r="K8" s="748">
        <f>+'FFE&amp;T'!K7</f>
        <v>2029</v>
      </c>
      <c r="L8" s="749">
        <f>+'FFE&amp;T'!L7</f>
        <v>2030</v>
      </c>
      <c r="N8" s="1278"/>
      <c r="Y8" s="7"/>
      <c r="Z8" s="7"/>
      <c r="AA8" s="7"/>
      <c r="AB8" s="7"/>
      <c r="AC8" s="7"/>
      <c r="AD8" s="7"/>
      <c r="AE8" s="7"/>
      <c r="AF8" s="7"/>
      <c r="AG8" s="7"/>
      <c r="AH8" s="7"/>
      <c r="AI8" s="7"/>
      <c r="AJ8" s="7"/>
      <c r="AK8" s="7"/>
      <c r="AL8" s="7"/>
      <c r="AM8" s="7"/>
    </row>
    <row r="9" spans="1:39" s="31" customFormat="1" ht="15.6">
      <c r="B9" s="1609" t="s">
        <v>997</v>
      </c>
      <c r="C9" s="742" t="s">
        <v>998</v>
      </c>
      <c r="D9" s="1605" t="s">
        <v>999</v>
      </c>
      <c r="E9" s="1610" t="s">
        <v>1000</v>
      </c>
      <c r="F9" s="741">
        <f>' Enrol &amp; Rev'!F11</f>
        <v>2025</v>
      </c>
      <c r="G9" s="741">
        <f>' Enrol &amp; Rev'!G11</f>
        <v>2026</v>
      </c>
      <c r="H9" s="742">
        <f>' Enrol &amp; Rev'!H11</f>
        <v>2027</v>
      </c>
      <c r="I9" s="742">
        <f>' Enrol &amp; Rev'!I11</f>
        <v>2028</v>
      </c>
      <c r="J9" s="742">
        <f>' Enrol &amp; Rev'!J11</f>
        <v>2029</v>
      </c>
      <c r="K9" s="742">
        <f>' Enrol &amp; Rev'!K11</f>
        <v>2030</v>
      </c>
      <c r="L9" s="743">
        <f>' Enrol &amp; Rev'!L11</f>
        <v>2031</v>
      </c>
      <c r="N9" s="462"/>
      <c r="Y9" s="7" cm="1">
        <f t="array" aca="1" ref="Y9" ca="1">CELL("protect",A9)</f>
        <v>1</v>
      </c>
      <c r="Z9" s="7" cm="1">
        <f t="array" aca="1" ref="Z9" ca="1">CELL("protect",B9)</f>
        <v>1</v>
      </c>
      <c r="AA9" s="7" cm="1">
        <f t="array" aca="1" ref="AA9" ca="1">CELL("protect",C9)</f>
        <v>1</v>
      </c>
      <c r="AB9" s="7" cm="1">
        <f t="array" aca="1" ref="AB9" ca="1">CELL("protect",D9)</f>
        <v>1</v>
      </c>
      <c r="AC9" s="7" cm="1">
        <f t="array" aca="1" ref="AC9" ca="1">CELL("protect",E9)</f>
        <v>1</v>
      </c>
      <c r="AD9" s="7" cm="1">
        <f t="array" aca="1" ref="AD9" ca="1">CELL("protect",F9)</f>
        <v>1</v>
      </c>
      <c r="AE9" s="7" cm="1">
        <f t="array" aca="1" ref="AE9" ca="1">CELL("protect",G9)</f>
        <v>1</v>
      </c>
      <c r="AF9" s="7" cm="1">
        <f t="array" aca="1" ref="AF9" ca="1">CELL("protect",H9)</f>
        <v>1</v>
      </c>
      <c r="AG9" s="7" cm="1">
        <f t="array" aca="1" ref="AG9" ca="1">CELL("protect",I9)</f>
        <v>1</v>
      </c>
      <c r="AH9" s="7" cm="1">
        <f t="array" aca="1" ref="AH9" ca="1">CELL("protect",J9)</f>
        <v>1</v>
      </c>
      <c r="AI9" s="7" cm="1">
        <f t="array" aca="1" ref="AI9" ca="1">CELL("protect",K9)</f>
        <v>1</v>
      </c>
      <c r="AJ9" s="7" cm="1">
        <f t="array" aca="1" ref="AJ9" ca="1">CELL("protect",L9)</f>
        <v>1</v>
      </c>
      <c r="AK9" s="7"/>
      <c r="AL9" s="7"/>
      <c r="AM9" s="7"/>
    </row>
    <row r="10" spans="1:39">
      <c r="A10" s="129"/>
      <c r="B10" s="393"/>
      <c r="C10" s="394"/>
      <c r="D10" s="394"/>
      <c r="E10" s="55"/>
      <c r="F10" s="855"/>
      <c r="G10" s="855"/>
      <c r="H10" s="397"/>
      <c r="I10" s="397"/>
      <c r="J10" s="397"/>
      <c r="K10" s="397"/>
      <c r="L10" s="397"/>
      <c r="N10" s="343" t="s">
        <v>1001</v>
      </c>
      <c r="Y10" s="7" cm="1">
        <f t="array" aca="1" ref="Y10" ca="1">CELL("protect",A10)</f>
        <v>1</v>
      </c>
      <c r="Z10" s="7" cm="1">
        <f t="array" aca="1" ref="Z10" ca="1">CELL("protect",B10)</f>
        <v>0</v>
      </c>
      <c r="AA10" s="7" cm="1">
        <f t="array" aca="1" ref="AA10" ca="1">CELL("protect",C10)</f>
        <v>0</v>
      </c>
      <c r="AB10" s="7" cm="1">
        <f t="array" aca="1" ref="AB10" ca="1">CELL("protect",D10)</f>
        <v>0</v>
      </c>
      <c r="AC10" s="7" cm="1">
        <f t="array" aca="1" ref="AC10" ca="1">CELL("protect",E10)</f>
        <v>1</v>
      </c>
      <c r="AD10" s="7" cm="1">
        <f t="array" aca="1" ref="AD10" ca="1">CELL("protect",F10)</f>
        <v>1</v>
      </c>
      <c r="AE10" s="7" cm="1">
        <f t="array" aca="1" ref="AE10" ca="1">CELL("protect",G10)</f>
        <v>1</v>
      </c>
      <c r="AF10" s="7" cm="1">
        <f t="array" aca="1" ref="AF10" ca="1">CELL("protect",H10)</f>
        <v>1</v>
      </c>
      <c r="AG10" s="7" cm="1">
        <f t="array" aca="1" ref="AG10" ca="1">CELL("protect",I10)</f>
        <v>1</v>
      </c>
      <c r="AH10" s="7" cm="1">
        <f t="array" aca="1" ref="AH10" ca="1">CELL("protect",J10)</f>
        <v>1</v>
      </c>
      <c r="AI10" s="7" cm="1">
        <f t="array" aca="1" ref="AI10" ca="1">CELL("protect",K10)</f>
        <v>1</v>
      </c>
      <c r="AJ10" s="7" cm="1">
        <f t="array" aca="1" ref="AJ10" ca="1">CELL("protect",L10)</f>
        <v>1</v>
      </c>
      <c r="AK10" s="7"/>
      <c r="AL10" s="7"/>
      <c r="AM10" s="7"/>
    </row>
    <row r="11" spans="1:39">
      <c r="A11" s="129">
        <f>ROW()</f>
        <v>11</v>
      </c>
      <c r="B11" s="467" t="s">
        <v>1002</v>
      </c>
      <c r="C11" s="468"/>
      <c r="D11" s="392"/>
      <c r="E11" s="50"/>
      <c r="F11" s="882"/>
      <c r="G11" s="882"/>
      <c r="H11" s="883"/>
      <c r="I11" s="883"/>
      <c r="J11" s="883"/>
      <c r="K11" s="883"/>
      <c r="L11" s="883"/>
      <c r="N11" s="343" t="s">
        <v>1003</v>
      </c>
      <c r="Y11" s="7" cm="1">
        <f t="array" aca="1" ref="Y11" ca="1">CELL("protect",A11)</f>
        <v>1</v>
      </c>
      <c r="Z11" s="7" cm="1">
        <f t="array" aca="1" ref="Z11" ca="1">CELL("protect",B11)</f>
        <v>1</v>
      </c>
      <c r="AA11" s="7" cm="1">
        <f t="array" aca="1" ref="AA11" ca="1">CELL("protect",C11)</f>
        <v>1</v>
      </c>
      <c r="AB11" s="7" cm="1">
        <f t="array" aca="1" ref="AB11" ca="1">CELL("protect",D11)</f>
        <v>0</v>
      </c>
      <c r="AC11" s="7" cm="1">
        <f t="array" aca="1" ref="AC11" ca="1">CELL("protect",E11)</f>
        <v>1</v>
      </c>
      <c r="AD11" s="7" cm="1">
        <f t="array" aca="1" ref="AD11" ca="1">CELL("protect",F11)</f>
        <v>0</v>
      </c>
      <c r="AE11" s="7" cm="1">
        <f t="array" aca="1" ref="AE11" ca="1">CELL("protect",G11)</f>
        <v>0</v>
      </c>
      <c r="AF11" s="7" cm="1">
        <f t="array" aca="1" ref="AF11" ca="1">CELL("protect",H11)</f>
        <v>0</v>
      </c>
      <c r="AG11" s="7" cm="1">
        <f t="array" aca="1" ref="AG11" ca="1">CELL("protect",I11)</f>
        <v>0</v>
      </c>
      <c r="AH11" s="7" cm="1">
        <f t="array" aca="1" ref="AH11" ca="1">CELL("protect",J11)</f>
        <v>0</v>
      </c>
      <c r="AI11" s="7" cm="1">
        <f t="array" aca="1" ref="AI11" ca="1">CELL("protect",K11)</f>
        <v>0</v>
      </c>
      <c r="AJ11" s="7" cm="1">
        <f t="array" aca="1" ref="AJ11" ca="1">CELL("protect",L11)</f>
        <v>0</v>
      </c>
      <c r="AK11" s="7"/>
      <c r="AL11" s="7"/>
      <c r="AM11" s="7"/>
    </row>
    <row r="12" spans="1:39">
      <c r="A12" s="129">
        <f>ROW()</f>
        <v>12</v>
      </c>
      <c r="B12" s="469" t="s">
        <v>1004</v>
      </c>
      <c r="C12" s="527">
        <v>0</v>
      </c>
      <c r="D12" s="528">
        <v>0</v>
      </c>
      <c r="E12" s="1455">
        <f t="shared" ref="E12:E48" si="0">SUM(F12:L12)</f>
        <v>0</v>
      </c>
      <c r="F12" s="908">
        <v>0</v>
      </c>
      <c r="G12" s="884">
        <f t="shared" ref="G12:G41" si="1">+$D12</f>
        <v>0</v>
      </c>
      <c r="H12" s="843">
        <f t="shared" ref="H12:L28" si="2">+$D12</f>
        <v>0</v>
      </c>
      <c r="I12" s="843">
        <f t="shared" si="2"/>
        <v>0</v>
      </c>
      <c r="J12" s="843">
        <f t="shared" si="2"/>
        <v>0</v>
      </c>
      <c r="K12" s="843">
        <f t="shared" si="2"/>
        <v>0</v>
      </c>
      <c r="L12" s="843">
        <f t="shared" si="2"/>
        <v>0</v>
      </c>
      <c r="N12" s="343"/>
      <c r="Y12" s="7" cm="1">
        <f t="array" aca="1" ref="Y12" ca="1">CELL("protect",A12)</f>
        <v>1</v>
      </c>
      <c r="Z12" s="7" cm="1">
        <f t="array" aca="1" ref="Z12" ca="1">CELL("protect",B12)</f>
        <v>1</v>
      </c>
      <c r="AA12" s="7" cm="1">
        <f t="array" aca="1" ref="AA12" ca="1">CELL("protect",C12)</f>
        <v>1</v>
      </c>
      <c r="AB12" s="7" cm="1">
        <f t="array" aca="1" ref="AB12" ca="1">CELL("protect",D12)</f>
        <v>0</v>
      </c>
      <c r="AC12" s="7" cm="1">
        <f t="array" aca="1" ref="AC12" ca="1">CELL("protect",E12)</f>
        <v>0</v>
      </c>
      <c r="AD12" s="7" cm="1">
        <f t="array" aca="1" ref="AD12" ca="1">CELL("protect",F12)</f>
        <v>0</v>
      </c>
      <c r="AE12" s="7" cm="1">
        <f t="array" aca="1" ref="AE12" ca="1">CELL("protect",G12)</f>
        <v>0</v>
      </c>
      <c r="AF12" s="7" cm="1">
        <f t="array" aca="1" ref="AF12" ca="1">CELL("protect",H12)</f>
        <v>0</v>
      </c>
      <c r="AG12" s="7" cm="1">
        <f t="array" aca="1" ref="AG12" ca="1">CELL("protect",I12)</f>
        <v>0</v>
      </c>
      <c r="AH12" s="7" cm="1">
        <f t="array" aca="1" ref="AH12" ca="1">CELL("protect",J12)</f>
        <v>0</v>
      </c>
      <c r="AI12" s="7" cm="1">
        <f t="array" aca="1" ref="AI12" ca="1">CELL("protect",K12)</f>
        <v>0</v>
      </c>
      <c r="AJ12" s="7" cm="1">
        <f t="array" aca="1" ref="AJ12" ca="1">CELL("protect",L12)</f>
        <v>0</v>
      </c>
      <c r="AK12" s="7"/>
      <c r="AL12" s="7"/>
      <c r="AM12" s="7"/>
    </row>
    <row r="13" spans="1:39" ht="41.4">
      <c r="A13" s="887">
        <f>ROW()</f>
        <v>13</v>
      </c>
      <c r="B13" s="470" t="s">
        <v>1005</v>
      </c>
      <c r="C13" s="471">
        <v>1000000</v>
      </c>
      <c r="D13" s="256">
        <v>17133</v>
      </c>
      <c r="E13" s="1454">
        <f t="shared" si="0"/>
        <v>145410.70074300005</v>
      </c>
      <c r="F13" s="909"/>
      <c r="G13" s="856">
        <f>SUM(D13*1.1)</f>
        <v>18846.300000000003</v>
      </c>
      <c r="H13" s="461">
        <f>SUM(G13*1.1)</f>
        <v>20730.930000000004</v>
      </c>
      <c r="I13" s="461">
        <f t="shared" ref="I13:L13" si="3">SUM(H13*1.1)</f>
        <v>22804.023000000005</v>
      </c>
      <c r="J13" s="461">
        <f t="shared" si="3"/>
        <v>25084.425300000006</v>
      </c>
      <c r="K13" s="461">
        <f t="shared" si="3"/>
        <v>27592.86783000001</v>
      </c>
      <c r="L13" s="461">
        <f t="shared" si="3"/>
        <v>30352.154613000013</v>
      </c>
      <c r="N13" s="343" t="s">
        <v>1612</v>
      </c>
      <c r="Y13" s="7" cm="1">
        <f t="array" aca="1" ref="Y13" ca="1">CELL("protect",A13)</f>
        <v>1</v>
      </c>
      <c r="Z13" s="7" cm="1">
        <f t="array" aca="1" ref="Z13" ca="1">CELL("protect",B13)</f>
        <v>1</v>
      </c>
      <c r="AA13" s="7" cm="1">
        <f t="array" aca="1" ref="AA13" ca="1">CELL("protect",C13)</f>
        <v>1</v>
      </c>
      <c r="AB13" s="7" cm="1">
        <f t="array" aca="1" ref="AB13" ca="1">CELL("protect",D13)</f>
        <v>0</v>
      </c>
      <c r="AC13" s="7" cm="1">
        <f t="array" aca="1" ref="AC13" ca="1">CELL("protect",E13)</f>
        <v>0</v>
      </c>
      <c r="AD13" s="7" cm="1">
        <f t="array" aca="1" ref="AD13" ca="1">CELL("protect",F13)</f>
        <v>0</v>
      </c>
      <c r="AE13" s="7" cm="1">
        <f t="array" aca="1" ref="AE13" ca="1">CELL("protect",G13)</f>
        <v>0</v>
      </c>
      <c r="AF13" s="7" cm="1">
        <f t="array" aca="1" ref="AF13" ca="1">CELL("protect",H13)</f>
        <v>0</v>
      </c>
      <c r="AG13" s="7" cm="1">
        <f t="array" aca="1" ref="AG13" ca="1">CELL("protect",I13)</f>
        <v>0</v>
      </c>
      <c r="AH13" s="7" cm="1">
        <f t="array" aca="1" ref="AH13" ca="1">CELL("protect",J13)</f>
        <v>0</v>
      </c>
      <c r="AI13" s="7" cm="1">
        <f t="array" aca="1" ref="AI13" ca="1">CELL("protect",K13)</f>
        <v>0</v>
      </c>
      <c r="AJ13" s="7" cm="1">
        <f t="array" aca="1" ref="AJ13" ca="1">CELL("protect",L13)</f>
        <v>0</v>
      </c>
      <c r="AK13" s="7"/>
      <c r="AL13" s="7"/>
      <c r="AM13" s="7"/>
    </row>
    <row r="14" spans="1:39">
      <c r="A14" s="129">
        <f>ROW()</f>
        <v>14</v>
      </c>
      <c r="B14" s="472" t="s">
        <v>1006</v>
      </c>
      <c r="C14" s="473">
        <v>3000000</v>
      </c>
      <c r="D14" s="256">
        <v>0</v>
      </c>
      <c r="E14" s="1454">
        <f t="shared" si="0"/>
        <v>0</v>
      </c>
      <c r="F14" s="909"/>
      <c r="G14" s="856">
        <f t="shared" si="1"/>
        <v>0</v>
      </c>
      <c r="H14" s="461">
        <f t="shared" si="2"/>
        <v>0</v>
      </c>
      <c r="I14" s="461">
        <f t="shared" si="2"/>
        <v>0</v>
      </c>
      <c r="J14" s="461">
        <f t="shared" si="2"/>
        <v>0</v>
      </c>
      <c r="K14" s="461">
        <f t="shared" si="2"/>
        <v>0</v>
      </c>
      <c r="L14" s="461">
        <f t="shared" si="2"/>
        <v>0</v>
      </c>
      <c r="N14" s="343"/>
      <c r="Y14" s="7" cm="1">
        <f t="array" aca="1" ref="Y14" ca="1">CELL("protect",A14)</f>
        <v>1</v>
      </c>
      <c r="Z14" s="7" cm="1">
        <f t="array" aca="1" ref="Z14" ca="1">CELL("protect",B14)</f>
        <v>1</v>
      </c>
      <c r="AA14" s="7" cm="1">
        <f t="array" aca="1" ref="AA14" ca="1">CELL("protect",C14)</f>
        <v>1</v>
      </c>
      <c r="AB14" s="7" cm="1">
        <f t="array" aca="1" ref="AB14" ca="1">CELL("protect",D14)</f>
        <v>0</v>
      </c>
      <c r="AC14" s="7" cm="1">
        <f t="array" aca="1" ref="AC14" ca="1">CELL("protect",E14)</f>
        <v>0</v>
      </c>
      <c r="AD14" s="7" cm="1">
        <f t="array" aca="1" ref="AD14" ca="1">CELL("protect",F14)</f>
        <v>0</v>
      </c>
      <c r="AE14" s="7" cm="1">
        <f t="array" aca="1" ref="AE14" ca="1">CELL("protect",G14)</f>
        <v>0</v>
      </c>
      <c r="AF14" s="7" cm="1">
        <f t="array" aca="1" ref="AF14" ca="1">CELL("protect",H14)</f>
        <v>0</v>
      </c>
      <c r="AG14" s="7" cm="1">
        <f t="array" aca="1" ref="AG14" ca="1">CELL("protect",I14)</f>
        <v>0</v>
      </c>
      <c r="AH14" s="7" cm="1">
        <f t="array" aca="1" ref="AH14" ca="1">CELL("protect",J14)</f>
        <v>0</v>
      </c>
      <c r="AI14" s="7" cm="1">
        <f t="array" aca="1" ref="AI14" ca="1">CELL("protect",K14)</f>
        <v>0</v>
      </c>
      <c r="AJ14" s="7" cm="1">
        <f t="array" aca="1" ref="AJ14" ca="1">CELL("protect",L14)</f>
        <v>0</v>
      </c>
      <c r="AK14" s="7"/>
      <c r="AL14" s="7"/>
      <c r="AM14" s="7"/>
    </row>
    <row r="15" spans="1:39">
      <c r="A15" s="129">
        <f>ROW()</f>
        <v>15</v>
      </c>
      <c r="B15" s="472" t="s">
        <v>1007</v>
      </c>
      <c r="C15" s="473">
        <v>1000000</v>
      </c>
      <c r="D15" s="256"/>
      <c r="E15" s="1454">
        <f t="shared" si="0"/>
        <v>0</v>
      </c>
      <c r="F15" s="909"/>
      <c r="G15" s="856">
        <f t="shared" si="1"/>
        <v>0</v>
      </c>
      <c r="H15" s="461">
        <f t="shared" si="2"/>
        <v>0</v>
      </c>
      <c r="I15" s="461">
        <f t="shared" si="2"/>
        <v>0</v>
      </c>
      <c r="J15" s="461">
        <f t="shared" si="2"/>
        <v>0</v>
      </c>
      <c r="K15" s="461">
        <f t="shared" si="2"/>
        <v>0</v>
      </c>
      <c r="L15" s="461">
        <f t="shared" si="2"/>
        <v>0</v>
      </c>
      <c r="N15" s="343"/>
      <c r="Y15" s="7" cm="1">
        <f t="array" aca="1" ref="Y15" ca="1">CELL("protect",A15)</f>
        <v>1</v>
      </c>
      <c r="Z15" s="7" cm="1">
        <f t="array" aca="1" ref="Z15" ca="1">CELL("protect",B15)</f>
        <v>1</v>
      </c>
      <c r="AA15" s="7" cm="1">
        <f t="array" aca="1" ref="AA15" ca="1">CELL("protect",C15)</f>
        <v>1</v>
      </c>
      <c r="AB15" s="7" cm="1">
        <f t="array" aca="1" ref="AB15" ca="1">CELL("protect",D15)</f>
        <v>0</v>
      </c>
      <c r="AC15" s="7" cm="1">
        <f t="array" aca="1" ref="AC15" ca="1">CELL("protect",E15)</f>
        <v>0</v>
      </c>
      <c r="AD15" s="7" cm="1">
        <f t="array" aca="1" ref="AD15" ca="1">CELL("protect",F15)</f>
        <v>0</v>
      </c>
      <c r="AE15" s="7" cm="1">
        <f t="array" aca="1" ref="AE15" ca="1">CELL("protect",G15)</f>
        <v>0</v>
      </c>
      <c r="AF15" s="7" cm="1">
        <f t="array" aca="1" ref="AF15" ca="1">CELL("protect",H15)</f>
        <v>0</v>
      </c>
      <c r="AG15" s="7" cm="1">
        <f t="array" aca="1" ref="AG15" ca="1">CELL("protect",I15)</f>
        <v>0</v>
      </c>
      <c r="AH15" s="7" cm="1">
        <f t="array" aca="1" ref="AH15" ca="1">CELL("protect",J15)</f>
        <v>0</v>
      </c>
      <c r="AI15" s="7" cm="1">
        <f t="array" aca="1" ref="AI15" ca="1">CELL("protect",K15)</f>
        <v>0</v>
      </c>
      <c r="AJ15" s="7" cm="1">
        <f t="array" aca="1" ref="AJ15" ca="1">CELL("protect",L15)</f>
        <v>0</v>
      </c>
      <c r="AK15" s="7"/>
      <c r="AL15" s="7"/>
      <c r="AM15" s="7"/>
    </row>
    <row r="16" spans="1:39">
      <c r="A16" s="129">
        <f>ROW()</f>
        <v>16</v>
      </c>
      <c r="B16" s="472" t="s">
        <v>1008</v>
      </c>
      <c r="C16" s="473">
        <v>1000000</v>
      </c>
      <c r="D16" s="256"/>
      <c r="E16" s="1454">
        <f t="shared" si="0"/>
        <v>0</v>
      </c>
      <c r="F16" s="909"/>
      <c r="G16" s="856">
        <f t="shared" si="1"/>
        <v>0</v>
      </c>
      <c r="H16" s="461">
        <f t="shared" si="2"/>
        <v>0</v>
      </c>
      <c r="I16" s="461">
        <f t="shared" si="2"/>
        <v>0</v>
      </c>
      <c r="J16" s="461">
        <f t="shared" si="2"/>
        <v>0</v>
      </c>
      <c r="K16" s="461">
        <f t="shared" si="2"/>
        <v>0</v>
      </c>
      <c r="L16" s="461">
        <f t="shared" si="2"/>
        <v>0</v>
      </c>
      <c r="N16" s="343"/>
      <c r="Y16" s="7" cm="1">
        <f t="array" aca="1" ref="Y16" ca="1">CELL("protect",A16)</f>
        <v>1</v>
      </c>
      <c r="Z16" s="7" cm="1">
        <f t="array" aca="1" ref="Z16" ca="1">CELL("protect",B16)</f>
        <v>1</v>
      </c>
      <c r="AA16" s="7" cm="1">
        <f t="array" aca="1" ref="AA16" ca="1">CELL("protect",C16)</f>
        <v>1</v>
      </c>
      <c r="AB16" s="7" cm="1">
        <f t="array" aca="1" ref="AB16" ca="1">CELL("protect",D16)</f>
        <v>0</v>
      </c>
      <c r="AC16" s="7" cm="1">
        <f t="array" aca="1" ref="AC16" ca="1">CELL("protect",E16)</f>
        <v>0</v>
      </c>
      <c r="AD16" s="7" cm="1">
        <f t="array" aca="1" ref="AD16" ca="1">CELL("protect",F16)</f>
        <v>0</v>
      </c>
      <c r="AE16" s="7" cm="1">
        <f t="array" aca="1" ref="AE16" ca="1">CELL("protect",G16)</f>
        <v>0</v>
      </c>
      <c r="AF16" s="7" cm="1">
        <f t="array" aca="1" ref="AF16" ca="1">CELL("protect",H16)</f>
        <v>0</v>
      </c>
      <c r="AG16" s="7" cm="1">
        <f t="array" aca="1" ref="AG16" ca="1">CELL("protect",I16)</f>
        <v>0</v>
      </c>
      <c r="AH16" s="7" cm="1">
        <f t="array" aca="1" ref="AH16" ca="1">CELL("protect",J16)</f>
        <v>0</v>
      </c>
      <c r="AI16" s="7" cm="1">
        <f t="array" aca="1" ref="AI16" ca="1">CELL("protect",K16)</f>
        <v>0</v>
      </c>
      <c r="AJ16" s="7" cm="1">
        <f t="array" aca="1" ref="AJ16" ca="1">CELL("protect",L16)</f>
        <v>0</v>
      </c>
      <c r="AK16" s="7"/>
      <c r="AL16" s="7"/>
      <c r="AM16" s="7"/>
    </row>
    <row r="17" spans="1:39">
      <c r="A17" s="129">
        <f>ROW()</f>
        <v>17</v>
      </c>
      <c r="B17" s="474" t="s">
        <v>1009</v>
      </c>
      <c r="C17" s="473">
        <v>1000000</v>
      </c>
      <c r="D17" s="256">
        <v>0</v>
      </c>
      <c r="E17" s="1454">
        <f t="shared" si="0"/>
        <v>0</v>
      </c>
      <c r="F17" s="909"/>
      <c r="G17" s="856">
        <f t="shared" si="1"/>
        <v>0</v>
      </c>
      <c r="H17" s="461">
        <f t="shared" si="2"/>
        <v>0</v>
      </c>
      <c r="I17" s="461">
        <f t="shared" si="2"/>
        <v>0</v>
      </c>
      <c r="J17" s="461">
        <f t="shared" si="2"/>
        <v>0</v>
      </c>
      <c r="K17" s="461">
        <f t="shared" si="2"/>
        <v>0</v>
      </c>
      <c r="L17" s="461">
        <f t="shared" si="2"/>
        <v>0</v>
      </c>
      <c r="N17" s="343"/>
      <c r="Y17" s="7" cm="1">
        <f t="array" aca="1" ref="Y17" ca="1">CELL("protect",A17)</f>
        <v>1</v>
      </c>
      <c r="Z17" s="7" cm="1">
        <f t="array" aca="1" ref="Z17" ca="1">CELL("protect",B17)</f>
        <v>1</v>
      </c>
      <c r="AA17" s="7" cm="1">
        <f t="array" aca="1" ref="AA17" ca="1">CELL("protect",C17)</f>
        <v>1</v>
      </c>
      <c r="AB17" s="7" cm="1">
        <f t="array" aca="1" ref="AB17" ca="1">CELL("protect",D17)</f>
        <v>0</v>
      </c>
      <c r="AC17" s="7" cm="1">
        <f t="array" aca="1" ref="AC17" ca="1">CELL("protect",E17)</f>
        <v>0</v>
      </c>
      <c r="AD17" s="7" cm="1">
        <f t="array" aca="1" ref="AD17" ca="1">CELL("protect",F17)</f>
        <v>0</v>
      </c>
      <c r="AE17" s="7" cm="1">
        <f t="array" aca="1" ref="AE17" ca="1">CELL("protect",G17)</f>
        <v>0</v>
      </c>
      <c r="AF17" s="7" cm="1">
        <f t="array" aca="1" ref="AF17" ca="1">CELL("protect",H17)</f>
        <v>0</v>
      </c>
      <c r="AG17" s="7" cm="1">
        <f t="array" aca="1" ref="AG17" ca="1">CELL("protect",I17)</f>
        <v>0</v>
      </c>
      <c r="AH17" s="7" cm="1">
        <f t="array" aca="1" ref="AH17" ca="1">CELL("protect",J17)</f>
        <v>0</v>
      </c>
      <c r="AI17" s="7" cm="1">
        <f t="array" aca="1" ref="AI17" ca="1">CELL("protect",K17)</f>
        <v>0</v>
      </c>
      <c r="AJ17" s="7" cm="1">
        <f t="array" aca="1" ref="AJ17" ca="1">CELL("protect",L17)</f>
        <v>0</v>
      </c>
      <c r="AK17" s="7"/>
      <c r="AL17" s="7"/>
      <c r="AM17" s="7"/>
    </row>
    <row r="18" spans="1:39" ht="30" customHeight="1">
      <c r="A18" s="887">
        <f>ROW()</f>
        <v>18</v>
      </c>
      <c r="B18" s="470" t="s">
        <v>1010</v>
      </c>
      <c r="C18" s="473">
        <v>1000000</v>
      </c>
      <c r="D18" s="256">
        <v>0</v>
      </c>
      <c r="E18" s="1454">
        <f t="shared" si="0"/>
        <v>0</v>
      </c>
      <c r="F18" s="909"/>
      <c r="G18" s="856">
        <f t="shared" si="1"/>
        <v>0</v>
      </c>
      <c r="H18" s="461">
        <f t="shared" si="2"/>
        <v>0</v>
      </c>
      <c r="I18" s="461">
        <f t="shared" si="2"/>
        <v>0</v>
      </c>
      <c r="J18" s="461">
        <f t="shared" si="2"/>
        <v>0</v>
      </c>
      <c r="K18" s="461">
        <f t="shared" si="2"/>
        <v>0</v>
      </c>
      <c r="L18" s="461">
        <f t="shared" si="2"/>
        <v>0</v>
      </c>
      <c r="N18" s="343"/>
      <c r="Y18" s="7" cm="1">
        <f t="array" aca="1" ref="Y18" ca="1">CELL("protect",A18)</f>
        <v>1</v>
      </c>
      <c r="Z18" s="7" cm="1">
        <f t="array" aca="1" ref="Z18" ca="1">CELL("protect",B18)</f>
        <v>1</v>
      </c>
      <c r="AA18" s="7" cm="1">
        <f t="array" aca="1" ref="AA18" ca="1">CELL("protect",C18)</f>
        <v>1</v>
      </c>
      <c r="AB18" s="7" cm="1">
        <f t="array" aca="1" ref="AB18" ca="1">CELL("protect",D18)</f>
        <v>0</v>
      </c>
      <c r="AC18" s="7" cm="1">
        <f t="array" aca="1" ref="AC18" ca="1">CELL("protect",E18)</f>
        <v>0</v>
      </c>
      <c r="AD18" s="7" cm="1">
        <f t="array" aca="1" ref="AD18" ca="1">CELL("protect",F18)</f>
        <v>0</v>
      </c>
      <c r="AE18" s="7" cm="1">
        <f t="array" aca="1" ref="AE18" ca="1">CELL("protect",G18)</f>
        <v>0</v>
      </c>
      <c r="AF18" s="7" cm="1">
        <f t="array" aca="1" ref="AF18" ca="1">CELL("protect",H18)</f>
        <v>0</v>
      </c>
      <c r="AG18" s="7" cm="1">
        <f t="array" aca="1" ref="AG18" ca="1">CELL("protect",I18)</f>
        <v>0</v>
      </c>
      <c r="AH18" s="7" cm="1">
        <f t="array" aca="1" ref="AH18" ca="1">CELL("protect",J18)</f>
        <v>0</v>
      </c>
      <c r="AI18" s="7" cm="1">
        <f t="array" aca="1" ref="AI18" ca="1">CELL("protect",K18)</f>
        <v>0</v>
      </c>
      <c r="AJ18" s="7" cm="1">
        <f t="array" aca="1" ref="AJ18" ca="1">CELL("protect",L18)</f>
        <v>0</v>
      </c>
      <c r="AK18" s="7"/>
      <c r="AL18" s="7"/>
      <c r="AM18" s="7"/>
    </row>
    <row r="19" spans="1:39">
      <c r="A19" s="129">
        <f>ROW()</f>
        <v>19</v>
      </c>
      <c r="B19" s="472" t="s">
        <v>1011</v>
      </c>
      <c r="C19" s="473">
        <v>1000000</v>
      </c>
      <c r="D19" s="256">
        <v>1914</v>
      </c>
      <c r="E19" s="1454">
        <f t="shared" si="0"/>
        <v>16244.445294000005</v>
      </c>
      <c r="F19" s="909"/>
      <c r="G19" s="856">
        <f>SUM(D19*1.1)</f>
        <v>2105.4</v>
      </c>
      <c r="H19" s="461">
        <f t="shared" ref="H19:L19" si="4">SUM(G19*1.1)</f>
        <v>2315.9400000000005</v>
      </c>
      <c r="I19" s="461">
        <f t="shared" si="4"/>
        <v>2547.5340000000006</v>
      </c>
      <c r="J19" s="461">
        <f t="shared" si="4"/>
        <v>2802.2874000000006</v>
      </c>
      <c r="K19" s="461">
        <f t="shared" si="4"/>
        <v>3082.5161400000011</v>
      </c>
      <c r="L19" s="461">
        <f t="shared" si="4"/>
        <v>3390.7677540000013</v>
      </c>
      <c r="N19" s="343" t="s">
        <v>1613</v>
      </c>
      <c r="Y19" s="7" cm="1">
        <f t="array" aca="1" ref="Y19" ca="1">CELL("protect",A19)</f>
        <v>1</v>
      </c>
      <c r="Z19" s="7" cm="1">
        <f t="array" aca="1" ref="Z19" ca="1">CELL("protect",B19)</f>
        <v>1</v>
      </c>
      <c r="AA19" s="7" cm="1">
        <f t="array" aca="1" ref="AA19" ca="1">CELL("protect",C19)</f>
        <v>1</v>
      </c>
      <c r="AB19" s="7" cm="1">
        <f t="array" aca="1" ref="AB19" ca="1">CELL("protect",D19)</f>
        <v>0</v>
      </c>
      <c r="AC19" s="7" cm="1">
        <f t="array" aca="1" ref="AC19" ca="1">CELL("protect",E19)</f>
        <v>0</v>
      </c>
      <c r="AD19" s="7" cm="1">
        <f t="array" aca="1" ref="AD19" ca="1">CELL("protect",F19)</f>
        <v>0</v>
      </c>
      <c r="AE19" s="7" cm="1">
        <f t="array" aca="1" ref="AE19" ca="1">CELL("protect",G19)</f>
        <v>0</v>
      </c>
      <c r="AF19" s="7" cm="1">
        <f t="array" aca="1" ref="AF19" ca="1">CELL("protect",H19)</f>
        <v>0</v>
      </c>
      <c r="AG19" s="7" cm="1">
        <f t="array" aca="1" ref="AG19" ca="1">CELL("protect",I19)</f>
        <v>0</v>
      </c>
      <c r="AH19" s="7" cm="1">
        <f t="array" aca="1" ref="AH19" ca="1">CELL("protect",J19)</f>
        <v>0</v>
      </c>
      <c r="AI19" s="7" cm="1">
        <f t="array" aca="1" ref="AI19" ca="1">CELL("protect",K19)</f>
        <v>0</v>
      </c>
      <c r="AJ19" s="7" cm="1">
        <f t="array" aca="1" ref="AJ19" ca="1">CELL("protect",L19)</f>
        <v>0</v>
      </c>
      <c r="AK19" s="7"/>
      <c r="AL19" s="7"/>
      <c r="AM19" s="7"/>
    </row>
    <row r="20" spans="1:39">
      <c r="A20" s="129">
        <f>ROW()</f>
        <v>20</v>
      </c>
      <c r="B20" s="472" t="s">
        <v>1012</v>
      </c>
      <c r="C20" s="473">
        <v>1000000</v>
      </c>
      <c r="D20" s="256">
        <v>0</v>
      </c>
      <c r="E20" s="1454">
        <f t="shared" si="0"/>
        <v>0</v>
      </c>
      <c r="F20" s="909"/>
      <c r="G20" s="856">
        <f t="shared" si="1"/>
        <v>0</v>
      </c>
      <c r="H20" s="461">
        <f t="shared" si="2"/>
        <v>0</v>
      </c>
      <c r="I20" s="461">
        <f t="shared" si="2"/>
        <v>0</v>
      </c>
      <c r="J20" s="461">
        <f t="shared" si="2"/>
        <v>0</v>
      </c>
      <c r="K20" s="461">
        <f t="shared" si="2"/>
        <v>0</v>
      </c>
      <c r="L20" s="461">
        <f t="shared" si="2"/>
        <v>0</v>
      </c>
      <c r="N20" s="343"/>
      <c r="Y20" s="7" cm="1">
        <f t="array" aca="1" ref="Y20" ca="1">CELL("protect",A20)</f>
        <v>1</v>
      </c>
      <c r="Z20" s="7" cm="1">
        <f t="array" aca="1" ref="Z20" ca="1">CELL("protect",B20)</f>
        <v>1</v>
      </c>
      <c r="AA20" s="7" cm="1">
        <f t="array" aca="1" ref="AA20" ca="1">CELL("protect",C20)</f>
        <v>1</v>
      </c>
      <c r="AB20" s="7" cm="1">
        <f t="array" aca="1" ref="AB20" ca="1">CELL("protect",D20)</f>
        <v>0</v>
      </c>
      <c r="AC20" s="7" cm="1">
        <f t="array" aca="1" ref="AC20" ca="1">CELL("protect",E20)</f>
        <v>0</v>
      </c>
      <c r="AD20" s="7" cm="1">
        <f t="array" aca="1" ref="AD20" ca="1">CELL("protect",F20)</f>
        <v>0</v>
      </c>
      <c r="AE20" s="7" cm="1">
        <f t="array" aca="1" ref="AE20" ca="1">CELL("protect",G20)</f>
        <v>0</v>
      </c>
      <c r="AF20" s="7" cm="1">
        <f t="array" aca="1" ref="AF20" ca="1">CELL("protect",H20)</f>
        <v>0</v>
      </c>
      <c r="AG20" s="7" cm="1">
        <f t="array" aca="1" ref="AG20" ca="1">CELL("protect",I20)</f>
        <v>0</v>
      </c>
      <c r="AH20" s="7" cm="1">
        <f t="array" aca="1" ref="AH20" ca="1">CELL("protect",J20)</f>
        <v>0</v>
      </c>
      <c r="AI20" s="7" cm="1">
        <f t="array" aca="1" ref="AI20" ca="1">CELL("protect",K20)</f>
        <v>0</v>
      </c>
      <c r="AJ20" s="7" cm="1">
        <f t="array" aca="1" ref="AJ20" ca="1">CELL("protect",L20)</f>
        <v>0</v>
      </c>
      <c r="AK20" s="7"/>
      <c r="AL20" s="7"/>
      <c r="AM20" s="7"/>
    </row>
    <row r="21" spans="1:39">
      <c r="A21" s="129">
        <f>ROW()</f>
        <v>21</v>
      </c>
      <c r="B21" s="400"/>
      <c r="C21" s="395"/>
      <c r="D21" s="395"/>
      <c r="E21" s="1454"/>
      <c r="F21" s="910"/>
      <c r="G21" s="857"/>
      <c r="H21" s="530"/>
      <c r="I21" s="530"/>
      <c r="J21" s="530"/>
      <c r="K21" s="530"/>
      <c r="L21" s="530"/>
      <c r="N21" s="343"/>
      <c r="Y21" s="7" cm="1">
        <f t="array" aca="1" ref="Y21" ca="1">CELL("protect",A21)</f>
        <v>1</v>
      </c>
      <c r="Z21" s="7" cm="1">
        <f t="array" aca="1" ref="Z21" ca="1">CELL("protect",B21)</f>
        <v>0</v>
      </c>
      <c r="AA21" s="7" cm="1">
        <f t="array" aca="1" ref="AA21" ca="1">CELL("protect",C21)</f>
        <v>0</v>
      </c>
      <c r="AB21" s="7" cm="1">
        <f t="array" aca="1" ref="AB21" ca="1">CELL("protect",D21)</f>
        <v>0</v>
      </c>
      <c r="AC21" s="7" cm="1">
        <f t="array" aca="1" ref="AC21" ca="1">CELL("protect",E21)</f>
        <v>0</v>
      </c>
      <c r="AD21" s="7" cm="1">
        <f t="array" aca="1" ref="AD21" ca="1">CELL("protect",F21)</f>
        <v>0</v>
      </c>
      <c r="AE21" s="7" cm="1">
        <f t="array" aca="1" ref="AE21" ca="1">CELL("protect",G21)</f>
        <v>0</v>
      </c>
      <c r="AF21" s="7" cm="1">
        <f t="array" aca="1" ref="AF21" ca="1">CELL("protect",H21)</f>
        <v>0</v>
      </c>
      <c r="AG21" s="7" cm="1">
        <f t="array" aca="1" ref="AG21" ca="1">CELL("protect",I21)</f>
        <v>0</v>
      </c>
      <c r="AH21" s="7" cm="1">
        <f t="array" aca="1" ref="AH21" ca="1">CELL("protect",J21)</f>
        <v>0</v>
      </c>
      <c r="AI21" s="7" cm="1">
        <f t="array" aca="1" ref="AI21" ca="1">CELL("protect",K21)</f>
        <v>0</v>
      </c>
      <c r="AJ21" s="7" cm="1">
        <f t="array" aca="1" ref="AJ21" ca="1">CELL("protect",L21)</f>
        <v>0</v>
      </c>
      <c r="AK21" s="7"/>
      <c r="AL21" s="7"/>
      <c r="AM21" s="7"/>
    </row>
    <row r="22" spans="1:39">
      <c r="A22" s="129">
        <f>ROW()</f>
        <v>22</v>
      </c>
      <c r="B22" s="467" t="s">
        <v>1013</v>
      </c>
      <c r="C22" s="906"/>
      <c r="D22" s="906"/>
      <c r="E22" s="1456"/>
      <c r="F22" s="911"/>
      <c r="G22" s="878"/>
      <c r="H22" s="879"/>
      <c r="I22" s="879"/>
      <c r="J22" s="879"/>
      <c r="K22" s="879"/>
      <c r="L22" s="879"/>
      <c r="N22" s="343"/>
      <c r="Y22" s="7"/>
      <c r="Z22" s="7"/>
      <c r="AA22" s="7"/>
      <c r="AB22" s="7"/>
      <c r="AC22" s="7"/>
      <c r="AD22" s="7"/>
      <c r="AE22" s="7"/>
      <c r="AF22" s="7"/>
      <c r="AG22" s="7"/>
      <c r="AH22" s="7"/>
      <c r="AI22" s="7"/>
      <c r="AJ22" s="7"/>
      <c r="AK22" s="7"/>
      <c r="AL22" s="7"/>
      <c r="AM22" s="7"/>
    </row>
    <row r="23" spans="1:39">
      <c r="A23" s="129">
        <f>ROW()</f>
        <v>23</v>
      </c>
      <c r="B23" s="907" t="s">
        <v>1014</v>
      </c>
      <c r="C23" s="473" t="s">
        <v>1015</v>
      </c>
      <c r="D23" s="256">
        <v>0</v>
      </c>
      <c r="E23" s="1457">
        <f t="shared" ref="E23" si="5">SUM(F23:L23)</f>
        <v>0</v>
      </c>
      <c r="F23" s="909">
        <v>0</v>
      </c>
      <c r="G23" s="856">
        <v>0</v>
      </c>
      <c r="H23" s="461">
        <v>0</v>
      </c>
      <c r="I23" s="461">
        <v>0</v>
      </c>
      <c r="J23" s="461">
        <v>0</v>
      </c>
      <c r="K23" s="461">
        <v>0</v>
      </c>
      <c r="L23" s="461">
        <v>0</v>
      </c>
      <c r="N23" s="343"/>
      <c r="Y23" s="7"/>
      <c r="Z23" s="7"/>
      <c r="AA23" s="7"/>
      <c r="AB23" s="7"/>
      <c r="AC23" s="7"/>
      <c r="AD23" s="7"/>
      <c r="AE23" s="7"/>
      <c r="AF23" s="7"/>
      <c r="AG23" s="7"/>
      <c r="AH23" s="7"/>
      <c r="AI23" s="7"/>
      <c r="AJ23" s="7"/>
      <c r="AK23" s="7"/>
      <c r="AL23" s="7"/>
      <c r="AM23" s="7"/>
    </row>
    <row r="24" spans="1:39">
      <c r="A24" s="129">
        <f>ROW()</f>
        <v>24</v>
      </c>
      <c r="B24" s="907" t="s">
        <v>1016</v>
      </c>
      <c r="C24" s="906"/>
      <c r="D24" s="906"/>
      <c r="E24" s="854"/>
      <c r="F24" s="911"/>
      <c r="G24" s="878"/>
      <c r="H24" s="879"/>
      <c r="I24" s="879"/>
      <c r="J24" s="879"/>
      <c r="K24" s="879"/>
      <c r="L24" s="879"/>
      <c r="N24" s="343"/>
      <c r="Y24" s="7"/>
      <c r="Z24" s="7"/>
      <c r="AA24" s="7"/>
      <c r="AB24" s="7"/>
      <c r="AC24" s="7"/>
      <c r="AD24" s="7"/>
      <c r="AE24" s="7"/>
      <c r="AF24" s="7"/>
      <c r="AG24" s="7"/>
      <c r="AH24" s="7"/>
      <c r="AI24" s="7"/>
      <c r="AJ24" s="7"/>
      <c r="AK24" s="7"/>
      <c r="AL24" s="7"/>
      <c r="AM24" s="7"/>
    </row>
    <row r="25" spans="1:39">
      <c r="A25" s="129">
        <f>ROW()</f>
        <v>25</v>
      </c>
      <c r="B25" s="905"/>
      <c r="C25" s="906"/>
      <c r="D25" s="906"/>
      <c r="E25" s="854"/>
      <c r="F25" s="911"/>
      <c r="G25" s="878"/>
      <c r="H25" s="879"/>
      <c r="I25" s="879"/>
      <c r="J25" s="879"/>
      <c r="K25" s="879"/>
      <c r="L25" s="879"/>
      <c r="N25" s="343"/>
      <c r="Y25" s="7"/>
      <c r="Z25" s="7"/>
      <c r="AA25" s="7"/>
      <c r="AB25" s="7"/>
      <c r="AC25" s="7"/>
      <c r="AD25" s="7"/>
      <c r="AE25" s="7"/>
      <c r="AF25" s="7"/>
      <c r="AG25" s="7"/>
      <c r="AH25" s="7"/>
      <c r="AI25" s="7"/>
      <c r="AJ25" s="7"/>
      <c r="AK25" s="7"/>
      <c r="AL25" s="7"/>
      <c r="AM25" s="7"/>
    </row>
    <row r="26" spans="1:39">
      <c r="A26" s="129">
        <f>ROW()</f>
        <v>26</v>
      </c>
      <c r="B26" s="396" t="s">
        <v>1017</v>
      </c>
      <c r="C26" s="392"/>
      <c r="D26" s="392"/>
      <c r="E26" s="854"/>
      <c r="F26" s="911"/>
      <c r="G26" s="878"/>
      <c r="H26" s="879"/>
      <c r="I26" s="879"/>
      <c r="J26" s="879"/>
      <c r="K26" s="879"/>
      <c r="L26" s="879"/>
      <c r="N26" s="343"/>
      <c r="Y26" s="7" cm="1">
        <f t="array" aca="1" ref="Y26" ca="1">CELL("protect",A26)</f>
        <v>1</v>
      </c>
      <c r="Z26" s="7" cm="1">
        <f t="array" aca="1" ref="Z26" ca="1">CELL("protect",B26)</f>
        <v>0</v>
      </c>
      <c r="AA26" s="7" cm="1">
        <f t="array" aca="1" ref="AA26" ca="1">CELL("protect",C26)</f>
        <v>0</v>
      </c>
      <c r="AB26" s="7" cm="1">
        <f t="array" aca="1" ref="AB26" ca="1">CELL("protect",D26)</f>
        <v>0</v>
      </c>
      <c r="AC26" s="7" cm="1">
        <f t="array" aca="1" ref="AC26" ca="1">CELL("protect",E26)</f>
        <v>1</v>
      </c>
      <c r="AD26" s="7" cm="1">
        <f t="array" aca="1" ref="AD26" ca="1">CELL("protect",F26)</f>
        <v>0</v>
      </c>
      <c r="AE26" s="7" cm="1">
        <f t="array" aca="1" ref="AE26" ca="1">CELL("protect",G26)</f>
        <v>0</v>
      </c>
      <c r="AF26" s="7" cm="1">
        <f t="array" aca="1" ref="AF26" ca="1">CELL("protect",H26)</f>
        <v>0</v>
      </c>
      <c r="AG26" s="7" cm="1">
        <f t="array" aca="1" ref="AG26" ca="1">CELL("protect",I26)</f>
        <v>0</v>
      </c>
      <c r="AH26" s="7" cm="1">
        <f t="array" aca="1" ref="AH26" ca="1">CELL("protect",J26)</f>
        <v>0</v>
      </c>
      <c r="AI26" s="7" cm="1">
        <f t="array" aca="1" ref="AI26" ca="1">CELL("protect",K26)</f>
        <v>0</v>
      </c>
      <c r="AJ26" s="7" cm="1">
        <f t="array" aca="1" ref="AJ26" ca="1">CELL("protect",L26)</f>
        <v>0</v>
      </c>
      <c r="AK26" s="7"/>
      <c r="AL26" s="7"/>
      <c r="AM26" s="7"/>
    </row>
    <row r="27" spans="1:39">
      <c r="A27" s="129">
        <f>ROW()</f>
        <v>27</v>
      </c>
      <c r="B27" s="252" t="s">
        <v>1018</v>
      </c>
      <c r="C27" s="391"/>
      <c r="D27" s="391"/>
      <c r="E27" s="1453">
        <f t="shared" si="0"/>
        <v>0</v>
      </c>
      <c r="F27" s="912">
        <v>0</v>
      </c>
      <c r="G27" s="880">
        <f t="shared" si="1"/>
        <v>0</v>
      </c>
      <c r="H27" s="881">
        <f t="shared" si="2"/>
        <v>0</v>
      </c>
      <c r="I27" s="881">
        <f t="shared" si="2"/>
        <v>0</v>
      </c>
      <c r="J27" s="881">
        <f t="shared" si="2"/>
        <v>0</v>
      </c>
      <c r="K27" s="881">
        <f t="shared" si="2"/>
        <v>0</v>
      </c>
      <c r="L27" s="881">
        <f t="shared" si="2"/>
        <v>0</v>
      </c>
      <c r="N27" s="343"/>
      <c r="Y27" s="7" cm="1">
        <f t="array" aca="1" ref="Y27" ca="1">CELL("protect",A27)</f>
        <v>1</v>
      </c>
      <c r="Z27" s="7" cm="1">
        <f t="array" aca="1" ref="Z27" ca="1">CELL("protect",B27)</f>
        <v>0</v>
      </c>
      <c r="AA27" s="7" cm="1">
        <f t="array" aca="1" ref="AA27" ca="1">CELL("protect",C27)</f>
        <v>0</v>
      </c>
      <c r="AB27" s="7" cm="1">
        <f t="array" aca="1" ref="AB27" ca="1">CELL("protect",D27)</f>
        <v>0</v>
      </c>
      <c r="AC27" s="7" cm="1">
        <f t="array" aca="1" ref="AC27" ca="1">CELL("protect",E27)</f>
        <v>0</v>
      </c>
      <c r="AD27" s="7" cm="1">
        <f t="array" aca="1" ref="AD27" ca="1">CELL("protect",F27)</f>
        <v>0</v>
      </c>
      <c r="AE27" s="7" cm="1">
        <f t="array" aca="1" ref="AE27" ca="1">CELL("protect",G27)</f>
        <v>0</v>
      </c>
      <c r="AF27" s="7" cm="1">
        <f t="array" aca="1" ref="AF27" ca="1">CELL("protect",H27)</f>
        <v>0</v>
      </c>
      <c r="AG27" s="7" cm="1">
        <f t="array" aca="1" ref="AG27" ca="1">CELL("protect",I27)</f>
        <v>0</v>
      </c>
      <c r="AH27" s="7" cm="1">
        <f t="array" aca="1" ref="AH27" ca="1">CELL("protect",J27)</f>
        <v>0</v>
      </c>
      <c r="AI27" s="7" cm="1">
        <f t="array" aca="1" ref="AI27" ca="1">CELL("protect",K27)</f>
        <v>0</v>
      </c>
      <c r="AJ27" s="7" cm="1">
        <f t="array" aca="1" ref="AJ27" ca="1">CELL("protect",L27)</f>
        <v>0</v>
      </c>
      <c r="AK27" s="7"/>
      <c r="AL27" s="7"/>
      <c r="AM27" s="7"/>
    </row>
    <row r="28" spans="1:39">
      <c r="A28" s="129">
        <f>ROW()</f>
        <v>28</v>
      </c>
      <c r="B28" s="257" t="s">
        <v>1019</v>
      </c>
      <c r="C28" s="256">
        <v>0</v>
      </c>
      <c r="D28" s="256"/>
      <c r="E28" s="1454">
        <f t="shared" si="0"/>
        <v>0</v>
      </c>
      <c r="F28" s="909">
        <v>0</v>
      </c>
      <c r="G28" s="856">
        <f t="shared" si="1"/>
        <v>0</v>
      </c>
      <c r="H28" s="461">
        <f t="shared" si="2"/>
        <v>0</v>
      </c>
      <c r="I28" s="461">
        <f t="shared" si="2"/>
        <v>0</v>
      </c>
      <c r="J28" s="461">
        <f t="shared" si="2"/>
        <v>0</v>
      </c>
      <c r="K28" s="461">
        <f t="shared" si="2"/>
        <v>0</v>
      </c>
      <c r="L28" s="461">
        <f t="shared" si="2"/>
        <v>0</v>
      </c>
      <c r="N28" s="343"/>
      <c r="Y28" s="7" cm="1">
        <f t="array" aca="1" ref="Y28" ca="1">CELL("protect",A28)</f>
        <v>1</v>
      </c>
      <c r="Z28" s="7" cm="1">
        <f t="array" aca="1" ref="Z28" ca="1">CELL("protect",B28)</f>
        <v>0</v>
      </c>
      <c r="AA28" s="7" cm="1">
        <f t="array" aca="1" ref="AA28" ca="1">CELL("protect",C28)</f>
        <v>0</v>
      </c>
      <c r="AB28" s="7" cm="1">
        <f t="array" aca="1" ref="AB28" ca="1">CELL("protect",D28)</f>
        <v>0</v>
      </c>
      <c r="AC28" s="7" cm="1">
        <f t="array" aca="1" ref="AC28" ca="1">CELL("protect",E28)</f>
        <v>0</v>
      </c>
      <c r="AD28" s="7" cm="1">
        <f t="array" aca="1" ref="AD28" ca="1">CELL("protect",F28)</f>
        <v>0</v>
      </c>
      <c r="AE28" s="7" cm="1">
        <f t="array" aca="1" ref="AE28" ca="1">CELL("protect",G28)</f>
        <v>0</v>
      </c>
      <c r="AF28" s="7" cm="1">
        <f t="array" aca="1" ref="AF28" ca="1">CELL("protect",H28)</f>
        <v>0</v>
      </c>
      <c r="AG28" s="7" cm="1">
        <f t="array" aca="1" ref="AG28" ca="1">CELL("protect",I28)</f>
        <v>0</v>
      </c>
      <c r="AH28" s="7" cm="1">
        <f t="array" aca="1" ref="AH28" ca="1">CELL("protect",J28)</f>
        <v>0</v>
      </c>
      <c r="AI28" s="7" cm="1">
        <f t="array" aca="1" ref="AI28" ca="1">CELL("protect",K28)</f>
        <v>0</v>
      </c>
      <c r="AJ28" s="7" cm="1">
        <f t="array" aca="1" ref="AJ28" ca="1">CELL("protect",L28)</f>
        <v>0</v>
      </c>
      <c r="AK28" s="7"/>
      <c r="AL28" s="7"/>
      <c r="AM28" s="7"/>
    </row>
    <row r="29" spans="1:39">
      <c r="A29" s="129">
        <f>ROW()</f>
        <v>29</v>
      </c>
      <c r="B29" s="1652" t="s">
        <v>1020</v>
      </c>
      <c r="C29" s="256">
        <v>0</v>
      </c>
      <c r="D29" s="256">
        <v>69579</v>
      </c>
      <c r="E29" s="1454">
        <f t="shared" si="0"/>
        <v>590528.87100900023</v>
      </c>
      <c r="F29" s="909"/>
      <c r="G29" s="856">
        <f>SUM(D29*1.1)</f>
        <v>76536.900000000009</v>
      </c>
      <c r="H29" s="461">
        <f t="shared" ref="H29:L29" si="6">SUM(G29*1.1)</f>
        <v>84190.590000000011</v>
      </c>
      <c r="I29" s="461">
        <f t="shared" si="6"/>
        <v>92609.649000000019</v>
      </c>
      <c r="J29" s="461">
        <f t="shared" si="6"/>
        <v>101870.61390000003</v>
      </c>
      <c r="K29" s="461">
        <f t="shared" si="6"/>
        <v>112057.67529000004</v>
      </c>
      <c r="L29" s="461">
        <f t="shared" si="6"/>
        <v>123263.44281900006</v>
      </c>
      <c r="N29" s="343" t="s">
        <v>1614</v>
      </c>
      <c r="Y29" s="7" cm="1">
        <f t="array" aca="1" ref="Y29" ca="1">CELL("protect",A29)</f>
        <v>1</v>
      </c>
      <c r="Z29" s="7" cm="1">
        <f t="array" aca="1" ref="Z29" ca="1">CELL("protect",B29)</f>
        <v>0</v>
      </c>
      <c r="AA29" s="7" cm="1">
        <f t="array" aca="1" ref="AA29" ca="1">CELL("protect",C29)</f>
        <v>0</v>
      </c>
      <c r="AB29" s="7" cm="1">
        <f t="array" aca="1" ref="AB29" ca="1">CELL("protect",D29)</f>
        <v>0</v>
      </c>
      <c r="AC29" s="7" cm="1">
        <f t="array" aca="1" ref="AC29" ca="1">CELL("protect",E29)</f>
        <v>0</v>
      </c>
      <c r="AD29" s="7" cm="1">
        <f t="array" aca="1" ref="AD29" ca="1">CELL("protect",F29)</f>
        <v>0</v>
      </c>
      <c r="AE29" s="7" cm="1">
        <f t="array" aca="1" ref="AE29" ca="1">CELL("protect",G29)</f>
        <v>0</v>
      </c>
      <c r="AF29" s="7" cm="1">
        <f t="array" aca="1" ref="AF29" ca="1">CELL("protect",H29)</f>
        <v>0</v>
      </c>
      <c r="AG29" s="7" cm="1">
        <f t="array" aca="1" ref="AG29" ca="1">CELL("protect",I29)</f>
        <v>0</v>
      </c>
      <c r="AH29" s="7" cm="1">
        <f t="array" aca="1" ref="AH29" ca="1">CELL("protect",J29)</f>
        <v>0</v>
      </c>
      <c r="AI29" s="7" cm="1">
        <f t="array" aca="1" ref="AI29" ca="1">CELL("protect",K29)</f>
        <v>0</v>
      </c>
      <c r="AJ29" s="7" cm="1">
        <f t="array" aca="1" ref="AJ29" ca="1">CELL("protect",L29)</f>
        <v>0</v>
      </c>
      <c r="AK29" s="7"/>
      <c r="AL29" s="7"/>
      <c r="AM29" s="7"/>
    </row>
    <row r="30" spans="1:39">
      <c r="A30" s="129">
        <f>ROW()</f>
        <v>30</v>
      </c>
      <c r="B30" s="1652" t="s">
        <v>1021</v>
      </c>
      <c r="C30" s="256">
        <v>0</v>
      </c>
      <c r="D30" s="256"/>
      <c r="E30" s="1454">
        <f t="shared" si="0"/>
        <v>0</v>
      </c>
      <c r="F30" s="909">
        <v>0</v>
      </c>
      <c r="G30" s="856">
        <f t="shared" si="1"/>
        <v>0</v>
      </c>
      <c r="H30" s="461">
        <f t="shared" ref="H30:L39" si="7">+$D30</f>
        <v>0</v>
      </c>
      <c r="I30" s="461">
        <f t="shared" si="7"/>
        <v>0</v>
      </c>
      <c r="J30" s="461">
        <f t="shared" si="7"/>
        <v>0</v>
      </c>
      <c r="K30" s="461">
        <f t="shared" si="7"/>
        <v>0</v>
      </c>
      <c r="L30" s="461">
        <f t="shared" si="7"/>
        <v>0</v>
      </c>
      <c r="N30" s="343"/>
      <c r="Y30" s="7" cm="1">
        <f t="array" aca="1" ref="Y30" ca="1">CELL("protect",A30)</f>
        <v>1</v>
      </c>
      <c r="Z30" s="7" cm="1">
        <f t="array" aca="1" ref="Z30" ca="1">CELL("protect",B30)</f>
        <v>0</v>
      </c>
      <c r="AA30" s="7" cm="1">
        <f t="array" aca="1" ref="AA30" ca="1">CELL("protect",C30)</f>
        <v>0</v>
      </c>
      <c r="AB30" s="7" cm="1">
        <f t="array" aca="1" ref="AB30" ca="1">CELL("protect",D30)</f>
        <v>0</v>
      </c>
      <c r="AC30" s="7" cm="1">
        <f t="array" aca="1" ref="AC30" ca="1">CELL("protect",E30)</f>
        <v>0</v>
      </c>
      <c r="AD30" s="7" cm="1">
        <f t="array" aca="1" ref="AD30" ca="1">CELL("protect",F30)</f>
        <v>0</v>
      </c>
      <c r="AE30" s="7" cm="1">
        <f t="array" aca="1" ref="AE30" ca="1">CELL("protect",G30)</f>
        <v>0</v>
      </c>
      <c r="AF30" s="7" cm="1">
        <f t="array" aca="1" ref="AF30" ca="1">CELL("protect",H30)</f>
        <v>0</v>
      </c>
      <c r="AG30" s="7" cm="1">
        <f t="array" aca="1" ref="AG30" ca="1">CELL("protect",I30)</f>
        <v>0</v>
      </c>
      <c r="AH30" s="7" cm="1">
        <f t="array" aca="1" ref="AH30" ca="1">CELL("protect",J30)</f>
        <v>0</v>
      </c>
      <c r="AI30" s="7" cm="1">
        <f t="array" aca="1" ref="AI30" ca="1">CELL("protect",K30)</f>
        <v>0</v>
      </c>
      <c r="AJ30" s="7" cm="1">
        <f t="array" aca="1" ref="AJ30" ca="1">CELL("protect",L30)</f>
        <v>0</v>
      </c>
      <c r="AK30" s="7"/>
      <c r="AL30" s="7"/>
      <c r="AM30" s="7"/>
    </row>
    <row r="31" spans="1:39">
      <c r="A31" s="129">
        <f>ROW()</f>
        <v>31</v>
      </c>
      <c r="B31" s="1652" t="s">
        <v>1022</v>
      </c>
      <c r="C31" s="256">
        <v>0</v>
      </c>
      <c r="D31" s="256"/>
      <c r="E31" s="1454">
        <f t="shared" si="0"/>
        <v>0</v>
      </c>
      <c r="F31" s="909">
        <v>0</v>
      </c>
      <c r="G31" s="856">
        <f t="shared" si="1"/>
        <v>0</v>
      </c>
      <c r="H31" s="461">
        <f t="shared" si="7"/>
        <v>0</v>
      </c>
      <c r="I31" s="461">
        <f t="shared" si="7"/>
        <v>0</v>
      </c>
      <c r="J31" s="461">
        <f t="shared" si="7"/>
        <v>0</v>
      </c>
      <c r="K31" s="461">
        <f t="shared" si="7"/>
        <v>0</v>
      </c>
      <c r="L31" s="461">
        <f t="shared" si="7"/>
        <v>0</v>
      </c>
      <c r="N31" s="343"/>
      <c r="Y31" s="7" cm="1">
        <f t="array" aca="1" ref="Y31" ca="1">CELL("protect",A31)</f>
        <v>1</v>
      </c>
      <c r="Z31" s="7" cm="1">
        <f t="array" aca="1" ref="Z31" ca="1">CELL("protect",B31)</f>
        <v>0</v>
      </c>
      <c r="AA31" s="7" cm="1">
        <f t="array" aca="1" ref="AA31" ca="1">CELL("protect",C31)</f>
        <v>0</v>
      </c>
      <c r="AB31" s="7" cm="1">
        <f t="array" aca="1" ref="AB31" ca="1">CELL("protect",D31)</f>
        <v>0</v>
      </c>
      <c r="AC31" s="7" cm="1">
        <f t="array" aca="1" ref="AC31" ca="1">CELL("protect",E31)</f>
        <v>0</v>
      </c>
      <c r="AD31" s="7" cm="1">
        <f t="array" aca="1" ref="AD31" ca="1">CELL("protect",F31)</f>
        <v>0</v>
      </c>
      <c r="AE31" s="7" cm="1">
        <f t="array" aca="1" ref="AE31" ca="1">CELL("protect",G31)</f>
        <v>0</v>
      </c>
      <c r="AF31" s="7" cm="1">
        <f t="array" aca="1" ref="AF31" ca="1">CELL("protect",H31)</f>
        <v>0</v>
      </c>
      <c r="AG31" s="7" cm="1">
        <f t="array" aca="1" ref="AG31" ca="1">CELL("protect",I31)</f>
        <v>0</v>
      </c>
      <c r="AH31" s="7" cm="1">
        <f t="array" aca="1" ref="AH31" ca="1">CELL("protect",J31)</f>
        <v>0</v>
      </c>
      <c r="AI31" s="7" cm="1">
        <f t="array" aca="1" ref="AI31" ca="1">CELL("protect",K31)</f>
        <v>0</v>
      </c>
      <c r="AJ31" s="7" cm="1">
        <f t="array" aca="1" ref="AJ31" ca="1">CELL("protect",L31)</f>
        <v>0</v>
      </c>
      <c r="AK31" s="7"/>
      <c r="AL31" s="7"/>
      <c r="AM31" s="7"/>
    </row>
    <row r="32" spans="1:39">
      <c r="A32" s="129">
        <f>ROW()</f>
        <v>32</v>
      </c>
      <c r="B32" s="1652" t="s">
        <v>1023</v>
      </c>
      <c r="C32" s="256">
        <v>0</v>
      </c>
      <c r="D32" s="256"/>
      <c r="E32" s="1454">
        <f t="shared" si="0"/>
        <v>0</v>
      </c>
      <c r="F32" s="909">
        <v>0</v>
      </c>
      <c r="G32" s="856">
        <f t="shared" si="1"/>
        <v>0</v>
      </c>
      <c r="H32" s="461">
        <f t="shared" si="7"/>
        <v>0</v>
      </c>
      <c r="I32" s="461">
        <f t="shared" si="7"/>
        <v>0</v>
      </c>
      <c r="J32" s="461">
        <f t="shared" si="7"/>
        <v>0</v>
      </c>
      <c r="K32" s="461">
        <f t="shared" si="7"/>
        <v>0</v>
      </c>
      <c r="L32" s="461">
        <f t="shared" si="7"/>
        <v>0</v>
      </c>
      <c r="N32" s="343"/>
      <c r="Y32" s="7" cm="1">
        <f t="array" aca="1" ref="Y32" ca="1">CELL("protect",A32)</f>
        <v>1</v>
      </c>
      <c r="Z32" s="7" cm="1">
        <f t="array" aca="1" ref="Z32" ca="1">CELL("protect",B32)</f>
        <v>0</v>
      </c>
      <c r="AA32" s="7" cm="1">
        <f t="array" aca="1" ref="AA32" ca="1">CELL("protect",C32)</f>
        <v>0</v>
      </c>
      <c r="AB32" s="7" cm="1">
        <f t="array" aca="1" ref="AB32" ca="1">CELL("protect",D32)</f>
        <v>0</v>
      </c>
      <c r="AC32" s="7" cm="1">
        <f t="array" aca="1" ref="AC32" ca="1">CELL("protect",E32)</f>
        <v>0</v>
      </c>
      <c r="AD32" s="7" cm="1">
        <f t="array" aca="1" ref="AD32" ca="1">CELL("protect",F32)</f>
        <v>0</v>
      </c>
      <c r="AE32" s="7" cm="1">
        <f t="array" aca="1" ref="AE32" ca="1">CELL("protect",G32)</f>
        <v>0</v>
      </c>
      <c r="AF32" s="7" cm="1">
        <f t="array" aca="1" ref="AF32" ca="1">CELL("protect",H32)</f>
        <v>0</v>
      </c>
      <c r="AG32" s="7" cm="1">
        <f t="array" aca="1" ref="AG32" ca="1">CELL("protect",I32)</f>
        <v>0</v>
      </c>
      <c r="AH32" s="7" cm="1">
        <f t="array" aca="1" ref="AH32" ca="1">CELL("protect",J32)</f>
        <v>0</v>
      </c>
      <c r="AI32" s="7" cm="1">
        <f t="array" aca="1" ref="AI32" ca="1">CELL("protect",K32)</f>
        <v>0</v>
      </c>
      <c r="AJ32" s="7" cm="1">
        <f t="array" aca="1" ref="AJ32" ca="1">CELL("protect",L32)</f>
        <v>0</v>
      </c>
      <c r="AK32" s="7"/>
      <c r="AL32" s="7"/>
      <c r="AM32" s="7"/>
    </row>
    <row r="33" spans="1:39">
      <c r="A33" s="129">
        <f>ROW()</f>
        <v>33</v>
      </c>
      <c r="B33" s="1652" t="s">
        <v>1024</v>
      </c>
      <c r="C33" s="256">
        <v>0</v>
      </c>
      <c r="D33" s="256">
        <v>0</v>
      </c>
      <c r="E33" s="1454">
        <f t="shared" si="0"/>
        <v>0</v>
      </c>
      <c r="F33" s="909">
        <v>0</v>
      </c>
      <c r="G33" s="856">
        <f t="shared" si="1"/>
        <v>0</v>
      </c>
      <c r="H33" s="461">
        <f t="shared" si="7"/>
        <v>0</v>
      </c>
      <c r="I33" s="461">
        <f t="shared" si="7"/>
        <v>0</v>
      </c>
      <c r="J33" s="461">
        <f t="shared" si="7"/>
        <v>0</v>
      </c>
      <c r="K33" s="461">
        <f t="shared" si="7"/>
        <v>0</v>
      </c>
      <c r="L33" s="461">
        <f t="shared" si="7"/>
        <v>0</v>
      </c>
      <c r="N33" s="343"/>
      <c r="Y33" s="7" cm="1">
        <f t="array" aca="1" ref="Y33" ca="1">CELL("protect",A33)</f>
        <v>1</v>
      </c>
      <c r="Z33" s="7" cm="1">
        <f t="array" aca="1" ref="Z33" ca="1">CELL("protect",B33)</f>
        <v>0</v>
      </c>
      <c r="AA33" s="7" cm="1">
        <f t="array" aca="1" ref="AA33" ca="1">CELL("protect",C33)</f>
        <v>0</v>
      </c>
      <c r="AB33" s="7" cm="1">
        <f t="array" aca="1" ref="AB33" ca="1">CELL("protect",D33)</f>
        <v>0</v>
      </c>
      <c r="AC33" s="7" cm="1">
        <f t="array" aca="1" ref="AC33" ca="1">CELL("protect",E33)</f>
        <v>0</v>
      </c>
      <c r="AD33" s="7" cm="1">
        <f t="array" aca="1" ref="AD33" ca="1">CELL("protect",F33)</f>
        <v>0</v>
      </c>
      <c r="AE33" s="7" cm="1">
        <f t="array" aca="1" ref="AE33" ca="1">CELL("protect",G33)</f>
        <v>0</v>
      </c>
      <c r="AF33" s="7" cm="1">
        <f t="array" aca="1" ref="AF33" ca="1">CELL("protect",H33)</f>
        <v>0</v>
      </c>
      <c r="AG33" s="7" cm="1">
        <f t="array" aca="1" ref="AG33" ca="1">CELL("protect",I33)</f>
        <v>0</v>
      </c>
      <c r="AH33" s="7" cm="1">
        <f t="array" aca="1" ref="AH33" ca="1">CELL("protect",J33)</f>
        <v>0</v>
      </c>
      <c r="AI33" s="7" cm="1">
        <f t="array" aca="1" ref="AI33" ca="1">CELL("protect",K33)</f>
        <v>0</v>
      </c>
      <c r="AJ33" s="7" cm="1">
        <f t="array" aca="1" ref="AJ33" ca="1">CELL("protect",L33)</f>
        <v>0</v>
      </c>
      <c r="AK33" s="7"/>
      <c r="AL33" s="7"/>
      <c r="AM33" s="7"/>
    </row>
    <row r="34" spans="1:39">
      <c r="A34" s="129">
        <f>ROW()</f>
        <v>34</v>
      </c>
      <c r="B34" s="1652" t="s">
        <v>1025</v>
      </c>
      <c r="C34" s="256">
        <v>0</v>
      </c>
      <c r="D34" s="256">
        <v>0</v>
      </c>
      <c r="E34" s="1454">
        <f t="shared" si="0"/>
        <v>0</v>
      </c>
      <c r="F34" s="909">
        <v>0</v>
      </c>
      <c r="G34" s="856">
        <f t="shared" si="1"/>
        <v>0</v>
      </c>
      <c r="H34" s="461">
        <f t="shared" si="7"/>
        <v>0</v>
      </c>
      <c r="I34" s="461">
        <f t="shared" si="7"/>
        <v>0</v>
      </c>
      <c r="J34" s="461">
        <f t="shared" si="7"/>
        <v>0</v>
      </c>
      <c r="K34" s="461">
        <f t="shared" si="7"/>
        <v>0</v>
      </c>
      <c r="L34" s="461">
        <f t="shared" si="7"/>
        <v>0</v>
      </c>
      <c r="N34" s="343"/>
      <c r="Y34" s="7" cm="1">
        <f t="array" aca="1" ref="Y34" ca="1">CELL("protect",A34)</f>
        <v>1</v>
      </c>
      <c r="Z34" s="7" cm="1">
        <f t="array" aca="1" ref="Z34" ca="1">CELL("protect",B34)</f>
        <v>0</v>
      </c>
      <c r="AA34" s="7" cm="1">
        <f t="array" aca="1" ref="AA34" ca="1">CELL("protect",C34)</f>
        <v>0</v>
      </c>
      <c r="AB34" s="7" cm="1">
        <f t="array" aca="1" ref="AB34" ca="1">CELL("protect",D34)</f>
        <v>0</v>
      </c>
      <c r="AC34" s="7" cm="1">
        <f t="array" aca="1" ref="AC34" ca="1">CELL("protect",E34)</f>
        <v>0</v>
      </c>
      <c r="AD34" s="7" cm="1">
        <f t="array" aca="1" ref="AD34" ca="1">CELL("protect",F34)</f>
        <v>0</v>
      </c>
      <c r="AE34" s="7" cm="1">
        <f t="array" aca="1" ref="AE34" ca="1">CELL("protect",G34)</f>
        <v>0</v>
      </c>
      <c r="AF34" s="7" cm="1">
        <f t="array" aca="1" ref="AF34" ca="1">CELL("protect",H34)</f>
        <v>0</v>
      </c>
      <c r="AG34" s="7" cm="1">
        <f t="array" aca="1" ref="AG34" ca="1">CELL("protect",I34)</f>
        <v>0</v>
      </c>
      <c r="AH34" s="7" cm="1">
        <f t="array" aca="1" ref="AH34" ca="1">CELL("protect",J34)</f>
        <v>0</v>
      </c>
      <c r="AI34" s="7" cm="1">
        <f t="array" aca="1" ref="AI34" ca="1">CELL("protect",K34)</f>
        <v>0</v>
      </c>
      <c r="AJ34" s="7" cm="1">
        <f t="array" aca="1" ref="AJ34" ca="1">CELL("protect",L34)</f>
        <v>0</v>
      </c>
      <c r="AK34" s="7"/>
      <c r="AL34" s="7"/>
      <c r="AM34" s="7"/>
    </row>
    <row r="35" spans="1:39">
      <c r="A35" s="129">
        <f>ROW()</f>
        <v>35</v>
      </c>
      <c r="B35" s="1652" t="s">
        <v>1026</v>
      </c>
      <c r="C35" s="256">
        <v>0</v>
      </c>
      <c r="D35" s="256">
        <v>0</v>
      </c>
      <c r="E35" s="1454">
        <f t="shared" si="0"/>
        <v>0</v>
      </c>
      <c r="F35" s="909">
        <v>0</v>
      </c>
      <c r="G35" s="856">
        <f t="shared" si="1"/>
        <v>0</v>
      </c>
      <c r="H35" s="461">
        <f t="shared" si="7"/>
        <v>0</v>
      </c>
      <c r="I35" s="461">
        <f t="shared" si="7"/>
        <v>0</v>
      </c>
      <c r="J35" s="461">
        <f t="shared" si="7"/>
        <v>0</v>
      </c>
      <c r="K35" s="461">
        <f t="shared" si="7"/>
        <v>0</v>
      </c>
      <c r="L35" s="461">
        <f t="shared" si="7"/>
        <v>0</v>
      </c>
      <c r="N35" s="343"/>
      <c r="Y35" s="7" cm="1">
        <f t="array" aca="1" ref="Y35" ca="1">CELL("protect",A35)</f>
        <v>1</v>
      </c>
      <c r="Z35" s="7" cm="1">
        <f t="array" aca="1" ref="Z35" ca="1">CELL("protect",B35)</f>
        <v>0</v>
      </c>
      <c r="AA35" s="7" cm="1">
        <f t="array" aca="1" ref="AA35" ca="1">CELL("protect",C35)</f>
        <v>0</v>
      </c>
      <c r="AB35" s="7" cm="1">
        <f t="array" aca="1" ref="AB35" ca="1">CELL("protect",D35)</f>
        <v>0</v>
      </c>
      <c r="AC35" s="7" cm="1">
        <f t="array" aca="1" ref="AC35" ca="1">CELL("protect",E35)</f>
        <v>0</v>
      </c>
      <c r="AD35" s="7" cm="1">
        <f t="array" aca="1" ref="AD35" ca="1">CELL("protect",F35)</f>
        <v>0</v>
      </c>
      <c r="AE35" s="7" cm="1">
        <f t="array" aca="1" ref="AE35" ca="1">CELL("protect",G35)</f>
        <v>0</v>
      </c>
      <c r="AF35" s="7" cm="1">
        <f t="array" aca="1" ref="AF35" ca="1">CELL("protect",H35)</f>
        <v>0</v>
      </c>
      <c r="AG35" s="7" cm="1">
        <f t="array" aca="1" ref="AG35" ca="1">CELL("protect",I35)</f>
        <v>0</v>
      </c>
      <c r="AH35" s="7" cm="1">
        <f t="array" aca="1" ref="AH35" ca="1">CELL("protect",J35)</f>
        <v>0</v>
      </c>
      <c r="AI35" s="7" cm="1">
        <f t="array" aca="1" ref="AI35" ca="1">CELL("protect",K35)</f>
        <v>0</v>
      </c>
      <c r="AJ35" s="7" cm="1">
        <f t="array" aca="1" ref="AJ35" ca="1">CELL("protect",L35)</f>
        <v>0</v>
      </c>
      <c r="AK35" s="7"/>
      <c r="AL35" s="7"/>
      <c r="AM35" s="7"/>
    </row>
    <row r="36" spans="1:39">
      <c r="A36" s="129">
        <f>ROW()</f>
        <v>36</v>
      </c>
      <c r="B36" s="1652" t="s">
        <v>1027</v>
      </c>
      <c r="C36" s="256">
        <v>0</v>
      </c>
      <c r="D36" s="256">
        <v>0</v>
      </c>
      <c r="E36" s="1454">
        <f t="shared" si="0"/>
        <v>0</v>
      </c>
      <c r="F36" s="909">
        <v>0</v>
      </c>
      <c r="G36" s="856">
        <f t="shared" si="1"/>
        <v>0</v>
      </c>
      <c r="H36" s="461">
        <f t="shared" si="7"/>
        <v>0</v>
      </c>
      <c r="I36" s="461">
        <f t="shared" si="7"/>
        <v>0</v>
      </c>
      <c r="J36" s="461">
        <f t="shared" si="7"/>
        <v>0</v>
      </c>
      <c r="K36" s="461">
        <f t="shared" si="7"/>
        <v>0</v>
      </c>
      <c r="L36" s="461">
        <f t="shared" si="7"/>
        <v>0</v>
      </c>
      <c r="N36" s="343"/>
      <c r="Y36" s="7" cm="1">
        <f t="array" aca="1" ref="Y36" ca="1">CELL("protect",A36)</f>
        <v>1</v>
      </c>
      <c r="Z36" s="7" cm="1">
        <f t="array" aca="1" ref="Z36" ca="1">CELL("protect",B36)</f>
        <v>0</v>
      </c>
      <c r="AA36" s="7" cm="1">
        <f t="array" aca="1" ref="AA36" ca="1">CELL("protect",C36)</f>
        <v>0</v>
      </c>
      <c r="AB36" s="7" cm="1">
        <f t="array" aca="1" ref="AB36" ca="1">CELL("protect",D36)</f>
        <v>0</v>
      </c>
      <c r="AC36" s="7" cm="1">
        <f t="array" aca="1" ref="AC36" ca="1">CELL("protect",E36)</f>
        <v>0</v>
      </c>
      <c r="AD36" s="7" cm="1">
        <f t="array" aca="1" ref="AD36" ca="1">CELL("protect",F36)</f>
        <v>0</v>
      </c>
      <c r="AE36" s="7" cm="1">
        <f t="array" aca="1" ref="AE36" ca="1">CELL("protect",G36)</f>
        <v>0</v>
      </c>
      <c r="AF36" s="7" cm="1">
        <f t="array" aca="1" ref="AF36" ca="1">CELL("protect",H36)</f>
        <v>0</v>
      </c>
      <c r="AG36" s="7" cm="1">
        <f t="array" aca="1" ref="AG36" ca="1">CELL("protect",I36)</f>
        <v>0</v>
      </c>
      <c r="AH36" s="7" cm="1">
        <f t="array" aca="1" ref="AH36" ca="1">CELL("protect",J36)</f>
        <v>0</v>
      </c>
      <c r="AI36" s="7" cm="1">
        <f t="array" aca="1" ref="AI36" ca="1">CELL("protect",K36)</f>
        <v>0</v>
      </c>
      <c r="AJ36" s="7" cm="1">
        <f t="array" aca="1" ref="AJ36" ca="1">CELL("protect",L36)</f>
        <v>0</v>
      </c>
      <c r="AK36" s="7"/>
      <c r="AL36" s="7"/>
      <c r="AM36" s="7"/>
    </row>
    <row r="37" spans="1:39">
      <c r="A37" s="129">
        <f>ROW()</f>
        <v>37</v>
      </c>
      <c r="B37" s="330" t="s">
        <v>1028</v>
      </c>
      <c r="C37" s="256">
        <v>0</v>
      </c>
      <c r="D37" s="256">
        <v>0</v>
      </c>
      <c r="E37" s="1454">
        <f t="shared" si="0"/>
        <v>0</v>
      </c>
      <c r="F37" s="909">
        <v>0</v>
      </c>
      <c r="G37" s="856">
        <f t="shared" si="1"/>
        <v>0</v>
      </c>
      <c r="H37" s="461">
        <f t="shared" si="7"/>
        <v>0</v>
      </c>
      <c r="I37" s="461">
        <f t="shared" si="7"/>
        <v>0</v>
      </c>
      <c r="J37" s="461">
        <f t="shared" si="7"/>
        <v>0</v>
      </c>
      <c r="K37" s="461">
        <f t="shared" si="7"/>
        <v>0</v>
      </c>
      <c r="L37" s="461">
        <f t="shared" si="7"/>
        <v>0</v>
      </c>
      <c r="N37" s="343"/>
      <c r="Y37" s="7" cm="1">
        <f t="array" aca="1" ref="Y37" ca="1">CELL("protect",A37)</f>
        <v>1</v>
      </c>
      <c r="Z37" s="7" cm="1">
        <f t="array" aca="1" ref="Z37" ca="1">CELL("protect",B37)</f>
        <v>0</v>
      </c>
      <c r="AA37" s="7" cm="1">
        <f t="array" aca="1" ref="AA37" ca="1">CELL("protect",C37)</f>
        <v>0</v>
      </c>
      <c r="AB37" s="7" cm="1">
        <f t="array" aca="1" ref="AB37" ca="1">CELL("protect",D37)</f>
        <v>0</v>
      </c>
      <c r="AC37" s="7" cm="1">
        <f t="array" aca="1" ref="AC37" ca="1">CELL("protect",E37)</f>
        <v>0</v>
      </c>
      <c r="AD37" s="7" cm="1">
        <f t="array" aca="1" ref="AD37" ca="1">CELL("protect",F37)</f>
        <v>0</v>
      </c>
      <c r="AE37" s="7" cm="1">
        <f t="array" aca="1" ref="AE37" ca="1">CELL("protect",G37)</f>
        <v>0</v>
      </c>
      <c r="AF37" s="7" cm="1">
        <f t="array" aca="1" ref="AF37" ca="1">CELL("protect",H37)</f>
        <v>0</v>
      </c>
      <c r="AG37" s="7" cm="1">
        <f t="array" aca="1" ref="AG37" ca="1">CELL("protect",I37)</f>
        <v>0</v>
      </c>
      <c r="AH37" s="7" cm="1">
        <f t="array" aca="1" ref="AH37" ca="1">CELL("protect",J37)</f>
        <v>0</v>
      </c>
      <c r="AI37" s="7" cm="1">
        <f t="array" aca="1" ref="AI37" ca="1">CELL("protect",K37)</f>
        <v>0</v>
      </c>
      <c r="AJ37" s="7" cm="1">
        <f t="array" aca="1" ref="AJ37" ca="1">CELL("protect",L37)</f>
        <v>0</v>
      </c>
      <c r="AK37" s="7"/>
      <c r="AL37" s="7"/>
      <c r="AM37" s="7"/>
    </row>
    <row r="38" spans="1:39">
      <c r="A38" s="129">
        <f>ROW()</f>
        <v>38</v>
      </c>
      <c r="B38" s="330" t="s">
        <v>1029</v>
      </c>
      <c r="C38" s="256">
        <v>0</v>
      </c>
      <c r="D38" s="256">
        <v>0</v>
      </c>
      <c r="E38" s="1454">
        <f t="shared" si="0"/>
        <v>0</v>
      </c>
      <c r="F38" s="909">
        <v>0</v>
      </c>
      <c r="G38" s="856">
        <f t="shared" si="1"/>
        <v>0</v>
      </c>
      <c r="H38" s="461">
        <f t="shared" si="7"/>
        <v>0</v>
      </c>
      <c r="I38" s="461">
        <f t="shared" si="7"/>
        <v>0</v>
      </c>
      <c r="J38" s="461">
        <f t="shared" si="7"/>
        <v>0</v>
      </c>
      <c r="K38" s="461">
        <f t="shared" si="7"/>
        <v>0</v>
      </c>
      <c r="L38" s="461">
        <f t="shared" si="7"/>
        <v>0</v>
      </c>
      <c r="N38" s="343"/>
      <c r="Y38" s="7" cm="1">
        <f t="array" aca="1" ref="Y38" ca="1">CELL("protect",A38)</f>
        <v>1</v>
      </c>
      <c r="Z38" s="7" cm="1">
        <f t="array" aca="1" ref="Z38" ca="1">CELL("protect",B38)</f>
        <v>0</v>
      </c>
      <c r="AA38" s="7" cm="1">
        <f t="array" aca="1" ref="AA38" ca="1">CELL("protect",C38)</f>
        <v>0</v>
      </c>
      <c r="AB38" s="7" cm="1">
        <f t="array" aca="1" ref="AB38" ca="1">CELL("protect",D38)</f>
        <v>0</v>
      </c>
      <c r="AC38" s="7" cm="1">
        <f t="array" aca="1" ref="AC38" ca="1">CELL("protect",E38)</f>
        <v>0</v>
      </c>
      <c r="AD38" s="7" cm="1">
        <f t="array" aca="1" ref="AD38" ca="1">CELL("protect",F38)</f>
        <v>0</v>
      </c>
      <c r="AE38" s="7" cm="1">
        <f t="array" aca="1" ref="AE38" ca="1">CELL("protect",G38)</f>
        <v>0</v>
      </c>
      <c r="AF38" s="7" cm="1">
        <f t="array" aca="1" ref="AF38" ca="1">CELL("protect",H38)</f>
        <v>0</v>
      </c>
      <c r="AG38" s="7" cm="1">
        <f t="array" aca="1" ref="AG38" ca="1">CELL("protect",I38)</f>
        <v>0</v>
      </c>
      <c r="AH38" s="7" cm="1">
        <f t="array" aca="1" ref="AH38" ca="1">CELL("protect",J38)</f>
        <v>0</v>
      </c>
      <c r="AI38" s="7" cm="1">
        <f t="array" aca="1" ref="AI38" ca="1">CELL("protect",K38)</f>
        <v>0</v>
      </c>
      <c r="AJ38" s="7" cm="1">
        <f t="array" aca="1" ref="AJ38" ca="1">CELL("protect",L38)</f>
        <v>0</v>
      </c>
      <c r="AK38" s="7"/>
      <c r="AL38" s="7"/>
      <c r="AM38" s="7"/>
    </row>
    <row r="39" spans="1:39">
      <c r="A39" s="129">
        <f>ROW()</f>
        <v>39</v>
      </c>
      <c r="B39" s="1652" t="s">
        <v>1030</v>
      </c>
      <c r="C39" s="256">
        <v>0</v>
      </c>
      <c r="D39" s="256">
        <v>0</v>
      </c>
      <c r="E39" s="1454">
        <f t="shared" si="0"/>
        <v>0</v>
      </c>
      <c r="F39" s="909">
        <v>0</v>
      </c>
      <c r="G39" s="856">
        <f t="shared" si="1"/>
        <v>0</v>
      </c>
      <c r="H39" s="461">
        <f t="shared" si="7"/>
        <v>0</v>
      </c>
      <c r="I39" s="461">
        <f t="shared" si="7"/>
        <v>0</v>
      </c>
      <c r="J39" s="461">
        <f t="shared" si="7"/>
        <v>0</v>
      </c>
      <c r="K39" s="461">
        <f t="shared" si="7"/>
        <v>0</v>
      </c>
      <c r="L39" s="461">
        <f t="shared" si="7"/>
        <v>0</v>
      </c>
      <c r="N39" s="343"/>
      <c r="Y39" s="7" cm="1">
        <f t="array" aca="1" ref="Y39" ca="1">CELL("protect",A39)</f>
        <v>1</v>
      </c>
      <c r="Z39" s="7" cm="1">
        <f t="array" aca="1" ref="Z39" ca="1">CELL("protect",B39)</f>
        <v>0</v>
      </c>
      <c r="AA39" s="7" cm="1">
        <f t="array" aca="1" ref="AA39" ca="1">CELL("protect",C39)</f>
        <v>0</v>
      </c>
      <c r="AB39" s="7" cm="1">
        <f t="array" aca="1" ref="AB39" ca="1">CELL("protect",D39)</f>
        <v>0</v>
      </c>
      <c r="AC39" s="7" cm="1">
        <f t="array" aca="1" ref="AC39" ca="1">CELL("protect",E39)</f>
        <v>0</v>
      </c>
      <c r="AD39" s="7" cm="1">
        <f t="array" aca="1" ref="AD39" ca="1">CELL("protect",F39)</f>
        <v>0</v>
      </c>
      <c r="AE39" s="7" cm="1">
        <f t="array" aca="1" ref="AE39" ca="1">CELL("protect",G39)</f>
        <v>0</v>
      </c>
      <c r="AF39" s="7" cm="1">
        <f t="array" aca="1" ref="AF39" ca="1">CELL("protect",H39)</f>
        <v>0</v>
      </c>
      <c r="AG39" s="7" cm="1">
        <f t="array" aca="1" ref="AG39" ca="1">CELL("protect",I39)</f>
        <v>0</v>
      </c>
      <c r="AH39" s="7" cm="1">
        <f t="array" aca="1" ref="AH39" ca="1">CELL("protect",J39)</f>
        <v>0</v>
      </c>
      <c r="AI39" s="7" cm="1">
        <f t="array" aca="1" ref="AI39" ca="1">CELL("protect",K39)</f>
        <v>0</v>
      </c>
      <c r="AJ39" s="7" cm="1">
        <f t="array" aca="1" ref="AJ39" ca="1">CELL("protect",L39)</f>
        <v>0</v>
      </c>
      <c r="AK39" s="7"/>
      <c r="AL39" s="7"/>
      <c r="AM39" s="7"/>
    </row>
    <row r="40" spans="1:39">
      <c r="A40" s="129">
        <f>ROW()</f>
        <v>40</v>
      </c>
      <c r="B40" s="1652" t="s">
        <v>1031</v>
      </c>
      <c r="C40" s="256"/>
      <c r="D40" s="256"/>
      <c r="E40" s="1454">
        <f t="shared" si="0"/>
        <v>0</v>
      </c>
      <c r="F40" s="909">
        <v>0</v>
      </c>
      <c r="G40" s="856">
        <f t="shared" si="1"/>
        <v>0</v>
      </c>
      <c r="H40" s="461">
        <f t="shared" ref="H40:L41" si="8">+$D40</f>
        <v>0</v>
      </c>
      <c r="I40" s="461">
        <f t="shared" si="8"/>
        <v>0</v>
      </c>
      <c r="J40" s="461">
        <f t="shared" si="8"/>
        <v>0</v>
      </c>
      <c r="K40" s="461">
        <f t="shared" si="8"/>
        <v>0</v>
      </c>
      <c r="L40" s="461">
        <f t="shared" si="8"/>
        <v>0</v>
      </c>
      <c r="N40" s="343"/>
      <c r="Y40" s="7" cm="1">
        <f t="array" aca="1" ref="Y40" ca="1">CELL("protect",A40)</f>
        <v>1</v>
      </c>
      <c r="Z40" s="7" cm="1">
        <f t="array" aca="1" ref="Z40" ca="1">CELL("protect",B40)</f>
        <v>0</v>
      </c>
      <c r="AA40" s="7" cm="1">
        <f t="array" aca="1" ref="AA40" ca="1">CELL("protect",C40)</f>
        <v>0</v>
      </c>
      <c r="AB40" s="7" cm="1">
        <f t="array" aca="1" ref="AB40" ca="1">CELL("protect",D40)</f>
        <v>0</v>
      </c>
      <c r="AC40" s="7" cm="1">
        <f t="array" aca="1" ref="AC40" ca="1">CELL("protect",E40)</f>
        <v>0</v>
      </c>
      <c r="AD40" s="7" cm="1">
        <f t="array" aca="1" ref="AD40" ca="1">CELL("protect",F40)</f>
        <v>0</v>
      </c>
      <c r="AE40" s="7" cm="1">
        <f t="array" aca="1" ref="AE40" ca="1">CELL("protect",G40)</f>
        <v>0</v>
      </c>
      <c r="AF40" s="7" cm="1">
        <f t="array" aca="1" ref="AF40" ca="1">CELL("protect",H40)</f>
        <v>0</v>
      </c>
      <c r="AG40" s="7" cm="1">
        <f t="array" aca="1" ref="AG40" ca="1">CELL("protect",I40)</f>
        <v>0</v>
      </c>
      <c r="AH40" s="7" cm="1">
        <f t="array" aca="1" ref="AH40" ca="1">CELL("protect",J40)</f>
        <v>0</v>
      </c>
      <c r="AI40" s="7" cm="1">
        <f t="array" aca="1" ref="AI40" ca="1">CELL("protect",K40)</f>
        <v>0</v>
      </c>
      <c r="AJ40" s="7" cm="1">
        <f t="array" aca="1" ref="AJ40" ca="1">CELL("protect",L40)</f>
        <v>0</v>
      </c>
      <c r="AK40" s="7"/>
      <c r="AL40" s="7"/>
      <c r="AM40" s="7"/>
    </row>
    <row r="41" spans="1:39">
      <c r="A41" s="129">
        <f>ROW()</f>
        <v>41</v>
      </c>
      <c r="B41" s="1652"/>
      <c r="C41" s="258"/>
      <c r="D41" s="258"/>
      <c r="E41" s="1454">
        <f t="shared" si="0"/>
        <v>0</v>
      </c>
      <c r="F41" s="909">
        <v>0</v>
      </c>
      <c r="G41" s="856">
        <f t="shared" si="1"/>
        <v>0</v>
      </c>
      <c r="H41" s="461">
        <f t="shared" si="8"/>
        <v>0</v>
      </c>
      <c r="I41" s="461">
        <f t="shared" si="8"/>
        <v>0</v>
      </c>
      <c r="J41" s="461">
        <f t="shared" si="8"/>
        <v>0</v>
      </c>
      <c r="K41" s="461">
        <f t="shared" si="8"/>
        <v>0</v>
      </c>
      <c r="L41" s="461">
        <f t="shared" si="8"/>
        <v>0</v>
      </c>
      <c r="N41" s="343"/>
      <c r="Y41" s="7" cm="1">
        <f t="array" aca="1" ref="Y41" ca="1">CELL("protect",A41)</f>
        <v>1</v>
      </c>
      <c r="Z41" s="7" cm="1">
        <f t="array" aca="1" ref="Z41" ca="1">CELL("protect",B41)</f>
        <v>0</v>
      </c>
      <c r="AA41" s="7" cm="1">
        <f t="array" aca="1" ref="AA41" ca="1">CELL("protect",C41)</f>
        <v>0</v>
      </c>
      <c r="AB41" s="7" cm="1">
        <f t="array" aca="1" ref="AB41" ca="1">CELL("protect",D41)</f>
        <v>0</v>
      </c>
      <c r="AC41" s="7" cm="1">
        <f t="array" aca="1" ref="AC41" ca="1">CELL("protect",E41)</f>
        <v>0</v>
      </c>
      <c r="AD41" s="7" cm="1">
        <f t="array" aca="1" ref="AD41" ca="1">CELL("protect",F41)</f>
        <v>0</v>
      </c>
      <c r="AE41" s="7" cm="1">
        <f t="array" aca="1" ref="AE41" ca="1">CELL("protect",G41)</f>
        <v>0</v>
      </c>
      <c r="AF41" s="7" cm="1">
        <f t="array" aca="1" ref="AF41" ca="1">CELL("protect",H41)</f>
        <v>0</v>
      </c>
      <c r="AG41" s="7" cm="1">
        <f t="array" aca="1" ref="AG41" ca="1">CELL("protect",I41)</f>
        <v>0</v>
      </c>
      <c r="AH41" s="7" cm="1">
        <f t="array" aca="1" ref="AH41" ca="1">CELL("protect",J41)</f>
        <v>0</v>
      </c>
      <c r="AI41" s="7" cm="1">
        <f t="array" aca="1" ref="AI41" ca="1">CELL("protect",K41)</f>
        <v>0</v>
      </c>
      <c r="AJ41" s="7" cm="1">
        <f t="array" aca="1" ref="AJ41" ca="1">CELL("protect",L41)</f>
        <v>0</v>
      </c>
      <c r="AK41" s="7"/>
      <c r="AL41" s="7"/>
      <c r="AM41" s="7"/>
    </row>
    <row r="42" spans="1:39">
      <c r="A42" s="129">
        <f>ROW()</f>
        <v>42</v>
      </c>
      <c r="B42" s="1652"/>
      <c r="C42" s="258"/>
      <c r="D42" s="258"/>
      <c r="E42" s="1454"/>
      <c r="F42" s="909"/>
      <c r="G42" s="856"/>
      <c r="H42" s="461"/>
      <c r="I42" s="461"/>
      <c r="J42" s="461"/>
      <c r="K42" s="461"/>
      <c r="L42" s="461"/>
      <c r="N42" s="343"/>
      <c r="Y42" s="7" cm="1">
        <f t="array" aca="1" ref="Y42" ca="1">CELL("protect",A42)</f>
        <v>1</v>
      </c>
      <c r="Z42" s="7" cm="1">
        <f t="array" aca="1" ref="Z42" ca="1">CELL("protect",B42)</f>
        <v>0</v>
      </c>
      <c r="AA42" s="7" cm="1">
        <f t="array" aca="1" ref="AA42" ca="1">CELL("protect",C42)</f>
        <v>0</v>
      </c>
      <c r="AB42" s="7" cm="1">
        <f t="array" aca="1" ref="AB42" ca="1">CELL("protect",D42)</f>
        <v>0</v>
      </c>
      <c r="AC42" s="7" cm="1">
        <f t="array" aca="1" ref="AC42" ca="1">CELL("protect",E42)</f>
        <v>0</v>
      </c>
      <c r="AD42" s="7" cm="1">
        <f t="array" aca="1" ref="AD42" ca="1">CELL("protect",F42)</f>
        <v>0</v>
      </c>
      <c r="AE42" s="7" cm="1">
        <f t="array" aca="1" ref="AE42" ca="1">CELL("protect",G42)</f>
        <v>0</v>
      </c>
      <c r="AF42" s="7" cm="1">
        <f t="array" aca="1" ref="AF42" ca="1">CELL("protect",H42)</f>
        <v>0</v>
      </c>
      <c r="AG42" s="7" cm="1">
        <f t="array" aca="1" ref="AG42" ca="1">CELL("protect",I42)</f>
        <v>0</v>
      </c>
      <c r="AH42" s="7" cm="1">
        <f t="array" aca="1" ref="AH42" ca="1">CELL("protect",J42)</f>
        <v>0</v>
      </c>
      <c r="AI42" s="7" cm="1">
        <f t="array" aca="1" ref="AI42" ca="1">CELL("protect",K42)</f>
        <v>0</v>
      </c>
      <c r="AJ42" s="7" cm="1">
        <f t="array" aca="1" ref="AJ42" ca="1">CELL("protect",L42)</f>
        <v>0</v>
      </c>
      <c r="AK42" s="7"/>
      <c r="AL42" s="7"/>
      <c r="AM42" s="7"/>
    </row>
    <row r="43" spans="1:39">
      <c r="A43" s="129">
        <f>ROW()</f>
        <v>43</v>
      </c>
      <c r="B43" s="1652"/>
      <c r="C43" s="258"/>
      <c r="D43" s="258"/>
      <c r="E43" s="1454"/>
      <c r="F43" s="909"/>
      <c r="G43" s="856"/>
      <c r="H43" s="461"/>
      <c r="I43" s="461"/>
      <c r="J43" s="461"/>
      <c r="K43" s="461"/>
      <c r="L43" s="461"/>
      <c r="N43" s="343"/>
      <c r="Y43" s="7" cm="1">
        <f t="array" aca="1" ref="Y43" ca="1">CELL("protect",A43)</f>
        <v>1</v>
      </c>
      <c r="Z43" s="7" cm="1">
        <f t="array" aca="1" ref="Z43" ca="1">CELL("protect",B43)</f>
        <v>0</v>
      </c>
      <c r="AA43" s="7" cm="1">
        <f t="array" aca="1" ref="AA43" ca="1">CELL("protect",C43)</f>
        <v>0</v>
      </c>
      <c r="AB43" s="7" cm="1">
        <f t="array" aca="1" ref="AB43" ca="1">CELL("protect",D43)</f>
        <v>0</v>
      </c>
      <c r="AC43" s="7" cm="1">
        <f t="array" aca="1" ref="AC43" ca="1">CELL("protect",E43)</f>
        <v>0</v>
      </c>
      <c r="AD43" s="7" cm="1">
        <f t="array" aca="1" ref="AD43" ca="1">CELL("protect",F43)</f>
        <v>0</v>
      </c>
      <c r="AE43" s="7" cm="1">
        <f t="array" aca="1" ref="AE43" ca="1">CELL("protect",G43)</f>
        <v>0</v>
      </c>
      <c r="AF43" s="7" cm="1">
        <f t="array" aca="1" ref="AF43" ca="1">CELL("protect",H43)</f>
        <v>0</v>
      </c>
      <c r="AG43" s="7" cm="1">
        <f t="array" aca="1" ref="AG43" ca="1">CELL("protect",I43)</f>
        <v>0</v>
      </c>
      <c r="AH43" s="7" cm="1">
        <f t="array" aca="1" ref="AH43" ca="1">CELL("protect",J43)</f>
        <v>0</v>
      </c>
      <c r="AI43" s="7" cm="1">
        <f t="array" aca="1" ref="AI43" ca="1">CELL("protect",K43)</f>
        <v>0</v>
      </c>
      <c r="AJ43" s="7" cm="1">
        <f t="array" aca="1" ref="AJ43" ca="1">CELL("protect",L43)</f>
        <v>0</v>
      </c>
      <c r="AK43" s="7"/>
      <c r="AL43" s="7"/>
      <c r="AM43" s="7"/>
    </row>
    <row r="44" spans="1:39">
      <c r="A44" s="129">
        <f>ROW()</f>
        <v>44</v>
      </c>
      <c r="B44" s="1652"/>
      <c r="C44" s="258"/>
      <c r="D44" s="258"/>
      <c r="E44" s="1454"/>
      <c r="F44" s="909"/>
      <c r="G44" s="856"/>
      <c r="H44" s="461"/>
      <c r="I44" s="461"/>
      <c r="J44" s="461"/>
      <c r="K44" s="461"/>
      <c r="L44" s="461"/>
      <c r="N44" s="343"/>
      <c r="Y44" s="7" cm="1">
        <f t="array" aca="1" ref="Y44" ca="1">CELL("protect",A44)</f>
        <v>1</v>
      </c>
      <c r="Z44" s="7" cm="1">
        <f t="array" aca="1" ref="Z44" ca="1">CELL("protect",B44)</f>
        <v>0</v>
      </c>
      <c r="AA44" s="7" cm="1">
        <f t="array" aca="1" ref="AA44" ca="1">CELL("protect",C44)</f>
        <v>0</v>
      </c>
      <c r="AB44" s="7" cm="1">
        <f t="array" aca="1" ref="AB44" ca="1">CELL("protect",D44)</f>
        <v>0</v>
      </c>
      <c r="AC44" s="7" cm="1">
        <f t="array" aca="1" ref="AC44" ca="1">CELL("protect",E44)</f>
        <v>0</v>
      </c>
      <c r="AD44" s="7" cm="1">
        <f t="array" aca="1" ref="AD44" ca="1">CELL("protect",F44)</f>
        <v>0</v>
      </c>
      <c r="AE44" s="7" cm="1">
        <f t="array" aca="1" ref="AE44" ca="1">CELL("protect",G44)</f>
        <v>0</v>
      </c>
      <c r="AF44" s="7" cm="1">
        <f t="array" aca="1" ref="AF44" ca="1">CELL("protect",H44)</f>
        <v>0</v>
      </c>
      <c r="AG44" s="7" cm="1">
        <f t="array" aca="1" ref="AG44" ca="1">CELL("protect",I44)</f>
        <v>0</v>
      </c>
      <c r="AH44" s="7" cm="1">
        <f t="array" aca="1" ref="AH44" ca="1">CELL("protect",J44)</f>
        <v>0</v>
      </c>
      <c r="AI44" s="7" cm="1">
        <f t="array" aca="1" ref="AI44" ca="1">CELL("protect",K44)</f>
        <v>0</v>
      </c>
      <c r="AJ44" s="7" cm="1">
        <f t="array" aca="1" ref="AJ44" ca="1">CELL("protect",L44)</f>
        <v>0</v>
      </c>
      <c r="AK44" s="7"/>
      <c r="AL44" s="7"/>
      <c r="AM44" s="7"/>
    </row>
    <row r="45" spans="1:39">
      <c r="A45" s="129">
        <f>ROW()</f>
        <v>45</v>
      </c>
      <c r="B45" s="1652"/>
      <c r="C45" s="258"/>
      <c r="D45" s="258"/>
      <c r="E45" s="1454"/>
      <c r="F45" s="909"/>
      <c r="G45" s="856"/>
      <c r="H45" s="461"/>
      <c r="I45" s="461"/>
      <c r="J45" s="461"/>
      <c r="K45" s="461"/>
      <c r="L45" s="461"/>
      <c r="N45" s="343"/>
      <c r="Y45" s="7" cm="1">
        <f t="array" aca="1" ref="Y45" ca="1">CELL("protect",A45)</f>
        <v>1</v>
      </c>
      <c r="Z45" s="7" cm="1">
        <f t="array" aca="1" ref="Z45" ca="1">CELL("protect",B45)</f>
        <v>0</v>
      </c>
      <c r="AA45" s="7" cm="1">
        <f t="array" aca="1" ref="AA45" ca="1">CELL("protect",C45)</f>
        <v>0</v>
      </c>
      <c r="AB45" s="7" cm="1">
        <f t="array" aca="1" ref="AB45" ca="1">CELL("protect",D45)</f>
        <v>0</v>
      </c>
      <c r="AC45" s="7" cm="1">
        <f t="array" aca="1" ref="AC45" ca="1">CELL("protect",E45)</f>
        <v>0</v>
      </c>
      <c r="AD45" s="7" cm="1">
        <f t="array" aca="1" ref="AD45" ca="1">CELL("protect",F45)</f>
        <v>0</v>
      </c>
      <c r="AE45" s="7" cm="1">
        <f t="array" aca="1" ref="AE45" ca="1">CELL("protect",G45)</f>
        <v>0</v>
      </c>
      <c r="AF45" s="7" cm="1">
        <f t="array" aca="1" ref="AF45" ca="1">CELL("protect",H45)</f>
        <v>0</v>
      </c>
      <c r="AG45" s="7" cm="1">
        <f t="array" aca="1" ref="AG45" ca="1">CELL("protect",I45)</f>
        <v>0</v>
      </c>
      <c r="AH45" s="7" cm="1">
        <f t="array" aca="1" ref="AH45" ca="1">CELL("protect",J45)</f>
        <v>0</v>
      </c>
      <c r="AI45" s="7" cm="1">
        <f t="array" aca="1" ref="AI45" ca="1">CELL("protect",K45)</f>
        <v>0</v>
      </c>
      <c r="AJ45" s="7" cm="1">
        <f t="array" aca="1" ref="AJ45" ca="1">CELL("protect",L45)</f>
        <v>0</v>
      </c>
      <c r="AK45" s="7"/>
      <c r="AL45" s="7"/>
      <c r="AM45" s="7"/>
    </row>
    <row r="46" spans="1:39">
      <c r="A46" s="129">
        <f>ROW()</f>
        <v>46</v>
      </c>
      <c r="B46" s="1652"/>
      <c r="C46" s="258"/>
      <c r="D46" s="258"/>
      <c r="E46" s="1454"/>
      <c r="F46" s="909"/>
      <c r="G46" s="856"/>
      <c r="H46" s="461"/>
      <c r="I46" s="461"/>
      <c r="J46" s="461"/>
      <c r="K46" s="461"/>
      <c r="L46" s="461"/>
      <c r="N46" s="343"/>
      <c r="Y46" s="7" cm="1">
        <f t="array" aca="1" ref="Y46" ca="1">CELL("protect",A46)</f>
        <v>1</v>
      </c>
      <c r="Z46" s="7" cm="1">
        <f t="array" aca="1" ref="Z46" ca="1">CELL("protect",B46)</f>
        <v>0</v>
      </c>
      <c r="AA46" s="7" cm="1">
        <f t="array" aca="1" ref="AA46" ca="1">CELL("protect",C46)</f>
        <v>0</v>
      </c>
      <c r="AB46" s="7" cm="1">
        <f t="array" aca="1" ref="AB46" ca="1">CELL("protect",D46)</f>
        <v>0</v>
      </c>
      <c r="AC46" s="7" cm="1">
        <f t="array" aca="1" ref="AC46" ca="1">CELL("protect",E46)</f>
        <v>0</v>
      </c>
      <c r="AD46" s="7" cm="1">
        <f t="array" aca="1" ref="AD46" ca="1">CELL("protect",F46)</f>
        <v>0</v>
      </c>
      <c r="AE46" s="7" cm="1">
        <f t="array" aca="1" ref="AE46" ca="1">CELL("protect",G46)</f>
        <v>0</v>
      </c>
      <c r="AF46" s="7" cm="1">
        <f t="array" aca="1" ref="AF46" ca="1">CELL("protect",H46)</f>
        <v>0</v>
      </c>
      <c r="AG46" s="7" cm="1">
        <f t="array" aca="1" ref="AG46" ca="1">CELL("protect",I46)</f>
        <v>0</v>
      </c>
      <c r="AH46" s="7" cm="1">
        <f t="array" aca="1" ref="AH46" ca="1">CELL("protect",J46)</f>
        <v>0</v>
      </c>
      <c r="AI46" s="7" cm="1">
        <f t="array" aca="1" ref="AI46" ca="1">CELL("protect",K46)</f>
        <v>0</v>
      </c>
      <c r="AJ46" s="7" cm="1">
        <f t="array" aca="1" ref="AJ46" ca="1">CELL("protect",L46)</f>
        <v>0</v>
      </c>
      <c r="AK46" s="7"/>
      <c r="AL46" s="7"/>
      <c r="AM46" s="7"/>
    </row>
    <row r="47" spans="1:39">
      <c r="A47" s="129">
        <f>ROW()</f>
        <v>47</v>
      </c>
      <c r="B47" s="1562" t="s">
        <v>1032</v>
      </c>
      <c r="C47" s="1561"/>
      <c r="D47" s="1561"/>
      <c r="E47" s="1454">
        <f t="shared" si="0"/>
        <v>0</v>
      </c>
      <c r="F47" s="1555" t="s">
        <v>35</v>
      </c>
      <c r="G47" s="1556" t="s">
        <v>35</v>
      </c>
      <c r="H47" s="1557" t="s">
        <v>35</v>
      </c>
      <c r="I47" s="1557" t="s">
        <v>35</v>
      </c>
      <c r="J47" s="1557" t="s">
        <v>35</v>
      </c>
      <c r="K47" s="1557" t="s">
        <v>35</v>
      </c>
      <c r="L47" s="1557" t="s">
        <v>35</v>
      </c>
      <c r="N47" s="343"/>
      <c r="Y47" s="7" cm="1">
        <f t="array" aca="1" ref="Y47" ca="1">CELL("protect",A47)</f>
        <v>1</v>
      </c>
      <c r="Z47" s="7" cm="1">
        <f t="array" aca="1" ref="Z47" ca="1">CELL("protect",B47)</f>
        <v>0</v>
      </c>
      <c r="AA47" s="7" cm="1">
        <f t="array" aca="1" ref="AA47" ca="1">CELL("protect",C47)</f>
        <v>0</v>
      </c>
      <c r="AB47" s="7" cm="1">
        <f t="array" aca="1" ref="AB47" ca="1">CELL("protect",D47)</f>
        <v>0</v>
      </c>
      <c r="AC47" s="7" cm="1">
        <f t="array" aca="1" ref="AC47" ca="1">CELL("protect",E47)</f>
        <v>0</v>
      </c>
      <c r="AD47" s="7" cm="1">
        <f t="array" aca="1" ref="AD47" ca="1">CELL("protect",F47)</f>
        <v>0</v>
      </c>
      <c r="AE47" s="7" cm="1">
        <f t="array" aca="1" ref="AE47" ca="1">CELL("protect",G47)</f>
        <v>0</v>
      </c>
      <c r="AF47" s="7" cm="1">
        <f t="array" aca="1" ref="AF47" ca="1">CELL("protect",H47)</f>
        <v>0</v>
      </c>
      <c r="AG47" s="7" cm="1">
        <f t="array" aca="1" ref="AG47" ca="1">CELL("protect",I47)</f>
        <v>0</v>
      </c>
      <c r="AH47" s="7" cm="1">
        <f t="array" aca="1" ref="AH47" ca="1">CELL("protect",J47)</f>
        <v>0</v>
      </c>
      <c r="AI47" s="7" cm="1">
        <f t="array" aca="1" ref="AI47" ca="1">CELL("protect",K47)</f>
        <v>0</v>
      </c>
      <c r="AJ47" s="7" cm="1">
        <f t="array" aca="1" ref="AJ47" ca="1">CELL("protect",L47)</f>
        <v>0</v>
      </c>
      <c r="AK47" s="7"/>
      <c r="AL47" s="7"/>
      <c r="AM47" s="7"/>
    </row>
    <row r="48" spans="1:39">
      <c r="A48" s="129">
        <f>ROW()</f>
        <v>48</v>
      </c>
      <c r="B48" s="1563" t="s">
        <v>1033</v>
      </c>
      <c r="C48" s="1561"/>
      <c r="D48" s="1561"/>
      <c r="E48" s="1375">
        <f t="shared" si="0"/>
        <v>0</v>
      </c>
      <c r="F48" s="1558" t="s">
        <v>35</v>
      </c>
      <c r="G48" s="1559" t="s">
        <v>35</v>
      </c>
      <c r="H48" s="1560" t="s">
        <v>35</v>
      </c>
      <c r="I48" s="1560" t="s">
        <v>35</v>
      </c>
      <c r="J48" s="1560" t="s">
        <v>35</v>
      </c>
      <c r="K48" s="1560" t="s">
        <v>35</v>
      </c>
      <c r="L48" s="1560" t="s">
        <v>35</v>
      </c>
      <c r="N48" s="343"/>
      <c r="Y48" s="7" cm="1">
        <f t="array" aca="1" ref="Y48" ca="1">CELL("protect",A48)</f>
        <v>1</v>
      </c>
      <c r="Z48" s="7" cm="1">
        <f t="array" aca="1" ref="Z48" ca="1">CELL("protect",B48)</f>
        <v>0</v>
      </c>
      <c r="AA48" s="7" cm="1">
        <f t="array" aca="1" ref="AA48" ca="1">CELL("protect",C48)</f>
        <v>0</v>
      </c>
      <c r="AB48" s="7" cm="1">
        <f t="array" aca="1" ref="AB48" ca="1">CELL("protect",D48)</f>
        <v>0</v>
      </c>
      <c r="AC48" s="7" cm="1">
        <f t="array" aca="1" ref="AC48" ca="1">CELL("protect",E48)</f>
        <v>0</v>
      </c>
      <c r="AD48" s="7" cm="1">
        <f t="array" aca="1" ref="AD48" ca="1">CELL("protect",F48)</f>
        <v>0</v>
      </c>
      <c r="AE48" s="7" cm="1">
        <f t="array" aca="1" ref="AE48" ca="1">CELL("protect",G48)</f>
        <v>0</v>
      </c>
      <c r="AF48" s="7" cm="1">
        <f t="array" aca="1" ref="AF48" ca="1">CELL("protect",H48)</f>
        <v>0</v>
      </c>
      <c r="AG48" s="7" cm="1">
        <f t="array" aca="1" ref="AG48" ca="1">CELL("protect",I48)</f>
        <v>0</v>
      </c>
      <c r="AH48" s="7" cm="1">
        <f t="array" aca="1" ref="AH48" ca="1">CELL("protect",J48)</f>
        <v>0</v>
      </c>
      <c r="AI48" s="7" cm="1">
        <f t="array" aca="1" ref="AI48" ca="1">CELL("protect",K48)</f>
        <v>0</v>
      </c>
      <c r="AJ48" s="7" cm="1">
        <f t="array" aca="1" ref="AJ48" ca="1">CELL("protect",L48)</f>
        <v>0</v>
      </c>
      <c r="AK48" s="7"/>
      <c r="AL48" s="7"/>
      <c r="AM48" s="7"/>
    </row>
    <row r="49" spans="1:39">
      <c r="A49" s="129">
        <f>ROW()</f>
        <v>49</v>
      </c>
      <c r="B49" s="357" t="s">
        <v>1034</v>
      </c>
      <c r="C49" s="358"/>
      <c r="D49" s="358"/>
      <c r="E49" s="359"/>
      <c r="F49" s="858">
        <f t="shared" ref="F49:L49" si="9">SUM(F10:F48)</f>
        <v>0</v>
      </c>
      <c r="G49" s="858">
        <f t="shared" si="9"/>
        <v>97488.6</v>
      </c>
      <c r="H49" s="360">
        <f t="shared" si="9"/>
        <v>107237.46000000002</v>
      </c>
      <c r="I49" s="360">
        <f t="shared" si="9"/>
        <v>117961.20600000002</v>
      </c>
      <c r="J49" s="360">
        <f t="shared" si="9"/>
        <v>129757.32660000003</v>
      </c>
      <c r="K49" s="360">
        <f t="shared" si="9"/>
        <v>142733.05926000007</v>
      </c>
      <c r="L49" s="360">
        <f t="shared" si="9"/>
        <v>157006.36518600007</v>
      </c>
      <c r="N49" s="343"/>
      <c r="Y49" s="7" cm="1">
        <f t="array" aca="1" ref="Y49" ca="1">CELL("protect",A49)</f>
        <v>1</v>
      </c>
      <c r="Z49" s="7" cm="1">
        <f t="array" aca="1" ref="Z49" ca="1">CELL("protect",B49)</f>
        <v>0</v>
      </c>
      <c r="AA49" s="7" cm="1">
        <f t="array" aca="1" ref="AA49" ca="1">CELL("protect",C49)</f>
        <v>0</v>
      </c>
      <c r="AB49" s="7" cm="1">
        <f t="array" aca="1" ref="AB49" ca="1">CELL("protect",D49)</f>
        <v>0</v>
      </c>
      <c r="AC49" s="7" cm="1">
        <f t="array" aca="1" ref="AC49" ca="1">CELL("protect",E49)</f>
        <v>1</v>
      </c>
      <c r="AD49" s="7" cm="1">
        <f t="array" aca="1" ref="AD49" ca="1">CELL("protect",F49)</f>
        <v>1</v>
      </c>
      <c r="AE49" s="7" cm="1">
        <f t="array" aca="1" ref="AE49" ca="1">CELL("protect",G49)</f>
        <v>1</v>
      </c>
      <c r="AF49" s="7" cm="1">
        <f t="array" aca="1" ref="AF49" ca="1">CELL("protect",H49)</f>
        <v>1</v>
      </c>
      <c r="AG49" s="7" cm="1">
        <f t="array" aca="1" ref="AG49" ca="1">CELL("protect",I49)</f>
        <v>1</v>
      </c>
      <c r="AH49" s="7" cm="1">
        <f t="array" aca="1" ref="AH49" ca="1">CELL("protect",J49)</f>
        <v>1</v>
      </c>
      <c r="AI49" s="7" cm="1">
        <f t="array" aca="1" ref="AI49" ca="1">CELL("protect",K49)</f>
        <v>1</v>
      </c>
      <c r="AJ49" s="7" cm="1">
        <f t="array" aca="1" ref="AJ49" ca="1">CELL("protect",L49)</f>
        <v>1</v>
      </c>
      <c r="AK49" s="7"/>
      <c r="AL49" s="7"/>
      <c r="AM49" s="7"/>
    </row>
    <row r="50" spans="1:39">
      <c r="A50" s="129">
        <f>ROW()</f>
        <v>50</v>
      </c>
      <c r="B50" s="354" t="s">
        <v>1035</v>
      </c>
      <c r="C50" s="353"/>
      <c r="D50" s="885">
        <v>0.03</v>
      </c>
      <c r="E50" s="886"/>
      <c r="F50" s="355">
        <f t="shared" ref="F50:L50" si="10">+F49*((1+$D$50)^F7-1)</f>
        <v>0</v>
      </c>
      <c r="G50" s="355">
        <f t="shared" si="10"/>
        <v>2924.6580000000026</v>
      </c>
      <c r="H50" s="356">
        <f t="shared" si="10"/>
        <v>6530.7613139999967</v>
      </c>
      <c r="I50" s="356">
        <f t="shared" si="10"/>
        <v>10938.188748762002</v>
      </c>
      <c r="J50" s="356">
        <f t="shared" si="10"/>
        <v>16285.68765034734</v>
      </c>
      <c r="K50" s="356">
        <f t="shared" si="10"/>
        <v>22733.675885643534</v>
      </c>
      <c r="L50" s="356">
        <f t="shared" si="10"/>
        <v>30467.445734014134</v>
      </c>
      <c r="N50" s="343"/>
      <c r="Y50" s="7" cm="1">
        <f t="array" aca="1" ref="Y50" ca="1">CELL("protect",A50)</f>
        <v>1</v>
      </c>
      <c r="Z50" s="7" cm="1">
        <f t="array" aca="1" ref="Z50" ca="1">CELL("protect",B50)</f>
        <v>0</v>
      </c>
      <c r="AA50" s="7" cm="1">
        <f t="array" aca="1" ref="AA50" ca="1">CELL("protect",C50)</f>
        <v>0</v>
      </c>
      <c r="AB50" s="7" cm="1">
        <f t="array" aca="1" ref="AB50" ca="1">CELL("protect",D50)</f>
        <v>0</v>
      </c>
      <c r="AC50" s="7" cm="1">
        <f t="array" aca="1" ref="AC50" ca="1">CELL("protect",E50)</f>
        <v>1</v>
      </c>
      <c r="AD50" s="7" cm="1">
        <f t="array" aca="1" ref="AD50" ca="1">CELL("protect",F50)</f>
        <v>1</v>
      </c>
      <c r="AE50" s="7" cm="1">
        <f t="array" aca="1" ref="AE50" ca="1">CELL("protect",G50)</f>
        <v>1</v>
      </c>
      <c r="AF50" s="7" cm="1">
        <f t="array" aca="1" ref="AF50" ca="1">CELL("protect",H50)</f>
        <v>1</v>
      </c>
      <c r="AG50" s="7" cm="1">
        <f t="array" aca="1" ref="AG50" ca="1">CELL("protect",I50)</f>
        <v>1</v>
      </c>
      <c r="AH50" s="7" cm="1">
        <f t="array" aca="1" ref="AH50" ca="1">CELL("protect",J50)</f>
        <v>1</v>
      </c>
      <c r="AI50" s="7" cm="1">
        <f t="array" aca="1" ref="AI50" ca="1">CELL("protect",K50)</f>
        <v>1</v>
      </c>
      <c r="AJ50" s="7" cm="1">
        <f t="array" aca="1" ref="AJ50" ca="1">CELL("protect",L50)</f>
        <v>1</v>
      </c>
      <c r="AK50" s="7"/>
      <c r="AL50" s="7"/>
      <c r="AM50" s="7"/>
    </row>
    <row r="51" spans="1:39" ht="15.6">
      <c r="A51" s="129">
        <f>ROW()</f>
        <v>51</v>
      </c>
      <c r="D51" s="1186">
        <f>SUM(D10:D48)</f>
        <v>88626</v>
      </c>
      <c r="E51" s="238">
        <f>SUM(E10:E48)</f>
        <v>752184.01704600034</v>
      </c>
      <c r="F51" s="238">
        <f>SUM(F10:F48)</f>
        <v>0</v>
      </c>
      <c r="G51" s="238">
        <f t="shared" ref="G51:L51" si="11">SUM(G10:G48)+G50</f>
        <v>100413.258</v>
      </c>
      <c r="H51" s="238">
        <f t="shared" si="11"/>
        <v>113768.22131400002</v>
      </c>
      <c r="I51" s="238">
        <f t="shared" si="11"/>
        <v>128899.39474876202</v>
      </c>
      <c r="J51" s="238">
        <f t="shared" si="11"/>
        <v>146043.01425034736</v>
      </c>
      <c r="K51" s="238">
        <f t="shared" si="11"/>
        <v>165466.73514564359</v>
      </c>
      <c r="L51" s="238">
        <f t="shared" si="11"/>
        <v>187473.81092001419</v>
      </c>
      <c r="N51" s="343"/>
      <c r="Y51" s="7" cm="1">
        <f t="array" aca="1" ref="Y51" ca="1">CELL("protect",A51)</f>
        <v>1</v>
      </c>
      <c r="Z51" s="7" cm="1">
        <f t="array" aca="1" ref="Z51" ca="1">CELL("protect",B51)</f>
        <v>1</v>
      </c>
      <c r="AA51" s="7" cm="1">
        <f t="array" aca="1" ref="AA51" ca="1">CELL("protect",C51)</f>
        <v>1</v>
      </c>
      <c r="AB51" s="7" cm="1">
        <f t="array" aca="1" ref="AB51" ca="1">CELL("protect",D51)</f>
        <v>1</v>
      </c>
      <c r="AC51" s="7" cm="1">
        <f t="array" aca="1" ref="AC51" ca="1">CELL("protect",E51)</f>
        <v>1</v>
      </c>
      <c r="AD51" s="7" cm="1">
        <f t="array" aca="1" ref="AD51" ca="1">CELL("protect",F51)</f>
        <v>1</v>
      </c>
      <c r="AE51" s="7" cm="1">
        <f t="array" aca="1" ref="AE51" ca="1">CELL("protect",G51)</f>
        <v>1</v>
      </c>
      <c r="AF51" s="7" cm="1">
        <f t="array" aca="1" ref="AF51" ca="1">CELL("protect",H51)</f>
        <v>1</v>
      </c>
      <c r="AG51" s="7" cm="1">
        <f t="array" aca="1" ref="AG51" ca="1">CELL("protect",I51)</f>
        <v>1</v>
      </c>
      <c r="AH51" s="7" cm="1">
        <f t="array" aca="1" ref="AH51" ca="1">CELL("protect",J51)</f>
        <v>1</v>
      </c>
      <c r="AI51" s="7" cm="1">
        <f t="array" aca="1" ref="AI51" ca="1">CELL("protect",K51)</f>
        <v>1</v>
      </c>
      <c r="AJ51" s="7" cm="1">
        <f t="array" aca="1" ref="AJ51" ca="1">CELL("protect",L51)</f>
        <v>1</v>
      </c>
      <c r="AK51" s="7"/>
      <c r="AL51" s="7"/>
      <c r="AM51" s="7"/>
    </row>
    <row r="52" spans="1:39" ht="14.4">
      <c r="A52" s="129">
        <f>ROW()</f>
        <v>52</v>
      </c>
      <c r="B52" s="183" t="s">
        <v>1036</v>
      </c>
      <c r="Y52" s="7" cm="1">
        <f t="array" aca="1" ref="Y52" ca="1">CELL("protect",A52)</f>
        <v>1</v>
      </c>
      <c r="Z52" s="7" cm="1">
        <f t="array" aca="1" ref="Z52" ca="1">CELL("protect",B52)</f>
        <v>1</v>
      </c>
      <c r="AA52" s="7" cm="1">
        <f t="array" aca="1" ref="AA52" ca="1">CELL("protect",C52)</f>
        <v>1</v>
      </c>
      <c r="AB52" s="7" cm="1">
        <f t="array" aca="1" ref="AB52" ca="1">CELL("protect",D52)</f>
        <v>1</v>
      </c>
      <c r="AC52" s="7" cm="1">
        <f t="array" aca="1" ref="AC52" ca="1">CELL("protect",E52)</f>
        <v>1</v>
      </c>
      <c r="AD52" s="7" cm="1">
        <f t="array" aca="1" ref="AD52" ca="1">CELL("protect",F52)</f>
        <v>1</v>
      </c>
      <c r="AE52" s="7" cm="1">
        <f t="array" aca="1" ref="AE52" ca="1">CELL("protect",G52)</f>
        <v>1</v>
      </c>
      <c r="AF52" s="7" cm="1">
        <f t="array" aca="1" ref="AF52" ca="1">CELL("protect",H52)</f>
        <v>1</v>
      </c>
      <c r="AG52" s="7" cm="1">
        <f t="array" aca="1" ref="AG52" ca="1">CELL("protect",I52)</f>
        <v>1</v>
      </c>
      <c r="AH52" s="7" cm="1">
        <f t="array" aca="1" ref="AH52" ca="1">CELL("protect",J52)</f>
        <v>1</v>
      </c>
      <c r="AI52" s="7" cm="1">
        <f t="array" aca="1" ref="AI52" ca="1">CELL("protect",K52)</f>
        <v>1</v>
      </c>
      <c r="AJ52" s="7" cm="1">
        <f t="array" aca="1" ref="AJ52" ca="1">CELL("protect",L52)</f>
        <v>1</v>
      </c>
      <c r="AK52" s="7"/>
      <c r="AL52" s="7"/>
      <c r="AM52" s="7"/>
    </row>
    <row r="53" spans="1:39" ht="14.4">
      <c r="A53" s="129">
        <f>ROW()</f>
        <v>53</v>
      </c>
      <c r="B53" s="183" t="s">
        <v>1037</v>
      </c>
      <c r="Y53" s="7" cm="1">
        <f t="array" aca="1" ref="Y53" ca="1">CELL("protect",A53)</f>
        <v>1</v>
      </c>
      <c r="Z53" s="7" cm="1">
        <f t="array" aca="1" ref="Z53" ca="1">CELL("protect",B53)</f>
        <v>1</v>
      </c>
      <c r="AA53" s="7" cm="1">
        <f t="array" aca="1" ref="AA53" ca="1">CELL("protect",C53)</f>
        <v>1</v>
      </c>
      <c r="AB53" s="7" cm="1">
        <f t="array" aca="1" ref="AB53" ca="1">CELL("protect",D53)</f>
        <v>1</v>
      </c>
      <c r="AC53" s="7" cm="1">
        <f t="array" aca="1" ref="AC53" ca="1">CELL("protect",E53)</f>
        <v>1</v>
      </c>
      <c r="AD53" s="7" cm="1">
        <f t="array" aca="1" ref="AD53" ca="1">CELL("protect",F53)</f>
        <v>1</v>
      </c>
      <c r="AE53" s="7" cm="1">
        <f t="array" aca="1" ref="AE53" ca="1">CELL("protect",G53)</f>
        <v>1</v>
      </c>
      <c r="AF53" s="7" cm="1">
        <f t="array" aca="1" ref="AF53" ca="1">CELL("protect",H53)</f>
        <v>1</v>
      </c>
      <c r="AG53" s="7" cm="1">
        <f t="array" aca="1" ref="AG53" ca="1">CELL("protect",I53)</f>
        <v>1</v>
      </c>
      <c r="AH53" s="7" cm="1">
        <f t="array" aca="1" ref="AH53" ca="1">CELL("protect",J53)</f>
        <v>1</v>
      </c>
      <c r="AI53" s="7" cm="1">
        <f t="array" aca="1" ref="AI53" ca="1">CELL("protect",K53)</f>
        <v>1</v>
      </c>
      <c r="AJ53" s="7" cm="1">
        <f t="array" aca="1" ref="AJ53" ca="1">CELL("protect",L53)</f>
        <v>1</v>
      </c>
      <c r="AK53" s="7"/>
      <c r="AL53" s="7"/>
      <c r="AM53" s="7"/>
    </row>
    <row r="54" spans="1:39" ht="14.4">
      <c r="A54" s="129">
        <f>ROW()</f>
        <v>54</v>
      </c>
      <c r="B54" s="183" t="s">
        <v>1038</v>
      </c>
      <c r="G54" s="352"/>
      <c r="H54" s="352"/>
      <c r="I54" s="352"/>
      <c r="J54" s="352"/>
      <c r="K54" s="352"/>
      <c r="L54" s="352"/>
      <c r="Y54" s="7" cm="1">
        <f t="array" aca="1" ref="Y54" ca="1">CELL("protect",A54)</f>
        <v>1</v>
      </c>
      <c r="Z54" s="7" cm="1">
        <f t="array" aca="1" ref="Z54" ca="1">CELL("protect",B54)</f>
        <v>1</v>
      </c>
      <c r="AA54" s="7" cm="1">
        <f t="array" aca="1" ref="AA54" ca="1">CELL("protect",C54)</f>
        <v>1</v>
      </c>
      <c r="AB54" s="7" cm="1">
        <f t="array" aca="1" ref="AB54" ca="1">CELL("protect",D54)</f>
        <v>1</v>
      </c>
      <c r="AC54" s="7" cm="1">
        <f t="array" aca="1" ref="AC54" ca="1">CELL("protect",E54)</f>
        <v>1</v>
      </c>
      <c r="AD54" s="7" cm="1">
        <f t="array" aca="1" ref="AD54" ca="1">CELL("protect",F54)</f>
        <v>1</v>
      </c>
      <c r="AE54" s="7" cm="1">
        <f t="array" aca="1" ref="AE54" ca="1">CELL("protect",G54)</f>
        <v>1</v>
      </c>
      <c r="AF54" s="7" cm="1">
        <f t="array" aca="1" ref="AF54" ca="1">CELL("protect",H54)</f>
        <v>1</v>
      </c>
      <c r="AG54" s="7" cm="1">
        <f t="array" aca="1" ref="AG54" ca="1">CELL("protect",I54)</f>
        <v>1</v>
      </c>
      <c r="AH54" s="7" cm="1">
        <f t="array" aca="1" ref="AH54" ca="1">CELL("protect",J54)</f>
        <v>1</v>
      </c>
      <c r="AI54" s="7" cm="1">
        <f t="array" aca="1" ref="AI54" ca="1">CELL("protect",K54)</f>
        <v>1</v>
      </c>
      <c r="AJ54" s="7" cm="1">
        <f t="array" aca="1" ref="AJ54" ca="1">CELL("protect",L54)</f>
        <v>1</v>
      </c>
      <c r="AK54" s="7"/>
      <c r="AL54" s="7"/>
      <c r="AM54" s="7"/>
    </row>
    <row r="55" spans="1:39">
      <c r="A55" s="129">
        <f>ROW()</f>
        <v>55</v>
      </c>
      <c r="Y55" s="7" cm="1">
        <f t="array" aca="1" ref="Y55" ca="1">CELL("protect",A55)</f>
        <v>1</v>
      </c>
      <c r="Z55" s="7" cm="1">
        <f t="array" aca="1" ref="Z55" ca="1">CELL("protect",B55)</f>
        <v>1</v>
      </c>
      <c r="AA55" s="7" cm="1">
        <f t="array" aca="1" ref="AA55" ca="1">CELL("protect",C55)</f>
        <v>1</v>
      </c>
      <c r="AB55" s="7" cm="1">
        <f t="array" aca="1" ref="AB55" ca="1">CELL("protect",D55)</f>
        <v>1</v>
      </c>
      <c r="AC55" s="7" cm="1">
        <f t="array" aca="1" ref="AC55" ca="1">CELL("protect",E55)</f>
        <v>1</v>
      </c>
      <c r="AD55" s="7" cm="1">
        <f t="array" aca="1" ref="AD55" ca="1">CELL("protect",F55)</f>
        <v>1</v>
      </c>
      <c r="AE55" s="7" cm="1">
        <f t="array" aca="1" ref="AE55" ca="1">CELL("protect",G55)</f>
        <v>1</v>
      </c>
      <c r="AF55" s="7" cm="1">
        <f t="array" aca="1" ref="AF55" ca="1">CELL("protect",H55)</f>
        <v>1</v>
      </c>
      <c r="AG55" s="7" cm="1">
        <f t="array" aca="1" ref="AG55" ca="1">CELL("protect",I55)</f>
        <v>1</v>
      </c>
      <c r="AH55" s="7" cm="1">
        <f t="array" aca="1" ref="AH55" ca="1">CELL("protect",J55)</f>
        <v>1</v>
      </c>
      <c r="AI55" s="7" cm="1">
        <f t="array" aca="1" ref="AI55" ca="1">CELL("protect",K55)</f>
        <v>1</v>
      </c>
      <c r="AJ55" s="7" cm="1">
        <f t="array" aca="1" ref="AJ55" ca="1">CELL("protect",L55)</f>
        <v>1</v>
      </c>
      <c r="AK55" s="7"/>
      <c r="AL55" s="7"/>
      <c r="AM55" s="7"/>
    </row>
    <row r="56" spans="1:39">
      <c r="A56" s="129">
        <f>ROW()</f>
        <v>56</v>
      </c>
    </row>
    <row r="57" spans="1:39">
      <c r="A57" s="129">
        <f>ROW()</f>
        <v>57</v>
      </c>
    </row>
    <row r="58" spans="1:39">
      <c r="A58" s="129">
        <f>ROW()</f>
        <v>58</v>
      </c>
    </row>
    <row r="59" spans="1:39">
      <c r="A59" s="129">
        <f>ROW()</f>
        <v>59</v>
      </c>
    </row>
    <row r="60" spans="1:39">
      <c r="A60" s="129">
        <f>ROW()</f>
        <v>60</v>
      </c>
    </row>
    <row r="61" spans="1:39">
      <c r="A61" s="129">
        <f>ROW()</f>
        <v>61</v>
      </c>
    </row>
    <row r="62" spans="1:39">
      <c r="A62" s="129">
        <f>ROW()</f>
        <v>62</v>
      </c>
    </row>
    <row r="63" spans="1:39">
      <c r="A63" s="129">
        <f>ROW()</f>
        <v>63</v>
      </c>
    </row>
    <row r="64" spans="1:39">
      <c r="A64" s="129">
        <f>ROW()</f>
        <v>64</v>
      </c>
    </row>
    <row r="65" spans="1:1">
      <c r="A65" s="129">
        <f>ROW()</f>
        <v>65</v>
      </c>
    </row>
    <row r="66" spans="1:1">
      <c r="A66" s="129">
        <f>ROW()</f>
        <v>66</v>
      </c>
    </row>
    <row r="67" spans="1:1">
      <c r="A67" s="129">
        <f>ROW()</f>
        <v>67</v>
      </c>
    </row>
    <row r="68" spans="1:1">
      <c r="A68" s="129">
        <f>ROW()</f>
        <v>68</v>
      </c>
    </row>
    <row r="69" spans="1:1">
      <c r="A69" s="129">
        <f>ROW()</f>
        <v>69</v>
      </c>
    </row>
    <row r="70" spans="1:1">
      <c r="A70" s="129">
        <f>ROW()</f>
        <v>70</v>
      </c>
    </row>
    <row r="71" spans="1:1">
      <c r="A71" s="129">
        <f>ROW()</f>
        <v>71</v>
      </c>
    </row>
    <row r="72" spans="1:1">
      <c r="A72" s="129">
        <f>ROW()</f>
        <v>72</v>
      </c>
    </row>
    <row r="73" spans="1:1">
      <c r="A73" s="129">
        <f>ROW()</f>
        <v>73</v>
      </c>
    </row>
    <row r="74" spans="1:1">
      <c r="A74" s="129">
        <f>ROW()</f>
        <v>74</v>
      </c>
    </row>
    <row r="75" spans="1:1">
      <c r="A75" s="129">
        <f>ROW()</f>
        <v>75</v>
      </c>
    </row>
    <row r="76" spans="1:1">
      <c r="A76" s="129">
        <f>ROW()</f>
        <v>76</v>
      </c>
    </row>
    <row r="77" spans="1:1">
      <c r="A77" s="129">
        <f>ROW()</f>
        <v>77</v>
      </c>
    </row>
    <row r="78" spans="1:1">
      <c r="A78" s="129">
        <f>ROW()</f>
        <v>78</v>
      </c>
    </row>
    <row r="79" spans="1:1">
      <c r="A79" s="129">
        <f>ROW()</f>
        <v>79</v>
      </c>
    </row>
    <row r="80" spans="1:1">
      <c r="A80" s="129">
        <f>ROW()</f>
        <v>80</v>
      </c>
    </row>
    <row r="81" spans="1:1">
      <c r="A81" s="129">
        <f>ROW()</f>
        <v>81</v>
      </c>
    </row>
    <row r="82" spans="1:1">
      <c r="A82" s="129">
        <f>ROW()</f>
        <v>82</v>
      </c>
    </row>
    <row r="83" spans="1:1">
      <c r="A83" s="129">
        <f>ROW()</f>
        <v>83</v>
      </c>
    </row>
    <row r="84" spans="1:1">
      <c r="A84" s="129">
        <f>ROW()</f>
        <v>84</v>
      </c>
    </row>
    <row r="85" spans="1:1">
      <c r="A85" s="129">
        <f>ROW()</f>
        <v>85</v>
      </c>
    </row>
    <row r="86" spans="1:1">
      <c r="A86" s="129">
        <f>ROW()</f>
        <v>86</v>
      </c>
    </row>
    <row r="87" spans="1:1">
      <c r="A87" s="129">
        <f>ROW()</f>
        <v>87</v>
      </c>
    </row>
    <row r="88" spans="1:1">
      <c r="A88" s="129">
        <f>ROW()</f>
        <v>88</v>
      </c>
    </row>
    <row r="89" spans="1:1">
      <c r="A89" s="129">
        <f>ROW()</f>
        <v>89</v>
      </c>
    </row>
    <row r="90" spans="1:1">
      <c r="A90" s="129">
        <f>ROW()</f>
        <v>90</v>
      </c>
    </row>
    <row r="91" spans="1:1">
      <c r="A91" s="129">
        <f>ROW()</f>
        <v>91</v>
      </c>
    </row>
    <row r="92" spans="1:1">
      <c r="A92" s="129">
        <f>ROW()</f>
        <v>92</v>
      </c>
    </row>
    <row r="93" spans="1:1">
      <c r="A93" s="129">
        <f>ROW()</f>
        <v>93</v>
      </c>
    </row>
    <row r="94" spans="1:1">
      <c r="A94" s="129">
        <f>ROW()</f>
        <v>94</v>
      </c>
    </row>
    <row r="95" spans="1:1">
      <c r="A95" s="129">
        <f>ROW()</f>
        <v>95</v>
      </c>
    </row>
    <row r="96" spans="1:1">
      <c r="A96" s="129">
        <f>ROW()</f>
        <v>96</v>
      </c>
    </row>
    <row r="97" spans="1:1">
      <c r="A97" s="129">
        <f>ROW()</f>
        <v>97</v>
      </c>
    </row>
    <row r="98" spans="1:1">
      <c r="A98" s="129">
        <f>ROW()</f>
        <v>98</v>
      </c>
    </row>
    <row r="99" spans="1:1">
      <c r="A99" s="129">
        <f>ROW()</f>
        <v>99</v>
      </c>
    </row>
    <row r="100" spans="1:1">
      <c r="A100" s="129">
        <f>ROW()</f>
        <v>100</v>
      </c>
    </row>
  </sheetData>
  <sheetProtection algorithmName="SHA-512" hashValue="yVQQoY3COz8bk1ezp1HlvQpxCJDkOlQPIIh0qhqO0jLrz1/fZnT4X0d5o1KWHVqL8KlFgocRudHVsOwqLqDJzg==" saltValue="dMLd97ssJQQulYgyHJH/+A==" spinCount="100000" sheet="1" objects="1" scenarios="1"/>
  <conditionalFormatting sqref="C1">
    <cfRule type="expression" dxfId="16" priority="4" stopIfTrue="1">
      <formula>MOD(ROW(),2)=0</formula>
    </cfRule>
  </conditionalFormatting>
  <conditionalFormatting sqref="Y1:AM55">
    <cfRule type="cellIs" dxfId="15" priority="3" stopIfTrue="1" operator="equal">
      <formula>0</formula>
    </cfRule>
  </conditionalFormatting>
  <hyperlinks>
    <hyperlink ref="C1" location="HypLink1" display="HypLink1"/>
  </hyperlinks>
  <pageMargins left="0.25" right="0.25" top="0.5" bottom="0.45" header="0.25" footer="0.25"/>
  <pageSetup scale="67" fitToHeight="2" orientation="landscape" r:id="rId1"/>
  <headerFooter>
    <oddHeader xml:space="preserve">&amp;L &amp;C &amp;R </oddHeader>
    <oddFooter>&amp;L&amp;7&amp;D  at &amp;T Mike 702.486.8879&amp;C&amp;7&amp;F  &amp;A&amp;R&amp;7Page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P47"/>
  <sheetViews>
    <sheetView workbookViewId="0">
      <selection activeCell="H47" sqref="H47"/>
    </sheetView>
  </sheetViews>
  <sheetFormatPr defaultColWidth="8.77734375" defaultRowHeight="13.8"/>
  <cols>
    <col min="1" max="1" width="6.77734375" style="33" bestFit="1" customWidth="1"/>
    <col min="2" max="2" width="29.21875" style="33" customWidth="1"/>
    <col min="3" max="3" width="12.5546875" style="33" customWidth="1"/>
    <col min="4" max="4" width="9.44140625" style="33" customWidth="1"/>
    <col min="5" max="5" width="7.21875" style="33" customWidth="1"/>
    <col min="6" max="6" width="10.44140625" style="33" customWidth="1"/>
    <col min="7" max="7" width="11" style="33" customWidth="1"/>
    <col min="8" max="14" width="14.77734375" style="33" customWidth="1"/>
    <col min="15" max="15" width="3.44140625" style="33" customWidth="1"/>
    <col min="16" max="16" width="76.5546875" style="307" customWidth="1"/>
    <col min="17" max="18" width="10.5546875" style="33" bestFit="1" customWidth="1"/>
    <col min="19" max="19" width="20.21875" style="33" customWidth="1"/>
    <col min="20" max="16384" width="8.77734375" style="33"/>
  </cols>
  <sheetData>
    <row r="1" spans="1:16" ht="24" customHeight="1">
      <c r="A1" s="1795" t="s">
        <v>1039</v>
      </c>
      <c r="B1" s="1795"/>
      <c r="C1" s="1795"/>
      <c r="D1" s="1795"/>
      <c r="E1" s="65"/>
      <c r="F1" s="260"/>
      <c r="G1" s="408" t="s">
        <v>3</v>
      </c>
    </row>
    <row r="2" spans="1:16" ht="15.6">
      <c r="A2" s="114" t="str">
        <f>SchoolName</f>
        <v>The Delta Academy</v>
      </c>
      <c r="B2" s="115"/>
      <c r="C2" s="114"/>
      <c r="D2" s="115"/>
      <c r="E2" s="65"/>
      <c r="F2" s="32"/>
    </row>
    <row r="3" spans="1:16">
      <c r="A3" s="39" t="s">
        <v>80</v>
      </c>
    </row>
    <row r="4" spans="1:16">
      <c r="A4" s="40" t="s">
        <v>81</v>
      </c>
    </row>
    <row r="5" spans="1:16">
      <c r="A5" s="30" t="str">
        <f ca="1">CELL("filename")</f>
        <v>C:\Users\kyle.konold\Downloads\[FY25 Budget - Delta Academy_Final.xlsx]Form 1 Cover</v>
      </c>
    </row>
    <row r="7" spans="1:16">
      <c r="A7" s="64"/>
      <c r="B7" s="31"/>
    </row>
    <row r="8" spans="1:16">
      <c r="A8" s="64"/>
      <c r="B8" s="31"/>
    </row>
    <row r="9" spans="1:16">
      <c r="A9" s="64"/>
      <c r="B9" s="31"/>
    </row>
    <row r="10" spans="1:16">
      <c r="A10" s="64"/>
      <c r="H10" s="889"/>
      <c r="I10" s="889" t="s">
        <v>1040</v>
      </c>
      <c r="J10" s="890"/>
      <c r="K10" s="890"/>
      <c r="L10" s="890"/>
      <c r="M10" s="890"/>
      <c r="N10" s="891"/>
      <c r="P10" s="1365" t="s">
        <v>103</v>
      </c>
    </row>
    <row r="11" spans="1:16">
      <c r="A11" s="64"/>
      <c r="H11" s="1638">
        <v>0</v>
      </c>
      <c r="I11" s="727" t="s">
        <v>796</v>
      </c>
      <c r="J11" s="892" t="s">
        <v>797</v>
      </c>
      <c r="K11" s="892" t="s">
        <v>798</v>
      </c>
      <c r="L11" s="892" t="s">
        <v>799</v>
      </c>
      <c r="M11" s="892" t="s">
        <v>800</v>
      </c>
      <c r="N11" s="893" t="s">
        <v>801</v>
      </c>
      <c r="P11" s="462"/>
    </row>
    <row r="12" spans="1:16" ht="15.6">
      <c r="A12" s="480"/>
      <c r="F12" s="66"/>
      <c r="G12" s="66"/>
      <c r="H12" s="894">
        <f>+I12-1</f>
        <v>2024</v>
      </c>
      <c r="I12" s="895">
        <f>Cover!E11</f>
        <v>2025</v>
      </c>
      <c r="J12" s="896">
        <f>+I13</f>
        <v>2026</v>
      </c>
      <c r="K12" s="896">
        <f>+J13</f>
        <v>2027</v>
      </c>
      <c r="L12" s="896">
        <f>+K13</f>
        <v>2028</v>
      </c>
      <c r="M12" s="896">
        <f>+L13</f>
        <v>2029</v>
      </c>
      <c r="N12" s="897">
        <f>+M13</f>
        <v>2030</v>
      </c>
      <c r="P12" s="343"/>
    </row>
    <row r="13" spans="1:16" ht="15.6">
      <c r="A13" s="480"/>
      <c r="F13" s="67"/>
      <c r="G13" s="67"/>
      <c r="H13" s="754">
        <f>+I13-1</f>
        <v>2025</v>
      </c>
      <c r="I13" s="754">
        <f t="shared" ref="I13:N13" si="0">+I12+1</f>
        <v>2026</v>
      </c>
      <c r="J13" s="755">
        <f t="shared" si="0"/>
        <v>2027</v>
      </c>
      <c r="K13" s="755">
        <f t="shared" si="0"/>
        <v>2028</v>
      </c>
      <c r="L13" s="755">
        <f t="shared" si="0"/>
        <v>2029</v>
      </c>
      <c r="M13" s="755">
        <f t="shared" si="0"/>
        <v>2030</v>
      </c>
      <c r="N13" s="756">
        <f t="shared" si="0"/>
        <v>2031</v>
      </c>
      <c r="P13" s="343"/>
    </row>
    <row r="14" spans="1:16" ht="17.399999999999999">
      <c r="A14" s="480">
        <f>ROW()</f>
        <v>14</v>
      </c>
      <c r="B14" s="78" t="s">
        <v>296</v>
      </c>
      <c r="C14" s="1639"/>
      <c r="F14" s="66"/>
      <c r="G14" s="66"/>
      <c r="H14" s="245"/>
      <c r="I14" s="246"/>
      <c r="J14" s="246"/>
      <c r="K14" s="246"/>
      <c r="L14" s="246"/>
      <c r="M14" s="246"/>
      <c r="N14" s="246"/>
      <c r="P14" s="343"/>
    </row>
    <row r="15" spans="1:16">
      <c r="A15" s="480">
        <f>ROW()</f>
        <v>15</v>
      </c>
      <c r="B15" s="33" t="s">
        <v>297</v>
      </c>
      <c r="C15" s="99"/>
      <c r="H15" s="888">
        <v>0</v>
      </c>
      <c r="I15" s="494">
        <f t="shared" ref="I15:N15" si="1">COUNTIF(I18:I30,"&gt;0")</f>
        <v>7</v>
      </c>
      <c r="J15" s="494">
        <f t="shared" si="1"/>
        <v>7</v>
      </c>
      <c r="K15" s="494">
        <f t="shared" si="1"/>
        <v>7</v>
      </c>
      <c r="L15" s="494">
        <f t="shared" si="1"/>
        <v>7</v>
      </c>
      <c r="M15" s="494">
        <f t="shared" si="1"/>
        <v>7</v>
      </c>
      <c r="N15" s="494">
        <f t="shared" si="1"/>
        <v>7</v>
      </c>
      <c r="P15" s="343"/>
    </row>
    <row r="16" spans="1:16">
      <c r="A16" s="480">
        <f>ROW()</f>
        <v>16</v>
      </c>
      <c r="B16" s="63" t="s">
        <v>298</v>
      </c>
      <c r="C16" s="1640"/>
      <c r="D16" s="63"/>
      <c r="E16" s="63"/>
      <c r="F16" s="63"/>
      <c r="G16" s="63"/>
      <c r="H16" s="838">
        <v>0</v>
      </c>
      <c r="I16" s="494">
        <f>+' Enrol &amp; Rev'!G19</f>
        <v>0</v>
      </c>
      <c r="J16" s="494">
        <f>+' Enrol &amp; Rev'!H19</f>
        <v>0</v>
      </c>
      <c r="K16" s="494">
        <f>+' Enrol &amp; Rev'!I19</f>
        <v>0</v>
      </c>
      <c r="L16" s="494">
        <f>+' Enrol &amp; Rev'!J19</f>
        <v>0</v>
      </c>
      <c r="M16" s="494">
        <f>+' Enrol &amp; Rev'!K19</f>
        <v>0</v>
      </c>
      <c r="N16" s="494">
        <f>+' Enrol &amp; Rev'!L19</f>
        <v>0</v>
      </c>
      <c r="P16" s="343"/>
    </row>
    <row r="17" spans="1:16">
      <c r="A17" s="480">
        <f>ROW()</f>
        <v>17</v>
      </c>
      <c r="B17" s="41"/>
      <c r="C17" s="1209"/>
      <c r="D17" s="306"/>
      <c r="E17" s="306"/>
      <c r="F17" s="259"/>
      <c r="G17" s="259"/>
      <c r="H17" s="259"/>
      <c r="I17" s="259"/>
      <c r="J17" s="259"/>
      <c r="K17" s="259"/>
      <c r="L17" s="259"/>
      <c r="M17" s="259"/>
      <c r="N17" s="259"/>
      <c r="P17" s="343"/>
    </row>
    <row r="18" spans="1:16">
      <c r="A18" s="480">
        <f>ROW()</f>
        <v>18</v>
      </c>
      <c r="B18" s="143" t="s">
        <v>299</v>
      </c>
      <c r="C18" s="68"/>
      <c r="D18" s="41"/>
      <c r="E18" s="41"/>
      <c r="H18" s="835"/>
      <c r="I18" s="601">
        <f>+'Mkt Res'!E14</f>
        <v>0</v>
      </c>
      <c r="J18" s="601">
        <f>+'Mkt Res'!F14</f>
        <v>0</v>
      </c>
      <c r="K18" s="601">
        <f>+'Mkt Res'!G14</f>
        <v>0</v>
      </c>
      <c r="L18" s="601">
        <f>+'Mkt Res'!H14</f>
        <v>0</v>
      </c>
      <c r="M18" s="601">
        <f>+'Mkt Res'!I14</f>
        <v>0</v>
      </c>
      <c r="N18" s="601">
        <f>+'Mkt Res'!J14</f>
        <v>0</v>
      </c>
      <c r="P18" s="343"/>
    </row>
    <row r="19" spans="1:16">
      <c r="A19" s="480">
        <f>ROW()</f>
        <v>19</v>
      </c>
      <c r="B19" s="70" t="s">
        <v>300</v>
      </c>
      <c r="C19" s="71"/>
      <c r="D19" s="70"/>
      <c r="E19" s="70"/>
      <c r="F19" s="72"/>
      <c r="G19" s="72"/>
      <c r="H19" s="836"/>
      <c r="I19" s="600">
        <f>+'Mkt Res'!E15</f>
        <v>0</v>
      </c>
      <c r="J19" s="600">
        <f>+'Mkt Res'!F15</f>
        <v>0</v>
      </c>
      <c r="K19" s="600">
        <f>+'Mkt Res'!G15</f>
        <v>0</v>
      </c>
      <c r="L19" s="600">
        <f>+'Mkt Res'!H15</f>
        <v>0</v>
      </c>
      <c r="M19" s="600">
        <f>+'Mkt Res'!I15</f>
        <v>0</v>
      </c>
      <c r="N19" s="600">
        <f>+'Mkt Res'!J15</f>
        <v>0</v>
      </c>
      <c r="P19" s="343"/>
    </row>
    <row r="20" spans="1:16">
      <c r="A20" s="480">
        <f>ROW()</f>
        <v>20</v>
      </c>
      <c r="B20" s="70" t="s">
        <v>301</v>
      </c>
      <c r="C20" s="71"/>
      <c r="D20" s="70"/>
      <c r="E20" s="70"/>
      <c r="F20" s="72"/>
      <c r="G20" s="72"/>
      <c r="H20" s="836"/>
      <c r="I20" s="600">
        <f>+'Mkt Res'!E16</f>
        <v>0</v>
      </c>
      <c r="J20" s="600">
        <f>+'Mkt Res'!F16</f>
        <v>0</v>
      </c>
      <c r="K20" s="600">
        <f>+'Mkt Res'!G16</f>
        <v>0</v>
      </c>
      <c r="L20" s="600">
        <f>+'Mkt Res'!H16</f>
        <v>0</v>
      </c>
      <c r="M20" s="600">
        <f>+'Mkt Res'!I16</f>
        <v>0</v>
      </c>
      <c r="N20" s="600">
        <f>+'Mkt Res'!J16</f>
        <v>0</v>
      </c>
      <c r="P20" s="343"/>
    </row>
    <row r="21" spans="1:16">
      <c r="A21" s="480">
        <f>ROW()</f>
        <v>21</v>
      </c>
      <c r="B21" s="70" t="s">
        <v>302</v>
      </c>
      <c r="C21" s="71"/>
      <c r="D21" s="70"/>
      <c r="E21" s="70"/>
      <c r="F21" s="72"/>
      <c r="G21" s="72"/>
      <c r="H21" s="836"/>
      <c r="I21" s="600">
        <f>+'Mkt Res'!E17</f>
        <v>0</v>
      </c>
      <c r="J21" s="600">
        <f>+'Mkt Res'!F17</f>
        <v>0</v>
      </c>
      <c r="K21" s="600">
        <f>+'Mkt Res'!G17</f>
        <v>0</v>
      </c>
      <c r="L21" s="600">
        <f>+'Mkt Res'!H17</f>
        <v>0</v>
      </c>
      <c r="M21" s="600">
        <f>+'Mkt Res'!I17</f>
        <v>0</v>
      </c>
      <c r="N21" s="600">
        <f>+'Mkt Res'!J17</f>
        <v>0</v>
      </c>
      <c r="P21" s="343"/>
    </row>
    <row r="22" spans="1:16">
      <c r="A22" s="480">
        <f>ROW()</f>
        <v>22</v>
      </c>
      <c r="B22" s="70" t="s">
        <v>303</v>
      </c>
      <c r="C22" s="71"/>
      <c r="D22" s="70"/>
      <c r="E22" s="70"/>
      <c r="F22" s="72"/>
      <c r="G22" s="72"/>
      <c r="H22" s="836"/>
      <c r="I22" s="600">
        <f>+'Mkt Res'!E18</f>
        <v>0</v>
      </c>
      <c r="J22" s="600">
        <f>+'Mkt Res'!F18</f>
        <v>0</v>
      </c>
      <c r="K22" s="600">
        <f>+'Mkt Res'!G18</f>
        <v>0</v>
      </c>
      <c r="L22" s="600">
        <f>+'Mkt Res'!H18</f>
        <v>0</v>
      </c>
      <c r="M22" s="600">
        <f>+'Mkt Res'!I18</f>
        <v>0</v>
      </c>
      <c r="N22" s="600">
        <f>+'Mkt Res'!J18</f>
        <v>0</v>
      </c>
      <c r="P22" s="343"/>
    </row>
    <row r="23" spans="1:16">
      <c r="A23" s="480">
        <f>ROW()</f>
        <v>23</v>
      </c>
      <c r="B23" s="70" t="s">
        <v>304</v>
      </c>
      <c r="C23" s="71"/>
      <c r="D23" s="70"/>
      <c r="E23" s="70"/>
      <c r="F23" s="72"/>
      <c r="G23" s="72"/>
      <c r="H23" s="836"/>
      <c r="I23" s="600">
        <f>+'Mkt Res'!E19</f>
        <v>0</v>
      </c>
      <c r="J23" s="600">
        <f>+'Mkt Res'!F19</f>
        <v>0</v>
      </c>
      <c r="K23" s="600">
        <f>+'Mkt Res'!G19</f>
        <v>0</v>
      </c>
      <c r="L23" s="600">
        <f>+'Mkt Res'!H19</f>
        <v>0</v>
      </c>
      <c r="M23" s="600">
        <f>+'Mkt Res'!I19</f>
        <v>0</v>
      </c>
      <c r="N23" s="600">
        <f>+'Mkt Res'!J19</f>
        <v>0</v>
      </c>
      <c r="P23" s="343"/>
    </row>
    <row r="24" spans="1:16">
      <c r="A24" s="480">
        <f>ROW()</f>
        <v>24</v>
      </c>
      <c r="B24" s="70" t="s">
        <v>305</v>
      </c>
      <c r="C24" s="71"/>
      <c r="D24" s="70"/>
      <c r="E24" s="70"/>
      <c r="F24" s="72"/>
      <c r="G24" s="72"/>
      <c r="H24" s="836"/>
      <c r="I24" s="600">
        <f>+'Mkt Res'!E20</f>
        <v>101</v>
      </c>
      <c r="J24" s="600">
        <f>+'Mkt Res'!F20</f>
        <v>107</v>
      </c>
      <c r="K24" s="600">
        <f>+'Mkt Res'!G20</f>
        <v>113.95641088000002</v>
      </c>
      <c r="L24" s="600">
        <f>+'Mkt Res'!H20</f>
        <v>120.79379553280003</v>
      </c>
      <c r="M24" s="600">
        <f>+'Mkt Res'!I20</f>
        <v>128.04142326476804</v>
      </c>
      <c r="N24" s="600">
        <f>+'Mkt Res'!J20</f>
        <v>135.72390866065413</v>
      </c>
      <c r="P24" s="343"/>
    </row>
    <row r="25" spans="1:16">
      <c r="A25" s="480">
        <f>ROW()</f>
        <v>25</v>
      </c>
      <c r="B25" s="70" t="s">
        <v>306</v>
      </c>
      <c r="C25" s="71"/>
      <c r="D25" s="70"/>
      <c r="E25" s="70"/>
      <c r="F25" s="72"/>
      <c r="G25" s="72"/>
      <c r="H25" s="836"/>
      <c r="I25" s="600">
        <f>+'Mkt Res'!E21</f>
        <v>166</v>
      </c>
      <c r="J25" s="600">
        <f>+'Mkt Res'!F21</f>
        <v>177</v>
      </c>
      <c r="K25" s="600">
        <f>+'Mkt Res'!G21</f>
        <v>187.03715264000004</v>
      </c>
      <c r="L25" s="600">
        <f>+'Mkt Res'!H21</f>
        <v>198.25938179840006</v>
      </c>
      <c r="M25" s="600">
        <f>+'Mkt Res'!I21</f>
        <v>210.15494470630406</v>
      </c>
      <c r="N25" s="600">
        <f>+'Mkt Res'!J21</f>
        <v>222.76424138868231</v>
      </c>
      <c r="P25" s="343"/>
    </row>
    <row r="26" spans="1:16">
      <c r="A26" s="480">
        <f>ROW()</f>
        <v>26</v>
      </c>
      <c r="B26" s="70" t="s">
        <v>307</v>
      </c>
      <c r="C26" s="71"/>
      <c r="D26" s="70"/>
      <c r="E26" s="70"/>
      <c r="F26" s="72"/>
      <c r="G26" s="72"/>
      <c r="H26" s="836"/>
      <c r="I26" s="600">
        <f>+'Mkt Res'!E22</f>
        <v>264</v>
      </c>
      <c r="J26" s="600">
        <f>+'Mkt Res'!F22</f>
        <v>280</v>
      </c>
      <c r="K26" s="600">
        <f>+'Mkt Res'!G22</f>
        <v>296.03893696000006</v>
      </c>
      <c r="L26" s="600">
        <f>+'Mkt Res'!H22</f>
        <v>313.80127317760008</v>
      </c>
      <c r="M26" s="600">
        <f>+'Mkt Res'!I22</f>
        <v>332.62934956825609</v>
      </c>
      <c r="N26" s="600">
        <f>+'Mkt Res'!J22</f>
        <v>352.58711054235147</v>
      </c>
      <c r="P26" s="343"/>
    </row>
    <row r="27" spans="1:16">
      <c r="A27" s="480">
        <f>ROW()</f>
        <v>27</v>
      </c>
      <c r="B27" s="70" t="s">
        <v>308</v>
      </c>
      <c r="C27" s="71"/>
      <c r="D27" s="70"/>
      <c r="E27" s="70"/>
      <c r="F27" s="72"/>
      <c r="G27" s="72"/>
      <c r="H27" s="836"/>
      <c r="I27" s="600">
        <f>+'Mkt Res'!E23</f>
        <v>165</v>
      </c>
      <c r="J27" s="600">
        <f>+'Mkt Res'!F23</f>
        <v>174</v>
      </c>
      <c r="K27" s="600">
        <f>+'Mkt Res'!G23</f>
        <v>184.55983936000004</v>
      </c>
      <c r="L27" s="600">
        <f>+'Mkt Res'!H23</f>
        <v>195.63342972160007</v>
      </c>
      <c r="M27" s="600">
        <f>+'Mkt Res'!I23</f>
        <v>207.37143550489608</v>
      </c>
      <c r="N27" s="600">
        <f>+'Mkt Res'!J23</f>
        <v>219.81372163518986</v>
      </c>
      <c r="P27" s="343"/>
    </row>
    <row r="28" spans="1:16">
      <c r="A28" s="480">
        <f>ROW()</f>
        <v>28</v>
      </c>
      <c r="B28" s="70" t="s">
        <v>309</v>
      </c>
      <c r="C28" s="71"/>
      <c r="D28" s="70"/>
      <c r="E28" s="70"/>
      <c r="F28" s="72"/>
      <c r="G28" s="72"/>
      <c r="H28" s="836"/>
      <c r="I28" s="600">
        <f>+'Mkt Res'!E24</f>
        <v>237</v>
      </c>
      <c r="J28" s="600">
        <f>+'Mkt Res'!F24</f>
        <v>250</v>
      </c>
      <c r="K28" s="600">
        <f>+'Mkt Res'!G24</f>
        <v>265.07252096000002</v>
      </c>
      <c r="L28" s="600">
        <f>+'Mkt Res'!H24</f>
        <v>280.97687221760003</v>
      </c>
      <c r="M28" s="600">
        <f>+'Mkt Res'!I24</f>
        <v>297.83548455065608</v>
      </c>
      <c r="N28" s="600">
        <f>+'Mkt Res'!J24</f>
        <v>315.70561362369546</v>
      </c>
      <c r="P28" s="343"/>
    </row>
    <row r="29" spans="1:16">
      <c r="A29" s="480">
        <f>ROW()</f>
        <v>29</v>
      </c>
      <c r="B29" s="70" t="s">
        <v>310</v>
      </c>
      <c r="C29" s="71"/>
      <c r="D29" s="70"/>
      <c r="E29" s="70"/>
      <c r="F29" s="72"/>
      <c r="G29" s="72"/>
      <c r="H29" s="836"/>
      <c r="I29" s="600">
        <f>+'Mkt Res'!E25</f>
        <v>293</v>
      </c>
      <c r="J29" s="600">
        <f>+'Mkt Res'!F25</f>
        <v>310</v>
      </c>
      <c r="K29" s="600">
        <f>+'Mkt Res'!G25</f>
        <v>328.24400960000008</v>
      </c>
      <c r="L29" s="600">
        <f>+'Mkt Res'!H25</f>
        <v>347.93865017600012</v>
      </c>
      <c r="M29" s="600">
        <f>+'Mkt Res'!I25</f>
        <v>368.81496918656018</v>
      </c>
      <c r="N29" s="600">
        <f>+'Mkt Res'!J25</f>
        <v>390.94386733775383</v>
      </c>
      <c r="P29" s="343"/>
    </row>
    <row r="30" spans="1:16">
      <c r="A30" s="480">
        <f>ROW()</f>
        <v>30</v>
      </c>
      <c r="B30" s="70" t="s">
        <v>311</v>
      </c>
      <c r="C30" s="71"/>
      <c r="D30" s="70"/>
      <c r="E30" s="70"/>
      <c r="F30" s="72"/>
      <c r="G30" s="63"/>
      <c r="H30" s="837"/>
      <c r="I30" s="602">
        <f>+'Mkt Res'!E26</f>
        <v>369</v>
      </c>
      <c r="J30" s="602">
        <f>+'Mkt Res'!F26</f>
        <v>390</v>
      </c>
      <c r="K30" s="602">
        <f>+'Mkt Res'!G26</f>
        <v>413.7113177600001</v>
      </c>
      <c r="L30" s="602">
        <f>+'Mkt Res'!H26</f>
        <v>438.53399682560013</v>
      </c>
      <c r="M30" s="602">
        <f>+'Mkt Res'!I26</f>
        <v>464.84603663513616</v>
      </c>
      <c r="N30" s="602">
        <f>+'Mkt Res'!J26</f>
        <v>492.73679883324434</v>
      </c>
      <c r="P30" s="343"/>
    </row>
    <row r="31" spans="1:16">
      <c r="A31" s="480">
        <f>ROW()</f>
        <v>31</v>
      </c>
      <c r="B31" s="170" t="s">
        <v>312</v>
      </c>
      <c r="C31" s="1210"/>
      <c r="D31" s="1210"/>
      <c r="E31" s="1210"/>
      <c r="F31" s="1210"/>
      <c r="G31" s="74"/>
      <c r="H31" s="104"/>
      <c r="I31" s="181">
        <f t="shared" ref="I31:N31" si="2">SUM(I18:I30)</f>
        <v>1595</v>
      </c>
      <c r="J31" s="181">
        <f t="shared" si="2"/>
        <v>1688</v>
      </c>
      <c r="K31" s="181">
        <f t="shared" si="2"/>
        <v>1788.6201881600005</v>
      </c>
      <c r="L31" s="181">
        <f t="shared" si="2"/>
        <v>1895.9373994496007</v>
      </c>
      <c r="M31" s="181">
        <f t="shared" si="2"/>
        <v>2009.6936434165768</v>
      </c>
      <c r="N31" s="181">
        <f t="shared" si="2"/>
        <v>2130.2752620215715</v>
      </c>
      <c r="P31" s="343"/>
    </row>
    <row r="32" spans="1:16">
      <c r="A32" s="480">
        <f>ROW()</f>
        <v>32</v>
      </c>
      <c r="B32" s="41" t="s">
        <v>313</v>
      </c>
      <c r="C32" s="41"/>
      <c r="D32" s="41"/>
      <c r="E32" s="41"/>
      <c r="H32" s="182"/>
      <c r="I32" s="124">
        <f>IFERROR(I31/I16,0)</f>
        <v>0</v>
      </c>
      <c r="J32" s="124">
        <f t="shared" ref="J32:N32" si="3">IFERROR(J31/J16,0)</f>
        <v>0</v>
      </c>
      <c r="K32" s="124">
        <f t="shared" si="3"/>
        <v>0</v>
      </c>
      <c r="L32" s="124">
        <f t="shared" si="3"/>
        <v>0</v>
      </c>
      <c r="M32" s="124">
        <f t="shared" si="3"/>
        <v>0</v>
      </c>
      <c r="N32" s="124">
        <f t="shared" si="3"/>
        <v>0</v>
      </c>
      <c r="P32" s="343"/>
    </row>
    <row r="33" spans="1:16">
      <c r="A33" s="480">
        <f>ROW()</f>
        <v>33</v>
      </c>
      <c r="P33" s="343"/>
    </row>
    <row r="34" spans="1:16" ht="17.399999999999999">
      <c r="A34" s="480">
        <f>ROW()</f>
        <v>34</v>
      </c>
      <c r="B34" s="1794" t="s">
        <v>1041</v>
      </c>
      <c r="C34" s="1794"/>
      <c r="D34" s="1794"/>
      <c r="E34" s="1794"/>
      <c r="F34" s="1794"/>
      <c r="G34" s="1458"/>
      <c r="H34" s="740">
        <f>+H11</f>
        <v>0</v>
      </c>
      <c r="I34" s="740" t="str">
        <f t="shared" ref="I34:N34" si="4">+I11</f>
        <v>SY 1</v>
      </c>
      <c r="J34" s="740" t="str">
        <f t="shared" si="4"/>
        <v>SY 2</v>
      </c>
      <c r="K34" s="740" t="str">
        <f t="shared" si="4"/>
        <v>SY 3</v>
      </c>
      <c r="L34" s="740" t="str">
        <f t="shared" si="4"/>
        <v>SY 4</v>
      </c>
      <c r="M34" s="740" t="str">
        <f t="shared" si="4"/>
        <v>SY 5</v>
      </c>
      <c r="N34" s="740" t="str">
        <f t="shared" si="4"/>
        <v>SY 6</v>
      </c>
      <c r="P34" s="343"/>
    </row>
    <row r="35" spans="1:16">
      <c r="A35" s="480">
        <f>ROW()</f>
        <v>35</v>
      </c>
      <c r="B35" s="1459" t="s">
        <v>1042</v>
      </c>
      <c r="C35" s="1459" t="s">
        <v>1043</v>
      </c>
      <c r="D35" s="1459"/>
      <c r="E35" s="1459"/>
      <c r="F35" s="1459"/>
      <c r="G35" s="1460" t="s">
        <v>343</v>
      </c>
      <c r="H35" s="757">
        <f>H13</f>
        <v>2025</v>
      </c>
      <c r="I35" s="757">
        <f t="shared" ref="I35:N35" si="5">I13</f>
        <v>2026</v>
      </c>
      <c r="J35" s="757">
        <f t="shared" si="5"/>
        <v>2027</v>
      </c>
      <c r="K35" s="757">
        <f t="shared" si="5"/>
        <v>2028</v>
      </c>
      <c r="L35" s="757">
        <f t="shared" si="5"/>
        <v>2029</v>
      </c>
      <c r="M35" s="757">
        <f t="shared" si="5"/>
        <v>2030</v>
      </c>
      <c r="N35" s="757">
        <f t="shared" si="5"/>
        <v>2031</v>
      </c>
      <c r="P35" s="343"/>
    </row>
    <row r="36" spans="1:16">
      <c r="A36" s="480">
        <f>ROW()</f>
        <v>36</v>
      </c>
      <c r="B36" s="609" t="s">
        <v>114</v>
      </c>
      <c r="C36" s="609"/>
      <c r="D36" s="609"/>
      <c r="E36" s="609"/>
      <c r="F36" s="609"/>
      <c r="G36" s="1461">
        <f>SUM(H36:N36)</f>
        <v>544303.92000000004</v>
      </c>
      <c r="H36" s="261"/>
      <c r="I36" s="261">
        <v>90717.32</v>
      </c>
      <c r="J36" s="261">
        <v>90717.32</v>
      </c>
      <c r="K36" s="261">
        <v>90717.32</v>
      </c>
      <c r="L36" s="261">
        <v>90717.32</v>
      </c>
      <c r="M36" s="261">
        <v>90717.32</v>
      </c>
      <c r="N36" s="261">
        <v>90717.32</v>
      </c>
      <c r="P36" s="343" t="s">
        <v>1557</v>
      </c>
    </row>
    <row r="37" spans="1:16">
      <c r="A37" s="480">
        <f>ROW()</f>
        <v>37</v>
      </c>
      <c r="B37" s="1652" t="s">
        <v>1044</v>
      </c>
      <c r="C37" s="1652" t="s">
        <v>1045</v>
      </c>
      <c r="D37" s="1652"/>
      <c r="E37" s="1652"/>
      <c r="F37" s="1652"/>
      <c r="G37" s="1462">
        <f t="shared" ref="G37:G43" si="6">SUM(H37:N37)</f>
        <v>0</v>
      </c>
      <c r="H37" s="262">
        <v>0</v>
      </c>
      <c r="I37" s="262">
        <v>0</v>
      </c>
      <c r="J37" s="262">
        <v>0</v>
      </c>
      <c r="K37" s="262">
        <v>0</v>
      </c>
      <c r="L37" s="262">
        <v>0</v>
      </c>
      <c r="M37" s="262">
        <v>0</v>
      </c>
      <c r="N37" s="262">
        <v>0</v>
      </c>
      <c r="P37" s="343" t="s">
        <v>1558</v>
      </c>
    </row>
    <row r="38" spans="1:16">
      <c r="A38" s="480">
        <f>ROW()</f>
        <v>38</v>
      </c>
      <c r="B38" s="1652" t="s">
        <v>1046</v>
      </c>
      <c r="C38" s="1652"/>
      <c r="D38" s="1652"/>
      <c r="E38" s="1652"/>
      <c r="F38" s="1652"/>
      <c r="G38" s="1462">
        <f t="shared" si="6"/>
        <v>0</v>
      </c>
      <c r="H38" s="262">
        <v>0</v>
      </c>
      <c r="I38" s="262">
        <v>0</v>
      </c>
      <c r="J38" s="262">
        <v>0</v>
      </c>
      <c r="K38" s="262">
        <v>0</v>
      </c>
      <c r="L38" s="262">
        <v>0</v>
      </c>
      <c r="M38" s="262">
        <v>0</v>
      </c>
      <c r="N38" s="262">
        <v>0</v>
      </c>
      <c r="P38" s="343"/>
    </row>
    <row r="39" spans="1:16">
      <c r="A39" s="480">
        <f>ROW()</f>
        <v>39</v>
      </c>
      <c r="B39" s="1652"/>
      <c r="C39" s="1652"/>
      <c r="D39" s="1652"/>
      <c r="E39" s="1652"/>
      <c r="F39" s="1652"/>
      <c r="G39" s="1462">
        <f t="shared" si="6"/>
        <v>0</v>
      </c>
      <c r="H39" s="262">
        <v>0</v>
      </c>
      <c r="I39" s="262">
        <v>0</v>
      </c>
      <c r="J39" s="262">
        <v>0</v>
      </c>
      <c r="K39" s="262">
        <v>0</v>
      </c>
      <c r="L39" s="262">
        <v>0</v>
      </c>
      <c r="M39" s="262">
        <v>0</v>
      </c>
      <c r="N39" s="262">
        <v>0</v>
      </c>
      <c r="P39" s="343"/>
    </row>
    <row r="40" spans="1:16">
      <c r="A40" s="480">
        <f>ROW()</f>
        <v>40</v>
      </c>
      <c r="B40" s="1652"/>
      <c r="C40" s="1652"/>
      <c r="D40" s="1652"/>
      <c r="E40" s="1652"/>
      <c r="F40" s="1652"/>
      <c r="G40" s="1462">
        <f t="shared" si="6"/>
        <v>0</v>
      </c>
      <c r="H40" s="262">
        <v>0</v>
      </c>
      <c r="I40" s="262">
        <v>0</v>
      </c>
      <c r="J40" s="262">
        <v>0</v>
      </c>
      <c r="K40" s="262">
        <v>0</v>
      </c>
      <c r="L40" s="262">
        <v>0</v>
      </c>
      <c r="M40" s="262">
        <v>0</v>
      </c>
      <c r="N40" s="262">
        <v>0</v>
      </c>
      <c r="P40" s="343"/>
    </row>
    <row r="41" spans="1:16">
      <c r="A41" s="480">
        <f>ROW()</f>
        <v>41</v>
      </c>
      <c r="B41" s="1652"/>
      <c r="C41" s="1652"/>
      <c r="D41" s="1652"/>
      <c r="E41" s="1652"/>
      <c r="F41" s="1652"/>
      <c r="G41" s="1462">
        <f t="shared" si="6"/>
        <v>0</v>
      </c>
      <c r="H41" s="262">
        <v>0</v>
      </c>
      <c r="I41" s="262">
        <v>0</v>
      </c>
      <c r="J41" s="262">
        <v>0</v>
      </c>
      <c r="K41" s="262">
        <v>0</v>
      </c>
      <c r="L41" s="262">
        <v>0</v>
      </c>
      <c r="M41" s="262">
        <v>0</v>
      </c>
      <c r="N41" s="262">
        <v>0</v>
      </c>
      <c r="P41" s="343"/>
    </row>
    <row r="42" spans="1:16">
      <c r="A42" s="480">
        <f>ROW()</f>
        <v>42</v>
      </c>
      <c r="B42" s="1652"/>
      <c r="C42" s="1652"/>
      <c r="D42" s="1652"/>
      <c r="E42" s="1652"/>
      <c r="F42" s="1652"/>
      <c r="G42" s="1462">
        <f t="shared" si="6"/>
        <v>0</v>
      </c>
      <c r="H42" s="262">
        <v>0</v>
      </c>
      <c r="I42" s="262">
        <v>0</v>
      </c>
      <c r="J42" s="262">
        <v>0</v>
      </c>
      <c r="K42" s="262">
        <v>0</v>
      </c>
      <c r="L42" s="262">
        <v>0</v>
      </c>
      <c r="M42" s="262">
        <v>0</v>
      </c>
      <c r="N42" s="262">
        <v>0</v>
      </c>
      <c r="P42" s="343"/>
    </row>
    <row r="43" spans="1:16">
      <c r="A43" s="480">
        <f>ROW()</f>
        <v>43</v>
      </c>
      <c r="B43" s="608"/>
      <c r="C43" s="608"/>
      <c r="D43" s="608"/>
      <c r="E43" s="608"/>
      <c r="F43" s="608"/>
      <c r="G43" s="1463">
        <f t="shared" si="6"/>
        <v>0</v>
      </c>
      <c r="H43" s="263">
        <v>0</v>
      </c>
      <c r="I43" s="263">
        <v>0</v>
      </c>
      <c r="J43" s="263">
        <v>0</v>
      </c>
      <c r="K43" s="263">
        <v>0</v>
      </c>
      <c r="L43" s="263">
        <v>0</v>
      </c>
      <c r="M43" s="263">
        <v>0</v>
      </c>
      <c r="N43" s="263">
        <v>0</v>
      </c>
      <c r="P43" s="343"/>
    </row>
    <row r="44" spans="1:16">
      <c r="A44" s="480">
        <f>ROW()</f>
        <v>44</v>
      </c>
      <c r="B44" s="33" t="s">
        <v>1047</v>
      </c>
      <c r="C44" s="605"/>
      <c r="D44" s="605"/>
      <c r="G44" s="606">
        <f>SUM(H44:N44)</f>
        <v>544303.92000000004</v>
      </c>
      <c r="H44" s="607">
        <f t="shared" ref="H44:N44" si="7">SUM(H36:H43)</f>
        <v>0</v>
      </c>
      <c r="I44" s="607">
        <f t="shared" si="7"/>
        <v>90717.32</v>
      </c>
      <c r="J44" s="607">
        <f t="shared" si="7"/>
        <v>90717.32</v>
      </c>
      <c r="K44" s="607">
        <f t="shared" si="7"/>
        <v>90717.32</v>
      </c>
      <c r="L44" s="607">
        <f t="shared" si="7"/>
        <v>90717.32</v>
      </c>
      <c r="M44" s="607">
        <f t="shared" si="7"/>
        <v>90717.32</v>
      </c>
      <c r="N44" s="607">
        <f t="shared" si="7"/>
        <v>90717.32</v>
      </c>
      <c r="P44" s="343"/>
    </row>
    <row r="45" spans="1:16">
      <c r="G45" s="221">
        <f t="shared" ref="G45:N45" si="8">IFERROR(G44/$G$44,0)</f>
        <v>1</v>
      </c>
      <c r="H45" s="221">
        <f t="shared" si="8"/>
        <v>0</v>
      </c>
      <c r="I45" s="221">
        <f t="shared" si="8"/>
        <v>0.16666666666666666</v>
      </c>
      <c r="J45" s="221">
        <f t="shared" si="8"/>
        <v>0.16666666666666666</v>
      </c>
      <c r="K45" s="221">
        <f t="shared" si="8"/>
        <v>0.16666666666666666</v>
      </c>
      <c r="L45" s="221">
        <f t="shared" si="8"/>
        <v>0.16666666666666666</v>
      </c>
      <c r="M45" s="221">
        <f t="shared" si="8"/>
        <v>0.16666666666666666</v>
      </c>
      <c r="N45" s="221">
        <f t="shared" si="8"/>
        <v>0.16666666666666666</v>
      </c>
      <c r="P45" s="343"/>
    </row>
    <row r="46" spans="1:16">
      <c r="P46" s="343"/>
    </row>
    <row r="47" spans="1:16">
      <c r="P47" s="343"/>
    </row>
  </sheetData>
  <sheetProtection algorithmName="SHA-512" hashValue="5UTAAnejzPBDHAIqXQTDEI6v7UtQmhbl8TrwVymrw/GiYtN8f4tT0SnujYlvv+yGxff6QNTOtsN4ilBBh8mgnw==" saltValue="jv+Q+FJde2Y+ZIh8R47dug==" spinCount="100000" sheet="1" objects="1" scenarios="1"/>
  <mergeCells count="2">
    <mergeCell ref="B34:F34"/>
    <mergeCell ref="A1:D1"/>
  </mergeCells>
  <conditionalFormatting sqref="B18:G30">
    <cfRule type="expression" dxfId="14" priority="11" stopIfTrue="1">
      <formula>MOD(ROW(),2)=0</formula>
    </cfRule>
  </conditionalFormatting>
  <conditionalFormatting sqref="G1">
    <cfRule type="expression" dxfId="13" priority="4" stopIfTrue="1">
      <formula>MOD(ROW(),2)=0</formula>
    </cfRule>
  </conditionalFormatting>
  <conditionalFormatting sqref="H15:N16">
    <cfRule type="cellIs" dxfId="12" priority="13" stopIfTrue="1" operator="equal">
      <formula>0</formula>
    </cfRule>
  </conditionalFormatting>
  <conditionalFormatting sqref="H18:N30">
    <cfRule type="cellIs" dxfId="11" priority="12" stopIfTrue="1" operator="equal">
      <formula>0</formula>
    </cfRule>
  </conditionalFormatting>
  <hyperlinks>
    <hyperlink ref="G1" location="HypLink1" display="HypLink1"/>
  </hyperlinks>
  <pageMargins left="0.25" right="0.25" top="0.5" bottom="0.45" header="0.25" footer="0.25"/>
  <pageSetup scale="70" fitToHeight="6" orientation="landscape" r:id="rId1"/>
  <headerFooter>
    <oddHeader xml:space="preserve">&amp;L &amp;C &amp;R </oddHeader>
    <oddFooter>&amp;L&amp;7&amp;D  at &amp;T Mike 702.854.0691&amp;C&amp;7&amp;F  &amp;A&amp;R&amp;7Page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M86"/>
  <sheetViews>
    <sheetView topLeftCell="A25" workbookViewId="0">
      <selection activeCell="I17" sqref="I17"/>
    </sheetView>
  </sheetViews>
  <sheetFormatPr defaultColWidth="8.77734375" defaultRowHeight="13.8"/>
  <cols>
    <col min="1" max="1" width="6.77734375" style="33" bestFit="1" customWidth="1"/>
    <col min="2" max="2" width="47.77734375" style="33" customWidth="1"/>
    <col min="3" max="3" width="10.21875" style="33" customWidth="1"/>
    <col min="4" max="4" width="14.5546875" style="33" customWidth="1"/>
    <col min="5" max="5" width="20.77734375" style="33" customWidth="1"/>
    <col min="6" max="6" width="13.44140625" style="33" customWidth="1"/>
    <col min="7" max="7" width="12.5546875" style="33" customWidth="1"/>
    <col min="8" max="8" width="12.77734375" style="33" customWidth="1"/>
    <col min="9" max="9" width="12.21875" style="33" customWidth="1"/>
    <col min="10" max="10" width="14" style="33" customWidth="1"/>
    <col min="11" max="11" width="14.77734375" style="33" customWidth="1"/>
    <col min="12" max="12" width="3.21875" style="33" customWidth="1"/>
    <col min="13" max="13" width="61.77734375" style="307" customWidth="1"/>
    <col min="14" max="16384" width="8.77734375" style="33"/>
  </cols>
  <sheetData>
    <row r="1" spans="1:13" ht="17.399999999999999">
      <c r="A1" s="123" t="s">
        <v>1048</v>
      </c>
      <c r="B1" s="35"/>
      <c r="C1" s="408" t="s">
        <v>3</v>
      </c>
      <c r="D1" s="80" t="s">
        <v>1049</v>
      </c>
      <c r="I1" s="31"/>
      <c r="J1" s="31"/>
      <c r="K1" s="31"/>
    </row>
    <row r="2" spans="1:13" ht="15.6">
      <c r="A2" s="114" t="str">
        <f>SchoolName</f>
        <v>The Delta Academy</v>
      </c>
      <c r="B2" s="38"/>
      <c r="D2" s="80" t="s">
        <v>1050</v>
      </c>
      <c r="I2" s="94"/>
      <c r="J2" s="94"/>
      <c r="K2" s="141"/>
      <c r="L2" s="142"/>
      <c r="M2" s="1469"/>
    </row>
    <row r="3" spans="1:13">
      <c r="A3" s="39" t="s">
        <v>80</v>
      </c>
      <c r="D3" s="243" t="s">
        <v>1051</v>
      </c>
      <c r="I3" s="97"/>
      <c r="J3" s="97"/>
      <c r="K3" s="141"/>
      <c r="L3" s="142"/>
      <c r="M3" s="1469"/>
    </row>
    <row r="4" spans="1:13">
      <c r="A4" s="40" t="s">
        <v>81</v>
      </c>
      <c r="D4" s="80" t="s">
        <v>1052</v>
      </c>
      <c r="I4" s="31"/>
      <c r="J4" s="31"/>
      <c r="K4" s="31"/>
    </row>
    <row r="5" spans="1:13">
      <c r="A5" s="30" t="str">
        <f ca="1">CELL("filename")</f>
        <v>C:\Users\kyle.konold\Downloads\[FY25 Budget - Delta Academy_Final.xlsx]Form 1 Cover</v>
      </c>
      <c r="I5" s="94"/>
      <c r="J5" s="94"/>
      <c r="K5" s="141"/>
      <c r="L5" s="142"/>
      <c r="M5" s="1469"/>
    </row>
    <row r="6" spans="1:13">
      <c r="A6" s="64"/>
      <c r="B6" s="31" t="s">
        <v>1053</v>
      </c>
      <c r="C6" s="31"/>
    </row>
    <row r="7" spans="1:13">
      <c r="A7" s="64"/>
      <c r="B7" s="31" t="s">
        <v>1054</v>
      </c>
      <c r="C7" s="65"/>
      <c r="E7" s="65" t="s">
        <v>1055</v>
      </c>
      <c r="F7" s="244"/>
    </row>
    <row r="8" spans="1:13">
      <c r="A8" s="64"/>
      <c r="B8" s="31" t="s">
        <v>1056</v>
      </c>
      <c r="C8" s="32"/>
      <c r="E8" s="32" t="s">
        <v>342</v>
      </c>
      <c r="F8" s="32"/>
    </row>
    <row r="9" spans="1:13">
      <c r="A9" s="346"/>
      <c r="B9" s="31"/>
      <c r="D9" s="32"/>
      <c r="E9" s="1638">
        <v>0</v>
      </c>
      <c r="F9" s="758" t="s">
        <v>796</v>
      </c>
      <c r="G9" s="758" t="s">
        <v>797</v>
      </c>
      <c r="H9" s="758" t="s">
        <v>798</v>
      </c>
      <c r="I9" s="758" t="s">
        <v>799</v>
      </c>
      <c r="J9" s="758" t="s">
        <v>800</v>
      </c>
      <c r="K9" s="1214" t="s">
        <v>801</v>
      </c>
    </row>
    <row r="10" spans="1:13" ht="15.6">
      <c r="A10" s="346"/>
      <c r="B10" s="31"/>
      <c r="D10" s="283"/>
      <c r="E10" s="759">
        <f>+F10-1</f>
        <v>2024</v>
      </c>
      <c r="F10" s="760">
        <f>' Enrol &amp; Rev'!G10</f>
        <v>2025</v>
      </c>
      <c r="G10" s="761">
        <f>+F11</f>
        <v>2026</v>
      </c>
      <c r="H10" s="761">
        <f>+G11</f>
        <v>2027</v>
      </c>
      <c r="I10" s="761">
        <f>+H11</f>
        <v>2028</v>
      </c>
      <c r="J10" s="761">
        <f>+I11</f>
        <v>2029</v>
      </c>
      <c r="K10" s="762">
        <f>+J11</f>
        <v>2030</v>
      </c>
    </row>
    <row r="11" spans="1:13" ht="15.6">
      <c r="A11" s="346"/>
      <c r="B11" s="31"/>
      <c r="D11" s="292" t="s">
        <v>156</v>
      </c>
      <c r="E11" s="763">
        <f>+F11-1</f>
        <v>2025</v>
      </c>
      <c r="F11" s="764">
        <f t="shared" ref="F11:K11" si="0">+F10+1</f>
        <v>2026</v>
      </c>
      <c r="G11" s="764">
        <f t="shared" si="0"/>
        <v>2027</v>
      </c>
      <c r="H11" s="764">
        <f t="shared" si="0"/>
        <v>2028</v>
      </c>
      <c r="I11" s="764">
        <f t="shared" si="0"/>
        <v>2029</v>
      </c>
      <c r="J11" s="764">
        <f t="shared" si="0"/>
        <v>2030</v>
      </c>
      <c r="K11" s="765">
        <f t="shared" si="0"/>
        <v>2031</v>
      </c>
      <c r="M11" s="1365" t="s">
        <v>103</v>
      </c>
    </row>
    <row r="12" spans="1:13" ht="15.6">
      <c r="A12" s="346">
        <f>ROW()</f>
        <v>12</v>
      </c>
      <c r="B12" s="1641" t="s">
        <v>587</v>
      </c>
      <c r="C12" s="1642"/>
      <c r="D12" s="1643"/>
      <c r="E12" s="578"/>
      <c r="F12" s="662">
        <f>'Mkt Res'!E27</f>
        <v>1595</v>
      </c>
      <c r="G12" s="662">
        <f>'Mkt Res'!F27</f>
        <v>1688</v>
      </c>
      <c r="H12" s="662">
        <f>'Mkt Res'!G27</f>
        <v>1788.6201881600005</v>
      </c>
      <c r="I12" s="662">
        <f>'Mkt Res'!H27</f>
        <v>1895.9373994496007</v>
      </c>
      <c r="J12" s="662">
        <f>'Mkt Res'!I27</f>
        <v>2009.6936434165768</v>
      </c>
      <c r="K12" s="662">
        <f>'Mkt Res'!J27</f>
        <v>2130.2752620215715</v>
      </c>
      <c r="M12" s="462"/>
    </row>
    <row r="13" spans="1:13" ht="15.6">
      <c r="A13" s="898">
        <f>ROW()</f>
        <v>13</v>
      </c>
      <c r="B13" s="524" t="s">
        <v>590</v>
      </c>
      <c r="C13" s="626"/>
      <c r="D13" s="663">
        <f>SUM(E13:K13)</f>
        <v>113313088.27620967</v>
      </c>
      <c r="E13" s="627"/>
      <c r="F13" s="665">
        <f>+' Enrol &amp; Rev'!G145</f>
        <v>15606245.845000001</v>
      </c>
      <c r="G13" s="665">
        <f>+' Enrol &amp; Rev'!H145</f>
        <v>17335514.31800412</v>
      </c>
      <c r="H13" s="665">
        <f>+' Enrol &amp; Rev'!I145</f>
        <v>18369626.809209835</v>
      </c>
      <c r="I13" s="665">
        <f>+' Enrol &amp; Rev'!J145</f>
        <v>19473416.592535403</v>
      </c>
      <c r="J13" s="665">
        <f>+' Enrol &amp; Rev'!K145</f>
        <v>20643825.588087529</v>
      </c>
      <c r="K13" s="665">
        <f>+' Enrol &amp; Rev'!L145</f>
        <v>21884459.123372782</v>
      </c>
      <c r="M13" s="343"/>
    </row>
    <row r="14" spans="1:13" ht="15.6">
      <c r="A14" s="898">
        <f>ROW()</f>
        <v>14</v>
      </c>
      <c r="B14" s="72" t="s">
        <v>1057</v>
      </c>
      <c r="C14" s="618"/>
      <c r="D14" s="664">
        <f>SUM(E14:K14)</f>
        <v>116176574.079767</v>
      </c>
      <c r="E14" s="666">
        <f>SUM(Summary!F48:F51,Summary!F44:F46)</f>
        <v>616575</v>
      </c>
      <c r="F14" s="667">
        <f>SUM(Summary!G48:G51,Summary!G44:G46)</f>
        <v>17106769.341254227</v>
      </c>
      <c r="G14" s="667">
        <f>SUM(Summary!H48:H51,Summary!H44:H46)</f>
        <v>17939959.440993663</v>
      </c>
      <c r="H14" s="667">
        <f>SUM(Summary!I48:I51,Summary!I44:I46)</f>
        <v>18737693.054859772</v>
      </c>
      <c r="I14" s="667">
        <f>SUM(Summary!J48:J51,Summary!J44:J46)</f>
        <v>19676092.326950889</v>
      </c>
      <c r="J14" s="667">
        <f>SUM(Summary!K48:K51,Summary!K44:K46)</f>
        <v>20559452.928679928</v>
      </c>
      <c r="K14" s="667">
        <f>SUM(Summary!L48:L51,Summary!L44:L46)</f>
        <v>21540031.987028524</v>
      </c>
      <c r="M14" s="343"/>
    </row>
    <row r="15" spans="1:13" ht="15.6">
      <c r="A15" s="898">
        <f>ROW()</f>
        <v>15</v>
      </c>
      <c r="B15" s="668" t="s">
        <v>1058</v>
      </c>
      <c r="C15" s="618"/>
      <c r="D15" s="1467" t="s">
        <v>1615</v>
      </c>
      <c r="E15" s="666"/>
      <c r="F15" s="667"/>
      <c r="G15" s="667"/>
      <c r="H15" s="667"/>
      <c r="I15" s="667"/>
      <c r="J15" s="667"/>
      <c r="K15" s="667"/>
      <c r="M15" s="343"/>
    </row>
    <row r="16" spans="1:13" ht="15.6">
      <c r="A16" s="898">
        <f>ROW()</f>
        <v>16</v>
      </c>
      <c r="B16" s="668" t="s">
        <v>1059</v>
      </c>
      <c r="C16" s="72"/>
      <c r="D16" s="619"/>
      <c r="E16" s="619"/>
      <c r="F16" s="447"/>
      <c r="G16" s="620"/>
      <c r="H16" s="620"/>
      <c r="I16" s="620"/>
      <c r="J16" s="620"/>
      <c r="K16" s="620"/>
      <c r="M16" s="343"/>
    </row>
    <row r="17" spans="1:13" ht="15.6">
      <c r="A17" s="898">
        <f>ROW()</f>
        <v>17</v>
      </c>
      <c r="B17" s="929" t="s">
        <v>1060</v>
      </c>
      <c r="D17" s="836"/>
      <c r="E17" s="930"/>
      <c r="F17" s="100"/>
      <c r="G17" s="931"/>
      <c r="H17" s="931"/>
      <c r="I17" s="931"/>
      <c r="J17" s="931"/>
      <c r="K17" s="931"/>
      <c r="M17" s="343"/>
    </row>
    <row r="18" spans="1:13" ht="15.6">
      <c r="A18" s="898">
        <f>ROW()</f>
        <v>18</v>
      </c>
      <c r="B18" s="929" t="s">
        <v>1061</v>
      </c>
      <c r="D18" s="836"/>
      <c r="E18" s="930"/>
      <c r="F18" s="100"/>
      <c r="G18" s="931"/>
      <c r="H18" s="931"/>
      <c r="I18" s="931"/>
      <c r="J18" s="931"/>
      <c r="K18" s="931"/>
      <c r="M18" s="343"/>
    </row>
    <row r="19" spans="1:13" ht="15.6">
      <c r="A19" s="898">
        <f>ROW()</f>
        <v>19</v>
      </c>
      <c r="B19" s="929" t="s">
        <v>1062</v>
      </c>
      <c r="D19" s="836"/>
      <c r="E19" s="1225" t="s">
        <v>1063</v>
      </c>
      <c r="F19" s="100"/>
      <c r="G19" s="931"/>
      <c r="H19" s="931"/>
      <c r="I19" s="931"/>
      <c r="J19" s="931"/>
      <c r="K19" s="931"/>
      <c r="M19" s="343"/>
    </row>
    <row r="20" spans="1:13" ht="15.6">
      <c r="A20" s="898">
        <f>ROW()</f>
        <v>20</v>
      </c>
      <c r="B20" s="929" t="s">
        <v>1064</v>
      </c>
      <c r="D20" s="836"/>
      <c r="E20" s="930"/>
      <c r="F20" s="100"/>
      <c r="G20" s="931"/>
      <c r="H20" s="931"/>
      <c r="I20" s="931"/>
      <c r="J20" s="931"/>
      <c r="K20" s="931"/>
      <c r="M20" s="343"/>
    </row>
    <row r="21" spans="1:13" ht="15.6">
      <c r="A21" s="898">
        <f>ROW()</f>
        <v>21</v>
      </c>
      <c r="B21" s="929" t="s">
        <v>1065</v>
      </c>
      <c r="D21" s="836"/>
      <c r="E21" s="930"/>
      <c r="F21" s="100"/>
      <c r="G21" s="931"/>
      <c r="H21" s="931"/>
      <c r="I21" s="931"/>
      <c r="J21" s="931"/>
      <c r="K21" s="931"/>
      <c r="M21" s="343"/>
    </row>
    <row r="22" spans="1:13" ht="15.6">
      <c r="A22" s="898">
        <f>ROW()</f>
        <v>22</v>
      </c>
      <c r="B22" s="929" t="s">
        <v>1065</v>
      </c>
      <c r="D22" s="836"/>
      <c r="E22" s="930"/>
      <c r="F22" s="100"/>
      <c r="G22" s="931"/>
      <c r="H22" s="931"/>
      <c r="I22" s="931"/>
      <c r="J22" s="931"/>
      <c r="K22" s="931"/>
      <c r="M22" s="343"/>
    </row>
    <row r="23" spans="1:13" ht="15.6">
      <c r="A23" s="898">
        <f>ROW()</f>
        <v>23</v>
      </c>
      <c r="B23" s="929"/>
      <c r="D23" s="250"/>
      <c r="E23" s="930"/>
      <c r="F23" s="100"/>
      <c r="G23" s="931"/>
      <c r="H23" s="931"/>
      <c r="I23" s="931"/>
      <c r="J23" s="931"/>
      <c r="K23" s="931"/>
      <c r="M23" s="343"/>
    </row>
    <row r="24" spans="1:13">
      <c r="A24" s="898">
        <f>ROW()</f>
        <v>24</v>
      </c>
      <c r="B24" s="464" t="s">
        <v>1066</v>
      </c>
      <c r="C24" s="617"/>
      <c r="D24" s="322"/>
      <c r="E24" s="621"/>
      <c r="F24" s="621"/>
      <c r="G24" s="621"/>
      <c r="H24" s="621"/>
      <c r="I24" s="621"/>
      <c r="J24" s="621"/>
      <c r="K24" s="621"/>
      <c r="M24" s="343"/>
    </row>
    <row r="25" spans="1:13">
      <c r="A25" s="898">
        <f>ROW()</f>
        <v>25</v>
      </c>
      <c r="B25" s="932"/>
      <c r="C25" s="843">
        <v>0</v>
      </c>
      <c r="D25" s="1464">
        <f>SUM(E25:K25)</f>
        <v>0</v>
      </c>
      <c r="E25" s="814">
        <v>0</v>
      </c>
      <c r="F25" s="814">
        <v>0</v>
      </c>
      <c r="G25" s="814">
        <v>0</v>
      </c>
      <c r="H25" s="814">
        <v>0</v>
      </c>
      <c r="I25" s="814">
        <v>0</v>
      </c>
      <c r="J25" s="814">
        <v>0</v>
      </c>
      <c r="K25" s="814">
        <v>0</v>
      </c>
      <c r="M25" s="343"/>
    </row>
    <row r="26" spans="1:13">
      <c r="A26" s="898">
        <f>ROW()</f>
        <v>26</v>
      </c>
      <c r="B26" s="839"/>
      <c r="C26" s="529">
        <v>0</v>
      </c>
      <c r="D26" s="1465">
        <f>SUM(E26:K26)</f>
        <v>0</v>
      </c>
      <c r="E26" s="623">
        <v>0</v>
      </c>
      <c r="F26" s="623">
        <v>0</v>
      </c>
      <c r="G26" s="623">
        <v>0</v>
      </c>
      <c r="H26" s="623">
        <v>0</v>
      </c>
      <c r="I26" s="623">
        <v>0</v>
      </c>
      <c r="J26" s="623">
        <v>0</v>
      </c>
      <c r="K26" s="623">
        <v>0</v>
      </c>
      <c r="M26" s="343"/>
    </row>
    <row r="27" spans="1:13">
      <c r="A27" s="898">
        <f>ROW()</f>
        <v>27</v>
      </c>
      <c r="B27" s="300"/>
      <c r="C27" s="529"/>
      <c r="D27" s="1465"/>
      <c r="E27" s="623">
        <v>0</v>
      </c>
      <c r="F27" s="623">
        <v>0</v>
      </c>
      <c r="G27" s="623">
        <v>0</v>
      </c>
      <c r="H27" s="623">
        <v>0</v>
      </c>
      <c r="I27" s="623">
        <v>0</v>
      </c>
      <c r="J27" s="623">
        <v>0</v>
      </c>
      <c r="K27" s="623">
        <v>0</v>
      </c>
      <c r="M27" s="343"/>
    </row>
    <row r="28" spans="1:13">
      <c r="A28" s="898">
        <f>ROW()</f>
        <v>28</v>
      </c>
      <c r="B28" s="839"/>
      <c r="C28" s="840">
        <v>0</v>
      </c>
      <c r="D28" s="1465">
        <f>SUM(E28:K28)</f>
        <v>0</v>
      </c>
      <c r="E28" s="623">
        <v>0</v>
      </c>
      <c r="F28" s="623">
        <v>0</v>
      </c>
      <c r="G28" s="623">
        <v>0</v>
      </c>
      <c r="H28" s="623">
        <v>0</v>
      </c>
      <c r="I28" s="623">
        <v>0</v>
      </c>
      <c r="J28" s="623">
        <v>0</v>
      </c>
      <c r="K28" s="623">
        <v>0</v>
      </c>
      <c r="M28" s="343"/>
    </row>
    <row r="29" spans="1:13">
      <c r="A29" s="898">
        <f>ROW()</f>
        <v>29</v>
      </c>
      <c r="B29" s="839"/>
      <c r="C29" s="840">
        <v>0</v>
      </c>
      <c r="D29" s="1465">
        <f>SUM(E29:K29)</f>
        <v>0</v>
      </c>
      <c r="E29" s="623">
        <v>0</v>
      </c>
      <c r="F29" s="623">
        <v>0</v>
      </c>
      <c r="G29" s="623">
        <v>0</v>
      </c>
      <c r="H29" s="623">
        <v>0</v>
      </c>
      <c r="I29" s="623">
        <v>0</v>
      </c>
      <c r="J29" s="623">
        <v>0</v>
      </c>
      <c r="K29" s="623">
        <v>0</v>
      </c>
      <c r="M29" s="343"/>
    </row>
    <row r="30" spans="1:13">
      <c r="A30" s="898">
        <f>ROW()</f>
        <v>30</v>
      </c>
      <c r="B30" s="300" t="s">
        <v>1067</v>
      </c>
      <c r="C30" s="529"/>
      <c r="D30" s="1465"/>
      <c r="E30" s="623">
        <v>0</v>
      </c>
      <c r="F30" s="623">
        <v>0</v>
      </c>
      <c r="G30" s="623">
        <v>0</v>
      </c>
      <c r="H30" s="623">
        <v>0</v>
      </c>
      <c r="I30" s="623">
        <v>0</v>
      </c>
      <c r="J30" s="623">
        <v>0</v>
      </c>
      <c r="K30" s="623">
        <v>0</v>
      </c>
      <c r="M30" s="343"/>
    </row>
    <row r="31" spans="1:13">
      <c r="A31" s="898">
        <f>ROW()</f>
        <v>31</v>
      </c>
      <c r="B31" s="839" t="s">
        <v>1068</v>
      </c>
      <c r="C31" s="840">
        <v>0</v>
      </c>
      <c r="D31" s="1465">
        <f>SUM(E31:K31)</f>
        <v>0</v>
      </c>
      <c r="E31" s="623">
        <v>0</v>
      </c>
      <c r="F31" s="623">
        <v>0</v>
      </c>
      <c r="G31" s="623">
        <v>0</v>
      </c>
      <c r="H31" s="623">
        <v>0</v>
      </c>
      <c r="I31" s="623">
        <v>0</v>
      </c>
      <c r="J31" s="623">
        <v>0</v>
      </c>
      <c r="K31" s="623">
        <v>0</v>
      </c>
      <c r="M31" s="343"/>
    </row>
    <row r="32" spans="1:13">
      <c r="A32" s="898">
        <f>ROW()</f>
        <v>32</v>
      </c>
      <c r="B32" s="839" t="s">
        <v>1069</v>
      </c>
      <c r="C32" s="840">
        <v>0</v>
      </c>
      <c r="D32" s="1465">
        <f>SUM(E32:K32)</f>
        <v>0</v>
      </c>
      <c r="E32" s="623">
        <v>0</v>
      </c>
      <c r="F32" s="623">
        <v>0</v>
      </c>
      <c r="G32" s="623">
        <v>0</v>
      </c>
      <c r="H32" s="623">
        <v>0</v>
      </c>
      <c r="I32" s="623">
        <v>0</v>
      </c>
      <c r="J32" s="623">
        <v>0</v>
      </c>
      <c r="K32" s="623">
        <v>0</v>
      </c>
      <c r="M32" s="343"/>
    </row>
    <row r="33" spans="1:13">
      <c r="A33" s="898">
        <f>ROW()</f>
        <v>33</v>
      </c>
      <c r="B33" s="300" t="s">
        <v>1067</v>
      </c>
      <c r="C33" s="840"/>
      <c r="D33" s="1465"/>
      <c r="E33" s="623">
        <v>0</v>
      </c>
      <c r="F33" s="623">
        <v>0</v>
      </c>
      <c r="G33" s="623">
        <v>0</v>
      </c>
      <c r="H33" s="623">
        <v>0</v>
      </c>
      <c r="I33" s="623">
        <v>0</v>
      </c>
      <c r="J33" s="623">
        <v>0</v>
      </c>
      <c r="K33" s="623">
        <v>0</v>
      </c>
      <c r="M33" s="343"/>
    </row>
    <row r="34" spans="1:13">
      <c r="A34" s="898">
        <f>ROW()</f>
        <v>34</v>
      </c>
      <c r="B34" s="839" t="s">
        <v>1070</v>
      </c>
      <c r="C34" s="840">
        <v>0</v>
      </c>
      <c r="D34" s="1465">
        <f>SUM(E34:K34)</f>
        <v>0</v>
      </c>
      <c r="E34" s="623">
        <v>0</v>
      </c>
      <c r="F34" s="623">
        <v>0</v>
      </c>
      <c r="G34" s="623">
        <v>0</v>
      </c>
      <c r="H34" s="623">
        <v>0</v>
      </c>
      <c r="I34" s="623">
        <v>0</v>
      </c>
      <c r="J34" s="623">
        <v>0</v>
      </c>
      <c r="K34" s="623">
        <v>0</v>
      </c>
      <c r="M34" s="343"/>
    </row>
    <row r="35" spans="1:13">
      <c r="A35" s="898">
        <f>ROW()</f>
        <v>35</v>
      </c>
      <c r="B35" s="839" t="s">
        <v>1071</v>
      </c>
      <c r="C35" s="840">
        <v>0</v>
      </c>
      <c r="D35" s="1465">
        <f>SUM(E35:K35)</f>
        <v>0</v>
      </c>
      <c r="E35" s="623">
        <v>0</v>
      </c>
      <c r="F35" s="623">
        <v>0</v>
      </c>
      <c r="G35" s="623">
        <v>0</v>
      </c>
      <c r="H35" s="623">
        <v>0</v>
      </c>
      <c r="I35" s="623">
        <v>0</v>
      </c>
      <c r="J35" s="623">
        <v>0</v>
      </c>
      <c r="K35" s="623">
        <v>0</v>
      </c>
      <c r="M35" s="343"/>
    </row>
    <row r="36" spans="1:13">
      <c r="A36" s="898">
        <f>ROW()</f>
        <v>36</v>
      </c>
      <c r="B36" s="300" t="s">
        <v>1067</v>
      </c>
      <c r="C36" s="840"/>
      <c r="D36" s="1465"/>
      <c r="E36" s="623">
        <v>0</v>
      </c>
      <c r="F36" s="623">
        <v>0</v>
      </c>
      <c r="G36" s="623">
        <v>0</v>
      </c>
      <c r="H36" s="623">
        <v>0</v>
      </c>
      <c r="I36" s="623">
        <v>0</v>
      </c>
      <c r="J36" s="623">
        <v>0</v>
      </c>
      <c r="K36" s="623">
        <v>0</v>
      </c>
      <c r="M36" s="343"/>
    </row>
    <row r="37" spans="1:13">
      <c r="A37" s="898">
        <f>ROW()</f>
        <v>37</v>
      </c>
      <c r="B37" s="839" t="s">
        <v>1072</v>
      </c>
      <c r="C37" s="840"/>
      <c r="D37" s="1465"/>
      <c r="E37" s="623">
        <v>0</v>
      </c>
      <c r="F37" s="623">
        <v>0</v>
      </c>
      <c r="G37" s="623">
        <v>0</v>
      </c>
      <c r="H37" s="623">
        <v>0</v>
      </c>
      <c r="I37" s="623">
        <v>0</v>
      </c>
      <c r="J37" s="623">
        <v>0</v>
      </c>
      <c r="K37" s="623">
        <v>0</v>
      </c>
      <c r="M37" s="343"/>
    </row>
    <row r="38" spans="1:13">
      <c r="A38" s="898">
        <f>ROW()</f>
        <v>38</v>
      </c>
      <c r="B38" s="841" t="s">
        <v>1072</v>
      </c>
      <c r="C38" s="842"/>
      <c r="D38" s="1466">
        <f>SUM(E38:K38)</f>
        <v>0</v>
      </c>
      <c r="E38" s="624">
        <v>0</v>
      </c>
      <c r="F38" s="624">
        <v>0</v>
      </c>
      <c r="G38" s="624">
        <v>0</v>
      </c>
      <c r="H38" s="624">
        <v>0</v>
      </c>
      <c r="I38" s="624">
        <v>0</v>
      </c>
      <c r="J38" s="624">
        <v>0</v>
      </c>
      <c r="K38" s="624">
        <v>0</v>
      </c>
      <c r="M38" s="343"/>
    </row>
    <row r="39" spans="1:13">
      <c r="A39" s="898">
        <f>ROW()</f>
        <v>39</v>
      </c>
      <c r="B39" s="248"/>
      <c r="C39" s="249"/>
      <c r="D39" s="625">
        <f>SUM(E39:K39)</f>
        <v>0</v>
      </c>
      <c r="E39" s="625">
        <f t="shared" ref="E39:K39" si="1">SUM(E25:E38)</f>
        <v>0</v>
      </c>
      <c r="F39" s="625">
        <f t="shared" si="1"/>
        <v>0</v>
      </c>
      <c r="G39" s="625">
        <f t="shared" si="1"/>
        <v>0</v>
      </c>
      <c r="H39" s="625">
        <f t="shared" si="1"/>
        <v>0</v>
      </c>
      <c r="I39" s="625">
        <f t="shared" si="1"/>
        <v>0</v>
      </c>
      <c r="J39" s="625">
        <f t="shared" si="1"/>
        <v>0</v>
      </c>
      <c r="K39" s="625">
        <f t="shared" si="1"/>
        <v>0</v>
      </c>
      <c r="M39" s="343"/>
    </row>
    <row r="40" spans="1:13">
      <c r="A40" s="898">
        <f>ROW()</f>
        <v>40</v>
      </c>
      <c r="B40" s="325" t="s">
        <v>1073</v>
      </c>
      <c r="F40" s="249"/>
      <c r="G40" s="247"/>
      <c r="H40" s="250"/>
      <c r="I40" s="54"/>
      <c r="J40" s="54"/>
      <c r="K40" s="54"/>
      <c r="L40" s="140"/>
      <c r="M40" s="343"/>
    </row>
    <row r="41" spans="1:13">
      <c r="A41" s="898">
        <f>ROW()</f>
        <v>41</v>
      </c>
      <c r="B41" s="325" t="s">
        <v>1074</v>
      </c>
      <c r="F41" s="249"/>
      <c r="G41" s="247"/>
      <c r="H41" s="250"/>
      <c r="I41" s="54"/>
      <c r="J41" s="54"/>
      <c r="K41" s="54"/>
      <c r="L41" s="140"/>
      <c r="M41" s="343"/>
    </row>
    <row r="42" spans="1:13">
      <c r="A42" s="898">
        <f>ROW()</f>
        <v>42</v>
      </c>
      <c r="B42" s="325"/>
      <c r="F42" s="249"/>
      <c r="G42" s="247"/>
      <c r="H42" s="250"/>
      <c r="I42" s="54"/>
      <c r="J42" s="54"/>
      <c r="K42" s="54"/>
      <c r="L42" s="140"/>
      <c r="M42" s="343"/>
    </row>
    <row r="43" spans="1:13">
      <c r="A43" s="898">
        <f>ROW()</f>
        <v>43</v>
      </c>
      <c r="B43" s="325"/>
      <c r="F43" s="249"/>
      <c r="G43" s="247"/>
      <c r="H43" s="250"/>
      <c r="I43" s="54"/>
      <c r="J43" s="54"/>
      <c r="K43" s="54"/>
      <c r="L43" s="140"/>
      <c r="M43" s="343"/>
    </row>
    <row r="44" spans="1:13">
      <c r="A44" s="898">
        <f>ROW()</f>
        <v>44</v>
      </c>
      <c r="B44" s="325"/>
      <c r="D44" s="1796" t="s">
        <v>1075</v>
      </c>
      <c r="E44" s="1797"/>
      <c r="F44" s="1798"/>
      <c r="G44" s="247"/>
      <c r="H44" s="1796" t="s">
        <v>1076</v>
      </c>
      <c r="I44" s="1797"/>
      <c r="J44" s="1798"/>
      <c r="K44" s="54"/>
      <c r="L44" s="140"/>
      <c r="M44" s="343"/>
    </row>
    <row r="45" spans="1:13">
      <c r="A45" s="898">
        <f>ROW()</f>
        <v>45</v>
      </c>
      <c r="B45" s="248"/>
      <c r="D45" s="32" t="s">
        <v>1077</v>
      </c>
      <c r="E45" s="326" t="s">
        <v>1078</v>
      </c>
      <c r="F45" s="32" t="s">
        <v>1079</v>
      </c>
      <c r="G45" s="247"/>
      <c r="H45" s="32" t="s">
        <v>1077</v>
      </c>
      <c r="I45" s="326" t="s">
        <v>1080</v>
      </c>
      <c r="J45" s="32" t="s">
        <v>999</v>
      </c>
      <c r="K45" s="54"/>
      <c r="L45" s="140"/>
      <c r="M45" s="343"/>
    </row>
    <row r="46" spans="1:13">
      <c r="A46" s="898">
        <f>ROW()</f>
        <v>46</v>
      </c>
      <c r="B46" s="248"/>
      <c r="D46" s="32" t="s">
        <v>1081</v>
      </c>
      <c r="E46" s="32" t="s">
        <v>1082</v>
      </c>
      <c r="F46" s="32" t="s">
        <v>1083</v>
      </c>
      <c r="G46" s="247"/>
      <c r="H46" s="32" t="s">
        <v>1081</v>
      </c>
      <c r="I46" s="32" t="s">
        <v>1084</v>
      </c>
      <c r="J46" s="32" t="s">
        <v>1083</v>
      </c>
      <c r="K46" s="54"/>
      <c r="L46" s="140"/>
      <c r="M46" s="343"/>
    </row>
    <row r="47" spans="1:13" ht="15.6">
      <c r="A47" s="898">
        <f>ROW()</f>
        <v>47</v>
      </c>
      <c r="B47" s="327" t="s">
        <v>1085</v>
      </c>
      <c r="C47" s="63"/>
      <c r="D47" s="57" t="s">
        <v>1086</v>
      </c>
      <c r="E47" s="57" t="s">
        <v>1086</v>
      </c>
      <c r="F47" s="57" t="s">
        <v>1086</v>
      </c>
      <c r="G47" s="247"/>
      <c r="H47" s="57" t="s">
        <v>1086</v>
      </c>
      <c r="I47" s="57" t="s">
        <v>1086</v>
      </c>
      <c r="J47" s="57" t="s">
        <v>1086</v>
      </c>
      <c r="K47" s="54"/>
      <c r="L47" s="140"/>
      <c r="M47" s="343"/>
    </row>
    <row r="48" spans="1:13" ht="27.6">
      <c r="A48" s="898">
        <f>ROW()</f>
        <v>48</v>
      </c>
      <c r="B48" s="328" t="s">
        <v>1087</v>
      </c>
      <c r="C48" s="41"/>
      <c r="D48" s="899"/>
      <c r="E48" s="899"/>
      <c r="F48" s="900"/>
      <c r="G48" s="1468"/>
      <c r="H48" s="923"/>
      <c r="I48" s="924"/>
      <c r="J48" s="900"/>
      <c r="K48" s="54"/>
      <c r="L48" s="54"/>
      <c r="M48" s="343" t="s">
        <v>1088</v>
      </c>
    </row>
    <row r="49" spans="1:13">
      <c r="A49" s="898">
        <f>ROW()</f>
        <v>49</v>
      </c>
      <c r="B49" s="328" t="s">
        <v>1089</v>
      </c>
      <c r="C49" s="41"/>
      <c r="D49" s="899"/>
      <c r="E49" s="899"/>
      <c r="F49" s="255"/>
      <c r="G49" s="1468"/>
      <c r="H49" s="925"/>
      <c r="I49" s="899"/>
      <c r="J49" s="255"/>
      <c r="K49" s="54"/>
      <c r="L49" s="54"/>
      <c r="M49" s="343"/>
    </row>
    <row r="50" spans="1:13">
      <c r="A50" s="898">
        <f>ROW()</f>
        <v>50</v>
      </c>
      <c r="B50" s="70" t="s">
        <v>1090</v>
      </c>
      <c r="C50" s="70"/>
      <c r="D50" s="254"/>
      <c r="E50" s="254"/>
      <c r="F50" s="255"/>
      <c r="G50" s="1468"/>
      <c r="H50" s="926"/>
      <c r="I50" s="254"/>
      <c r="J50" s="255"/>
      <c r="K50" s="54"/>
      <c r="L50" s="54"/>
      <c r="M50" s="343"/>
    </row>
    <row r="51" spans="1:13">
      <c r="A51" s="898">
        <f>ROW()</f>
        <v>51</v>
      </c>
      <c r="B51" s="70" t="s">
        <v>1091</v>
      </c>
      <c r="C51" s="70"/>
      <c r="D51" s="254"/>
      <c r="E51" s="254"/>
      <c r="F51" s="255"/>
      <c r="G51" s="1468"/>
      <c r="H51" s="926"/>
      <c r="I51" s="254"/>
      <c r="J51" s="255"/>
      <c r="K51" s="54"/>
      <c r="L51" s="54"/>
      <c r="M51" s="343"/>
    </row>
    <row r="52" spans="1:13">
      <c r="A52" s="898">
        <f>ROW()</f>
        <v>52</v>
      </c>
      <c r="B52" s="70" t="s">
        <v>1092</v>
      </c>
      <c r="C52" s="70"/>
      <c r="D52" s="254"/>
      <c r="E52" s="254"/>
      <c r="F52" s="255"/>
      <c r="G52" s="1468"/>
      <c r="H52" s="926"/>
      <c r="I52" s="254"/>
      <c r="J52" s="255"/>
      <c r="K52" s="54"/>
      <c r="L52" s="54"/>
      <c r="M52" s="343"/>
    </row>
    <row r="53" spans="1:13">
      <c r="A53" s="898">
        <f>ROW()</f>
        <v>53</v>
      </c>
      <c r="B53" s="70" t="s">
        <v>1093</v>
      </c>
      <c r="C53" s="70"/>
      <c r="D53" s="254"/>
      <c r="E53" s="254"/>
      <c r="F53" s="255"/>
      <c r="G53" s="1468"/>
      <c r="H53" s="926"/>
      <c r="I53" s="254"/>
      <c r="J53" s="255"/>
      <c r="K53" s="54"/>
      <c r="L53" s="54"/>
      <c r="M53" s="343"/>
    </row>
    <row r="54" spans="1:13">
      <c r="A54" s="898">
        <f>ROW()</f>
        <v>54</v>
      </c>
      <c r="B54" s="70" t="s">
        <v>1094</v>
      </c>
      <c r="C54" s="70"/>
      <c r="D54" s="254"/>
      <c r="E54" s="254"/>
      <c r="F54" s="255"/>
      <c r="G54" s="1468"/>
      <c r="H54" s="926"/>
      <c r="I54" s="254"/>
      <c r="J54" s="255"/>
      <c r="K54" s="54"/>
      <c r="L54" s="54"/>
      <c r="M54" s="343"/>
    </row>
    <row r="55" spans="1:13">
      <c r="A55" s="898">
        <f>ROW()</f>
        <v>55</v>
      </c>
      <c r="B55" s="70" t="s">
        <v>1095</v>
      </c>
      <c r="C55" s="70"/>
      <c r="D55" s="254"/>
      <c r="E55" s="254"/>
      <c r="F55" s="255"/>
      <c r="G55" s="1468"/>
      <c r="H55" s="926"/>
      <c r="I55" s="254"/>
      <c r="J55" s="255"/>
      <c r="K55" s="54"/>
      <c r="L55" s="54"/>
      <c r="M55" s="343"/>
    </row>
    <row r="56" spans="1:13">
      <c r="A56" s="898">
        <f>ROW()</f>
        <v>56</v>
      </c>
      <c r="B56" s="70" t="s">
        <v>1096</v>
      </c>
      <c r="C56" s="70"/>
      <c r="D56" s="254"/>
      <c r="E56" s="254"/>
      <c r="F56" s="255"/>
      <c r="G56" s="1468"/>
      <c r="H56" s="926"/>
      <c r="I56" s="254"/>
      <c r="J56" s="255"/>
      <c r="K56" s="54"/>
      <c r="L56" s="54"/>
      <c r="M56" s="343"/>
    </row>
    <row r="57" spans="1:13">
      <c r="A57" s="898">
        <f>ROW()</f>
        <v>57</v>
      </c>
      <c r="B57" s="70" t="s">
        <v>1097</v>
      </c>
      <c r="C57" s="70"/>
      <c r="D57" s="254"/>
      <c r="E57" s="254"/>
      <c r="F57" s="255"/>
      <c r="G57" s="1468"/>
      <c r="H57" s="926"/>
      <c r="I57" s="254"/>
      <c r="J57" s="255"/>
      <c r="K57" s="54"/>
      <c r="L57" s="54"/>
      <c r="M57" s="343"/>
    </row>
    <row r="58" spans="1:13">
      <c r="A58" s="898">
        <f>ROW()</f>
        <v>58</v>
      </c>
      <c r="B58" s="70" t="s">
        <v>1098</v>
      </c>
      <c r="C58" s="70"/>
      <c r="D58" s="254"/>
      <c r="E58" s="254"/>
      <c r="F58" s="255"/>
      <c r="G58" s="1468"/>
      <c r="H58" s="926"/>
      <c r="I58" s="254"/>
      <c r="J58" s="255"/>
      <c r="K58" s="54"/>
      <c r="L58" s="54"/>
      <c r="M58" s="343"/>
    </row>
    <row r="59" spans="1:13">
      <c r="A59" s="898">
        <f>ROW()</f>
        <v>59</v>
      </c>
      <c r="B59" s="70" t="s">
        <v>1099</v>
      </c>
      <c r="C59" s="70"/>
      <c r="D59" s="254"/>
      <c r="E59" s="254"/>
      <c r="F59" s="255"/>
      <c r="G59" s="1468"/>
      <c r="H59" s="926"/>
      <c r="I59" s="254"/>
      <c r="J59" s="255"/>
      <c r="K59" s="54"/>
      <c r="L59" s="54"/>
      <c r="M59" s="343"/>
    </row>
    <row r="60" spans="1:13">
      <c r="A60" s="898">
        <f>ROW()</f>
        <v>60</v>
      </c>
      <c r="B60" s="70" t="s">
        <v>1100</v>
      </c>
      <c r="C60" s="70"/>
      <c r="D60" s="254"/>
      <c r="E60" s="254"/>
      <c r="F60" s="255"/>
      <c r="G60" s="1468"/>
      <c r="H60" s="926"/>
      <c r="I60" s="254"/>
      <c r="J60" s="255"/>
      <c r="K60" s="54"/>
      <c r="L60" s="54"/>
      <c r="M60" s="343"/>
    </row>
    <row r="61" spans="1:13">
      <c r="A61" s="898">
        <f>ROW()</f>
        <v>61</v>
      </c>
      <c r="B61" s="70" t="s">
        <v>1101</v>
      </c>
      <c r="C61" s="70"/>
      <c r="D61" s="254"/>
      <c r="E61" s="254"/>
      <c r="F61" s="255"/>
      <c r="G61" s="1468"/>
      <c r="H61" s="926"/>
      <c r="I61" s="254"/>
      <c r="J61" s="255"/>
      <c r="K61" s="54"/>
      <c r="L61" s="54"/>
      <c r="M61" s="343"/>
    </row>
    <row r="62" spans="1:13">
      <c r="A62" s="898">
        <f>ROW()</f>
        <v>62</v>
      </c>
      <c r="B62" s="70" t="s">
        <v>1102</v>
      </c>
      <c r="C62" s="70"/>
      <c r="D62" s="254"/>
      <c r="E62" s="254"/>
      <c r="F62" s="255"/>
      <c r="G62" s="1468"/>
      <c r="H62" s="926"/>
      <c r="I62" s="254"/>
      <c r="J62" s="255"/>
      <c r="K62" s="54"/>
      <c r="L62" s="54"/>
      <c r="M62" s="343"/>
    </row>
    <row r="63" spans="1:13">
      <c r="A63" s="898">
        <f>ROW()</f>
        <v>63</v>
      </c>
      <c r="B63" s="70" t="s">
        <v>1103</v>
      </c>
      <c r="C63" s="70"/>
      <c r="D63" s="254"/>
      <c r="E63" s="254"/>
      <c r="F63" s="255"/>
      <c r="G63" s="1468"/>
      <c r="H63" s="926"/>
      <c r="I63" s="254"/>
      <c r="J63" s="255"/>
      <c r="K63" s="54"/>
      <c r="L63" s="54"/>
      <c r="M63" s="343"/>
    </row>
    <row r="64" spans="1:13">
      <c r="A64" s="898">
        <f>ROW()</f>
        <v>64</v>
      </c>
      <c r="B64" s="70" t="s">
        <v>1104</v>
      </c>
      <c r="C64" s="70"/>
      <c r="D64" s="254"/>
      <c r="E64" s="254"/>
      <c r="F64" s="255"/>
      <c r="G64" s="1468"/>
      <c r="H64" s="926"/>
      <c r="I64" s="254"/>
      <c r="J64" s="255"/>
      <c r="K64" s="54"/>
      <c r="L64" s="54"/>
      <c r="M64" s="343"/>
    </row>
    <row r="65" spans="1:13">
      <c r="A65" s="898">
        <f>ROW()</f>
        <v>65</v>
      </c>
      <c r="B65" s="70" t="s">
        <v>1105</v>
      </c>
      <c r="C65" s="70"/>
      <c r="D65" s="254"/>
      <c r="E65" s="254"/>
      <c r="F65" s="255"/>
      <c r="G65" s="1468"/>
      <c r="H65" s="926"/>
      <c r="I65" s="254"/>
      <c r="J65" s="255"/>
      <c r="K65" s="54"/>
      <c r="L65" s="54"/>
      <c r="M65" s="343"/>
    </row>
    <row r="66" spans="1:13">
      <c r="A66" s="898">
        <f>ROW()</f>
        <v>66</v>
      </c>
      <c r="B66" s="70" t="s">
        <v>1106</v>
      </c>
      <c r="C66" s="70"/>
      <c r="D66" s="254"/>
      <c r="E66" s="254"/>
      <c r="F66" s="255"/>
      <c r="G66" s="1468"/>
      <c r="H66" s="926"/>
      <c r="I66" s="254"/>
      <c r="J66" s="255"/>
      <c r="K66" s="54"/>
      <c r="L66" s="54"/>
      <c r="M66" s="343"/>
    </row>
    <row r="67" spans="1:13">
      <c r="A67" s="898">
        <f>ROW()</f>
        <v>67</v>
      </c>
      <c r="B67" s="70" t="s">
        <v>1107</v>
      </c>
      <c r="C67" s="70"/>
      <c r="D67" s="254"/>
      <c r="E67" s="254"/>
      <c r="F67" s="255"/>
      <c r="G67" s="1468"/>
      <c r="H67" s="926"/>
      <c r="I67" s="254"/>
      <c r="J67" s="255"/>
      <c r="K67" s="54"/>
      <c r="L67" s="54"/>
      <c r="M67" s="343"/>
    </row>
    <row r="68" spans="1:13">
      <c r="A68" s="898">
        <f>ROW()</f>
        <v>68</v>
      </c>
      <c r="B68" s="70" t="s">
        <v>1108</v>
      </c>
      <c r="C68" s="70"/>
      <c r="D68" s="254"/>
      <c r="E68" s="254"/>
      <c r="F68" s="255"/>
      <c r="G68" s="1468"/>
      <c r="H68" s="926"/>
      <c r="I68" s="254"/>
      <c r="J68" s="255"/>
      <c r="K68" s="54"/>
      <c r="L68" s="54"/>
      <c r="M68" s="343"/>
    </row>
    <row r="69" spans="1:13">
      <c r="A69" s="898">
        <f>ROW()</f>
        <v>69</v>
      </c>
      <c r="B69" s="70" t="s">
        <v>1109</v>
      </c>
      <c r="C69" s="70"/>
      <c r="D69" s="254"/>
      <c r="E69" s="254"/>
      <c r="F69" s="255"/>
      <c r="G69" s="1468"/>
      <c r="H69" s="926"/>
      <c r="I69" s="254"/>
      <c r="J69" s="255"/>
      <c r="K69" s="54"/>
      <c r="L69" s="54"/>
      <c r="M69" s="343"/>
    </row>
    <row r="70" spans="1:13">
      <c r="A70" s="898">
        <f>ROW()</f>
        <v>70</v>
      </c>
      <c r="B70" s="70" t="s">
        <v>1110</v>
      </c>
      <c r="C70" s="70"/>
      <c r="D70" s="254"/>
      <c r="E70" s="254"/>
      <c r="F70" s="255"/>
      <c r="G70" s="1468"/>
      <c r="H70" s="926"/>
      <c r="I70" s="254"/>
      <c r="J70" s="255"/>
      <c r="K70" s="54"/>
      <c r="L70" s="54"/>
      <c r="M70" s="343"/>
    </row>
    <row r="71" spans="1:13">
      <c r="A71" s="898">
        <f>ROW()</f>
        <v>71</v>
      </c>
      <c r="B71" s="70" t="s">
        <v>1111</v>
      </c>
      <c r="C71" s="70"/>
      <c r="D71" s="254"/>
      <c r="E71" s="254"/>
      <c r="F71" s="255"/>
      <c r="G71" s="1468"/>
      <c r="H71" s="926"/>
      <c r="I71" s="254"/>
      <c r="J71" s="255"/>
      <c r="K71" s="54"/>
      <c r="L71" s="54"/>
      <c r="M71" s="343"/>
    </row>
    <row r="72" spans="1:13">
      <c r="A72" s="898">
        <f>ROW()</f>
        <v>72</v>
      </c>
      <c r="B72" s="70" t="s">
        <v>1112</v>
      </c>
      <c r="C72" s="70"/>
      <c r="D72" s="254"/>
      <c r="E72" s="254"/>
      <c r="F72" s="255"/>
      <c r="G72" s="1468"/>
      <c r="H72" s="926"/>
      <c r="I72" s="254"/>
      <c r="J72" s="255"/>
      <c r="K72" s="54"/>
      <c r="L72" s="54"/>
      <c r="M72" s="343"/>
    </row>
    <row r="73" spans="1:13">
      <c r="A73" s="898">
        <f>ROW()</f>
        <v>73</v>
      </c>
      <c r="B73" s="70" t="s">
        <v>1113</v>
      </c>
      <c r="C73" s="70"/>
      <c r="D73" s="254"/>
      <c r="E73" s="254"/>
      <c r="F73" s="255"/>
      <c r="G73" s="1468"/>
      <c r="H73" s="926"/>
      <c r="I73" s="254"/>
      <c r="J73" s="255"/>
      <c r="K73" s="54"/>
      <c r="L73" s="54"/>
      <c r="M73" s="343"/>
    </row>
    <row r="74" spans="1:13">
      <c r="A74" s="898">
        <f>ROW()</f>
        <v>74</v>
      </c>
      <c r="B74" s="70" t="s">
        <v>1114</v>
      </c>
      <c r="C74" s="70"/>
      <c r="D74" s="254"/>
      <c r="E74" s="254"/>
      <c r="F74" s="255"/>
      <c r="G74" s="1468"/>
      <c r="H74" s="926"/>
      <c r="I74" s="254"/>
      <c r="J74" s="255"/>
      <c r="K74" s="54"/>
      <c r="L74" s="54"/>
      <c r="M74" s="343"/>
    </row>
    <row r="75" spans="1:13">
      <c r="A75" s="898">
        <f>ROW()</f>
        <v>75</v>
      </c>
      <c r="B75" s="70" t="s">
        <v>1115</v>
      </c>
      <c r="C75" s="70"/>
      <c r="D75" s="254"/>
      <c r="E75" s="254"/>
      <c r="F75" s="255"/>
      <c r="G75" s="1468"/>
      <c r="H75" s="926"/>
      <c r="I75" s="254"/>
      <c r="J75" s="255"/>
      <c r="K75" s="54"/>
      <c r="L75" s="54"/>
      <c r="M75" s="343"/>
    </row>
    <row r="76" spans="1:13">
      <c r="A76" s="898">
        <f>ROW()</f>
        <v>76</v>
      </c>
      <c r="B76" s="70" t="s">
        <v>1116</v>
      </c>
      <c r="C76" s="70"/>
      <c r="D76" s="254"/>
      <c r="E76" s="254"/>
      <c r="F76" s="255"/>
      <c r="G76" s="1468"/>
      <c r="H76" s="926"/>
      <c r="I76" s="254"/>
      <c r="J76" s="255"/>
      <c r="K76" s="54"/>
      <c r="L76" s="54"/>
      <c r="M76" s="343"/>
    </row>
    <row r="77" spans="1:13">
      <c r="A77" s="898">
        <f>ROW()</f>
        <v>77</v>
      </c>
      <c r="B77" s="70" t="s">
        <v>1117</v>
      </c>
      <c r="C77" s="70"/>
      <c r="D77" s="254"/>
      <c r="E77" s="254"/>
      <c r="F77" s="255"/>
      <c r="G77" s="1468"/>
      <c r="H77" s="926"/>
      <c r="I77" s="254"/>
      <c r="J77" s="255"/>
      <c r="K77" s="54"/>
      <c r="L77" s="54"/>
      <c r="M77" s="343"/>
    </row>
    <row r="78" spans="1:13">
      <c r="A78" s="898">
        <f>ROW()</f>
        <v>78</v>
      </c>
      <c r="B78" s="70" t="s">
        <v>1118</v>
      </c>
      <c r="C78" s="70"/>
      <c r="D78" s="254"/>
      <c r="E78" s="254"/>
      <c r="F78" s="255"/>
      <c r="G78" s="1468"/>
      <c r="H78" s="926"/>
      <c r="I78" s="254"/>
      <c r="J78" s="255"/>
      <c r="K78" s="54"/>
      <c r="L78" s="54"/>
      <c r="M78" s="343"/>
    </row>
    <row r="79" spans="1:13">
      <c r="A79" s="898">
        <f>ROW()</f>
        <v>79</v>
      </c>
      <c r="B79" s="70" t="s">
        <v>174</v>
      </c>
      <c r="C79" s="70"/>
      <c r="D79" s="254"/>
      <c r="E79" s="254"/>
      <c r="F79" s="901"/>
      <c r="G79" s="1468"/>
      <c r="H79" s="926"/>
      <c r="I79" s="254"/>
      <c r="J79" s="901"/>
      <c r="K79" s="54"/>
      <c r="L79" s="54"/>
      <c r="M79" s="343"/>
    </row>
    <row r="80" spans="1:13">
      <c r="A80" s="898">
        <f>ROW()</f>
        <v>80</v>
      </c>
      <c r="B80" s="1652" t="s">
        <v>1119</v>
      </c>
      <c r="C80" s="1652"/>
      <c r="D80" s="254"/>
      <c r="E80" s="254"/>
      <c r="F80" s="901"/>
      <c r="G80" s="1468"/>
      <c r="H80" s="926"/>
      <c r="I80" s="254"/>
      <c r="J80" s="901"/>
      <c r="K80" s="54"/>
      <c r="L80" s="54"/>
      <c r="M80" s="343"/>
    </row>
    <row r="81" spans="1:13">
      <c r="A81" s="898">
        <f>ROW()</f>
        <v>81</v>
      </c>
      <c r="B81" s="1652" t="s">
        <v>1119</v>
      </c>
      <c r="C81" s="1652"/>
      <c r="D81" s="254"/>
      <c r="E81" s="254"/>
      <c r="F81" s="901"/>
      <c r="G81" s="1468"/>
      <c r="H81" s="926"/>
      <c r="I81" s="254"/>
      <c r="J81" s="901"/>
      <c r="K81" s="54"/>
      <c r="L81" s="54"/>
      <c r="M81" s="343"/>
    </row>
    <row r="82" spans="1:13">
      <c r="A82" s="898">
        <f>ROW()</f>
        <v>82</v>
      </c>
      <c r="B82" s="1652" t="s">
        <v>1119</v>
      </c>
      <c r="C82" s="1652"/>
      <c r="D82" s="254"/>
      <c r="E82" s="254"/>
      <c r="F82" s="902"/>
      <c r="G82" s="1468"/>
      <c r="H82" s="927"/>
      <c r="I82" s="928"/>
      <c r="J82" s="902"/>
      <c r="K82" s="54"/>
      <c r="L82" s="54"/>
      <c r="M82" s="343"/>
    </row>
    <row r="83" spans="1:13">
      <c r="A83" s="898">
        <f>ROW()</f>
        <v>83</v>
      </c>
      <c r="B83" s="170" t="s">
        <v>1120</v>
      </c>
      <c r="C83" s="143"/>
      <c r="D83" s="1210"/>
      <c r="E83" s="1210"/>
      <c r="F83" s="1210"/>
      <c r="M83" s="343"/>
    </row>
    <row r="84" spans="1:13">
      <c r="A84" s="898">
        <f>ROW()</f>
        <v>84</v>
      </c>
      <c r="B84" s="160" t="s">
        <v>1121</v>
      </c>
      <c r="C84" s="41"/>
      <c r="D84" s="74"/>
      <c r="E84" s="32"/>
      <c r="F84" s="32"/>
      <c r="G84" s="32"/>
      <c r="H84" s="74"/>
      <c r="I84" s="74"/>
      <c r="J84" s="74"/>
      <c r="K84" s="74"/>
      <c r="L84" s="74"/>
      <c r="M84" s="343"/>
    </row>
    <row r="85" spans="1:13">
      <c r="A85" s="898">
        <f>ROW()</f>
        <v>85</v>
      </c>
      <c r="B85" s="160" t="s">
        <v>1122</v>
      </c>
      <c r="C85" s="41"/>
      <c r="D85" s="41"/>
      <c r="E85" s="251"/>
      <c r="F85" s="251"/>
      <c r="G85" s="251"/>
      <c r="H85" s="251"/>
      <c r="I85" s="251"/>
      <c r="J85" s="251"/>
      <c r="K85" s="251"/>
      <c r="L85" s="76"/>
      <c r="M85" s="343"/>
    </row>
    <row r="86" spans="1:13">
      <c r="A86" s="898">
        <f>ROW()</f>
        <v>86</v>
      </c>
      <c r="B86" s="160" t="s">
        <v>1123</v>
      </c>
      <c r="M86" s="343"/>
    </row>
  </sheetData>
  <sheetProtection algorithmName="SHA-512" hashValue="XIRLtYKMt5uX5p+NT3+VlR/udso5sqDaEEw+BmIYU/sOT97KjMFGbO2OGG2Tmww2uJzm5a1w8RfT93k1Le6yvQ==" saltValue="QuLSaIrYLdRhu+UwIRFOlw==" spinCount="100000" sheet="1" objects="1" scenarios="1"/>
  <sortState ref="B48:B74">
    <sortCondition ref="B48:B74"/>
  </sortState>
  <mergeCells count="2">
    <mergeCell ref="D44:F44"/>
    <mergeCell ref="H44:J44"/>
  </mergeCells>
  <conditionalFormatting sqref="B48:C79">
    <cfRule type="expression" dxfId="10" priority="1" stopIfTrue="1">
      <formula>MOD(ROW(),2)=0</formula>
    </cfRule>
  </conditionalFormatting>
  <conditionalFormatting sqref="C1">
    <cfRule type="expression" dxfId="9" priority="3" stopIfTrue="1">
      <formula>MOD(ROW(),2)=0</formula>
    </cfRule>
  </conditionalFormatting>
  <conditionalFormatting sqref="D17:D22">
    <cfRule type="cellIs" dxfId="8" priority="7" stopIfTrue="1" operator="equal">
      <formula>0</formula>
    </cfRule>
  </conditionalFormatting>
  <hyperlinks>
    <hyperlink ref="C1" location="HypLink1" display="HypLink1"/>
  </hyperlinks>
  <pageMargins left="0.25" right="0.25" top="0.5" bottom="0.45" header="0.25" footer="0.25"/>
  <pageSetup scale="70" fitToWidth="2" fitToHeight="6" orientation="landscape" r:id="rId1"/>
  <headerFooter>
    <oddHeader xml:space="preserve">&amp;L &amp;C &amp;R </oddHeader>
    <oddFooter>&amp;L&amp;7&amp;D  at &amp;T Mike 702.854.0691&amp;C&amp;7&amp;F  &amp;A&amp;R&amp;7Page &amp;P of &amp;N</oddFooter>
  </headerFooter>
  <rowBreaks count="1" manualBreakCount="1">
    <brk id="42"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tint="-0.34998626667073579"/>
  </sheetPr>
  <dimension ref="B3:R4"/>
  <sheetViews>
    <sheetView workbookViewId="0"/>
  </sheetViews>
  <sheetFormatPr defaultRowHeight="14.4"/>
  <sheetData>
    <row r="3" spans="2:18" ht="36.6">
      <c r="B3" s="1763" t="s">
        <v>1468</v>
      </c>
      <c r="C3" s="1030"/>
      <c r="D3" s="1030"/>
      <c r="E3" s="1030"/>
      <c r="F3" s="1030"/>
      <c r="G3" s="1030"/>
      <c r="H3" s="1030"/>
      <c r="I3" s="1030"/>
      <c r="J3" s="1030"/>
      <c r="K3" s="1030"/>
      <c r="L3" s="1030"/>
      <c r="M3" s="1030"/>
      <c r="N3" s="1030"/>
      <c r="O3" s="1030"/>
      <c r="P3" s="1030"/>
      <c r="Q3" s="1030"/>
      <c r="R3" s="1030"/>
    </row>
    <row r="4" spans="2:18" ht="36.6">
      <c r="B4" s="1762" t="s">
        <v>1467</v>
      </c>
    </row>
  </sheetData>
  <sheetProtection algorithmName="SHA-512" hashValue="tmy4Hq6K/P6TOFWFRPoTTF/n7bP5OxmUorCXQdUCQXOqse0rU3HIRbn5iZF75kJxQ9lm2XM1hVHGSc6RTcrL6w==" saltValue="iNpppoo+W4YM8JXPcGzU6g=="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O37"/>
  <sheetViews>
    <sheetView workbookViewId="0">
      <selection activeCell="F23" sqref="F23"/>
    </sheetView>
  </sheetViews>
  <sheetFormatPr defaultColWidth="8.77734375" defaultRowHeight="13.2"/>
  <cols>
    <col min="1" max="1" width="4.77734375" style="6" customWidth="1"/>
    <col min="2" max="2" width="8.77734375" style="6"/>
    <col min="3" max="3" width="11.77734375" style="6" customWidth="1"/>
    <col min="4" max="4" width="10.77734375" style="6" customWidth="1"/>
    <col min="5" max="8" width="8.77734375" style="6"/>
    <col min="9" max="9" width="14.21875" style="6" customWidth="1"/>
    <col min="10" max="10" width="8.77734375" style="6"/>
    <col min="11" max="11" width="13.5546875" style="6" customWidth="1"/>
    <col min="12" max="12" width="8.77734375" style="6"/>
    <col min="13" max="13" width="8.21875" style="6" customWidth="1"/>
    <col min="14" max="16384" width="8.77734375" style="6"/>
  </cols>
  <sheetData>
    <row r="1" spans="1:15" ht="15.6">
      <c r="A1" s="21" t="s">
        <v>1124</v>
      </c>
      <c r="B1" s="21"/>
      <c r="C1" s="21"/>
      <c r="D1" s="21"/>
      <c r="E1" s="21"/>
    </row>
    <row r="2" spans="1:15" ht="15.6">
      <c r="A2" s="1799" t="str">
        <f>SchoolName</f>
        <v>The Delta Academy</v>
      </c>
      <c r="B2" s="1799"/>
      <c r="C2" s="1799"/>
      <c r="D2" s="1799"/>
      <c r="E2" s="1799"/>
    </row>
    <row r="3" spans="1:15">
      <c r="A3" s="10" t="s">
        <v>448</v>
      </c>
    </row>
    <row r="4" spans="1:15">
      <c r="A4" s="9" t="s">
        <v>80</v>
      </c>
    </row>
    <row r="5" spans="1:15">
      <c r="A5" s="8" t="str">
        <f ca="1">CELL("filename")</f>
        <v>C:\Users\kyle.konold\Downloads\[FY25 Budget - Delta Academy_Final.xlsx]Form 1 Cover</v>
      </c>
    </row>
    <row r="6" spans="1:15">
      <c r="A6" s="7"/>
      <c r="B6" s="7"/>
      <c r="C6" s="7"/>
      <c r="D6" s="7"/>
      <c r="E6" s="7"/>
      <c r="F6" s="7"/>
      <c r="G6" s="7"/>
      <c r="H6" s="7"/>
      <c r="I6" s="7"/>
      <c r="J6" s="7"/>
      <c r="K6" s="7"/>
      <c r="L6" s="7"/>
      <c r="M6" s="7"/>
      <c r="N6" s="7"/>
      <c r="O6" s="7"/>
    </row>
    <row r="7" spans="1:15">
      <c r="A7" s="7"/>
      <c r="B7" s="7"/>
      <c r="C7" s="7"/>
      <c r="D7" s="7"/>
      <c r="E7" s="7"/>
      <c r="F7" s="7"/>
      <c r="G7" s="7"/>
      <c r="H7" s="7"/>
      <c r="I7" s="7"/>
      <c r="J7" s="7"/>
      <c r="K7" s="7"/>
      <c r="L7" s="7"/>
      <c r="M7" s="7"/>
      <c r="N7" s="7"/>
      <c r="O7" s="7"/>
    </row>
    <row r="8" spans="1:15">
      <c r="A8" s="7"/>
      <c r="B8" s="7"/>
      <c r="C8" s="7"/>
      <c r="D8" s="7"/>
      <c r="E8" s="7"/>
      <c r="F8" s="7"/>
      <c r="G8" s="7"/>
      <c r="H8" s="7"/>
      <c r="I8" s="7"/>
      <c r="J8" s="7"/>
      <c r="K8" s="7"/>
      <c r="L8" s="7"/>
      <c r="M8" s="7"/>
      <c r="N8" s="7"/>
      <c r="O8" s="7"/>
    </row>
    <row r="9" spans="1:15">
      <c r="A9" s="7"/>
      <c r="B9" s="7"/>
      <c r="C9" s="7"/>
      <c r="D9" s="7"/>
      <c r="E9" s="7"/>
      <c r="F9" s="7"/>
      <c r="G9" s="7"/>
      <c r="H9" s="7"/>
      <c r="I9" s="7"/>
      <c r="J9" s="7"/>
      <c r="K9" s="7"/>
      <c r="L9" s="7"/>
      <c r="M9" s="7"/>
      <c r="N9" s="7"/>
      <c r="O9" s="7"/>
    </row>
    <row r="10" spans="1:15" ht="22.8">
      <c r="A10" s="7"/>
      <c r="B10" s="1611" t="s">
        <v>1125</v>
      </c>
      <c r="C10" s="7"/>
      <c r="D10" s="7"/>
      <c r="E10" s="7"/>
      <c r="F10" s="7"/>
      <c r="G10" s="7"/>
      <c r="H10" s="7"/>
      <c r="I10" s="7"/>
      <c r="J10" s="7"/>
      <c r="K10" s="7"/>
      <c r="L10" s="7"/>
      <c r="M10" s="7"/>
      <c r="N10" s="7"/>
      <c r="O10" s="7"/>
    </row>
    <row r="11" spans="1:15" ht="23.4">
      <c r="A11" s="7"/>
      <c r="B11" s="1612" t="s">
        <v>1126</v>
      </c>
      <c r="C11" s="7"/>
      <c r="D11" s="7"/>
      <c r="E11" s="7"/>
      <c r="F11" s="7"/>
      <c r="G11" s="7"/>
      <c r="H11" s="7"/>
      <c r="I11" s="7"/>
      <c r="J11" s="7"/>
      <c r="K11" s="7"/>
      <c r="L11" s="7"/>
      <c r="M11" s="7"/>
      <c r="N11" s="7"/>
      <c r="O11" s="7"/>
    </row>
    <row r="12" spans="1:15" ht="23.4">
      <c r="A12" s="7"/>
      <c r="B12" s="1612" t="s">
        <v>1127</v>
      </c>
      <c r="C12" s="7"/>
      <c r="D12" s="7"/>
      <c r="E12" s="7"/>
      <c r="F12" s="7"/>
      <c r="G12" s="7"/>
      <c r="H12" s="7"/>
      <c r="I12" s="7"/>
      <c r="J12" s="7"/>
      <c r="K12" s="7"/>
      <c r="L12" s="7"/>
      <c r="M12" s="7"/>
      <c r="N12" s="7"/>
      <c r="O12" s="7"/>
    </row>
    <row r="13" spans="1:15">
      <c r="A13" s="7"/>
      <c r="B13" s="7"/>
      <c r="C13" s="7"/>
      <c r="D13" s="7"/>
      <c r="E13" s="7"/>
      <c r="F13" s="7"/>
      <c r="G13" s="7"/>
      <c r="H13" s="7"/>
      <c r="I13" s="7"/>
      <c r="J13" s="7"/>
      <c r="K13" s="7"/>
      <c r="L13" s="7"/>
      <c r="M13" s="7"/>
      <c r="N13" s="7"/>
      <c r="O13" s="7"/>
    </row>
    <row r="14" spans="1:15">
      <c r="A14" s="7"/>
      <c r="B14" s="7"/>
      <c r="C14" s="7"/>
      <c r="D14" s="7"/>
      <c r="E14" s="7"/>
      <c r="F14" s="7"/>
      <c r="G14" s="7"/>
      <c r="H14" s="7"/>
      <c r="I14" s="7"/>
      <c r="J14" s="7"/>
      <c r="K14" s="7"/>
      <c r="L14" s="7"/>
      <c r="M14" s="7"/>
      <c r="N14" s="7"/>
      <c r="O14" s="7"/>
    </row>
    <row r="15" spans="1:15">
      <c r="A15" s="7"/>
      <c r="B15" s="7"/>
      <c r="C15" s="7"/>
      <c r="D15" s="7"/>
      <c r="E15" s="7"/>
      <c r="F15" s="7"/>
      <c r="G15" s="7"/>
      <c r="H15" s="7"/>
      <c r="I15" s="7"/>
      <c r="J15" s="7"/>
      <c r="K15" s="7"/>
      <c r="L15" s="7"/>
      <c r="M15" s="7"/>
      <c r="N15" s="7"/>
      <c r="O15" s="7"/>
    </row>
    <row r="16" spans="1:15">
      <c r="A16" s="7"/>
      <c r="B16" s="7"/>
      <c r="C16" s="7"/>
      <c r="D16" s="7"/>
      <c r="E16" s="7"/>
      <c r="F16" s="7"/>
      <c r="G16" s="7"/>
      <c r="H16" s="7"/>
      <c r="I16" s="7"/>
      <c r="J16" s="7"/>
      <c r="K16" s="7"/>
      <c r="L16" s="7"/>
      <c r="M16" s="7"/>
      <c r="N16" s="7"/>
      <c r="O16" s="7"/>
    </row>
    <row r="17" spans="1:15">
      <c r="A17" s="7"/>
      <c r="B17" s="7"/>
      <c r="C17" s="7"/>
      <c r="D17" s="7"/>
      <c r="E17" s="7"/>
      <c r="F17" s="7"/>
      <c r="G17" s="7"/>
      <c r="H17" s="7"/>
      <c r="I17" s="7"/>
      <c r="J17" s="7"/>
      <c r="K17" s="7"/>
      <c r="L17" s="7"/>
      <c r="M17" s="7"/>
      <c r="N17" s="7"/>
      <c r="O17" s="7"/>
    </row>
    <row r="18" spans="1:15">
      <c r="A18" s="7"/>
      <c r="B18" s="7"/>
      <c r="C18" s="7"/>
      <c r="D18" s="7"/>
      <c r="E18" s="7"/>
      <c r="F18" s="7"/>
      <c r="G18" s="7"/>
      <c r="H18" s="7"/>
      <c r="I18" s="7"/>
      <c r="J18" s="7"/>
      <c r="K18" s="7"/>
      <c r="L18" s="7"/>
      <c r="M18" s="7"/>
      <c r="N18" s="7"/>
      <c r="O18" s="7"/>
    </row>
    <row r="19" spans="1:15">
      <c r="A19" s="7"/>
      <c r="B19" s="7"/>
      <c r="C19" s="7"/>
      <c r="D19" s="7"/>
      <c r="E19" s="7"/>
      <c r="F19" s="7"/>
      <c r="G19" s="7"/>
      <c r="H19" s="7"/>
      <c r="I19" s="7"/>
      <c r="J19" s="7"/>
      <c r="K19" s="7"/>
      <c r="L19" s="7"/>
      <c r="M19" s="7"/>
      <c r="N19" s="7"/>
      <c r="O19" s="7"/>
    </row>
    <row r="20" spans="1:15">
      <c r="A20" s="7"/>
      <c r="B20" s="7"/>
      <c r="C20" s="7"/>
      <c r="D20" s="7"/>
      <c r="E20" s="7"/>
      <c r="F20" s="7"/>
      <c r="G20" s="7"/>
      <c r="H20" s="7"/>
      <c r="I20" s="7"/>
      <c r="J20" s="7"/>
      <c r="K20" s="7"/>
      <c r="L20" s="7"/>
      <c r="M20" s="7"/>
      <c r="N20" s="7"/>
      <c r="O20" s="7"/>
    </row>
    <row r="21" spans="1:15">
      <c r="A21" s="7"/>
      <c r="B21" s="7"/>
      <c r="C21" s="7"/>
      <c r="D21" s="7"/>
      <c r="E21" s="7"/>
      <c r="F21" s="7"/>
      <c r="G21" s="7"/>
      <c r="H21" s="7"/>
      <c r="I21" s="7"/>
      <c r="J21" s="7"/>
      <c r="K21" s="7"/>
      <c r="L21" s="7"/>
      <c r="M21" s="7"/>
      <c r="N21" s="7"/>
      <c r="O21" s="7"/>
    </row>
    <row r="22" spans="1:15">
      <c r="A22" s="7"/>
      <c r="B22" s="7"/>
      <c r="C22" s="7"/>
      <c r="D22" s="7"/>
      <c r="E22" s="7"/>
      <c r="F22" s="7"/>
      <c r="G22" s="7"/>
      <c r="H22" s="7"/>
      <c r="I22" s="7"/>
      <c r="J22" s="7"/>
      <c r="K22" s="7"/>
      <c r="L22" s="7"/>
      <c r="M22" s="7"/>
      <c r="N22" s="7"/>
      <c r="O22" s="7"/>
    </row>
    <row r="23" spans="1:15">
      <c r="A23" s="7"/>
      <c r="B23" s="7"/>
      <c r="C23" s="7"/>
      <c r="D23" s="7"/>
      <c r="E23" s="7"/>
      <c r="F23" s="7"/>
      <c r="G23" s="7"/>
      <c r="H23" s="7"/>
      <c r="I23" s="7"/>
      <c r="J23" s="7"/>
      <c r="K23" s="7"/>
      <c r="L23" s="7"/>
      <c r="M23" s="7"/>
      <c r="N23" s="7"/>
      <c r="O23" s="7"/>
    </row>
    <row r="24" spans="1:15">
      <c r="A24" s="7"/>
      <c r="B24" s="7"/>
      <c r="C24" s="7"/>
      <c r="D24" s="7"/>
      <c r="E24" s="7"/>
      <c r="F24" s="7"/>
      <c r="G24" s="7"/>
      <c r="H24" s="7"/>
      <c r="I24" s="7"/>
      <c r="J24" s="7"/>
      <c r="K24" s="7"/>
      <c r="L24" s="7"/>
      <c r="M24" s="7"/>
      <c r="N24" s="7"/>
      <c r="O24" s="7"/>
    </row>
    <row r="25" spans="1:15">
      <c r="A25" s="7"/>
      <c r="B25" s="7"/>
      <c r="C25" s="7"/>
      <c r="D25" s="7"/>
      <c r="E25" s="7"/>
      <c r="F25" s="7"/>
      <c r="G25" s="7"/>
      <c r="H25" s="7"/>
      <c r="I25" s="7"/>
      <c r="J25" s="7"/>
      <c r="K25" s="7"/>
      <c r="L25" s="7"/>
      <c r="M25" s="7"/>
      <c r="N25" s="7"/>
      <c r="O25" s="7"/>
    </row>
    <row r="26" spans="1:15">
      <c r="A26" s="7"/>
      <c r="B26" s="7"/>
      <c r="C26" s="7"/>
      <c r="D26" s="7"/>
      <c r="E26" s="7"/>
      <c r="F26" s="7"/>
      <c r="G26" s="7"/>
      <c r="H26" s="7"/>
      <c r="I26" s="7"/>
      <c r="J26" s="7"/>
      <c r="K26" s="7"/>
      <c r="L26" s="7"/>
      <c r="M26" s="7"/>
      <c r="N26" s="7"/>
      <c r="O26" s="7"/>
    </row>
    <row r="27" spans="1:15">
      <c r="A27" s="7"/>
      <c r="B27" s="7"/>
      <c r="C27" s="7"/>
      <c r="D27" s="7"/>
      <c r="E27" s="7"/>
      <c r="F27" s="7"/>
      <c r="G27" s="7"/>
      <c r="H27" s="7"/>
      <c r="I27" s="7"/>
      <c r="J27" s="7"/>
      <c r="K27" s="7"/>
      <c r="L27" s="7"/>
      <c r="M27" s="7"/>
      <c r="N27" s="7"/>
      <c r="O27" s="7"/>
    </row>
    <row r="28" spans="1:15">
      <c r="A28" s="7"/>
      <c r="B28" s="7"/>
      <c r="C28" s="7"/>
      <c r="D28" s="7"/>
      <c r="E28" s="7"/>
      <c r="F28" s="7"/>
      <c r="G28" s="7"/>
      <c r="H28" s="7"/>
      <c r="I28" s="7"/>
      <c r="J28" s="7"/>
      <c r="K28" s="7"/>
      <c r="L28" s="7"/>
      <c r="M28" s="7"/>
      <c r="N28" s="7"/>
      <c r="O28" s="7"/>
    </row>
    <row r="29" spans="1:15">
      <c r="A29" s="7"/>
      <c r="B29" s="7"/>
      <c r="C29" s="7"/>
      <c r="D29" s="7"/>
      <c r="E29" s="7"/>
      <c r="F29" s="7"/>
      <c r="G29" s="7"/>
      <c r="H29" s="7"/>
      <c r="I29" s="7"/>
      <c r="J29" s="7"/>
      <c r="K29" s="7"/>
      <c r="L29" s="7"/>
      <c r="M29" s="7"/>
      <c r="N29" s="7"/>
      <c r="O29" s="7"/>
    </row>
    <row r="30" spans="1:15">
      <c r="A30" s="7"/>
      <c r="B30" s="7"/>
      <c r="C30" s="7"/>
      <c r="D30" s="7"/>
      <c r="E30" s="7"/>
      <c r="F30" s="7"/>
      <c r="G30" s="7"/>
      <c r="H30" s="7"/>
      <c r="I30" s="7"/>
      <c r="J30" s="7"/>
      <c r="K30" s="7"/>
      <c r="L30" s="7"/>
      <c r="M30" s="7"/>
      <c r="N30" s="7"/>
      <c r="O30" s="7"/>
    </row>
    <row r="31" spans="1:15">
      <c r="A31" s="7"/>
      <c r="B31" s="7"/>
      <c r="C31" s="7"/>
      <c r="D31" s="7"/>
      <c r="E31" s="7"/>
      <c r="F31" s="7"/>
      <c r="G31" s="7"/>
      <c r="H31" s="7"/>
      <c r="I31" s="7"/>
      <c r="J31" s="7"/>
      <c r="K31" s="7"/>
      <c r="L31" s="7"/>
      <c r="M31" s="7"/>
      <c r="N31" s="7"/>
      <c r="O31" s="7"/>
    </row>
    <row r="32" spans="1:15">
      <c r="A32" s="7"/>
      <c r="B32" s="7"/>
      <c r="C32" s="7"/>
      <c r="D32" s="7"/>
      <c r="E32" s="7"/>
      <c r="F32" s="7"/>
      <c r="G32" s="7"/>
      <c r="H32" s="7"/>
      <c r="I32" s="7"/>
      <c r="J32" s="7"/>
      <c r="K32" s="7"/>
      <c r="L32" s="7"/>
      <c r="M32" s="7"/>
      <c r="N32" s="7"/>
      <c r="O32" s="7"/>
    </row>
    <row r="33" spans="1:15">
      <c r="A33" s="7"/>
      <c r="B33" s="7"/>
      <c r="C33" s="7"/>
      <c r="D33" s="7"/>
      <c r="E33" s="7"/>
      <c r="F33" s="7"/>
      <c r="G33" s="7"/>
      <c r="H33" s="7"/>
      <c r="I33" s="7"/>
      <c r="J33" s="7"/>
      <c r="K33" s="7"/>
      <c r="L33" s="7"/>
      <c r="M33" s="7"/>
      <c r="N33" s="7"/>
      <c r="O33" s="7"/>
    </row>
    <row r="34" spans="1:15">
      <c r="A34" s="7"/>
      <c r="B34" s="7"/>
      <c r="C34" s="7"/>
      <c r="D34" s="7"/>
      <c r="E34" s="7"/>
      <c r="F34" s="7"/>
      <c r="G34" s="7"/>
      <c r="H34" s="7"/>
      <c r="I34" s="7"/>
      <c r="J34" s="7"/>
      <c r="K34" s="7"/>
      <c r="L34" s="7"/>
      <c r="M34" s="7"/>
      <c r="N34" s="7"/>
      <c r="O34" s="7"/>
    </row>
    <row r="35" spans="1:15">
      <c r="A35" s="7"/>
      <c r="B35" s="7"/>
      <c r="C35" s="7"/>
      <c r="D35" s="7"/>
      <c r="E35" s="7"/>
      <c r="F35" s="7"/>
      <c r="G35" s="7"/>
      <c r="H35" s="7"/>
      <c r="I35" s="7"/>
      <c r="J35" s="7"/>
      <c r="K35" s="7"/>
      <c r="L35" s="7"/>
      <c r="M35" s="7"/>
      <c r="N35" s="7"/>
      <c r="O35" s="7"/>
    </row>
    <row r="36" spans="1:15">
      <c r="A36" s="7"/>
      <c r="B36" s="7"/>
      <c r="C36" s="7"/>
      <c r="D36" s="7"/>
      <c r="E36" s="7"/>
      <c r="F36" s="7"/>
      <c r="G36" s="7"/>
      <c r="H36" s="7"/>
      <c r="I36" s="7"/>
      <c r="J36" s="7"/>
      <c r="K36" s="7"/>
      <c r="L36" s="7"/>
      <c r="M36" s="7"/>
      <c r="N36" s="7"/>
      <c r="O36" s="7"/>
    </row>
    <row r="37" spans="1:15">
      <c r="A37" s="7"/>
      <c r="B37" s="7"/>
      <c r="C37" s="7"/>
      <c r="D37" s="7"/>
      <c r="E37" s="7"/>
      <c r="F37" s="7"/>
      <c r="G37" s="7"/>
      <c r="H37" s="7"/>
      <c r="I37" s="7"/>
      <c r="J37" s="7"/>
      <c r="K37" s="7"/>
      <c r="L37" s="7"/>
      <c r="M37" s="7"/>
      <c r="N37" s="7"/>
      <c r="O37" s="7"/>
    </row>
  </sheetData>
  <sheetProtection algorithmName="SHA-512" hashValue="Sjy9oDxbckd9gR5kD3m0cxlz9Erb216Gl5oQqcpcaTNtdE0QLMTDatwCOfu+nooDz/Wm0/B8B9wg5Rer7xI8rQ==" saltValue="UgtJZy3t/m+Q0vm7QsIW7w==" spinCount="100000" sheet="1" objects="1" scenarios="1"/>
  <mergeCells count="1">
    <mergeCell ref="A2:E2"/>
  </mergeCells>
  <hyperlinks>
    <hyperlink ref="B11" r:id="rId1"/>
    <hyperlink ref="B12" r:id="rId2"/>
  </hyperlinks>
  <pageMargins left="0.25" right="0.25" top="0.5" bottom="0.44999999999999996" header="0.25" footer="0.25"/>
  <pageSetup scale="83" orientation="landscape" r:id="rId3"/>
  <headerFooter alignWithMargins="0">
    <oddHeader xml:space="preserve">&amp;L &amp;C &amp;R </oddHeader>
    <oddFooter>&amp;L&amp;7&amp;D  at &amp;T Mike 702.486.8879&amp;C&amp;7&amp;F  &amp;A&amp;R&amp;7Page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499984740745262"/>
  </sheetPr>
  <dimension ref="A1:AB455"/>
  <sheetViews>
    <sheetView topLeftCell="A11" zoomScale="145" zoomScaleNormal="145" workbookViewId="0">
      <selection activeCell="E14" sqref="E14"/>
    </sheetView>
  </sheetViews>
  <sheetFormatPr defaultColWidth="8.77734375" defaultRowHeight="14.4" outlineLevelRow="3" outlineLevelCol="1"/>
  <cols>
    <col min="1" max="1" width="5.5546875" customWidth="1"/>
    <col min="2" max="2" width="12.77734375" customWidth="1" outlineLevel="1"/>
    <col min="3" max="3" width="23" customWidth="1" outlineLevel="1"/>
    <col min="4" max="4" width="12.77734375" customWidth="1" outlineLevel="1"/>
    <col min="5" max="5" width="14.44140625" customWidth="1" outlineLevel="1"/>
    <col min="6" max="6" width="14.21875" customWidth="1" outlineLevel="1"/>
    <col min="7" max="8" width="13.21875" customWidth="1" outlineLevel="1"/>
    <col min="9" max="9" width="10" customWidth="1" outlineLevel="1"/>
    <col min="10" max="10" width="13.5546875" customWidth="1" outlineLevel="1"/>
    <col min="11" max="12" width="8.77734375" customWidth="1" outlineLevel="1"/>
    <col min="13" max="13" width="11.21875" customWidth="1"/>
    <col min="14" max="14" width="8.77734375" customWidth="1"/>
    <col min="15" max="15" width="13.77734375" customWidth="1"/>
    <col min="16" max="16" width="10.5546875" style="4" customWidth="1"/>
    <col min="17" max="17" width="13.21875" customWidth="1"/>
    <col min="18" max="18" width="13" customWidth="1"/>
    <col min="19" max="19" width="10.21875" customWidth="1"/>
    <col min="20" max="20" width="12.21875" customWidth="1"/>
    <col min="21" max="21" width="11" customWidth="1"/>
    <col min="22" max="22" width="11.77734375" customWidth="1"/>
    <col min="23" max="27" width="8.77734375" customWidth="1"/>
  </cols>
  <sheetData>
    <row r="1" spans="1:22" ht="15.6">
      <c r="A1" s="21" t="s">
        <v>1128</v>
      </c>
      <c r="B1" s="21"/>
      <c r="J1" s="408" t="s">
        <v>3</v>
      </c>
      <c r="P1"/>
      <c r="Q1" s="23"/>
      <c r="V1" s="372"/>
    </row>
    <row r="2" spans="1:22" ht="15.6">
      <c r="A2" s="1653" t="str">
        <f>SchoolName</f>
        <v>The Delta Academy</v>
      </c>
      <c r="B2" s="1653"/>
      <c r="P2"/>
    </row>
    <row r="3" spans="1:22">
      <c r="A3" s="19" t="s">
        <v>80</v>
      </c>
      <c r="O3" s="4"/>
      <c r="P3"/>
    </row>
    <row r="4" spans="1:22">
      <c r="A4" s="20" t="s">
        <v>81</v>
      </c>
      <c r="O4" s="4"/>
      <c r="P4"/>
    </row>
    <row r="5" spans="1:22">
      <c r="A5" s="1146" t="str">
        <f ca="1">CELL("filename")</f>
        <v>C:\Users\kyle.konold\Downloads\[FY25 Budget - Delta Academy_Final.xlsx]Form 1 Cover</v>
      </c>
      <c r="O5" s="4"/>
      <c r="P5"/>
    </row>
    <row r="6" spans="1:22">
      <c r="O6" s="774"/>
      <c r="P6" s="33"/>
      <c r="Q6" s="33"/>
      <c r="R6" s="33"/>
      <c r="S6" s="33"/>
      <c r="T6" s="33"/>
      <c r="U6" s="33"/>
      <c r="V6" s="33"/>
    </row>
    <row r="7" spans="1:22" ht="15.6">
      <c r="B7" s="1658" t="s">
        <v>1452</v>
      </c>
      <c r="C7" s="1658"/>
      <c r="D7" s="1659"/>
      <c r="E7" s="1659"/>
      <c r="F7" s="377"/>
      <c r="O7" s="774"/>
      <c r="P7" s="33"/>
      <c r="Q7" s="33"/>
      <c r="R7" s="33"/>
      <c r="S7" s="33"/>
      <c r="T7" s="33"/>
      <c r="U7" s="33"/>
      <c r="V7" s="33"/>
    </row>
    <row r="8" spans="1:22" ht="15.6">
      <c r="B8" s="377" t="s">
        <v>1455</v>
      </c>
      <c r="C8" s="389"/>
      <c r="D8" s="377"/>
      <c r="E8" s="377"/>
      <c r="F8" s="377"/>
      <c r="O8" s="774"/>
      <c r="P8" s="33"/>
      <c r="Q8" s="33"/>
      <c r="R8" s="33"/>
      <c r="S8" s="33"/>
      <c r="T8" s="33"/>
      <c r="U8" s="33"/>
      <c r="V8" s="33"/>
    </row>
    <row r="9" spans="1:22" ht="15.6">
      <c r="B9" s="389" t="s">
        <v>1129</v>
      </c>
      <c r="C9" s="389"/>
      <c r="O9" s="774"/>
      <c r="P9" s="33"/>
      <c r="Q9" s="33"/>
      <c r="R9" s="33"/>
      <c r="S9" s="33"/>
      <c r="T9" s="33"/>
      <c r="U9" s="33"/>
      <c r="V9" s="33"/>
    </row>
    <row r="10" spans="1:22" ht="15.6">
      <c r="B10" s="1646" t="s">
        <v>1130</v>
      </c>
      <c r="C10" s="1009"/>
      <c r="D10" s="996"/>
      <c r="E10" s="996"/>
      <c r="O10" s="774"/>
      <c r="P10" s="33"/>
      <c r="Q10" s="33"/>
      <c r="R10" s="33"/>
      <c r="S10" s="33"/>
      <c r="T10" s="33"/>
      <c r="U10" s="33"/>
      <c r="V10" s="33"/>
    </row>
    <row r="11" spans="1:22" ht="15.6">
      <c r="B11" s="1005" t="s">
        <v>1131</v>
      </c>
      <c r="C11" s="1005"/>
      <c r="D11" s="1007" t="s">
        <v>1132</v>
      </c>
      <c r="E11" s="1007" t="s">
        <v>1133</v>
      </c>
      <c r="O11" s="774"/>
      <c r="P11" s="33"/>
      <c r="Q11" s="33"/>
      <c r="R11" s="33"/>
      <c r="S11" s="33"/>
      <c r="T11" s="33"/>
      <c r="U11" s="33"/>
      <c r="V11" s="33"/>
    </row>
    <row r="12" spans="1:22" ht="15.6">
      <c r="A12" s="377">
        <v>1</v>
      </c>
      <c r="B12" s="377" t="s">
        <v>382</v>
      </c>
      <c r="C12" s="377"/>
      <c r="D12" s="1144">
        <v>9632</v>
      </c>
      <c r="E12" s="1024">
        <v>10114</v>
      </c>
      <c r="F12" s="1261"/>
      <c r="G12" t="s">
        <v>1134</v>
      </c>
      <c r="O12" s="774"/>
      <c r="P12" s="33"/>
      <c r="Q12" s="33"/>
      <c r="R12" s="33"/>
      <c r="S12" s="33"/>
      <c r="T12" s="33"/>
      <c r="U12" s="33"/>
      <c r="V12" s="33"/>
    </row>
    <row r="13" spans="1:22" ht="15.6">
      <c r="A13" s="377">
        <f>1+A12</f>
        <v>2</v>
      </c>
      <c r="B13" s="1247" t="s">
        <v>1135</v>
      </c>
      <c r="C13" s="1247"/>
      <c r="D13" s="1145">
        <v>10157</v>
      </c>
      <c r="E13" s="1032">
        <v>10662</v>
      </c>
      <c r="O13" s="774"/>
      <c r="P13" s="33"/>
      <c r="Q13" s="33"/>
      <c r="R13" s="33"/>
      <c r="S13" s="33"/>
      <c r="T13" s="33"/>
      <c r="U13" s="33"/>
      <c r="V13" s="33"/>
    </row>
    <row r="14" spans="1:22" ht="15.6">
      <c r="A14" s="377">
        <f t="shared" ref="A14:A15" si="0">1+A13</f>
        <v>3</v>
      </c>
      <c r="B14" s="1247" t="s">
        <v>1136</v>
      </c>
      <c r="C14" s="1247"/>
      <c r="D14" s="1145">
        <v>8966</v>
      </c>
      <c r="E14" s="1032">
        <v>9414</v>
      </c>
      <c r="O14" s="774"/>
      <c r="P14" s="33"/>
      <c r="Q14" s="33"/>
      <c r="R14" s="33"/>
      <c r="S14" s="33"/>
      <c r="T14" s="33"/>
      <c r="U14" s="33"/>
      <c r="V14" s="33"/>
    </row>
    <row r="15" spans="1:22" ht="15.6">
      <c r="A15" s="377">
        <f t="shared" si="0"/>
        <v>4</v>
      </c>
      <c r="B15" s="1247" t="s">
        <v>1137</v>
      </c>
      <c r="C15" s="1247"/>
      <c r="D15" s="1145">
        <v>9670</v>
      </c>
      <c r="E15" s="1032">
        <v>10153</v>
      </c>
      <c r="O15" s="774"/>
      <c r="P15" s="33"/>
      <c r="Q15" s="33"/>
      <c r="R15" s="33"/>
      <c r="S15" s="33"/>
      <c r="T15" s="33"/>
      <c r="U15" s="33"/>
      <c r="V15" s="33"/>
    </row>
    <row r="16" spans="1:22" ht="15.6">
      <c r="A16" s="377">
        <f>1+A15</f>
        <v>5</v>
      </c>
      <c r="B16" s="1247" t="s">
        <v>1138</v>
      </c>
      <c r="C16" s="1247"/>
      <c r="D16" s="1145">
        <v>8966</v>
      </c>
      <c r="E16" s="1032">
        <v>9414</v>
      </c>
      <c r="O16" s="774"/>
      <c r="P16" s="33"/>
      <c r="Q16" s="33"/>
      <c r="R16" s="33"/>
      <c r="S16" s="33"/>
      <c r="T16" s="33"/>
      <c r="U16" s="33"/>
      <c r="V16" s="33"/>
    </row>
    <row r="17" spans="1:22" ht="15.6">
      <c r="A17" s="377">
        <f>1+A16</f>
        <v>6</v>
      </c>
      <c r="B17" s="1247" t="s">
        <v>1139</v>
      </c>
      <c r="C17" s="1247"/>
      <c r="D17" s="1145">
        <v>8966</v>
      </c>
      <c r="E17" s="1032">
        <v>9414</v>
      </c>
      <c r="O17" s="774"/>
      <c r="P17" s="33"/>
      <c r="Q17" s="33"/>
      <c r="R17" s="33"/>
      <c r="S17" s="33"/>
      <c r="T17" s="33"/>
      <c r="U17" s="33"/>
      <c r="V17" s="33"/>
    </row>
    <row r="18" spans="1:22" ht="15.6">
      <c r="A18" s="377">
        <f>1+A17</f>
        <v>7</v>
      </c>
      <c r="B18" s="1247" t="s">
        <v>1140</v>
      </c>
      <c r="C18" s="1247"/>
      <c r="D18" s="1145">
        <v>9674</v>
      </c>
      <c r="E18" s="1032">
        <v>10158</v>
      </c>
      <c r="O18" s="774"/>
      <c r="P18" s="33"/>
      <c r="Q18" s="33"/>
      <c r="R18" s="33"/>
      <c r="S18" s="33"/>
      <c r="T18" s="33"/>
      <c r="U18" s="33"/>
      <c r="V18" s="33"/>
    </row>
    <row r="19" spans="1:22" ht="15.6">
      <c r="A19" s="377">
        <f>1+A18</f>
        <v>8</v>
      </c>
      <c r="B19" s="1247" t="s">
        <v>1141</v>
      </c>
      <c r="C19" s="1247"/>
      <c r="D19" s="1145">
        <v>12982</v>
      </c>
      <c r="E19" s="1032">
        <v>13629</v>
      </c>
      <c r="O19" s="774"/>
      <c r="P19" s="33"/>
      <c r="Q19" s="33"/>
      <c r="R19" s="33"/>
      <c r="S19" s="33"/>
      <c r="T19" s="33"/>
      <c r="U19" s="33"/>
      <c r="V19" s="33"/>
    </row>
    <row r="20" spans="1:22" ht="15.6">
      <c r="A20" s="377">
        <f>1+A19</f>
        <v>9</v>
      </c>
      <c r="B20" s="1247" t="s">
        <v>1457</v>
      </c>
      <c r="C20" s="374"/>
      <c r="D20" s="1666">
        <v>8966</v>
      </c>
      <c r="E20" s="1667">
        <v>9414</v>
      </c>
      <c r="F20" t="s">
        <v>1456</v>
      </c>
      <c r="O20" s="774"/>
      <c r="P20" s="33"/>
      <c r="Q20" s="33"/>
      <c r="R20" s="33"/>
      <c r="S20" s="33"/>
      <c r="T20" s="33"/>
      <c r="U20" s="33"/>
      <c r="V20" s="33"/>
    </row>
    <row r="21" spans="1:22">
      <c r="F21" t="s">
        <v>1154</v>
      </c>
      <c r="O21" s="774"/>
      <c r="P21" s="33"/>
      <c r="Q21" s="33"/>
      <c r="R21" s="33"/>
      <c r="S21" s="33"/>
      <c r="T21" s="33"/>
      <c r="U21" s="33"/>
      <c r="V21" s="33"/>
    </row>
    <row r="22" spans="1:22">
      <c r="F22" t="s">
        <v>1155</v>
      </c>
      <c r="O22" s="774"/>
      <c r="P22" s="33"/>
      <c r="Q22" s="33"/>
      <c r="R22" s="33"/>
      <c r="S22" s="33"/>
      <c r="T22" s="33"/>
      <c r="U22" s="33"/>
      <c r="V22" s="33"/>
    </row>
    <row r="23" spans="1:22">
      <c r="O23" s="774"/>
      <c r="P23" s="33"/>
      <c r="Q23" s="33"/>
      <c r="R23" s="33"/>
      <c r="S23" s="33"/>
      <c r="T23" s="33"/>
      <c r="U23" s="33"/>
      <c r="V23" s="33"/>
    </row>
    <row r="24" spans="1:22" ht="15.6">
      <c r="B24" s="1035" t="s">
        <v>1143</v>
      </c>
      <c r="C24" s="1035"/>
      <c r="D24" s="1036"/>
      <c r="E24" s="1036"/>
      <c r="O24" s="774"/>
      <c r="P24" s="33"/>
      <c r="Q24" s="33"/>
      <c r="R24" s="33"/>
      <c r="S24" s="33"/>
      <c r="T24" s="33"/>
      <c r="U24" s="33"/>
      <c r="V24" s="33"/>
    </row>
    <row r="25" spans="1:22" ht="15.6">
      <c r="B25" s="1647" t="s">
        <v>1144</v>
      </c>
      <c r="C25" s="1002"/>
      <c r="D25" s="1003"/>
      <c r="E25" s="1030"/>
      <c r="O25" s="774"/>
      <c r="P25" s="33"/>
      <c r="Q25" s="33"/>
      <c r="R25" s="33"/>
      <c r="S25" s="33"/>
      <c r="T25" s="33"/>
      <c r="U25" s="33"/>
      <c r="V25" s="33"/>
    </row>
    <row r="26" spans="1:22" ht="15.6">
      <c r="B26" s="1010" t="s">
        <v>1145</v>
      </c>
      <c r="C26" s="1010"/>
      <c r="D26" s="1649">
        <v>3845</v>
      </c>
      <c r="E26" s="1649">
        <v>3845</v>
      </c>
      <c r="F26" t="s">
        <v>1146</v>
      </c>
      <c r="O26" s="774"/>
      <c r="P26" s="33"/>
      <c r="Q26" s="33"/>
      <c r="R26" s="33"/>
      <c r="S26" s="33"/>
      <c r="T26" s="33"/>
      <c r="U26" s="33"/>
      <c r="V26" s="33"/>
    </row>
    <row r="27" spans="1:22" ht="15.6">
      <c r="B27" s="1031" t="s">
        <v>1147</v>
      </c>
      <c r="C27" s="1031"/>
      <c r="D27" s="1081">
        <v>0.45</v>
      </c>
      <c r="E27" s="1081">
        <v>0.45</v>
      </c>
      <c r="O27" s="774"/>
      <c r="P27" s="33"/>
      <c r="Q27" s="33"/>
      <c r="R27" s="33"/>
      <c r="S27" s="33"/>
      <c r="T27" s="33"/>
      <c r="U27" s="33"/>
      <c r="V27" s="33"/>
    </row>
    <row r="28" spans="1:22" ht="15.6">
      <c r="B28" s="1031" t="s">
        <v>1453</v>
      </c>
      <c r="C28" s="1031"/>
      <c r="D28" s="1081">
        <v>0.35</v>
      </c>
      <c r="E28" s="1081">
        <v>0.35</v>
      </c>
      <c r="F28" s="1668" t="s">
        <v>1459</v>
      </c>
      <c r="O28" s="774"/>
      <c r="P28" s="33"/>
      <c r="Q28" s="33"/>
      <c r="R28" s="33"/>
      <c r="S28" s="33"/>
      <c r="T28" s="33"/>
      <c r="U28" s="33"/>
      <c r="V28" s="33"/>
    </row>
    <row r="29" spans="1:22" ht="15.6">
      <c r="B29" s="1031" t="s">
        <v>1148</v>
      </c>
      <c r="C29" s="1031"/>
      <c r="D29" s="1081">
        <v>0.12</v>
      </c>
      <c r="E29" s="1081">
        <v>0.12</v>
      </c>
      <c r="O29" s="774"/>
      <c r="P29" s="33"/>
      <c r="Q29" s="33"/>
      <c r="R29" s="33"/>
      <c r="S29" s="33"/>
      <c r="T29" s="33"/>
      <c r="U29" s="33"/>
      <c r="V29" s="33"/>
    </row>
    <row r="30" spans="1:22">
      <c r="O30" s="774"/>
      <c r="P30" s="33"/>
      <c r="Q30" s="33"/>
      <c r="R30" s="33"/>
      <c r="S30" s="33"/>
      <c r="T30" s="33"/>
      <c r="U30" s="33"/>
      <c r="V30" s="33"/>
    </row>
    <row r="31" spans="1:22" ht="15.6">
      <c r="B31" s="377"/>
      <c r="O31" s="774"/>
      <c r="P31" s="33"/>
      <c r="Q31" s="33"/>
      <c r="R31" s="33"/>
      <c r="S31" s="33"/>
      <c r="T31" s="33"/>
      <c r="U31" s="33"/>
      <c r="V31" s="33"/>
    </row>
    <row r="32" spans="1:22">
      <c r="O32" s="774"/>
      <c r="P32" s="33"/>
      <c r="Q32" s="33"/>
      <c r="R32" s="33"/>
      <c r="S32" s="33"/>
      <c r="T32" s="33"/>
      <c r="U32" s="33"/>
      <c r="V32" s="33"/>
    </row>
    <row r="33" spans="1:22" hidden="1" outlineLevel="1">
      <c r="O33" s="774"/>
      <c r="P33" s="33"/>
      <c r="Q33" s="33"/>
      <c r="R33" s="33"/>
      <c r="S33" s="33"/>
      <c r="T33" s="33"/>
      <c r="U33" s="33"/>
      <c r="V33" s="33"/>
    </row>
    <row r="34" spans="1:22" hidden="1" outlineLevel="1">
      <c r="O34" s="774"/>
      <c r="P34" s="33"/>
      <c r="Q34" s="33"/>
      <c r="R34" s="33"/>
      <c r="S34" s="33"/>
      <c r="T34" s="33"/>
      <c r="U34" s="33"/>
      <c r="V34" s="33"/>
    </row>
    <row r="35" spans="1:22" hidden="1" outlineLevel="1">
      <c r="O35" s="774"/>
      <c r="P35" s="33"/>
      <c r="Q35" s="33"/>
      <c r="R35" s="33"/>
      <c r="S35" s="33"/>
      <c r="T35" s="33"/>
      <c r="U35" s="33"/>
      <c r="V35" s="33"/>
    </row>
    <row r="36" spans="1:22" hidden="1" outlineLevel="1">
      <c r="O36" s="774"/>
      <c r="P36" s="33"/>
      <c r="Q36" s="33"/>
      <c r="R36" s="33"/>
      <c r="S36" s="33"/>
      <c r="T36" s="33"/>
      <c r="U36" s="33"/>
      <c r="V36" s="33"/>
    </row>
    <row r="37" spans="1:22" hidden="1" outlineLevel="1">
      <c r="O37" s="774"/>
      <c r="P37" s="33"/>
      <c r="Q37" s="33"/>
      <c r="R37" s="33"/>
      <c r="S37" s="33"/>
      <c r="T37" s="33"/>
      <c r="U37" s="33"/>
      <c r="V37" s="33"/>
    </row>
    <row r="38" spans="1:22" hidden="1" outlineLevel="1">
      <c r="O38" s="774"/>
      <c r="P38" s="33"/>
      <c r="Q38" s="33"/>
      <c r="R38" s="33"/>
      <c r="S38" s="33"/>
      <c r="T38" s="33"/>
      <c r="U38" s="33"/>
      <c r="V38" s="33"/>
    </row>
    <row r="39" spans="1:22" hidden="1" outlineLevel="1">
      <c r="O39" s="774"/>
      <c r="P39" s="33"/>
      <c r="Q39" s="33"/>
      <c r="R39" s="33"/>
      <c r="S39" s="33"/>
      <c r="T39" s="33"/>
      <c r="U39" s="33"/>
      <c r="V39" s="33"/>
    </row>
    <row r="40" spans="1:22" hidden="1" outlineLevel="1">
      <c r="O40" s="774"/>
      <c r="P40" s="33"/>
      <c r="Q40" s="33"/>
      <c r="R40" s="33"/>
      <c r="S40" s="33"/>
      <c r="T40" s="33"/>
      <c r="U40" s="33"/>
      <c r="V40" s="33"/>
    </row>
    <row r="41" spans="1:22" ht="15.6" hidden="1" outlineLevel="1">
      <c r="B41" s="1564" t="s">
        <v>1149</v>
      </c>
      <c r="O41" s="33"/>
      <c r="P41" s="324"/>
      <c r="Q41" s="324"/>
      <c r="R41" s="324"/>
      <c r="S41" s="324"/>
      <c r="T41" s="324"/>
      <c r="U41" s="324"/>
      <c r="V41" s="324"/>
    </row>
    <row r="42" spans="1:22" ht="15.6" hidden="1" outlineLevel="1">
      <c r="B42" s="1011" t="s">
        <v>1451</v>
      </c>
      <c r="C42" s="1011"/>
      <c r="D42" s="1012"/>
      <c r="E42" s="1012"/>
      <c r="F42" s="1012"/>
      <c r="G42" s="1012"/>
      <c r="H42" s="1012"/>
      <c r="I42" s="1012"/>
      <c r="J42" s="1013"/>
      <c r="O42" s="33"/>
      <c r="P42" s="26"/>
      <c r="Q42" s="26"/>
      <c r="R42" s="26"/>
      <c r="S42" s="26"/>
      <c r="T42" s="26"/>
      <c r="U42" s="26"/>
      <c r="V42" s="26"/>
    </row>
    <row r="43" spans="1:22" ht="15.6" hidden="1" outlineLevel="1">
      <c r="A43" s="377"/>
      <c r="B43" s="377"/>
      <c r="C43" s="377"/>
      <c r="D43" s="377"/>
      <c r="E43" s="377"/>
      <c r="F43" s="377"/>
      <c r="G43" s="377"/>
      <c r="H43" s="377"/>
      <c r="I43" s="377"/>
      <c r="O43" s="377"/>
      <c r="P43" s="378"/>
      <c r="Q43" s="773"/>
      <c r="R43" s="378"/>
      <c r="S43" s="378"/>
      <c r="T43" s="378"/>
      <c r="U43" s="378"/>
      <c r="V43" s="378"/>
    </row>
    <row r="44" spans="1:22" ht="15.6" hidden="1" outlineLevel="1">
      <c r="A44" s="377"/>
      <c r="B44" s="1014" t="s">
        <v>1452</v>
      </c>
      <c r="C44" s="1014"/>
      <c r="D44" s="1015"/>
      <c r="E44" s="1015"/>
      <c r="F44" s="1015"/>
      <c r="G44" s="1015"/>
      <c r="H44" s="1015"/>
      <c r="I44" s="1015"/>
      <c r="J44" s="1016"/>
      <c r="O44" s="377"/>
      <c r="P44" s="380"/>
      <c r="Q44" s="378"/>
      <c r="R44" s="378"/>
      <c r="S44" s="378"/>
      <c r="T44" s="378"/>
      <c r="U44" s="378"/>
      <c r="V44" s="378"/>
    </row>
    <row r="45" spans="1:22" ht="15.6" hidden="1" outlineLevel="1">
      <c r="A45" s="377"/>
      <c r="O45" s="377"/>
      <c r="P45" s="380"/>
      <c r="Q45" s="380"/>
      <c r="R45" s="380"/>
      <c r="S45" s="1800"/>
      <c r="T45" s="1800"/>
      <c r="U45" s="377"/>
      <c r="V45" s="377"/>
    </row>
    <row r="46" spans="1:22" ht="15.6" hidden="1" outlineLevel="1">
      <c r="A46" s="377"/>
      <c r="B46" t="s">
        <v>1150</v>
      </c>
      <c r="D46" s="1228">
        <v>1</v>
      </c>
      <c r="E46" t="s">
        <v>1151</v>
      </c>
      <c r="O46" s="377"/>
      <c r="P46" s="380"/>
      <c r="Q46" s="380"/>
      <c r="R46" s="380"/>
      <c r="S46" s="1656"/>
      <c r="T46" s="1656"/>
      <c r="U46" s="377"/>
      <c r="V46" s="377"/>
    </row>
    <row r="47" spans="1:22" ht="15.6" hidden="1" outlineLevel="1">
      <c r="A47" s="377"/>
      <c r="B47" t="s">
        <v>1150</v>
      </c>
      <c r="D47" s="1085">
        <v>0.99309999999999998</v>
      </c>
      <c r="E47" t="s">
        <v>1152</v>
      </c>
      <c r="O47" s="377"/>
      <c r="P47" s="380"/>
      <c r="Q47" s="380"/>
      <c r="R47" s="380"/>
      <c r="S47" s="1656"/>
      <c r="T47" s="1656"/>
      <c r="U47" s="377"/>
      <c r="V47" s="377"/>
    </row>
    <row r="48" spans="1:22" ht="15.6" hidden="1" outlineLevel="1">
      <c r="A48" s="377"/>
      <c r="D48" s="1007" t="s">
        <v>1132</v>
      </c>
      <c r="E48" s="1007" t="s">
        <v>1133</v>
      </c>
      <c r="O48" s="377"/>
      <c r="P48" s="380"/>
      <c r="Q48" s="380"/>
      <c r="R48" s="380"/>
      <c r="S48" s="1656"/>
      <c r="T48" s="1656"/>
      <c r="U48" s="377"/>
      <c r="V48" s="377"/>
    </row>
    <row r="49" spans="1:22" ht="15.6" hidden="1" outlineLevel="1">
      <c r="A49" s="497"/>
      <c r="B49" s="1034" t="s">
        <v>1154</v>
      </c>
      <c r="C49" s="1034"/>
      <c r="D49" s="1033">
        <v>8966</v>
      </c>
      <c r="E49" s="1033">
        <v>9414</v>
      </c>
      <c r="O49" s="377"/>
      <c r="P49" s="380"/>
      <c r="Q49" s="380"/>
      <c r="R49" s="380"/>
      <c r="S49" s="1656"/>
      <c r="T49" s="1656"/>
      <c r="U49" s="377"/>
      <c r="V49" s="377"/>
    </row>
    <row r="50" spans="1:22" ht="15.6" hidden="1" outlineLevel="1">
      <c r="A50" s="497"/>
      <c r="B50" s="1034" t="s">
        <v>1155</v>
      </c>
      <c r="C50" s="389"/>
      <c r="D50" s="1008">
        <f>+D49*$D$46</f>
        <v>8966</v>
      </c>
      <c r="E50" s="1008">
        <f>+E49*$D$46</f>
        <v>9414</v>
      </c>
      <c r="O50" s="377"/>
      <c r="P50" s="380"/>
      <c r="Q50" s="380"/>
      <c r="R50" s="380"/>
      <c r="S50" s="1656"/>
      <c r="T50" s="1656"/>
      <c r="U50" s="377"/>
      <c r="V50" s="377"/>
    </row>
    <row r="51" spans="1:22" ht="15.6" hidden="1" outlineLevel="1">
      <c r="A51" s="497"/>
      <c r="E51" s="1086"/>
      <c r="O51" s="377"/>
      <c r="P51" s="380"/>
      <c r="Q51" s="380"/>
      <c r="R51" s="380"/>
      <c r="S51" s="1656"/>
      <c r="T51" s="1656"/>
      <c r="U51" s="377"/>
      <c r="V51" s="377"/>
    </row>
    <row r="52" spans="1:22" ht="15.6" hidden="1" outlineLevel="1">
      <c r="A52" s="497"/>
      <c r="B52" s="389" t="s">
        <v>1129</v>
      </c>
      <c r="C52" s="389"/>
      <c r="O52" s="377"/>
      <c r="P52" s="380"/>
      <c r="Q52" s="380"/>
      <c r="R52" s="380"/>
      <c r="S52" s="1656"/>
      <c r="T52" s="1656"/>
      <c r="U52" s="377"/>
      <c r="V52" s="377"/>
    </row>
    <row r="53" spans="1:22" ht="15.6" hidden="1" outlineLevel="1">
      <c r="A53" s="497"/>
      <c r="B53" s="1009" t="s">
        <v>1156</v>
      </c>
      <c r="C53" s="1009"/>
      <c r="D53" s="996"/>
      <c r="E53" s="996"/>
      <c r="O53" s="377"/>
      <c r="P53" s="380"/>
      <c r="Q53" s="380"/>
      <c r="R53" s="380"/>
      <c r="S53" s="1656"/>
      <c r="T53" s="1656"/>
      <c r="U53" s="377"/>
      <c r="V53" s="377"/>
    </row>
    <row r="54" spans="1:22" ht="15.6" hidden="1" outlineLevel="1">
      <c r="A54" s="497"/>
      <c r="B54" s="1005" t="s">
        <v>1131</v>
      </c>
      <c r="C54" s="1005"/>
      <c r="D54" s="1007" t="s">
        <v>1132</v>
      </c>
      <c r="E54" s="1007" t="s">
        <v>1133</v>
      </c>
      <c r="F54" s="1222" t="s">
        <v>1157</v>
      </c>
      <c r="O54" s="377"/>
      <c r="P54" s="380"/>
      <c r="Q54" s="380"/>
      <c r="R54" s="380"/>
      <c r="S54" s="1656"/>
      <c r="T54" s="1656"/>
      <c r="U54" s="377"/>
      <c r="V54" s="377"/>
    </row>
    <row r="55" spans="1:22" ht="15.6" hidden="1" outlineLevel="1">
      <c r="A55" s="497"/>
      <c r="B55" s="1223" t="s">
        <v>1158</v>
      </c>
      <c r="C55" s="1223"/>
      <c r="D55" s="1144">
        <v>7494</v>
      </c>
      <c r="E55" s="1024">
        <v>7594</v>
      </c>
      <c r="F55" s="1221">
        <f t="shared" ref="F55:F61" si="1">E55/D55-1</f>
        <v>1.3344008540165486E-2</v>
      </c>
      <c r="O55" s="377"/>
      <c r="P55" s="380"/>
      <c r="Q55" s="380"/>
      <c r="R55" s="380"/>
      <c r="S55" s="1656"/>
      <c r="T55" s="1656"/>
      <c r="U55" s="377"/>
      <c r="V55" s="377"/>
    </row>
    <row r="56" spans="1:22" ht="15.6" hidden="1" outlineLevel="1">
      <c r="A56" s="497"/>
      <c r="B56" s="1224" t="s">
        <v>1159</v>
      </c>
      <c r="C56" s="1224"/>
      <c r="D56" s="1145">
        <v>8093</v>
      </c>
      <c r="E56" s="1032">
        <v>8197</v>
      </c>
      <c r="F56" s="1221">
        <f t="shared" si="1"/>
        <v>1.2850611639688703E-2</v>
      </c>
      <c r="O56" s="377"/>
      <c r="P56" s="380"/>
      <c r="Q56" s="380"/>
      <c r="R56" s="380"/>
      <c r="S56" s="1656"/>
      <c r="T56" s="1656"/>
      <c r="U56" s="377"/>
      <c r="V56" s="377"/>
    </row>
    <row r="57" spans="1:22" ht="15.6" hidden="1" outlineLevel="1">
      <c r="A57" s="497"/>
      <c r="B57" s="1224" t="s">
        <v>1160</v>
      </c>
      <c r="C57" s="1224"/>
      <c r="D57" s="1145">
        <v>7197</v>
      </c>
      <c r="E57" s="1032">
        <v>7293</v>
      </c>
      <c r="F57" s="1221">
        <f t="shared" si="1"/>
        <v>1.3338891204668579E-2</v>
      </c>
      <c r="O57" s="377"/>
      <c r="P57" s="380"/>
      <c r="Q57" s="380"/>
      <c r="R57" s="380"/>
      <c r="S57" s="1656"/>
      <c r="T57" s="1656"/>
      <c r="U57" s="377"/>
      <c r="V57" s="377"/>
    </row>
    <row r="58" spans="1:22" ht="15.6" hidden="1" outlineLevel="1">
      <c r="A58" s="497"/>
      <c r="B58" s="1224" t="s">
        <v>1161</v>
      </c>
      <c r="C58" s="1224"/>
      <c r="D58" s="1145">
        <v>7715</v>
      </c>
      <c r="E58" s="1032">
        <v>7818</v>
      </c>
      <c r="F58" s="1221">
        <f t="shared" si="1"/>
        <v>1.335061568373308E-2</v>
      </c>
      <c r="O58" s="377"/>
      <c r="P58" s="380"/>
      <c r="Q58" s="380"/>
      <c r="R58" s="380"/>
      <c r="S58" s="1656"/>
      <c r="T58" s="1656"/>
      <c r="U58" s="377"/>
      <c r="V58" s="377"/>
    </row>
    <row r="59" spans="1:22" ht="15.6" hidden="1" outlineLevel="1">
      <c r="A59" s="497"/>
      <c r="B59" s="1224" t="s">
        <v>1138</v>
      </c>
      <c r="C59" s="1224"/>
      <c r="D59" s="1145">
        <v>8764</v>
      </c>
      <c r="E59" s="1032">
        <v>8881</v>
      </c>
      <c r="F59" s="1221">
        <f>E59/D59-1</f>
        <v>1.3350068461889464E-2</v>
      </c>
      <c r="O59" s="377"/>
      <c r="P59" s="380"/>
      <c r="Q59" s="380"/>
      <c r="R59" s="380"/>
      <c r="S59" s="1656"/>
      <c r="T59" s="1656"/>
      <c r="U59" s="377"/>
      <c r="V59" s="377"/>
    </row>
    <row r="60" spans="1:22" ht="15.6" hidden="1" outlineLevel="1">
      <c r="A60" s="497"/>
      <c r="B60" s="1224" t="s">
        <v>1162</v>
      </c>
      <c r="C60" s="1224"/>
      <c r="D60" s="1145">
        <v>6980</v>
      </c>
      <c r="E60" s="1032">
        <v>7074</v>
      </c>
      <c r="F60" s="1221">
        <f t="shared" si="1"/>
        <v>1.346704871060167E-2</v>
      </c>
      <c r="O60" s="377"/>
      <c r="P60" s="380"/>
      <c r="Q60" s="380"/>
      <c r="R60" s="380"/>
      <c r="S60" s="1656"/>
      <c r="T60" s="1656"/>
      <c r="U60" s="377"/>
      <c r="V60" s="377"/>
    </row>
    <row r="61" spans="1:22" ht="15.6" hidden="1" outlineLevel="1">
      <c r="A61" s="497"/>
      <c r="B61" s="1224" t="s">
        <v>1163</v>
      </c>
      <c r="C61" s="1224"/>
      <c r="D61" s="1145">
        <v>10367</v>
      </c>
      <c r="E61" s="1032">
        <v>10501</v>
      </c>
      <c r="F61" s="1221">
        <f t="shared" si="1"/>
        <v>1.2925629400983851E-2</v>
      </c>
      <c r="O61" s="377"/>
      <c r="P61" s="380"/>
      <c r="Q61" s="380"/>
      <c r="R61" s="380"/>
      <c r="S61" s="1656"/>
      <c r="T61" s="1656"/>
      <c r="U61" s="377"/>
      <c r="V61" s="377"/>
    </row>
    <row r="62" spans="1:22" ht="15.6" hidden="1" outlineLevel="1">
      <c r="A62" s="497"/>
      <c r="O62" s="377"/>
      <c r="P62" s="380"/>
      <c r="Q62" s="380"/>
      <c r="R62" s="380"/>
      <c r="S62" s="1656"/>
      <c r="T62" s="1656"/>
      <c r="U62" s="377"/>
      <c r="V62" s="377"/>
    </row>
    <row r="63" spans="1:22" ht="15.6" hidden="1" outlineLevel="1">
      <c r="A63" s="497"/>
      <c r="B63" s="389" t="s">
        <v>1129</v>
      </c>
      <c r="C63" s="389"/>
      <c r="O63" s="377"/>
      <c r="P63" s="380"/>
      <c r="Q63" s="380"/>
      <c r="R63" s="380"/>
      <c r="S63" s="1656"/>
      <c r="T63" s="1656"/>
      <c r="U63" s="377"/>
      <c r="V63" s="377"/>
    </row>
    <row r="64" spans="1:22" ht="15.6" hidden="1" outlineLevel="1">
      <c r="A64" s="497"/>
      <c r="B64" s="1009" t="s">
        <v>1164</v>
      </c>
      <c r="C64" s="1009"/>
      <c r="D64" s="996"/>
      <c r="E64" s="996"/>
      <c r="O64" s="377"/>
      <c r="P64" s="380"/>
      <c r="Q64" s="380"/>
      <c r="R64" s="380"/>
      <c r="S64" s="1656"/>
      <c r="T64" s="1656"/>
      <c r="U64" s="377"/>
      <c r="V64" s="377"/>
    </row>
    <row r="65" spans="1:22" ht="15.6" hidden="1" outlineLevel="1">
      <c r="A65" s="497"/>
      <c r="B65" s="389"/>
      <c r="C65" s="389"/>
      <c r="E65" s="996"/>
      <c r="O65" s="377"/>
      <c r="P65" s="380"/>
      <c r="Q65" s="380"/>
      <c r="R65" s="380"/>
      <c r="S65" s="1656"/>
      <c r="T65" s="1656"/>
      <c r="U65" s="377"/>
      <c r="V65" s="377"/>
    </row>
    <row r="66" spans="1:22" ht="25.5" hidden="1" customHeight="1" outlineLevel="1">
      <c r="A66" s="497"/>
      <c r="B66" s="1005" t="s">
        <v>1131</v>
      </c>
      <c r="C66" s="1005"/>
      <c r="D66" s="1246" t="s">
        <v>1165</v>
      </c>
      <c r="E66" s="1007" t="s">
        <v>1153</v>
      </c>
      <c r="F66" s="1222" t="s">
        <v>1157</v>
      </c>
      <c r="O66" s="377"/>
      <c r="P66" s="380"/>
      <c r="Q66" s="380"/>
      <c r="R66" s="380"/>
      <c r="S66" s="1656"/>
      <c r="T66" s="1656"/>
      <c r="U66" s="377"/>
      <c r="V66" s="377"/>
    </row>
    <row r="67" spans="1:22" ht="15.6" hidden="1" outlineLevel="1">
      <c r="A67" s="497"/>
      <c r="B67" s="377" t="s">
        <v>1158</v>
      </c>
      <c r="C67" s="377"/>
      <c r="D67" s="496">
        <f t="shared" ref="D67:E70" si="2">+D55*$D$46</f>
        <v>7494</v>
      </c>
      <c r="E67" s="1024">
        <f t="shared" si="2"/>
        <v>7594</v>
      </c>
      <c r="F67" s="1221">
        <f t="shared" ref="F67:F73" si="3">E67/D67-1</f>
        <v>1.3344008540165486E-2</v>
      </c>
      <c r="O67" s="377"/>
      <c r="P67" s="380"/>
      <c r="Q67" s="380"/>
      <c r="R67" s="380"/>
      <c r="S67" s="1656"/>
      <c r="T67" s="1656"/>
      <c r="U67" s="377"/>
      <c r="V67" s="377"/>
    </row>
    <row r="68" spans="1:22" ht="15.6" hidden="1" outlineLevel="1">
      <c r="A68" s="497"/>
      <c r="B68" s="1247" t="s">
        <v>1135</v>
      </c>
      <c r="C68" s="1247"/>
      <c r="D68" s="1134">
        <f t="shared" si="2"/>
        <v>8093</v>
      </c>
      <c r="E68" s="1032">
        <f t="shared" si="2"/>
        <v>8197</v>
      </c>
      <c r="F68" s="1221">
        <f t="shared" si="3"/>
        <v>1.2850611639688703E-2</v>
      </c>
      <c r="O68" s="377"/>
      <c r="P68" s="380"/>
      <c r="Q68" s="380"/>
      <c r="R68" s="380"/>
      <c r="S68" s="1656"/>
      <c r="T68" s="1656"/>
      <c r="U68" s="377"/>
      <c r="V68" s="377"/>
    </row>
    <row r="69" spans="1:22" ht="15.6" hidden="1" outlineLevel="1">
      <c r="A69" s="497"/>
      <c r="B69" s="1247" t="s">
        <v>1136</v>
      </c>
      <c r="C69" s="1247"/>
      <c r="D69" s="1134">
        <f t="shared" si="2"/>
        <v>7197</v>
      </c>
      <c r="E69" s="1032">
        <f t="shared" si="2"/>
        <v>7293</v>
      </c>
      <c r="F69" s="1221">
        <f t="shared" si="3"/>
        <v>1.3338891204668579E-2</v>
      </c>
      <c r="O69" s="377"/>
      <c r="P69" s="380"/>
      <c r="Q69" s="380"/>
      <c r="R69" s="380"/>
      <c r="S69" s="1656"/>
      <c r="T69" s="1656"/>
      <c r="U69" s="377"/>
      <c r="V69" s="377"/>
    </row>
    <row r="70" spans="1:22" ht="15.6" hidden="1" outlineLevel="1">
      <c r="A70" s="497"/>
      <c r="B70" s="1247" t="s">
        <v>1137</v>
      </c>
      <c r="C70" s="1247"/>
      <c r="D70" s="1134">
        <f t="shared" si="2"/>
        <v>7715</v>
      </c>
      <c r="E70" s="1032">
        <f t="shared" si="2"/>
        <v>7818</v>
      </c>
      <c r="F70" s="1221">
        <f t="shared" si="3"/>
        <v>1.335061568373308E-2</v>
      </c>
      <c r="O70" s="377"/>
      <c r="P70" s="380"/>
      <c r="Q70" s="380"/>
      <c r="R70" s="380"/>
      <c r="S70" s="1656"/>
      <c r="T70" s="1656"/>
      <c r="U70" s="377"/>
      <c r="V70" s="377"/>
    </row>
    <row r="71" spans="1:22" ht="15.6" hidden="1" outlineLevel="1">
      <c r="A71" s="497"/>
      <c r="B71" s="1247" t="s">
        <v>1138</v>
      </c>
      <c r="C71" s="1247"/>
      <c r="D71" s="1134">
        <v>8764</v>
      </c>
      <c r="E71" s="1032">
        <v>8881</v>
      </c>
      <c r="F71" s="1221">
        <f>E71/D71-1</f>
        <v>1.3350068461889464E-2</v>
      </c>
      <c r="O71" s="377"/>
      <c r="P71" s="380"/>
      <c r="Q71" s="380"/>
      <c r="R71" s="380"/>
      <c r="S71" s="1656"/>
      <c r="T71" s="1656"/>
      <c r="U71" s="377"/>
      <c r="V71" s="377"/>
    </row>
    <row r="72" spans="1:22" ht="15.6" hidden="1" outlineLevel="1">
      <c r="A72" s="497"/>
      <c r="B72" s="1247" t="s">
        <v>1166</v>
      </c>
      <c r="C72" s="1247"/>
      <c r="D72" s="1134">
        <f>+D60*$D$46</f>
        <v>6980</v>
      </c>
      <c r="E72" s="1032">
        <f>+E60*$D$46</f>
        <v>7074</v>
      </c>
      <c r="F72" s="1221">
        <f>E72/D72-1</f>
        <v>1.346704871060167E-2</v>
      </c>
      <c r="O72" s="377"/>
      <c r="P72" s="380"/>
      <c r="Q72" s="380"/>
      <c r="R72" s="380"/>
      <c r="S72" s="1656"/>
      <c r="T72" s="1656"/>
      <c r="U72" s="377"/>
      <c r="V72" s="377"/>
    </row>
    <row r="73" spans="1:22" ht="15.6" hidden="1" outlineLevel="1">
      <c r="A73" s="497"/>
      <c r="B73" s="1248" t="s">
        <v>1141</v>
      </c>
      <c r="C73" s="1248"/>
      <c r="D73" s="1249">
        <f>+D61*$D$46</f>
        <v>10367</v>
      </c>
      <c r="E73" s="1250">
        <f>+E61*$D$46</f>
        <v>10501</v>
      </c>
      <c r="F73" s="1251">
        <f t="shared" si="3"/>
        <v>1.2925629400983851E-2</v>
      </c>
      <c r="O73" s="377"/>
      <c r="P73" s="380"/>
      <c r="Q73" s="380"/>
      <c r="R73" s="380"/>
      <c r="S73" s="1656"/>
      <c r="T73" s="1656"/>
      <c r="U73" s="377"/>
      <c r="V73" s="377"/>
    </row>
    <row r="74" spans="1:22" ht="15.6" hidden="1" outlineLevel="1">
      <c r="A74" s="497"/>
      <c r="O74" s="377"/>
      <c r="P74" s="380"/>
      <c r="Q74" s="380"/>
      <c r="R74" s="380"/>
      <c r="S74" s="1656"/>
      <c r="T74" s="1656"/>
      <c r="U74" s="377"/>
      <c r="V74" s="377"/>
    </row>
    <row r="75" spans="1:22" ht="15.6" hidden="1" outlineLevel="1">
      <c r="A75" s="497"/>
      <c r="B75" s="1035" t="s">
        <v>1143</v>
      </c>
      <c r="C75" s="1035"/>
      <c r="D75" s="1036"/>
      <c r="E75" s="1036"/>
      <c r="G75" s="1007" t="s">
        <v>1167</v>
      </c>
      <c r="O75" s="377"/>
      <c r="P75" s="380"/>
      <c r="Q75" s="380"/>
      <c r="R75" s="380"/>
      <c r="S75" s="1656"/>
      <c r="T75" s="1656"/>
      <c r="U75" s="377"/>
      <c r="V75" s="377"/>
    </row>
    <row r="76" spans="1:22" ht="15.6" hidden="1" outlineLevel="1">
      <c r="A76" s="497"/>
      <c r="B76" s="1002" t="s">
        <v>1168</v>
      </c>
      <c r="C76" s="1002"/>
      <c r="D76" s="1003"/>
      <c r="E76" s="1030"/>
      <c r="H76">
        <v>7197</v>
      </c>
      <c r="O76" s="377"/>
      <c r="P76" s="380"/>
      <c r="Q76" s="380"/>
      <c r="R76" s="380"/>
      <c r="S76" s="1656"/>
      <c r="T76" s="1656"/>
      <c r="U76" s="377"/>
      <c r="V76" s="377"/>
    </row>
    <row r="77" spans="1:22" ht="15.6" hidden="1" outlineLevel="1">
      <c r="A77" s="497"/>
      <c r="B77" s="1010" t="s">
        <v>1145</v>
      </c>
      <c r="C77" s="1010"/>
      <c r="D77" s="1568">
        <v>0.38284007225232736</v>
      </c>
      <c r="E77" s="1569">
        <v>0.33</v>
      </c>
      <c r="F77" t="s">
        <v>1169</v>
      </c>
      <c r="G77" s="1259">
        <f>+$D$69*D77</f>
        <v>2755.3</v>
      </c>
      <c r="H77" s="1260">
        <f>+$H$76+G77</f>
        <v>9952.2999999999993</v>
      </c>
      <c r="O77" s="377"/>
      <c r="P77" s="380"/>
      <c r="Q77" s="380"/>
      <c r="R77" s="380"/>
      <c r="S77" s="1656"/>
      <c r="T77" s="1656"/>
      <c r="U77" s="377"/>
      <c r="V77" s="377"/>
    </row>
    <row r="78" spans="1:22" ht="15.6" hidden="1" outlineLevel="1">
      <c r="A78" s="497"/>
      <c r="B78" s="1031" t="s">
        <v>1147</v>
      </c>
      <c r="C78" s="1031"/>
      <c r="D78" s="1081">
        <v>0.24</v>
      </c>
      <c r="E78" s="1081">
        <v>0.23</v>
      </c>
      <c r="G78" s="496">
        <f>+$D$69*D78</f>
        <v>1727.28</v>
      </c>
      <c r="H78" s="1260">
        <f>+$H$76+G78</f>
        <v>8924.2800000000007</v>
      </c>
      <c r="O78" s="377"/>
      <c r="P78" s="380"/>
      <c r="Q78" s="380"/>
      <c r="R78" s="380"/>
      <c r="S78" s="1656"/>
      <c r="T78" s="1656"/>
      <c r="U78" s="377"/>
      <c r="V78" s="377"/>
    </row>
    <row r="79" spans="1:22" ht="15.6" hidden="1" outlineLevel="1">
      <c r="A79" s="497"/>
      <c r="B79" s="1031" t="s">
        <v>1453</v>
      </c>
      <c r="C79" s="1031"/>
      <c r="D79" s="1081">
        <v>0.03</v>
      </c>
      <c r="E79" s="1081">
        <v>0.03</v>
      </c>
      <c r="G79" s="496">
        <f>+$D$69*D79</f>
        <v>215.91</v>
      </c>
      <c r="H79" s="1260">
        <f>+$H$76+G79</f>
        <v>7412.91</v>
      </c>
      <c r="I79" s="1261" t="s">
        <v>1170</v>
      </c>
      <c r="O79" s="377"/>
      <c r="P79" s="380"/>
      <c r="Q79" s="380"/>
      <c r="R79" s="380"/>
      <c r="S79" s="1656"/>
      <c r="T79" s="1656"/>
      <c r="U79" s="377"/>
      <c r="V79" s="377"/>
    </row>
    <row r="80" spans="1:22" ht="15.6" hidden="1" outlineLevel="1">
      <c r="A80" s="498"/>
      <c r="B80" s="1031" t="s">
        <v>1148</v>
      </c>
      <c r="C80" s="1031"/>
      <c r="D80" s="1081">
        <v>0.12</v>
      </c>
      <c r="E80" s="1081">
        <v>0.12</v>
      </c>
      <c r="G80" s="496">
        <f>+$D$69*D80</f>
        <v>863.64</v>
      </c>
      <c r="H80" s="1260">
        <f>+$H$76+G80</f>
        <v>8060.64</v>
      </c>
      <c r="O80" s="775"/>
      <c r="P80" s="383"/>
      <c r="Q80" s="1217"/>
      <c r="R80" s="1218"/>
      <c r="S80" s="1219"/>
      <c r="T80" s="1218"/>
      <c r="U80" s="377"/>
      <c r="V80" s="377"/>
    </row>
    <row r="81" spans="1:22" ht="15.6" hidden="1" outlineLevel="1">
      <c r="A81" s="377"/>
      <c r="H81" s="1098"/>
      <c r="I81" s="1097"/>
      <c r="J81" s="1098"/>
      <c r="K81" s="1103"/>
      <c r="L81" s="1098"/>
      <c r="M81" s="1097"/>
      <c r="O81" s="384"/>
      <c r="P81" s="385"/>
      <c r="Q81" s="386"/>
      <c r="R81" s="386"/>
      <c r="S81" s="386"/>
      <c r="T81" s="386"/>
      <c r="U81" s="377"/>
      <c r="V81" s="377"/>
    </row>
    <row r="82" spans="1:22" ht="15.6" hidden="1" outlineLevel="2">
      <c r="A82" s="377"/>
      <c r="B82" s="1005" t="s">
        <v>1171</v>
      </c>
      <c r="C82" s="1005"/>
      <c r="D82" s="404"/>
      <c r="O82" s="384"/>
      <c r="P82" s="385"/>
      <c r="Q82" s="386"/>
      <c r="R82" s="386"/>
      <c r="S82" s="386"/>
      <c r="T82" s="386"/>
      <c r="U82" s="377"/>
      <c r="V82" s="377"/>
    </row>
    <row r="83" spans="1:22" ht="15.6" hidden="1" outlineLevel="2">
      <c r="A83" s="377"/>
      <c r="B83" s="1060" t="s">
        <v>1172</v>
      </c>
      <c r="C83" s="1060"/>
      <c r="D83" s="1160">
        <f>+J170</f>
        <v>150</v>
      </c>
      <c r="E83" s="1"/>
      <c r="F83" s="1089"/>
      <c r="S83" s="386"/>
      <c r="T83" s="386"/>
      <c r="U83" s="377"/>
      <c r="V83" s="377"/>
    </row>
    <row r="84" spans="1:22" ht="15.6" hidden="1" outlineLevel="2">
      <c r="A84" s="377"/>
      <c r="B84" s="1059" t="s">
        <v>1173</v>
      </c>
      <c r="C84" s="1059"/>
      <c r="D84" s="1161">
        <f>+J205</f>
        <v>327</v>
      </c>
      <c r="I84" s="385"/>
      <c r="S84" s="386"/>
      <c r="T84" s="386"/>
      <c r="U84" s="377"/>
      <c r="V84" s="377"/>
    </row>
    <row r="85" spans="1:22" ht="15.6" hidden="1" outlineLevel="2">
      <c r="A85" s="377"/>
      <c r="B85" s="1061"/>
      <c r="C85" s="1061"/>
      <c r="D85" s="1041">
        <f>SUM(D83:D84)</f>
        <v>477</v>
      </c>
      <c r="F85" s="1"/>
      <c r="I85" s="385"/>
      <c r="S85" s="386"/>
      <c r="T85" s="386"/>
      <c r="U85" s="377"/>
      <c r="V85" s="377"/>
    </row>
    <row r="86" spans="1:22" ht="15.6" hidden="1" outlineLevel="2">
      <c r="A86" s="377"/>
      <c r="D86" s="5"/>
      <c r="F86" s="1"/>
      <c r="I86" s="385"/>
      <c r="S86" s="386"/>
      <c r="T86" s="386"/>
      <c r="U86" s="377"/>
      <c r="V86" s="377"/>
    </row>
    <row r="87" spans="1:22" ht="15.6" hidden="1" outlineLevel="2">
      <c r="A87" s="377"/>
      <c r="B87" s="1099" t="s">
        <v>1174</v>
      </c>
      <c r="C87" s="1099"/>
      <c r="D87" s="1099"/>
      <c r="F87" s="1"/>
      <c r="I87" s="385"/>
      <c r="S87" s="386"/>
      <c r="T87" s="386"/>
      <c r="U87" s="377"/>
      <c r="V87" s="377"/>
    </row>
    <row r="88" spans="1:22" ht="15.6" hidden="1" outlineLevel="2">
      <c r="A88" s="377"/>
      <c r="B88" s="1095" t="s">
        <v>1175</v>
      </c>
      <c r="C88" s="1096"/>
      <c r="D88" s="1096"/>
      <c r="F88" s="1"/>
      <c r="I88" s="385"/>
      <c r="S88" s="386"/>
      <c r="T88" s="386"/>
      <c r="U88" s="377"/>
      <c r="V88" s="377"/>
    </row>
    <row r="89" spans="1:22" ht="15.6" hidden="1" outlineLevel="2">
      <c r="A89" s="377"/>
      <c r="B89" s="1097"/>
      <c r="C89" s="1098"/>
      <c r="D89" s="1097"/>
      <c r="F89" s="1"/>
      <c r="S89" s="386"/>
      <c r="T89" s="386"/>
      <c r="U89" s="377"/>
      <c r="V89" s="377"/>
    </row>
    <row r="90" spans="1:22" ht="15.6" hidden="1" outlineLevel="2">
      <c r="A90" s="377"/>
      <c r="B90" s="1111" t="s">
        <v>1176</v>
      </c>
      <c r="C90" s="1098"/>
      <c r="D90" s="1112">
        <v>500</v>
      </c>
      <c r="F90" s="1"/>
      <c r="S90" s="386"/>
      <c r="T90" s="386"/>
      <c r="U90" s="377"/>
      <c r="V90" s="377"/>
    </row>
    <row r="91" spans="1:22" ht="15.6" hidden="1" outlineLevel="2">
      <c r="A91" s="377"/>
      <c r="B91" s="1111" t="s">
        <v>1177</v>
      </c>
      <c r="C91" s="1098"/>
      <c r="D91" s="1112">
        <v>250</v>
      </c>
      <c r="F91" s="1"/>
      <c r="S91" s="386"/>
      <c r="T91" s="386"/>
      <c r="U91" s="377"/>
      <c r="V91" s="377"/>
    </row>
    <row r="92" spans="1:22" ht="15.6" hidden="1" outlineLevel="2">
      <c r="A92" s="377"/>
      <c r="B92" s="1111" t="s">
        <v>1178</v>
      </c>
      <c r="C92" s="1098"/>
      <c r="D92" s="1162">
        <f>SUM(B97,B99,B101,B103)</f>
        <v>318</v>
      </c>
      <c r="E92" s="1163"/>
      <c r="F92" s="1"/>
      <c r="S92" s="386"/>
      <c r="T92" s="386"/>
      <c r="U92" s="377"/>
      <c r="V92" s="377"/>
    </row>
    <row r="93" spans="1:22" ht="15.6" hidden="1" outlineLevel="2">
      <c r="A93" s="377"/>
      <c r="B93" s="1097"/>
      <c r="C93" s="1098"/>
      <c r="D93" s="1097"/>
      <c r="F93" s="1"/>
      <c r="S93" s="386"/>
      <c r="T93" s="386"/>
      <c r="U93" s="377"/>
      <c r="V93" s="377"/>
    </row>
    <row r="94" spans="1:22" ht="15.6" hidden="1" outlineLevel="2">
      <c r="A94" s="377"/>
      <c r="B94" s="1138" t="s">
        <v>1179</v>
      </c>
      <c r="C94" s="1105"/>
      <c r="D94" s="1104"/>
      <c r="E94" s="404"/>
      <c r="F94" s="1"/>
      <c r="G94" t="s">
        <v>668</v>
      </c>
      <c r="K94">
        <v>500</v>
      </c>
      <c r="N94" t="s">
        <v>1180</v>
      </c>
      <c r="S94" s="386"/>
      <c r="T94" s="386"/>
      <c r="U94" s="377"/>
      <c r="V94" s="377"/>
    </row>
    <row r="95" spans="1:22" ht="15.6" hidden="1" outlineLevel="2">
      <c r="A95" s="377"/>
      <c r="B95" s="1099" t="s">
        <v>1181</v>
      </c>
      <c r="C95" s="1105"/>
      <c r="D95" s="1099" t="s">
        <v>1182</v>
      </c>
      <c r="E95" s="1104"/>
      <c r="G95" s="1097"/>
      <c r="I95" t="s">
        <v>1183</v>
      </c>
      <c r="J95" t="s">
        <v>1184</v>
      </c>
      <c r="K95" t="s">
        <v>1185</v>
      </c>
      <c r="N95" t="s">
        <v>1186</v>
      </c>
      <c r="S95" s="386"/>
      <c r="T95" s="386"/>
      <c r="U95" s="377"/>
      <c r="V95" s="377"/>
    </row>
    <row r="96" spans="1:22" ht="15.6" hidden="1" outlineLevel="2">
      <c r="A96" s="377"/>
      <c r="B96" s="1096" t="s">
        <v>1187</v>
      </c>
      <c r="C96" s="1113" t="s">
        <v>1188</v>
      </c>
      <c r="D96" s="1113" t="s">
        <v>1189</v>
      </c>
      <c r="E96" s="1113" t="s">
        <v>1190</v>
      </c>
      <c r="G96" s="1097"/>
      <c r="I96" s="1113" t="s">
        <v>1191</v>
      </c>
      <c r="J96" s="1113" t="s">
        <v>1192</v>
      </c>
      <c r="K96" s="1113" t="s">
        <v>1193</v>
      </c>
      <c r="N96" s="1113" t="s">
        <v>1194</v>
      </c>
      <c r="S96" s="386"/>
      <c r="T96" s="386"/>
      <c r="U96" s="377"/>
      <c r="V96" s="377"/>
    </row>
    <row r="97" spans="1:28" ht="15.6" hidden="1" outlineLevel="2">
      <c r="A97" s="377"/>
      <c r="B97" s="1101">
        <v>45</v>
      </c>
      <c r="C97" s="1101">
        <v>0</v>
      </c>
      <c r="D97" s="1102">
        <v>10</v>
      </c>
      <c r="E97" s="1101">
        <v>15</v>
      </c>
      <c r="G97" s="1095" t="s">
        <v>1187</v>
      </c>
      <c r="H97" s="1164">
        <v>0.5</v>
      </c>
      <c r="I97" s="1165">
        <v>0.15</v>
      </c>
      <c r="J97" s="1165">
        <v>0.15</v>
      </c>
      <c r="K97" s="5">
        <f>+J97*$K$94</f>
        <v>75</v>
      </c>
      <c r="M97">
        <v>15</v>
      </c>
      <c r="S97" s="386"/>
      <c r="T97" s="386"/>
      <c r="U97" s="377"/>
      <c r="V97" s="377"/>
    </row>
    <row r="98" spans="1:28" ht="15.6" hidden="1" outlineLevel="2">
      <c r="A98" s="377"/>
      <c r="B98" s="1096" t="s">
        <v>1195</v>
      </c>
      <c r="C98" s="1113" t="s">
        <v>1196</v>
      </c>
      <c r="D98" s="1113" t="s">
        <v>1197</v>
      </c>
      <c r="E98" s="1097"/>
      <c r="G98" s="1166" t="s">
        <v>1198</v>
      </c>
      <c r="H98" s="1164">
        <v>0.24</v>
      </c>
      <c r="I98" s="1165">
        <v>0.2</v>
      </c>
      <c r="J98" s="1165">
        <v>0.17</v>
      </c>
      <c r="K98" s="5">
        <f>+J98*$K$94</f>
        <v>85</v>
      </c>
      <c r="M98">
        <v>17</v>
      </c>
      <c r="S98" s="386"/>
      <c r="T98" s="386"/>
      <c r="U98" s="377"/>
      <c r="V98" s="377"/>
    </row>
    <row r="99" spans="1:28" ht="15.6" hidden="1" outlineLevel="2">
      <c r="A99" s="377"/>
      <c r="B99" s="1101">
        <v>53</v>
      </c>
      <c r="C99" s="1101">
        <v>0</v>
      </c>
      <c r="D99" s="1101">
        <v>0</v>
      </c>
      <c r="F99" s="1097"/>
      <c r="G99" s="1166" t="s">
        <v>1195</v>
      </c>
      <c r="H99" s="1164">
        <v>0.12</v>
      </c>
      <c r="I99" s="1165">
        <v>0.01</v>
      </c>
      <c r="J99" s="1165">
        <v>0.01</v>
      </c>
      <c r="K99" s="5">
        <f>+J99*$K$94</f>
        <v>5</v>
      </c>
      <c r="M99">
        <v>4</v>
      </c>
      <c r="S99" s="386"/>
      <c r="T99" s="386"/>
      <c r="U99" s="377"/>
      <c r="V99" s="377"/>
    </row>
    <row r="100" spans="1:28" ht="15.6" hidden="1" outlineLevel="2">
      <c r="A100" s="377"/>
      <c r="B100" s="1096" t="s">
        <v>1198</v>
      </c>
      <c r="C100" s="1113" t="s">
        <v>1199</v>
      </c>
      <c r="D100" s="1097"/>
      <c r="F100" s="1097"/>
      <c r="G100" s="1095" t="s">
        <v>1200</v>
      </c>
      <c r="H100" s="1164">
        <v>0.5</v>
      </c>
      <c r="I100" s="1165">
        <v>0.5</v>
      </c>
      <c r="J100" s="1165">
        <v>0.5</v>
      </c>
      <c r="K100" s="5">
        <f>+J100*$K$94</f>
        <v>250</v>
      </c>
      <c r="N100" s="1164">
        <v>0.8</v>
      </c>
      <c r="S100" s="386"/>
      <c r="T100" s="386"/>
      <c r="U100" s="377"/>
      <c r="V100" s="377"/>
      <c r="AB100">
        <v>0.64</v>
      </c>
    </row>
    <row r="101" spans="1:28" ht="15.6" hidden="1" outlineLevel="2">
      <c r="A101" s="377"/>
      <c r="B101" s="1101">
        <v>30</v>
      </c>
      <c r="C101" s="1101">
        <v>20</v>
      </c>
      <c r="D101" s="1097"/>
      <c r="F101" s="1097"/>
      <c r="K101" s="5">
        <f>SUM(K97:K100)</f>
        <v>415</v>
      </c>
      <c r="S101" s="386"/>
      <c r="T101" s="386"/>
      <c r="U101" s="377"/>
      <c r="V101" s="377"/>
    </row>
    <row r="102" spans="1:28" ht="15.6" hidden="1" outlineLevel="2">
      <c r="A102" s="377"/>
      <c r="B102" s="1096" t="s">
        <v>1200</v>
      </c>
      <c r="C102" s="1100"/>
      <c r="D102" s="1100"/>
      <c r="F102" s="1100"/>
      <c r="I102" s="1164">
        <v>0.06</v>
      </c>
      <c r="S102" s="386"/>
      <c r="T102" s="386"/>
      <c r="U102" s="377"/>
      <c r="V102" s="377"/>
    </row>
    <row r="103" spans="1:28" ht="15.6" hidden="1" outlineLevel="2">
      <c r="A103" s="377"/>
      <c r="B103" s="1101">
        <v>190</v>
      </c>
      <c r="C103" s="1097"/>
      <c r="D103" s="1103"/>
      <c r="F103" s="1097"/>
      <c r="G103" t="s">
        <v>1201</v>
      </c>
      <c r="S103" s="386"/>
      <c r="T103" s="386"/>
      <c r="U103" s="377"/>
      <c r="V103" s="377"/>
    </row>
    <row r="104" spans="1:28" ht="15.6" hidden="1" outlineLevel="2">
      <c r="A104" s="377"/>
      <c r="B104" s="1104"/>
      <c r="C104" s="1104"/>
      <c r="D104" s="1106"/>
      <c r="E104" s="1104"/>
      <c r="S104" s="386"/>
      <c r="T104" s="386"/>
      <c r="U104" s="377"/>
      <c r="V104" s="377"/>
    </row>
    <row r="105" spans="1:28" ht="15.6" hidden="1" outlineLevel="2">
      <c r="A105" s="377"/>
      <c r="B105" s="1109" t="s">
        <v>1202</v>
      </c>
      <c r="C105" s="1109"/>
      <c r="D105" s="1109"/>
      <c r="E105" s="1109"/>
      <c r="S105" s="386"/>
      <c r="T105" s="386"/>
      <c r="U105" s="377"/>
      <c r="V105" s="377"/>
    </row>
    <row r="106" spans="1:28" ht="15.6" hidden="1" outlineLevel="2">
      <c r="A106" s="377"/>
      <c r="B106" s="1113" t="s">
        <v>1203</v>
      </c>
      <c r="C106" s="1113" t="s">
        <v>1204</v>
      </c>
      <c r="D106" s="1113" t="s">
        <v>1205</v>
      </c>
      <c r="E106" s="1113" t="s">
        <v>1206</v>
      </c>
      <c r="S106" s="386"/>
      <c r="T106" s="386"/>
      <c r="U106" s="377"/>
      <c r="V106" s="377"/>
    </row>
    <row r="107" spans="1:28" ht="15.6" hidden="1" outlineLevel="2">
      <c r="A107" s="377"/>
      <c r="B107" s="1101">
        <v>0</v>
      </c>
      <c r="C107" s="1101">
        <v>1</v>
      </c>
      <c r="D107" s="1102">
        <v>1</v>
      </c>
      <c r="E107" s="1101">
        <v>10</v>
      </c>
      <c r="S107" s="386"/>
      <c r="T107" s="386"/>
      <c r="U107" s="377"/>
      <c r="V107" s="377"/>
    </row>
    <row r="108" spans="1:28" ht="15.6" hidden="1" outlineLevel="2">
      <c r="A108" s="377"/>
      <c r="B108" s="1113" t="s">
        <v>1207</v>
      </c>
      <c r="C108" s="1097"/>
      <c r="D108" s="1097"/>
      <c r="S108" s="386"/>
      <c r="T108" s="386"/>
      <c r="U108" s="377"/>
      <c r="V108" s="377"/>
    </row>
    <row r="109" spans="1:28" ht="15.6" hidden="1" outlineLevel="2">
      <c r="A109" s="377"/>
      <c r="B109" s="1101">
        <v>0</v>
      </c>
      <c r="C109" s="1098"/>
      <c r="D109" s="1097"/>
      <c r="E109" s="1097"/>
      <c r="F109" s="1097"/>
      <c r="G109" s="1097"/>
      <c r="S109" s="386"/>
      <c r="T109" s="386"/>
      <c r="U109" s="377"/>
      <c r="V109" s="377"/>
    </row>
    <row r="110" spans="1:28" ht="15.6" hidden="1" outlineLevel="2">
      <c r="A110" s="377"/>
      <c r="B110" s="1104"/>
      <c r="C110" s="1104"/>
      <c r="D110" s="1104"/>
      <c r="E110" s="1104"/>
      <c r="F110" s="1104"/>
      <c r="G110" s="1104"/>
      <c r="S110" s="386"/>
      <c r="T110" s="386"/>
      <c r="U110" s="377"/>
      <c r="V110" s="377"/>
    </row>
    <row r="111" spans="1:28" ht="15.6" hidden="1" outlineLevel="2">
      <c r="A111" s="377"/>
      <c r="B111" s="1095" t="s">
        <v>1208</v>
      </c>
      <c r="C111" s="1097"/>
      <c r="D111" s="1097"/>
      <c r="E111" s="1097"/>
      <c r="F111" s="1097"/>
      <c r="G111" s="1097"/>
      <c r="S111" s="386"/>
      <c r="T111" s="386"/>
      <c r="U111" s="377"/>
      <c r="V111" s="377"/>
    </row>
    <row r="112" spans="1:28" ht="15.6" hidden="1" outlineLevel="2">
      <c r="A112" s="377"/>
      <c r="B112" s="1095" t="s">
        <v>1209</v>
      </c>
      <c r="C112" s="1097"/>
      <c r="D112" s="1097"/>
      <c r="E112" s="1097"/>
      <c r="F112" s="1098"/>
      <c r="G112" s="1097"/>
      <c r="S112" s="386"/>
      <c r="T112" s="386"/>
      <c r="U112" s="377"/>
      <c r="V112" s="377"/>
    </row>
    <row r="113" spans="1:22" ht="15.6" hidden="1" outlineLevel="2">
      <c r="A113" s="377"/>
      <c r="B113" s="1095"/>
      <c r="C113" s="1097"/>
      <c r="D113" s="1097"/>
      <c r="E113" s="1097"/>
      <c r="F113" s="1098"/>
      <c r="G113" s="1097"/>
      <c r="S113" s="386"/>
      <c r="T113" s="386"/>
      <c r="U113" s="377"/>
      <c r="V113" s="377"/>
    </row>
    <row r="114" spans="1:22" ht="15.6" hidden="1" outlineLevel="2">
      <c r="A114" s="377"/>
      <c r="E114" s="1110" t="s">
        <v>668</v>
      </c>
      <c r="F114" s="1110" t="s">
        <v>1210</v>
      </c>
      <c r="G114" s="1110" t="s">
        <v>1211</v>
      </c>
      <c r="H114" s="1110" t="s">
        <v>1200</v>
      </c>
      <c r="I114" s="1110" t="s">
        <v>1212</v>
      </c>
      <c r="J114" s="1110" t="s">
        <v>156</v>
      </c>
      <c r="K114" s="1110" t="s">
        <v>1213</v>
      </c>
      <c r="S114" s="386"/>
      <c r="T114" s="386"/>
      <c r="U114" s="377"/>
      <c r="V114" s="377"/>
    </row>
    <row r="115" spans="1:22" ht="18" hidden="1" outlineLevel="2">
      <c r="A115" s="377"/>
      <c r="C115" s="1143" t="str">
        <f>+D48</f>
        <v>SYE 24</v>
      </c>
      <c r="E115" s="1107">
        <f>+D91</f>
        <v>250</v>
      </c>
      <c r="F115" s="1107">
        <f>B97</f>
        <v>45</v>
      </c>
      <c r="G115" s="1107">
        <f>B101-D97-C99-B109-E107</f>
        <v>10</v>
      </c>
      <c r="H115" s="1107">
        <f>B103-C101-D99-E97-D107-E107-B109</f>
        <v>144</v>
      </c>
      <c r="I115" s="1107">
        <f>B99-C97-C107-D107</f>
        <v>51</v>
      </c>
      <c r="J115" s="1114">
        <f>SUM(E115:I115)</f>
        <v>500</v>
      </c>
      <c r="K115" s="5">
        <f>+J115-D90</f>
        <v>0</v>
      </c>
      <c r="S115" s="386"/>
      <c r="T115" s="386"/>
      <c r="U115" s="377"/>
      <c r="V115" s="377"/>
    </row>
    <row r="116" spans="1:22" ht="15.6" hidden="1" outlineLevel="2">
      <c r="A116" s="377"/>
      <c r="D116" s="1139" t="s">
        <v>1214</v>
      </c>
      <c r="E116" s="1140">
        <f t="shared" ref="E116:J116" si="4">+E115/$J$115</f>
        <v>0.5</v>
      </c>
      <c r="F116" s="1140">
        <f t="shared" si="4"/>
        <v>0.09</v>
      </c>
      <c r="G116" s="1140">
        <f t="shared" si="4"/>
        <v>0.02</v>
      </c>
      <c r="H116" s="1156">
        <f t="shared" si="4"/>
        <v>0.28799999999999998</v>
      </c>
      <c r="I116" s="1140">
        <f t="shared" si="4"/>
        <v>0.10199999999999999</v>
      </c>
      <c r="J116" s="1140">
        <f t="shared" si="4"/>
        <v>1</v>
      </c>
      <c r="S116" s="386"/>
      <c r="T116" s="386"/>
      <c r="U116" s="377"/>
      <c r="V116" s="377"/>
    </row>
    <row r="117" spans="1:22" ht="15.6" hidden="1" outlineLevel="2">
      <c r="A117" s="377"/>
      <c r="D117" s="1139" t="s">
        <v>1215</v>
      </c>
      <c r="E117" s="1141">
        <v>0</v>
      </c>
      <c r="F117" s="1141">
        <f>+D77</f>
        <v>0.38284007225232736</v>
      </c>
      <c r="G117" s="1141">
        <f>+D78</f>
        <v>0.24</v>
      </c>
      <c r="H117" s="1141">
        <f>+D79</f>
        <v>0.03</v>
      </c>
      <c r="I117" s="1141">
        <f>+D80</f>
        <v>0.12</v>
      </c>
      <c r="J117" s="1100"/>
      <c r="S117" s="386"/>
      <c r="T117" s="386"/>
      <c r="U117" s="377"/>
      <c r="V117" s="377"/>
    </row>
    <row r="118" spans="1:22" ht="15.6" hidden="1" outlineLevel="2">
      <c r="A118" s="377"/>
      <c r="E118" s="1108"/>
      <c r="F118" s="1108"/>
      <c r="G118" s="1108"/>
      <c r="H118" s="1108"/>
      <c r="I118" s="1108"/>
      <c r="J118" s="1100"/>
      <c r="S118" s="386"/>
      <c r="T118" s="386"/>
      <c r="U118" s="377"/>
      <c r="V118" s="377"/>
    </row>
    <row r="119" spans="1:22" ht="15.6" hidden="1" outlineLevel="2">
      <c r="A119" s="377"/>
      <c r="B119" s="1" t="s">
        <v>1216</v>
      </c>
      <c r="E119" s="1135" t="s">
        <v>1217</v>
      </c>
      <c r="F119" s="1108"/>
      <c r="G119" s="1108"/>
      <c r="H119" s="1108"/>
      <c r="I119" s="1108"/>
      <c r="J119" s="1100"/>
      <c r="S119" s="386"/>
      <c r="T119" s="386"/>
      <c r="U119" s="377"/>
      <c r="V119" s="377"/>
    </row>
    <row r="120" spans="1:22" ht="15.6" hidden="1" outlineLevel="2">
      <c r="A120" s="377"/>
      <c r="C120" s="1131" t="s">
        <v>1218</v>
      </c>
      <c r="D120" s="1"/>
      <c r="E120" s="1135" t="s">
        <v>1219</v>
      </c>
      <c r="F120" s="1135"/>
      <c r="G120" s="1135"/>
      <c r="H120" s="1135"/>
      <c r="I120" s="1135"/>
      <c r="J120" s="1096" t="s">
        <v>156</v>
      </c>
      <c r="S120" s="386"/>
      <c r="T120" s="386"/>
      <c r="U120" s="377"/>
      <c r="V120" s="377"/>
    </row>
    <row r="121" spans="1:22" ht="15.6" hidden="1" outlineLevel="2">
      <c r="A121" s="377"/>
      <c r="B121" s="1" t="s">
        <v>1220</v>
      </c>
      <c r="C121" s="1131" t="s">
        <v>1221</v>
      </c>
      <c r="D121" s="1131" t="s">
        <v>1222</v>
      </c>
      <c r="E121" s="1136">
        <f>+J115</f>
        <v>500</v>
      </c>
      <c r="F121" s="1137" t="s">
        <v>1223</v>
      </c>
      <c r="G121" s="1135"/>
      <c r="H121" s="1135"/>
      <c r="I121" s="1135"/>
      <c r="J121" s="1096" t="s">
        <v>1219</v>
      </c>
      <c r="S121" s="386"/>
      <c r="T121" s="386"/>
      <c r="U121" s="377"/>
      <c r="V121" s="377"/>
    </row>
    <row r="122" spans="1:22" ht="15.6" hidden="1" outlineLevel="2">
      <c r="A122" s="377">
        <v>1</v>
      </c>
      <c r="B122" t="str">
        <f>$B67</f>
        <v xml:space="preserve">Carson City </v>
      </c>
      <c r="C122" s="1116"/>
      <c r="D122" s="496">
        <f>+D67</f>
        <v>7494</v>
      </c>
      <c r="E122" s="1147">
        <f>IF($C122="y",$J$115*$D122,0)</f>
        <v>0</v>
      </c>
      <c r="F122" s="1147">
        <f t="shared" ref="F122:I128" si="5">IF($C122="y",F$115*F$117*$D122,0)</f>
        <v>0</v>
      </c>
      <c r="G122" s="1147">
        <f t="shared" si="5"/>
        <v>0</v>
      </c>
      <c r="H122" s="1147">
        <f t="shared" si="5"/>
        <v>0</v>
      </c>
      <c r="I122" s="1148">
        <f t="shared" si="5"/>
        <v>0</v>
      </c>
      <c r="J122" s="1127">
        <f t="shared" ref="J122:J129" si="6">SUM(E122:I122)</f>
        <v>0</v>
      </c>
      <c r="S122" s="386"/>
      <c r="T122" s="386"/>
      <c r="U122" s="377"/>
      <c r="V122" s="377"/>
    </row>
    <row r="123" spans="1:22" ht="15.6" hidden="1" outlineLevel="2">
      <c r="A123" s="377">
        <f>1+A122</f>
        <v>2</v>
      </c>
      <c r="B123" s="374" t="str">
        <f>$B68</f>
        <v>Churchill</v>
      </c>
      <c r="C123" s="1133"/>
      <c r="D123" s="1134">
        <f>+D68</f>
        <v>8093</v>
      </c>
      <c r="E123" s="1149">
        <f t="shared" ref="E123:E127" si="7">IF($C123="y",$J$115*$D123,0)</f>
        <v>0</v>
      </c>
      <c r="F123" s="1149">
        <f t="shared" si="5"/>
        <v>0</v>
      </c>
      <c r="G123" s="1149">
        <f t="shared" si="5"/>
        <v>0</v>
      </c>
      <c r="H123" s="1149">
        <f t="shared" si="5"/>
        <v>0</v>
      </c>
      <c r="I123" s="1150">
        <f t="shared" si="5"/>
        <v>0</v>
      </c>
      <c r="J123" s="1127">
        <f t="shared" si="6"/>
        <v>0</v>
      </c>
      <c r="S123" s="386"/>
      <c r="T123" s="386"/>
      <c r="U123" s="377"/>
      <c r="V123" s="377"/>
    </row>
    <row r="124" spans="1:22" ht="15.6" hidden="1" outlineLevel="2">
      <c r="A124" s="377">
        <f t="shared" ref="A124:A126" si="8">1+A123</f>
        <v>3</v>
      </c>
      <c r="B124" s="374" t="str">
        <f>$B69</f>
        <v>Clark</v>
      </c>
      <c r="C124" s="1133" t="s">
        <v>1224</v>
      </c>
      <c r="D124" s="1134">
        <f>+D69</f>
        <v>7197</v>
      </c>
      <c r="E124" s="1149">
        <f t="shared" si="7"/>
        <v>3598500</v>
      </c>
      <c r="F124" s="1149">
        <f t="shared" si="5"/>
        <v>123988.50000000001</v>
      </c>
      <c r="G124" s="1149">
        <f t="shared" si="5"/>
        <v>17272.8</v>
      </c>
      <c r="H124" s="1149">
        <f t="shared" si="5"/>
        <v>31091.040000000001</v>
      </c>
      <c r="I124" s="1150">
        <f t="shared" si="5"/>
        <v>44045.64</v>
      </c>
      <c r="J124" s="1127">
        <f t="shared" si="6"/>
        <v>3814897.98</v>
      </c>
      <c r="S124" s="386"/>
      <c r="T124" s="386"/>
      <c r="U124" s="377"/>
      <c r="V124" s="377"/>
    </row>
    <row r="125" spans="1:22" ht="15.6" hidden="1" outlineLevel="2">
      <c r="A125" s="377">
        <f t="shared" si="8"/>
        <v>4</v>
      </c>
      <c r="B125" s="374" t="str">
        <f>$B70</f>
        <v>Elko</v>
      </c>
      <c r="C125" s="1133"/>
      <c r="D125" s="1134">
        <f>+D70</f>
        <v>7715</v>
      </c>
      <c r="E125" s="1151">
        <f t="shared" si="7"/>
        <v>0</v>
      </c>
      <c r="F125" s="1151">
        <f t="shared" si="5"/>
        <v>0</v>
      </c>
      <c r="G125" s="1151">
        <f t="shared" si="5"/>
        <v>0</v>
      </c>
      <c r="H125" s="1151">
        <f t="shared" si="5"/>
        <v>0</v>
      </c>
      <c r="I125" s="1152">
        <f t="shared" si="5"/>
        <v>0</v>
      </c>
      <c r="J125" s="1127">
        <f t="shared" si="6"/>
        <v>0</v>
      </c>
      <c r="S125" s="386"/>
      <c r="T125" s="386"/>
      <c r="U125" s="377"/>
      <c r="V125" s="377"/>
    </row>
    <row r="126" spans="1:22" ht="15.6" hidden="1" outlineLevel="2">
      <c r="A126" s="377">
        <f t="shared" si="8"/>
        <v>5</v>
      </c>
      <c r="B126" s="374" t="str">
        <f t="shared" ref="B126" si="9">$B72</f>
        <v>Washoe</v>
      </c>
      <c r="C126" s="1133"/>
      <c r="D126" s="1134">
        <f t="shared" ref="D126:D127" si="10">+D72</f>
        <v>6980</v>
      </c>
      <c r="E126" s="1151">
        <f t="shared" si="7"/>
        <v>0</v>
      </c>
      <c r="F126" s="1151">
        <f t="shared" si="5"/>
        <v>0</v>
      </c>
      <c r="G126" s="1151">
        <f t="shared" si="5"/>
        <v>0</v>
      </c>
      <c r="H126" s="1151">
        <f t="shared" si="5"/>
        <v>0</v>
      </c>
      <c r="I126" s="1152">
        <f t="shared" si="5"/>
        <v>0</v>
      </c>
      <c r="J126" s="1127">
        <f t="shared" si="6"/>
        <v>0</v>
      </c>
      <c r="S126" s="386"/>
      <c r="T126" s="386"/>
      <c r="U126" s="377"/>
      <c r="V126" s="377"/>
    </row>
    <row r="127" spans="1:22" ht="15.6" hidden="1" outlineLevel="2">
      <c r="A127" s="377">
        <f>1+A126</f>
        <v>6</v>
      </c>
      <c r="B127" t="str">
        <f>$B73</f>
        <v>White Pine</v>
      </c>
      <c r="C127" s="1116"/>
      <c r="D127" s="496">
        <f t="shared" si="10"/>
        <v>10367</v>
      </c>
      <c r="E127" s="1153">
        <f t="shared" si="7"/>
        <v>0</v>
      </c>
      <c r="F127" s="1153">
        <f t="shared" si="5"/>
        <v>0</v>
      </c>
      <c r="G127" s="1153">
        <f t="shared" si="5"/>
        <v>0</v>
      </c>
      <c r="H127" s="1153">
        <f t="shared" si="5"/>
        <v>0</v>
      </c>
      <c r="I127" s="1154">
        <f t="shared" si="5"/>
        <v>0</v>
      </c>
      <c r="J127" s="1128">
        <f t="shared" si="6"/>
        <v>0</v>
      </c>
      <c r="S127" s="386"/>
      <c r="T127" s="386"/>
      <c r="U127" s="377"/>
      <c r="V127" s="377"/>
    </row>
    <row r="128" spans="1:22" ht="15.6" hidden="1" outlineLevel="2">
      <c r="A128" s="377"/>
      <c r="B128" s="1172" t="s">
        <v>1225</v>
      </c>
      <c r="C128" s="1117"/>
      <c r="D128" s="1115">
        <f>+D50</f>
        <v>8966</v>
      </c>
      <c r="E128" s="1120">
        <f>IF($C128="y",$J$115*$D128,0)</f>
        <v>0</v>
      </c>
      <c r="F128" s="1120">
        <f t="shared" si="5"/>
        <v>0</v>
      </c>
      <c r="G128" s="1120">
        <f t="shared" si="5"/>
        <v>0</v>
      </c>
      <c r="H128" s="1120">
        <f t="shared" si="5"/>
        <v>0</v>
      </c>
      <c r="I128" s="1129">
        <f t="shared" si="5"/>
        <v>0</v>
      </c>
      <c r="J128" s="1130">
        <f t="shared" si="6"/>
        <v>0</v>
      </c>
      <c r="K128" t="s">
        <v>1226</v>
      </c>
      <c r="S128" s="386"/>
      <c r="T128" s="386"/>
      <c r="U128" s="377"/>
      <c r="V128" s="377"/>
    </row>
    <row r="129" spans="1:22" ht="15.6" hidden="1" outlineLevel="2">
      <c r="A129" s="377"/>
      <c r="C129" s="1132" t="str">
        <f>IF(COUNTIF(C122:C128,"y")&gt;1,"Error: Select 1 area","ok")</f>
        <v>ok</v>
      </c>
      <c r="E129" s="1074">
        <f>SUM(E122:E128)</f>
        <v>3598500</v>
      </c>
      <c r="F129" s="1074">
        <f>SUM(F122:F128)</f>
        <v>123988.50000000001</v>
      </c>
      <c r="G129" s="1074">
        <f>SUM(G122:G128)</f>
        <v>17272.8</v>
      </c>
      <c r="H129" s="1074">
        <f>SUM(H122:H128)</f>
        <v>31091.040000000001</v>
      </c>
      <c r="I129" s="1074">
        <f>SUM(I122:I128)</f>
        <v>44045.64</v>
      </c>
      <c r="J129" s="1076">
        <f t="shared" si="6"/>
        <v>3814897.98</v>
      </c>
      <c r="S129" s="386"/>
      <c r="T129" s="386"/>
      <c r="U129" s="377"/>
      <c r="V129" s="377"/>
    </row>
    <row r="130" spans="1:22" ht="15.6" hidden="1" outlineLevel="2">
      <c r="A130" s="377"/>
      <c r="B130" s="1157"/>
      <c r="C130" s="1157"/>
      <c r="D130" s="1157" t="s">
        <v>1222</v>
      </c>
      <c r="E130" s="1158">
        <f>+E129/J115</f>
        <v>7197</v>
      </c>
      <c r="F130" s="1158">
        <f>+F129/F115</f>
        <v>2755.3</v>
      </c>
      <c r="G130" s="1158">
        <f>+G129/G115</f>
        <v>1727.28</v>
      </c>
      <c r="H130" s="1158">
        <f>+H129/H115</f>
        <v>215.91</v>
      </c>
      <c r="I130" s="1158">
        <f>+I129/I115</f>
        <v>863.64</v>
      </c>
      <c r="J130" s="1158">
        <f>+J129/J115</f>
        <v>7629.7959600000004</v>
      </c>
      <c r="S130" s="386"/>
      <c r="T130" s="386"/>
      <c r="U130" s="377"/>
      <c r="V130" s="377"/>
    </row>
    <row r="131" spans="1:22" ht="15.6" hidden="1" outlineLevel="2">
      <c r="A131" s="377"/>
      <c r="B131" s="1157"/>
      <c r="C131" s="1157"/>
      <c r="D131" s="1157"/>
      <c r="E131" s="1159">
        <f t="shared" ref="E131:J131" si="11">+E130/$E$130</f>
        <v>1</v>
      </c>
      <c r="F131" s="1159">
        <f t="shared" si="11"/>
        <v>0.38284007225232736</v>
      </c>
      <c r="G131" s="1159">
        <f t="shared" si="11"/>
        <v>0.24</v>
      </c>
      <c r="H131" s="1159">
        <f t="shared" si="11"/>
        <v>0.03</v>
      </c>
      <c r="I131" s="1159">
        <f t="shared" si="11"/>
        <v>0.12</v>
      </c>
      <c r="J131" s="1159">
        <f t="shared" si="11"/>
        <v>1.0601356065027094</v>
      </c>
      <c r="S131" s="386"/>
      <c r="T131" s="386"/>
      <c r="U131" s="377"/>
      <c r="V131" s="377"/>
    </row>
    <row r="132" spans="1:22" ht="15.6" hidden="1" outlineLevel="2" collapsed="1">
      <c r="A132" s="377"/>
      <c r="B132" s="1157"/>
      <c r="C132" s="1157"/>
      <c r="D132" s="1157"/>
      <c r="E132" s="1159"/>
      <c r="F132" s="1159"/>
      <c r="G132" s="1159"/>
      <c r="H132" s="1159"/>
      <c r="I132" s="1159"/>
      <c r="J132" s="1159"/>
      <c r="S132" s="386"/>
      <c r="T132" s="386"/>
      <c r="U132" s="377"/>
      <c r="V132" s="377"/>
    </row>
    <row r="133" spans="1:22" ht="15.6" hidden="1" outlineLevel="2">
      <c r="A133" s="377"/>
      <c r="E133" s="1110" t="s">
        <v>668</v>
      </c>
      <c r="F133" s="1110" t="s">
        <v>1210</v>
      </c>
      <c r="G133" s="1110" t="s">
        <v>1211</v>
      </c>
      <c r="H133" s="1110" t="s">
        <v>1200</v>
      </c>
      <c r="I133" s="1110" t="s">
        <v>1212</v>
      </c>
      <c r="J133" s="1110" t="s">
        <v>156</v>
      </c>
      <c r="S133" s="386"/>
      <c r="T133" s="386"/>
      <c r="U133" s="377"/>
      <c r="V133" s="377"/>
    </row>
    <row r="134" spans="1:22" ht="15.6" hidden="1" outlineLevel="2">
      <c r="A134" s="377"/>
      <c r="E134" s="1107">
        <f>+E115</f>
        <v>250</v>
      </c>
      <c r="F134" s="1107">
        <f>+F115</f>
        <v>45</v>
      </c>
      <c r="G134" s="1107">
        <f>+G115</f>
        <v>10</v>
      </c>
      <c r="H134" s="1107">
        <f>+H115</f>
        <v>144</v>
      </c>
      <c r="I134" s="1107">
        <f>+I115</f>
        <v>51</v>
      </c>
      <c r="J134" s="1114">
        <f>SUM(E134:I134)</f>
        <v>500</v>
      </c>
      <c r="S134" s="386"/>
      <c r="T134" s="386"/>
      <c r="U134" s="377"/>
      <c r="V134" s="377"/>
    </row>
    <row r="135" spans="1:22" ht="15.6" hidden="1" outlineLevel="2">
      <c r="A135" s="377"/>
      <c r="D135" s="1139" t="s">
        <v>1214</v>
      </c>
      <c r="E135" s="1140">
        <f>+E134/$J134</f>
        <v>0.5</v>
      </c>
      <c r="F135" s="1140">
        <f t="shared" ref="F135:J135" si="12">+F134/$J134</f>
        <v>0.09</v>
      </c>
      <c r="G135" s="1140">
        <f t="shared" si="12"/>
        <v>0.02</v>
      </c>
      <c r="H135" s="1140">
        <f t="shared" si="12"/>
        <v>0.28799999999999998</v>
      </c>
      <c r="I135" s="1140">
        <f t="shared" si="12"/>
        <v>0.10199999999999999</v>
      </c>
      <c r="J135" s="1140">
        <f t="shared" si="12"/>
        <v>1</v>
      </c>
      <c r="S135" s="386"/>
      <c r="T135" s="386"/>
      <c r="U135" s="377"/>
      <c r="V135" s="377"/>
    </row>
    <row r="136" spans="1:22" ht="15.6" hidden="1" outlineLevel="2">
      <c r="A136" s="377"/>
      <c r="D136" s="1139" t="s">
        <v>1215</v>
      </c>
      <c r="E136" s="1141">
        <v>0</v>
      </c>
      <c r="F136" s="1141">
        <f>E77</f>
        <v>0.33</v>
      </c>
      <c r="G136" s="1141">
        <f>E78</f>
        <v>0.23</v>
      </c>
      <c r="H136" s="1141">
        <f>E79</f>
        <v>0.03</v>
      </c>
      <c r="I136" s="1141">
        <f>E80</f>
        <v>0.12</v>
      </c>
      <c r="J136" s="1100"/>
      <c r="S136" s="386"/>
      <c r="T136" s="386"/>
      <c r="U136" s="377"/>
      <c r="V136" s="377"/>
    </row>
    <row r="137" spans="1:22" ht="15.6" hidden="1" outlineLevel="1" collapsed="1">
      <c r="A137" s="377"/>
      <c r="D137" s="1139"/>
      <c r="E137" s="1108"/>
      <c r="F137" s="1108"/>
      <c r="G137" s="1108"/>
      <c r="H137" s="1108"/>
      <c r="I137" s="1108"/>
      <c r="J137" s="1100"/>
      <c r="S137" s="386"/>
      <c r="T137" s="386"/>
      <c r="U137" s="377"/>
      <c r="V137" s="377"/>
    </row>
    <row r="138" spans="1:22" ht="18" hidden="1" outlineLevel="1">
      <c r="A138" s="377"/>
      <c r="B138" t="s">
        <v>1227</v>
      </c>
      <c r="C138" s="1142" t="str">
        <f>+E48</f>
        <v>SYE 25</v>
      </c>
      <c r="D138" s="1139"/>
      <c r="E138" s="1108"/>
      <c r="F138" s="1108"/>
      <c r="G138" s="1108"/>
      <c r="H138" s="1108"/>
      <c r="I138" s="1108"/>
      <c r="J138" s="1100"/>
      <c r="S138" s="386"/>
      <c r="T138" s="386"/>
      <c r="U138" s="377"/>
      <c r="V138" s="377"/>
    </row>
    <row r="139" spans="1:22" ht="15.6" hidden="1" outlineLevel="1">
      <c r="A139" s="377"/>
      <c r="D139" s="1139"/>
      <c r="E139" s="1108"/>
      <c r="F139" s="1108"/>
      <c r="G139" s="1108"/>
      <c r="H139" s="1108"/>
      <c r="I139" s="1108"/>
      <c r="J139" s="1100"/>
      <c r="S139" s="386"/>
      <c r="T139" s="386"/>
      <c r="U139" s="377"/>
      <c r="V139" s="377"/>
    </row>
    <row r="140" spans="1:22" ht="15.6" hidden="1" outlineLevel="1">
      <c r="A140" s="377"/>
      <c r="B140" s="1" t="s">
        <v>1216</v>
      </c>
      <c r="E140" s="1108"/>
      <c r="F140" s="1108"/>
      <c r="G140" s="1108"/>
      <c r="H140" s="1108"/>
      <c r="I140" s="1108"/>
      <c r="J140" s="1100"/>
      <c r="S140" s="386"/>
      <c r="T140" s="386"/>
      <c r="U140" s="377"/>
      <c r="V140" s="377"/>
    </row>
    <row r="141" spans="1:22" ht="15.6" hidden="1" outlineLevel="1">
      <c r="A141" s="377"/>
      <c r="C141" s="1131" t="s">
        <v>1218</v>
      </c>
      <c r="D141" s="1"/>
      <c r="E141" s="1135" t="s">
        <v>1228</v>
      </c>
      <c r="F141" s="1135"/>
      <c r="G141" s="1135"/>
      <c r="H141" s="1135"/>
      <c r="I141" s="1135"/>
      <c r="J141" s="1096" t="s">
        <v>156</v>
      </c>
      <c r="S141" s="386"/>
      <c r="T141" s="386"/>
      <c r="U141" s="377"/>
      <c r="V141" s="377"/>
    </row>
    <row r="142" spans="1:22" ht="15.6" hidden="1" outlineLevel="1">
      <c r="A142" s="377"/>
      <c r="B142" s="1004" t="s">
        <v>1220</v>
      </c>
      <c r="C142" s="1110" t="s">
        <v>1221</v>
      </c>
      <c r="D142" s="1110" t="str">
        <f t="shared" ref="D142:D149" si="13">+E66</f>
        <v>SYE 23</v>
      </c>
      <c r="E142" s="1136">
        <f>+J134</f>
        <v>500</v>
      </c>
      <c r="F142" s="1137" t="s">
        <v>1223</v>
      </c>
      <c r="G142" s="1135"/>
      <c r="H142" s="1135"/>
      <c r="I142" s="1135"/>
      <c r="J142" s="1099" t="s">
        <v>1219</v>
      </c>
      <c r="S142" s="386"/>
      <c r="T142" s="386"/>
      <c r="U142" s="377"/>
      <c r="V142" s="377"/>
    </row>
    <row r="143" spans="1:22" ht="15.6" hidden="1" outlineLevel="1">
      <c r="A143" s="377">
        <v>1</v>
      </c>
      <c r="B143" s="1013" t="str">
        <f>$B67</f>
        <v xml:space="preserve">Carson City </v>
      </c>
      <c r="C143" s="1116"/>
      <c r="D143" s="1173">
        <f t="shared" si="13"/>
        <v>7594</v>
      </c>
      <c r="E143" s="1121">
        <f t="shared" ref="E143:E150" si="14">IF($C143="y",$J$134*$D143,0)</f>
        <v>0</v>
      </c>
      <c r="F143" s="1121">
        <f t="shared" ref="F143:I150" si="15">IF($C143="y",F$134*F$136*$D143,0)</f>
        <v>0</v>
      </c>
      <c r="G143" s="1121">
        <f t="shared" si="15"/>
        <v>0</v>
      </c>
      <c r="H143" s="1121">
        <f t="shared" si="15"/>
        <v>0</v>
      </c>
      <c r="I143" s="1123">
        <f t="shared" si="15"/>
        <v>0</v>
      </c>
      <c r="J143" s="1155">
        <f t="shared" ref="J143:J151" si="16">SUM(E143:I143)</f>
        <v>0</v>
      </c>
      <c r="S143" s="386"/>
      <c r="T143" s="386"/>
      <c r="U143" s="377"/>
      <c r="V143" s="377"/>
    </row>
    <row r="144" spans="1:22" ht="15.6" hidden="1" outlineLevel="1">
      <c r="A144" s="377">
        <f>1+A143</f>
        <v>2</v>
      </c>
      <c r="B144" s="1171" t="str">
        <f>$B68</f>
        <v>Churchill</v>
      </c>
      <c r="C144" s="1133"/>
      <c r="D144" s="1174">
        <f t="shared" si="13"/>
        <v>8197</v>
      </c>
      <c r="E144" s="1118">
        <f t="shared" si="14"/>
        <v>0</v>
      </c>
      <c r="F144" s="1118">
        <f t="shared" si="15"/>
        <v>0</v>
      </c>
      <c r="G144" s="1118">
        <f t="shared" si="15"/>
        <v>0</v>
      </c>
      <c r="H144" s="1118">
        <f t="shared" si="15"/>
        <v>0</v>
      </c>
      <c r="I144" s="1124">
        <f t="shared" si="15"/>
        <v>0</v>
      </c>
      <c r="J144" s="1127">
        <f t="shared" si="16"/>
        <v>0</v>
      </c>
      <c r="S144" s="386"/>
      <c r="T144" s="386"/>
      <c r="U144" s="377"/>
      <c r="V144" s="377"/>
    </row>
    <row r="145" spans="1:22" ht="15.6" hidden="1" outlineLevel="1">
      <c r="A145" s="377">
        <f t="shared" ref="A145:A146" si="17">1+A144</f>
        <v>3</v>
      </c>
      <c r="B145" s="1171" t="str">
        <f>$B69</f>
        <v>Clark</v>
      </c>
      <c r="C145" s="1133"/>
      <c r="D145" s="1174">
        <f t="shared" si="13"/>
        <v>7293</v>
      </c>
      <c r="E145" s="1118">
        <f t="shared" si="14"/>
        <v>0</v>
      </c>
      <c r="F145" s="1118">
        <f t="shared" si="15"/>
        <v>0</v>
      </c>
      <c r="G145" s="1118">
        <f t="shared" si="15"/>
        <v>0</v>
      </c>
      <c r="H145" s="1118">
        <f t="shared" si="15"/>
        <v>0</v>
      </c>
      <c r="I145" s="1124">
        <f t="shared" si="15"/>
        <v>0</v>
      </c>
      <c r="J145" s="1127">
        <f t="shared" si="16"/>
        <v>0</v>
      </c>
      <c r="S145" s="386"/>
      <c r="T145" s="386"/>
      <c r="U145" s="377"/>
      <c r="V145" s="377"/>
    </row>
    <row r="146" spans="1:22" ht="15.6" hidden="1" outlineLevel="1">
      <c r="A146" s="377">
        <f t="shared" si="17"/>
        <v>4</v>
      </c>
      <c r="B146" s="1171" t="str">
        <f>$B70</f>
        <v>Elko</v>
      </c>
      <c r="C146" s="1133"/>
      <c r="D146" s="1174">
        <f t="shared" si="13"/>
        <v>7818</v>
      </c>
      <c r="E146" s="1119">
        <f t="shared" si="14"/>
        <v>0</v>
      </c>
      <c r="F146" s="1119">
        <f t="shared" si="15"/>
        <v>0</v>
      </c>
      <c r="G146" s="1119">
        <f t="shared" si="15"/>
        <v>0</v>
      </c>
      <c r="H146" s="1119">
        <f t="shared" si="15"/>
        <v>0</v>
      </c>
      <c r="I146" s="1125">
        <f t="shared" si="15"/>
        <v>0</v>
      </c>
      <c r="J146" s="1127">
        <f t="shared" si="16"/>
        <v>0</v>
      </c>
      <c r="S146" s="386"/>
      <c r="T146" s="386"/>
      <c r="U146" s="377"/>
      <c r="V146" s="377"/>
    </row>
    <row r="147" spans="1:22" ht="15.6" hidden="1" outlineLevel="1">
      <c r="A147" s="377">
        <f>1+A146</f>
        <v>5</v>
      </c>
      <c r="B147" s="1171" t="s">
        <v>1138</v>
      </c>
      <c r="C147" s="1133"/>
      <c r="D147" s="1174">
        <f t="shared" si="13"/>
        <v>8881</v>
      </c>
      <c r="E147" s="1119"/>
      <c r="F147" s="1119"/>
      <c r="G147" s="1119"/>
      <c r="H147" s="1119"/>
      <c r="I147" s="1125"/>
      <c r="J147" s="1127"/>
      <c r="S147" s="386"/>
      <c r="T147" s="386"/>
      <c r="U147" s="377"/>
      <c r="V147" s="377"/>
    </row>
    <row r="148" spans="1:22" ht="15.6" hidden="1" outlineLevel="1">
      <c r="A148" s="377">
        <f>1+A147</f>
        <v>6</v>
      </c>
      <c r="B148" s="1171" t="str">
        <f>$B72</f>
        <v>Washoe</v>
      </c>
      <c r="C148" s="1133"/>
      <c r="D148" s="1174">
        <f t="shared" si="13"/>
        <v>7074</v>
      </c>
      <c r="E148" s="1119">
        <f t="shared" si="14"/>
        <v>0</v>
      </c>
      <c r="F148" s="1119">
        <f t="shared" si="15"/>
        <v>0</v>
      </c>
      <c r="G148" s="1119">
        <f t="shared" si="15"/>
        <v>0</v>
      </c>
      <c r="H148" s="1119">
        <f t="shared" si="15"/>
        <v>0</v>
      </c>
      <c r="I148" s="1125">
        <f t="shared" si="15"/>
        <v>0</v>
      </c>
      <c r="J148" s="1127">
        <f t="shared" si="16"/>
        <v>0</v>
      </c>
      <c r="S148" s="386"/>
      <c r="T148" s="386"/>
      <c r="U148" s="377"/>
      <c r="V148" s="377"/>
    </row>
    <row r="149" spans="1:22" ht="15.6" hidden="1" outlineLevel="1">
      <c r="A149" s="377">
        <f>1+A148</f>
        <v>7</v>
      </c>
      <c r="B149" s="1013" t="str">
        <f>$B73</f>
        <v>White Pine</v>
      </c>
      <c r="C149" s="1116"/>
      <c r="D149" s="1173">
        <f t="shared" si="13"/>
        <v>10501</v>
      </c>
      <c r="E149" s="1122">
        <f t="shared" si="14"/>
        <v>0</v>
      </c>
      <c r="F149" s="1122">
        <f t="shared" si="15"/>
        <v>0</v>
      </c>
      <c r="G149" s="1122">
        <f t="shared" si="15"/>
        <v>0</v>
      </c>
      <c r="H149" s="1122">
        <f t="shared" si="15"/>
        <v>0</v>
      </c>
      <c r="I149" s="1126">
        <f t="shared" si="15"/>
        <v>0</v>
      </c>
      <c r="J149" s="1128">
        <f t="shared" si="16"/>
        <v>0</v>
      </c>
      <c r="S149" s="386"/>
      <c r="T149" s="386"/>
      <c r="U149" s="377"/>
      <c r="V149" s="377"/>
    </row>
    <row r="150" spans="1:22" ht="15.6" hidden="1" outlineLevel="1">
      <c r="A150" s="377"/>
      <c r="B150" s="1172" t="s">
        <v>1225</v>
      </c>
      <c r="C150" s="1117" t="s">
        <v>1224</v>
      </c>
      <c r="D150" s="1175">
        <f>+E50</f>
        <v>9414</v>
      </c>
      <c r="E150" s="1120">
        <f t="shared" si="14"/>
        <v>4707000</v>
      </c>
      <c r="F150" s="1120">
        <f t="shared" si="15"/>
        <v>139797.90000000002</v>
      </c>
      <c r="G150" s="1120">
        <f t="shared" si="15"/>
        <v>21652.2</v>
      </c>
      <c r="H150" s="1120">
        <f t="shared" si="15"/>
        <v>40668.480000000003</v>
      </c>
      <c r="I150" s="1129">
        <f t="shared" si="15"/>
        <v>57613.68</v>
      </c>
      <c r="J150" s="1130">
        <f t="shared" si="16"/>
        <v>4966732.2600000007</v>
      </c>
      <c r="K150" t="s">
        <v>1226</v>
      </c>
      <c r="S150" s="386"/>
      <c r="T150" s="386"/>
      <c r="U150" s="377"/>
      <c r="V150" s="377"/>
    </row>
    <row r="151" spans="1:22" ht="15.6" hidden="1" outlineLevel="1">
      <c r="A151" s="377"/>
      <c r="B151" t="s">
        <v>1142</v>
      </c>
      <c r="C151" s="1132"/>
      <c r="D151" s="496">
        <v>7074</v>
      </c>
      <c r="E151" s="1074">
        <f>SUM(E143:E150)</f>
        <v>4707000</v>
      </c>
      <c r="F151" s="1074">
        <f>SUM(F143:F150)</f>
        <v>139797.90000000002</v>
      </c>
      <c r="G151" s="1074">
        <f>SUM(G143:G150)</f>
        <v>21652.2</v>
      </c>
      <c r="H151" s="1074">
        <f>SUM(H143:H150)</f>
        <v>40668.480000000003</v>
      </c>
      <c r="I151" s="1074">
        <f>SUM(I143:I150)</f>
        <v>57613.68</v>
      </c>
      <c r="J151" s="1076">
        <f t="shared" si="16"/>
        <v>4966732.2600000007</v>
      </c>
      <c r="S151" s="386"/>
      <c r="T151" s="386"/>
      <c r="U151" s="377"/>
      <c r="V151" s="377"/>
    </row>
    <row r="152" spans="1:22" ht="15.6" hidden="1" outlineLevel="1">
      <c r="A152" s="377"/>
      <c r="B152" t="s">
        <v>1229</v>
      </c>
      <c r="D152" s="1226">
        <f>+D153</f>
        <v>7074</v>
      </c>
      <c r="E152" s="1100"/>
      <c r="F152" s="1100"/>
      <c r="G152" s="1100"/>
      <c r="H152" s="1100"/>
      <c r="S152" s="386"/>
      <c r="T152" s="386"/>
      <c r="U152" s="377"/>
      <c r="V152" s="377"/>
    </row>
    <row r="153" spans="1:22" ht="15.6" hidden="1" outlineLevel="1">
      <c r="A153" s="377"/>
      <c r="D153" s="1227">
        <f>+D151*D46</f>
        <v>7074</v>
      </c>
      <c r="E153" s="1100"/>
      <c r="F153" s="1100"/>
      <c r="G153" s="1100"/>
      <c r="H153" s="1100"/>
      <c r="S153" s="386"/>
      <c r="T153" s="386"/>
      <c r="U153" s="377"/>
      <c r="V153" s="377"/>
    </row>
    <row r="154" spans="1:22" ht="15.6" hidden="1" outlineLevel="1">
      <c r="A154" s="377"/>
      <c r="D154" s="1227"/>
      <c r="E154" s="1100"/>
      <c r="F154" s="1100"/>
      <c r="G154" s="1100"/>
      <c r="H154" s="1100"/>
      <c r="S154" s="386"/>
      <c r="T154" s="386"/>
      <c r="U154" s="377"/>
      <c r="V154" s="377"/>
    </row>
    <row r="155" spans="1:22" ht="30" hidden="1" outlineLevel="1">
      <c r="A155" s="377"/>
      <c r="E155" s="1307" t="s">
        <v>1230</v>
      </c>
      <c r="F155" s="1307" t="s">
        <v>1231</v>
      </c>
      <c r="G155" s="1307" t="s">
        <v>1232</v>
      </c>
      <c r="H155" s="1100"/>
      <c r="S155" s="386"/>
      <c r="T155" s="386"/>
      <c r="U155" s="377"/>
      <c r="V155" s="377"/>
    </row>
    <row r="156" spans="1:22" ht="30" hidden="1" outlineLevel="1">
      <c r="A156" s="377"/>
      <c r="D156" s="1098"/>
      <c r="E156" s="1307" t="s">
        <v>401</v>
      </c>
      <c r="F156" s="1307" t="s">
        <v>1233</v>
      </c>
      <c r="G156" s="1307" t="s">
        <v>1234</v>
      </c>
      <c r="H156" s="1097"/>
      <c r="S156" s="386"/>
      <c r="T156" s="386"/>
      <c r="U156" s="377"/>
      <c r="V156" s="377"/>
    </row>
    <row r="157" spans="1:22" ht="60" hidden="1" outlineLevel="1">
      <c r="A157" s="377"/>
      <c r="E157" s="1307" t="s">
        <v>162</v>
      </c>
      <c r="F157" s="1307" t="s">
        <v>1235</v>
      </c>
      <c r="G157" s="1307" t="s">
        <v>1236</v>
      </c>
      <c r="S157" s="386"/>
      <c r="T157" s="386"/>
      <c r="U157" s="377"/>
      <c r="V157" s="377"/>
    </row>
    <row r="158" spans="1:22" ht="30" hidden="1" outlineLevel="1">
      <c r="A158" s="377"/>
      <c r="E158" s="1307" t="s">
        <v>405</v>
      </c>
      <c r="F158" s="1307" t="s">
        <v>1237</v>
      </c>
      <c r="G158" s="1307" t="s">
        <v>1236</v>
      </c>
      <c r="S158" s="386"/>
      <c r="T158" s="386"/>
      <c r="U158" s="377"/>
      <c r="V158" s="377"/>
    </row>
    <row r="159" spans="1:22" ht="45" hidden="1" outlineLevel="1">
      <c r="A159" s="377"/>
      <c r="E159" s="1307" t="s">
        <v>1238</v>
      </c>
      <c r="F159" s="1307" t="s">
        <v>1239</v>
      </c>
      <c r="G159" s="1307" t="s">
        <v>1240</v>
      </c>
      <c r="J159" s="385"/>
      <c r="S159" s="386"/>
      <c r="T159" s="386"/>
      <c r="U159" s="377"/>
      <c r="V159" s="377"/>
    </row>
    <row r="160" spans="1:22" ht="15.6" hidden="1" outlineLevel="2">
      <c r="A160" s="377"/>
      <c r="B160" s="1064" t="s">
        <v>1241</v>
      </c>
      <c r="C160" s="1064"/>
      <c r="D160" s="1064"/>
      <c r="E160" s="1065"/>
      <c r="F160" s="1019"/>
      <c r="G160" s="1064"/>
      <c r="H160" s="1019"/>
      <c r="I160" s="1019"/>
      <c r="J160" s="1066"/>
      <c r="S160" s="386"/>
      <c r="T160" s="386"/>
      <c r="U160" s="377"/>
      <c r="V160" s="377"/>
    </row>
    <row r="161" spans="1:22" ht="15.6" hidden="1" outlineLevel="2">
      <c r="A161" s="377"/>
      <c r="B161" s="1062" t="s">
        <v>1220</v>
      </c>
      <c r="C161" s="1062"/>
      <c r="D161" s="1062"/>
      <c r="E161" s="1016"/>
      <c r="F161" s="1016"/>
      <c r="G161" s="1062"/>
      <c r="H161" s="1016"/>
      <c r="I161" s="1016"/>
      <c r="J161" s="1063"/>
      <c r="S161" s="386"/>
      <c r="T161" s="386"/>
      <c r="U161" s="377"/>
      <c r="V161" s="377"/>
    </row>
    <row r="162" spans="1:22" ht="15.6" hidden="1" outlineLevel="2">
      <c r="A162" s="377"/>
      <c r="B162" s="1004"/>
      <c r="C162" s="1004"/>
      <c r="D162" s="1004"/>
      <c r="E162" s="1004" t="s">
        <v>1242</v>
      </c>
      <c r="F162" s="404"/>
      <c r="G162" s="1004"/>
      <c r="H162" s="404"/>
      <c r="I162" s="404"/>
      <c r="J162" s="1058"/>
      <c r="S162" s="386"/>
      <c r="T162" s="386"/>
      <c r="U162" s="377"/>
      <c r="V162" s="377"/>
    </row>
    <row r="163" spans="1:22" ht="15.6" hidden="1" outlineLevel="2">
      <c r="A163" s="377"/>
      <c r="B163" s="1007"/>
      <c r="C163" s="1007"/>
      <c r="D163" s="1007"/>
      <c r="E163" s="1007" t="s">
        <v>668</v>
      </c>
      <c r="F163" s="1007" t="s">
        <v>1210</v>
      </c>
      <c r="G163" s="1007" t="s">
        <v>1211</v>
      </c>
      <c r="H163" s="1007" t="s">
        <v>1200</v>
      </c>
      <c r="I163" s="1007" t="s">
        <v>1212</v>
      </c>
      <c r="J163" s="1007" t="s">
        <v>156</v>
      </c>
      <c r="S163" s="386"/>
      <c r="T163" s="386"/>
      <c r="U163" s="377"/>
      <c r="V163" s="377"/>
    </row>
    <row r="164" spans="1:22" ht="15.6" hidden="1" outlineLevel="2">
      <c r="A164" s="377">
        <v>1</v>
      </c>
      <c r="B164" t="str">
        <f>+B$67</f>
        <v xml:space="preserve">Carson City </v>
      </c>
      <c r="E164" s="1087">
        <v>10</v>
      </c>
      <c r="F164" s="1087">
        <v>4</v>
      </c>
      <c r="G164" s="1087">
        <v>5</v>
      </c>
      <c r="H164" s="1087">
        <v>5</v>
      </c>
      <c r="I164" s="1087">
        <v>1</v>
      </c>
      <c r="J164" s="1072">
        <f t="shared" ref="J164:J170" si="18">SUM(E164:I164)</f>
        <v>25</v>
      </c>
      <c r="S164" s="386"/>
      <c r="T164" s="386"/>
      <c r="U164" s="377"/>
      <c r="V164" s="377"/>
    </row>
    <row r="165" spans="1:22" ht="15.6" hidden="1" outlineLevel="2">
      <c r="A165" s="377">
        <f>1+A164</f>
        <v>2</v>
      </c>
      <c r="B165" t="str">
        <f>+$B$68</f>
        <v>Churchill</v>
      </c>
      <c r="E165" s="1087">
        <v>10</v>
      </c>
      <c r="F165" s="1087">
        <v>4</v>
      </c>
      <c r="G165" s="1087">
        <v>5</v>
      </c>
      <c r="H165" s="1087">
        <v>5</v>
      </c>
      <c r="I165" s="1087">
        <v>1</v>
      </c>
      <c r="J165" s="1039">
        <f t="shared" si="18"/>
        <v>25</v>
      </c>
      <c r="S165" s="386"/>
      <c r="T165" s="386"/>
      <c r="U165" s="377"/>
      <c r="V165" s="377"/>
    </row>
    <row r="166" spans="1:22" ht="15.6" hidden="1" outlineLevel="2">
      <c r="A166" s="377">
        <f t="shared" ref="A166:A169" si="19">1+A165</f>
        <v>3</v>
      </c>
      <c r="B166" t="str">
        <f>+$B$69</f>
        <v>Clark</v>
      </c>
      <c r="E166" s="1087">
        <v>10</v>
      </c>
      <c r="F166" s="1087">
        <v>4</v>
      </c>
      <c r="G166" s="1087">
        <v>5</v>
      </c>
      <c r="H166" s="1087">
        <v>5</v>
      </c>
      <c r="I166" s="1087">
        <v>1</v>
      </c>
      <c r="J166" s="1039">
        <f t="shared" si="18"/>
        <v>25</v>
      </c>
      <c r="S166" s="386"/>
      <c r="T166" s="386"/>
      <c r="U166" s="377"/>
      <c r="V166" s="377"/>
    </row>
    <row r="167" spans="1:22" ht="15.6" hidden="1" outlineLevel="2">
      <c r="A167" s="377">
        <f t="shared" si="19"/>
        <v>4</v>
      </c>
      <c r="B167" t="str">
        <f>+$B$70</f>
        <v>Elko</v>
      </c>
      <c r="E167" s="1087">
        <v>10</v>
      </c>
      <c r="F167" s="1087">
        <v>4</v>
      </c>
      <c r="G167" s="1087">
        <v>5</v>
      </c>
      <c r="H167" s="1087">
        <v>5</v>
      </c>
      <c r="I167" s="1087">
        <v>1</v>
      </c>
      <c r="J167" s="1039">
        <f t="shared" si="18"/>
        <v>25</v>
      </c>
      <c r="S167" s="386"/>
      <c r="T167" s="386"/>
      <c r="U167" s="377"/>
      <c r="V167" s="377"/>
    </row>
    <row r="168" spans="1:22" ht="15.6" hidden="1" outlineLevel="2">
      <c r="A168" s="377">
        <f t="shared" si="19"/>
        <v>5</v>
      </c>
      <c r="B168" t="str">
        <f>+$B$72</f>
        <v>Washoe</v>
      </c>
      <c r="E168" s="1088">
        <v>10</v>
      </c>
      <c r="F168" s="1088">
        <v>4</v>
      </c>
      <c r="G168" s="1088">
        <v>5</v>
      </c>
      <c r="H168" s="1088">
        <v>5</v>
      </c>
      <c r="I168" s="1088">
        <v>1</v>
      </c>
      <c r="J168" s="1039">
        <f t="shared" si="18"/>
        <v>25</v>
      </c>
      <c r="S168" s="386"/>
      <c r="T168" s="386"/>
      <c r="U168" s="377"/>
      <c r="V168" s="377"/>
    </row>
    <row r="169" spans="1:22" ht="15.6" hidden="1" outlineLevel="2">
      <c r="A169" s="377">
        <f t="shared" si="19"/>
        <v>6</v>
      </c>
      <c r="B169" t="str">
        <f>+$B$73</f>
        <v>White Pine</v>
      </c>
      <c r="E169" s="1088">
        <v>10</v>
      </c>
      <c r="F169" s="1088">
        <v>4</v>
      </c>
      <c r="G169" s="1088">
        <v>5</v>
      </c>
      <c r="H169" s="1088">
        <v>5</v>
      </c>
      <c r="I169" s="1088">
        <v>1</v>
      </c>
      <c r="J169" s="1050">
        <f t="shared" si="18"/>
        <v>25</v>
      </c>
      <c r="S169" s="386"/>
      <c r="T169" s="386"/>
      <c r="U169" s="377"/>
      <c r="V169" s="377"/>
    </row>
    <row r="170" spans="1:22" ht="15.6" hidden="1" outlineLevel="2">
      <c r="A170" s="377"/>
      <c r="B170" s="1051" t="s">
        <v>156</v>
      </c>
      <c r="C170" s="1051"/>
      <c r="D170" s="1051"/>
      <c r="E170" s="1056">
        <f>SUM(E164:E169)</f>
        <v>60</v>
      </c>
      <c r="F170" s="1056">
        <f>SUM(F164:F169)</f>
        <v>24</v>
      </c>
      <c r="G170" s="1056">
        <f t="shared" ref="G170:I170" si="20">SUM(G164:G169)</f>
        <v>30</v>
      </c>
      <c r="H170" s="1056">
        <f t="shared" si="20"/>
        <v>30</v>
      </c>
      <c r="I170" s="1056">
        <f t="shared" si="20"/>
        <v>6</v>
      </c>
      <c r="J170" s="1056">
        <f t="shared" si="18"/>
        <v>150</v>
      </c>
      <c r="P170" s="385"/>
      <c r="Q170" s="386"/>
      <c r="R170" s="386"/>
      <c r="S170" s="386"/>
      <c r="T170" s="386"/>
      <c r="U170" s="377"/>
      <c r="V170" s="377"/>
    </row>
    <row r="171" spans="1:22" ht="15.6" hidden="1" outlineLevel="2">
      <c r="A171" s="377"/>
      <c r="J171" s="1044"/>
      <c r="O171" s="384"/>
      <c r="P171" s="385"/>
      <c r="Q171" s="386"/>
      <c r="R171" s="386"/>
      <c r="S171" s="386"/>
      <c r="T171" s="386"/>
      <c r="U171" s="377"/>
      <c r="V171" s="377"/>
    </row>
    <row r="172" spans="1:22" ht="15.6" hidden="1" outlineLevel="2">
      <c r="A172" s="377"/>
      <c r="E172" s="1004" t="s">
        <v>1243</v>
      </c>
      <c r="F172" s="404"/>
      <c r="G172" s="1004"/>
      <c r="H172" s="1004"/>
      <c r="I172" s="1004"/>
      <c r="J172" s="404"/>
      <c r="O172" s="384"/>
      <c r="P172" s="385"/>
      <c r="Q172" s="386"/>
      <c r="R172" s="386"/>
      <c r="S172" s="386"/>
      <c r="T172" s="386"/>
      <c r="U172" s="377"/>
      <c r="V172" s="377"/>
    </row>
    <row r="173" spans="1:22" ht="15.6" hidden="1" outlineLevel="2">
      <c r="A173" s="377"/>
      <c r="E173" s="1007" t="s">
        <v>668</v>
      </c>
      <c r="F173" s="1007" t="s">
        <v>1210</v>
      </c>
      <c r="G173" s="1007" t="s">
        <v>1211</v>
      </c>
      <c r="H173" s="1007" t="s">
        <v>1200</v>
      </c>
      <c r="I173" s="1007" t="s">
        <v>1212</v>
      </c>
      <c r="J173" s="1040"/>
      <c r="O173" s="384"/>
      <c r="P173" s="385"/>
      <c r="Q173" s="386"/>
      <c r="R173" s="386"/>
      <c r="S173" s="386"/>
      <c r="T173" s="386"/>
      <c r="U173" s="377"/>
      <c r="V173" s="377"/>
    </row>
    <row r="174" spans="1:22" ht="15.6" hidden="1" outlineLevel="2">
      <c r="A174" s="377"/>
      <c r="B174" s="1007" t="s">
        <v>1244</v>
      </c>
      <c r="C174" s="1007"/>
      <c r="D174" s="1007"/>
      <c r="E174" s="1090">
        <v>0</v>
      </c>
      <c r="F174" s="1082">
        <f>+D77</f>
        <v>0.38284007225232736</v>
      </c>
      <c r="G174" s="1082">
        <f>+D78</f>
        <v>0.24</v>
      </c>
      <c r="H174" s="1082">
        <f>+D79</f>
        <v>0.03</v>
      </c>
      <c r="I174" s="1082">
        <f>+D80</f>
        <v>0.12</v>
      </c>
      <c r="J174" s="1007" t="s">
        <v>156</v>
      </c>
      <c r="P174" s="385"/>
      <c r="Q174" s="386"/>
      <c r="R174" s="386"/>
      <c r="S174" s="386"/>
      <c r="T174" s="386"/>
      <c r="U174" s="377"/>
      <c r="V174" s="377"/>
    </row>
    <row r="175" spans="1:22" ht="15.6" hidden="1" outlineLevel="2">
      <c r="A175" s="377">
        <v>1</v>
      </c>
      <c r="B175" t="str">
        <f>+B$67</f>
        <v xml:space="preserve">Carson City </v>
      </c>
      <c r="E175" s="1042"/>
      <c r="F175" s="1043">
        <v>4</v>
      </c>
      <c r="G175" s="1043">
        <v>2</v>
      </c>
      <c r="H175" s="1043">
        <v>3</v>
      </c>
      <c r="I175" s="1043">
        <v>1</v>
      </c>
      <c r="J175" s="1072">
        <f t="shared" ref="J175:J181" si="21">SUM(E175:I175)</f>
        <v>10</v>
      </c>
      <c r="P175" s="385"/>
      <c r="Q175" s="386"/>
      <c r="R175" s="386"/>
      <c r="S175" s="386"/>
      <c r="T175" s="386"/>
      <c r="U175" s="377"/>
      <c r="V175" s="377"/>
    </row>
    <row r="176" spans="1:22" ht="15.6" hidden="1" outlineLevel="2">
      <c r="A176" s="377">
        <f>1+A175</f>
        <v>2</v>
      </c>
      <c r="B176" t="str">
        <f>+$B$68</f>
        <v>Churchill</v>
      </c>
      <c r="E176" s="1042"/>
      <c r="F176" s="1045">
        <v>4</v>
      </c>
      <c r="G176" s="1045">
        <v>2</v>
      </c>
      <c r="H176" s="1045">
        <v>3</v>
      </c>
      <c r="I176" s="1045">
        <v>1</v>
      </c>
      <c r="J176" s="1039">
        <f t="shared" si="21"/>
        <v>10</v>
      </c>
      <c r="P176" s="385"/>
      <c r="Q176" s="386"/>
      <c r="R176" s="386"/>
      <c r="S176" s="386"/>
      <c r="T176" s="386"/>
      <c r="U176" s="377"/>
      <c r="V176" s="377"/>
    </row>
    <row r="177" spans="1:22" ht="15.6" hidden="1" outlineLevel="2">
      <c r="A177" s="377">
        <f t="shared" ref="A177:A180" si="22">1+A176</f>
        <v>3</v>
      </c>
      <c r="B177" t="str">
        <f>+$B$69</f>
        <v>Clark</v>
      </c>
      <c r="E177" s="1042"/>
      <c r="F177" s="1045">
        <v>4</v>
      </c>
      <c r="G177" s="1045">
        <v>2</v>
      </c>
      <c r="H177" s="1045">
        <v>3</v>
      </c>
      <c r="I177" s="1045">
        <v>1</v>
      </c>
      <c r="J177" s="1039">
        <f t="shared" si="21"/>
        <v>10</v>
      </c>
      <c r="P177" s="385"/>
      <c r="Q177" s="386"/>
      <c r="R177" s="386"/>
      <c r="S177" s="386"/>
      <c r="T177" s="386"/>
      <c r="U177" s="377"/>
      <c r="V177" s="377"/>
    </row>
    <row r="178" spans="1:22" ht="15.6" hidden="1" outlineLevel="2">
      <c r="A178" s="377">
        <f t="shared" si="22"/>
        <v>4</v>
      </c>
      <c r="B178" t="str">
        <f>+$B$70</f>
        <v>Elko</v>
      </c>
      <c r="E178" s="1042"/>
      <c r="F178" s="1045">
        <v>4</v>
      </c>
      <c r="G178" s="1045">
        <v>2</v>
      </c>
      <c r="H178" s="1045">
        <v>3</v>
      </c>
      <c r="I178" s="1045">
        <v>1</v>
      </c>
      <c r="J178" s="1039">
        <f t="shared" si="21"/>
        <v>10</v>
      </c>
      <c r="P178" s="385"/>
      <c r="Q178" s="386"/>
      <c r="R178" s="386"/>
      <c r="S178" s="386"/>
      <c r="T178" s="386"/>
      <c r="U178" s="377"/>
      <c r="V178" s="377"/>
    </row>
    <row r="179" spans="1:22" ht="15.6" hidden="1" outlineLevel="2">
      <c r="A179" s="377">
        <f t="shared" si="22"/>
        <v>5</v>
      </c>
      <c r="B179" t="str">
        <f>+$B$72</f>
        <v>Washoe</v>
      </c>
      <c r="E179" s="1042"/>
      <c r="F179" s="1045">
        <v>4</v>
      </c>
      <c r="G179" s="1045">
        <v>2</v>
      </c>
      <c r="H179" s="1045">
        <v>3</v>
      </c>
      <c r="I179" s="1045">
        <v>1</v>
      </c>
      <c r="J179" s="1039">
        <f t="shared" si="21"/>
        <v>10</v>
      </c>
      <c r="P179" s="385"/>
      <c r="Q179" s="386"/>
      <c r="R179" s="386"/>
      <c r="S179" s="386"/>
      <c r="T179" s="386"/>
      <c r="U179" s="377"/>
      <c r="V179" s="377"/>
    </row>
    <row r="180" spans="1:22" ht="15.6" hidden="1" outlineLevel="2">
      <c r="A180" s="377">
        <f t="shared" si="22"/>
        <v>6</v>
      </c>
      <c r="B180" t="str">
        <f>+$B$73</f>
        <v>White Pine</v>
      </c>
      <c r="E180" s="1042"/>
      <c r="F180" s="1046">
        <v>4</v>
      </c>
      <c r="G180" s="1046">
        <v>2</v>
      </c>
      <c r="H180" s="1046">
        <v>3</v>
      </c>
      <c r="I180" s="1046">
        <v>1</v>
      </c>
      <c r="J180" s="1050">
        <f t="shared" si="21"/>
        <v>10</v>
      </c>
      <c r="P180" s="385"/>
      <c r="Q180" s="386"/>
      <c r="R180" s="386"/>
      <c r="S180" s="386"/>
      <c r="T180" s="386"/>
      <c r="U180" s="377"/>
      <c r="V180" s="377"/>
    </row>
    <row r="181" spans="1:22" ht="15.6" hidden="1" outlineLevel="2">
      <c r="A181" s="377"/>
      <c r="B181" s="1051" t="s">
        <v>156</v>
      </c>
      <c r="C181" s="1051"/>
      <c r="D181" s="1051"/>
      <c r="E181" s="1048"/>
      <c r="F181" s="1048">
        <f t="shared" ref="F181" si="23">SUM(F175:F180)</f>
        <v>24</v>
      </c>
      <c r="G181" s="1048">
        <f t="shared" ref="G181" si="24">SUM(G175:G180)</f>
        <v>12</v>
      </c>
      <c r="H181" s="1048">
        <f t="shared" ref="H181" si="25">SUM(H175:H180)</f>
        <v>18</v>
      </c>
      <c r="I181" s="1048">
        <f t="shared" ref="I181" si="26">SUM(I175:I180)</f>
        <v>6</v>
      </c>
      <c r="J181" s="1056">
        <f t="shared" si="21"/>
        <v>60</v>
      </c>
      <c r="O181" s="384"/>
      <c r="P181" s="385"/>
      <c r="Q181" s="386"/>
      <c r="R181" s="386"/>
      <c r="S181" s="386"/>
      <c r="T181" s="386"/>
      <c r="U181" s="377"/>
      <c r="V181" s="377"/>
    </row>
    <row r="182" spans="1:22" ht="15.6" hidden="1" outlineLevel="2">
      <c r="A182" s="377"/>
      <c r="O182" s="384"/>
      <c r="P182" s="385"/>
      <c r="Q182" s="386"/>
      <c r="R182" s="386"/>
      <c r="S182" s="386"/>
      <c r="T182" s="386"/>
      <c r="U182" s="377"/>
      <c r="V182" s="377"/>
    </row>
    <row r="183" spans="1:22" ht="15.6" hidden="1" outlineLevel="2">
      <c r="A183" s="377"/>
      <c r="E183" s="1" t="s">
        <v>1245</v>
      </c>
      <c r="F183" s="1"/>
      <c r="G183" s="404"/>
      <c r="H183" s="404"/>
      <c r="I183" s="404"/>
      <c r="O183" s="384"/>
      <c r="P183" s="385"/>
      <c r="Q183" s="386"/>
      <c r="R183" s="386"/>
      <c r="S183" s="386"/>
      <c r="T183" s="386"/>
      <c r="U183" s="377"/>
      <c r="V183" s="377"/>
    </row>
    <row r="184" spans="1:22" ht="15.6" hidden="1" outlineLevel="2">
      <c r="A184" s="377"/>
      <c r="E184" s="1052" t="s">
        <v>668</v>
      </c>
      <c r="F184" s="1052" t="s">
        <v>1210</v>
      </c>
      <c r="G184" s="1007" t="s">
        <v>1211</v>
      </c>
      <c r="H184" s="1007" t="s">
        <v>1200</v>
      </c>
      <c r="I184" s="1007" t="s">
        <v>1212</v>
      </c>
      <c r="J184" s="1052" t="s">
        <v>156</v>
      </c>
      <c r="K184" s="386"/>
      <c r="O184" s="384"/>
      <c r="P184" s="385"/>
      <c r="Q184" s="386"/>
      <c r="R184" s="386"/>
      <c r="S184" s="386"/>
      <c r="T184" s="386"/>
      <c r="U184" s="377"/>
      <c r="V184" s="377"/>
    </row>
    <row r="185" spans="1:22" ht="15.6" hidden="1" outlineLevel="2">
      <c r="A185" s="377">
        <v>1</v>
      </c>
      <c r="B185" t="str">
        <f>+B$67</f>
        <v xml:space="preserve">Carson City </v>
      </c>
      <c r="E185" s="1053">
        <f>+E164-E175</f>
        <v>10</v>
      </c>
      <c r="F185" s="1053">
        <f t="shared" ref="F185:I185" si="27">+F164-F175</f>
        <v>0</v>
      </c>
      <c r="G185" s="1053">
        <f t="shared" si="27"/>
        <v>3</v>
      </c>
      <c r="H185" s="1053">
        <f t="shared" si="27"/>
        <v>2</v>
      </c>
      <c r="I185" s="1053">
        <f t="shared" si="27"/>
        <v>0</v>
      </c>
      <c r="J185" s="1044">
        <f t="shared" ref="J185:J191" si="28">SUM(E185:I185)</f>
        <v>15</v>
      </c>
      <c r="O185" s="384"/>
      <c r="P185" s="385"/>
      <c r="Q185" s="386"/>
      <c r="R185" s="386"/>
      <c r="S185" s="386"/>
      <c r="T185" s="386"/>
      <c r="U185" s="377"/>
      <c r="V185" s="377"/>
    </row>
    <row r="186" spans="1:22" ht="15.6" hidden="1" outlineLevel="2">
      <c r="A186" s="377">
        <f>1+A185</f>
        <v>2</v>
      </c>
      <c r="B186" t="str">
        <f>+$B$68</f>
        <v>Churchill</v>
      </c>
      <c r="E186" s="1054">
        <f t="shared" ref="E186:I186" si="29">+E165-E176</f>
        <v>10</v>
      </c>
      <c r="F186" s="1054">
        <f t="shared" si="29"/>
        <v>0</v>
      </c>
      <c r="G186" s="1054">
        <f t="shared" si="29"/>
        <v>3</v>
      </c>
      <c r="H186" s="1054">
        <f t="shared" si="29"/>
        <v>2</v>
      </c>
      <c r="I186" s="1054">
        <f t="shared" si="29"/>
        <v>0</v>
      </c>
      <c r="J186" s="1044">
        <f t="shared" si="28"/>
        <v>15</v>
      </c>
      <c r="O186" s="384"/>
      <c r="P186" s="385"/>
      <c r="Q186" s="386"/>
      <c r="R186" s="386"/>
      <c r="S186" s="386"/>
      <c r="T186" s="386"/>
      <c r="U186" s="377"/>
      <c r="V186" s="377"/>
    </row>
    <row r="187" spans="1:22" ht="15.6" hidden="1" outlineLevel="2">
      <c r="A187" s="377">
        <f t="shared" ref="A187:A190" si="30">1+A186</f>
        <v>3</v>
      </c>
      <c r="B187" t="str">
        <f>+$B$69</f>
        <v>Clark</v>
      </c>
      <c r="E187" s="1054">
        <f t="shared" ref="E187:I187" si="31">+E166-E177</f>
        <v>10</v>
      </c>
      <c r="F187" s="1054">
        <f t="shared" si="31"/>
        <v>0</v>
      </c>
      <c r="G187" s="1054">
        <f t="shared" si="31"/>
        <v>3</v>
      </c>
      <c r="H187" s="1054">
        <f t="shared" si="31"/>
        <v>2</v>
      </c>
      <c r="I187" s="1054">
        <f t="shared" si="31"/>
        <v>0</v>
      </c>
      <c r="J187" s="1044">
        <f t="shared" si="28"/>
        <v>15</v>
      </c>
      <c r="O187" s="384"/>
      <c r="P187" s="385"/>
      <c r="Q187" s="386"/>
      <c r="R187" s="386"/>
      <c r="S187" s="386"/>
      <c r="T187" s="386"/>
      <c r="U187" s="377"/>
      <c r="V187" s="377"/>
    </row>
    <row r="188" spans="1:22" ht="15.6" hidden="1" outlineLevel="2">
      <c r="A188" s="377">
        <f t="shared" si="30"/>
        <v>4</v>
      </c>
      <c r="B188" t="str">
        <f>+$B$70</f>
        <v>Elko</v>
      </c>
      <c r="E188" s="1054">
        <f t="shared" ref="E188:I188" si="32">+E167-E178</f>
        <v>10</v>
      </c>
      <c r="F188" s="1054">
        <f t="shared" si="32"/>
        <v>0</v>
      </c>
      <c r="G188" s="1054">
        <f t="shared" si="32"/>
        <v>3</v>
      </c>
      <c r="H188" s="1054">
        <f t="shared" si="32"/>
        <v>2</v>
      </c>
      <c r="I188" s="1054">
        <f t="shared" si="32"/>
        <v>0</v>
      </c>
      <c r="J188" s="1044">
        <f t="shared" si="28"/>
        <v>15</v>
      </c>
      <c r="O188" s="384"/>
      <c r="P188" s="385"/>
      <c r="Q188" s="386"/>
      <c r="R188" s="386"/>
      <c r="S188" s="386"/>
      <c r="T188" s="386"/>
      <c r="U188" s="377"/>
      <c r="V188" s="377"/>
    </row>
    <row r="189" spans="1:22" ht="15.6" hidden="1" outlineLevel="2">
      <c r="A189" s="377">
        <f t="shared" si="30"/>
        <v>5</v>
      </c>
      <c r="B189" t="str">
        <f>+$B$72</f>
        <v>Washoe</v>
      </c>
      <c r="E189" s="1054">
        <f t="shared" ref="E189:I189" si="33">+E168-E179</f>
        <v>10</v>
      </c>
      <c r="F189" s="1054">
        <f t="shared" si="33"/>
        <v>0</v>
      </c>
      <c r="G189" s="1054">
        <f t="shared" si="33"/>
        <v>3</v>
      </c>
      <c r="H189" s="1054">
        <f t="shared" si="33"/>
        <v>2</v>
      </c>
      <c r="I189" s="1054">
        <f t="shared" si="33"/>
        <v>0</v>
      </c>
      <c r="J189" s="1044">
        <f t="shared" si="28"/>
        <v>15</v>
      </c>
      <c r="O189" s="384"/>
      <c r="P189" s="385"/>
      <c r="Q189" s="386"/>
      <c r="R189" s="386"/>
      <c r="S189" s="386"/>
      <c r="T189" s="386"/>
      <c r="U189" s="377"/>
      <c r="V189" s="377"/>
    </row>
    <row r="190" spans="1:22" ht="15.6" hidden="1" outlineLevel="2">
      <c r="A190" s="377">
        <f t="shared" si="30"/>
        <v>6</v>
      </c>
      <c r="B190" t="str">
        <f>+$B$73</f>
        <v>White Pine</v>
      </c>
      <c r="E190" s="1055">
        <f t="shared" ref="E190:I190" si="34">+E169-E180</f>
        <v>10</v>
      </c>
      <c r="F190" s="1055">
        <f t="shared" si="34"/>
        <v>0</v>
      </c>
      <c r="G190" s="1055">
        <f t="shared" si="34"/>
        <v>3</v>
      </c>
      <c r="H190" s="1055">
        <f t="shared" si="34"/>
        <v>2</v>
      </c>
      <c r="I190" s="1055">
        <f t="shared" si="34"/>
        <v>0</v>
      </c>
      <c r="J190" s="1044">
        <f t="shared" si="28"/>
        <v>15</v>
      </c>
      <c r="O190" s="384"/>
      <c r="P190" s="385"/>
      <c r="Q190" s="386"/>
      <c r="R190" s="386"/>
      <c r="S190" s="386"/>
      <c r="T190" s="386"/>
      <c r="U190" s="377"/>
      <c r="V190" s="377"/>
    </row>
    <row r="191" spans="1:22" ht="15.6" hidden="1" outlineLevel="2">
      <c r="A191" s="377"/>
      <c r="B191" s="1051" t="s">
        <v>156</v>
      </c>
      <c r="C191" s="1051"/>
      <c r="D191" s="1051"/>
      <c r="E191" s="1048">
        <f>SUM(E185:E190)</f>
        <v>60</v>
      </c>
      <c r="F191" s="1048">
        <f t="shared" ref="F191:I191" si="35">SUM(F185:F190)</f>
        <v>0</v>
      </c>
      <c r="G191" s="1048">
        <f t="shared" si="35"/>
        <v>18</v>
      </c>
      <c r="H191" s="1048">
        <f t="shared" si="35"/>
        <v>12</v>
      </c>
      <c r="I191" s="1048">
        <f t="shared" si="35"/>
        <v>0</v>
      </c>
      <c r="J191" s="1048">
        <f t="shared" si="28"/>
        <v>90</v>
      </c>
      <c r="O191" s="384"/>
      <c r="P191" s="385"/>
      <c r="Q191" s="386"/>
      <c r="R191" s="386"/>
      <c r="S191" s="386"/>
      <c r="T191" s="386"/>
      <c r="U191" s="377"/>
      <c r="V191" s="377"/>
    </row>
    <row r="192" spans="1:22" ht="15.6" hidden="1" outlineLevel="2">
      <c r="A192" s="377"/>
      <c r="O192" s="384"/>
      <c r="P192" s="385"/>
      <c r="Q192" s="386"/>
      <c r="R192" s="386"/>
      <c r="S192" s="386"/>
      <c r="T192" s="386"/>
      <c r="U192" s="377"/>
      <c r="V192" s="377"/>
    </row>
    <row r="193" spans="1:22" ht="15.6" hidden="1" outlineLevel="2">
      <c r="A193" s="377"/>
      <c r="B193" s="1051" t="s">
        <v>1246</v>
      </c>
      <c r="C193" s="1051"/>
      <c r="D193" s="1051"/>
      <c r="E193" s="1048">
        <f>+E181+E191</f>
        <v>60</v>
      </c>
      <c r="F193" s="1048">
        <f t="shared" ref="F193:I193" si="36">+F181+F191</f>
        <v>24</v>
      </c>
      <c r="G193" s="1048">
        <f t="shared" si="36"/>
        <v>30</v>
      </c>
      <c r="H193" s="1048">
        <f t="shared" si="36"/>
        <v>30</v>
      </c>
      <c r="I193" s="1048">
        <f t="shared" si="36"/>
        <v>6</v>
      </c>
      <c r="J193" s="1048">
        <f>SUM(E193:I193)</f>
        <v>150</v>
      </c>
      <c r="O193" s="384"/>
      <c r="P193" s="385"/>
      <c r="Q193" s="386"/>
      <c r="R193" s="386"/>
      <c r="S193" s="386"/>
      <c r="T193" s="386"/>
      <c r="U193" s="377"/>
      <c r="V193" s="377"/>
    </row>
    <row r="194" spans="1:22" ht="15.6" hidden="1" outlineLevel="2">
      <c r="A194" s="377"/>
      <c r="O194" s="384"/>
      <c r="P194" s="385"/>
      <c r="Q194" s="386"/>
      <c r="R194" s="386"/>
      <c r="S194" s="386"/>
      <c r="T194" s="386"/>
      <c r="U194" s="377"/>
      <c r="V194" s="377"/>
    </row>
    <row r="195" spans="1:22" ht="15.6" hidden="1" outlineLevel="2">
      <c r="A195" s="377"/>
      <c r="B195" s="1064" t="s">
        <v>1241</v>
      </c>
      <c r="C195" s="1064"/>
      <c r="D195" s="1064"/>
      <c r="E195" s="1065"/>
      <c r="F195" s="1019"/>
      <c r="G195" s="1064"/>
      <c r="H195" s="1019"/>
      <c r="I195" s="1019"/>
      <c r="J195" s="1066"/>
      <c r="O195" s="384"/>
      <c r="P195" s="385"/>
      <c r="Q195" s="386"/>
      <c r="R195" s="386"/>
      <c r="S195" s="386"/>
      <c r="T195" s="386"/>
      <c r="U195" s="377"/>
      <c r="V195" s="377"/>
    </row>
    <row r="196" spans="1:22" ht="15.6" hidden="1" outlineLevel="2">
      <c r="A196" s="377"/>
      <c r="B196" s="1062" t="s">
        <v>1247</v>
      </c>
      <c r="C196" s="1062"/>
      <c r="D196" s="1062"/>
      <c r="E196" s="1062"/>
      <c r="F196" s="1016"/>
      <c r="G196" s="1062"/>
      <c r="H196" s="1016"/>
      <c r="I196" s="1016"/>
      <c r="J196" s="1063"/>
      <c r="O196" s="384"/>
      <c r="P196" s="385"/>
      <c r="Q196" s="386"/>
      <c r="R196" s="386"/>
      <c r="S196" s="386"/>
      <c r="T196" s="386"/>
      <c r="U196" s="377"/>
      <c r="V196" s="377"/>
    </row>
    <row r="197" spans="1:22" ht="15.6" hidden="1" outlineLevel="3">
      <c r="A197" s="377"/>
      <c r="B197" s="1004"/>
      <c r="C197" s="1004"/>
      <c r="D197" s="1004"/>
      <c r="E197" s="1004" t="s">
        <v>1242</v>
      </c>
      <c r="F197" s="404"/>
      <c r="G197" s="1004"/>
      <c r="H197" s="404"/>
      <c r="I197" s="404"/>
      <c r="J197" s="1058"/>
      <c r="O197" s="384"/>
      <c r="P197" s="385"/>
      <c r="Q197" s="386"/>
      <c r="R197" s="386"/>
      <c r="S197" s="386"/>
      <c r="T197" s="386"/>
      <c r="U197" s="377"/>
      <c r="V197" s="377"/>
    </row>
    <row r="198" spans="1:22" ht="15.6" hidden="1" outlineLevel="3">
      <c r="A198" s="377"/>
      <c r="B198" s="1007"/>
      <c r="C198" s="1007"/>
      <c r="D198" s="1007"/>
      <c r="E198" s="1007" t="s">
        <v>668</v>
      </c>
      <c r="F198" s="1007" t="s">
        <v>1210</v>
      </c>
      <c r="G198" s="1007" t="s">
        <v>1211</v>
      </c>
      <c r="H198" s="1007" t="s">
        <v>1200</v>
      </c>
      <c r="I198" s="1007" t="s">
        <v>1212</v>
      </c>
      <c r="J198" s="1007" t="s">
        <v>156</v>
      </c>
      <c r="O198" s="384"/>
      <c r="P198" s="385"/>
      <c r="Q198" s="386"/>
      <c r="R198" s="386"/>
      <c r="S198" s="386"/>
      <c r="T198" s="386"/>
      <c r="U198" s="377"/>
      <c r="V198" s="377"/>
    </row>
    <row r="199" spans="1:22" ht="15.6" hidden="1" outlineLevel="3">
      <c r="A199" s="377">
        <v>1</v>
      </c>
      <c r="B199" t="str">
        <f>+B$67</f>
        <v xml:space="preserve">Carson City </v>
      </c>
      <c r="E199" s="1038">
        <v>100</v>
      </c>
      <c r="F199" s="1038">
        <v>40</v>
      </c>
      <c r="G199" s="1038">
        <v>50</v>
      </c>
      <c r="H199" s="1038">
        <v>50</v>
      </c>
      <c r="I199" s="1038">
        <v>2</v>
      </c>
      <c r="J199" s="1057">
        <f t="shared" ref="J199:J205" si="37">SUM(E199:I199)</f>
        <v>242</v>
      </c>
      <c r="O199" s="384"/>
      <c r="P199" s="385"/>
      <c r="Q199" s="386"/>
      <c r="R199" s="386"/>
      <c r="S199" s="386"/>
      <c r="T199" s="386"/>
      <c r="U199" s="377"/>
      <c r="V199" s="377"/>
    </row>
    <row r="200" spans="1:22" ht="15.6" hidden="1" outlineLevel="3">
      <c r="A200" s="377">
        <f>1+A199</f>
        <v>2</v>
      </c>
      <c r="B200" t="str">
        <f>+$B$68</f>
        <v>Churchill</v>
      </c>
      <c r="E200" s="1038"/>
      <c r="F200" s="1038">
        <v>30</v>
      </c>
      <c r="G200" s="1038">
        <v>0</v>
      </c>
      <c r="H200" s="1038">
        <v>0</v>
      </c>
      <c r="I200" s="1038">
        <v>0</v>
      </c>
      <c r="J200" s="1039">
        <f t="shared" si="37"/>
        <v>30</v>
      </c>
      <c r="O200" s="384"/>
      <c r="P200" s="385"/>
      <c r="Q200" s="386"/>
      <c r="R200" s="386"/>
      <c r="S200" s="386"/>
      <c r="T200" s="386"/>
      <c r="U200" s="377"/>
      <c r="V200" s="377"/>
    </row>
    <row r="201" spans="1:22" ht="15.6" hidden="1" outlineLevel="3">
      <c r="A201" s="377">
        <f t="shared" ref="A201:A204" si="38">1+A200</f>
        <v>3</v>
      </c>
      <c r="B201" t="str">
        <f>+$B$69</f>
        <v>Clark</v>
      </c>
      <c r="E201" s="1038"/>
      <c r="F201" s="1038">
        <v>30</v>
      </c>
      <c r="G201" s="1038">
        <v>0</v>
      </c>
      <c r="H201" s="1038">
        <v>0</v>
      </c>
      <c r="I201" s="1038">
        <v>0</v>
      </c>
      <c r="J201" s="1039">
        <f t="shared" si="37"/>
        <v>30</v>
      </c>
      <c r="O201" s="384"/>
      <c r="P201" s="385"/>
      <c r="Q201" s="386"/>
      <c r="R201" s="386"/>
      <c r="S201" s="386"/>
      <c r="T201" s="386"/>
      <c r="U201" s="377"/>
      <c r="V201" s="377"/>
    </row>
    <row r="202" spans="1:22" ht="15.6" hidden="1" outlineLevel="3">
      <c r="A202" s="377">
        <f t="shared" si="38"/>
        <v>4</v>
      </c>
      <c r="B202" t="str">
        <f>+$B$70</f>
        <v>Elko</v>
      </c>
      <c r="E202" s="1038"/>
      <c r="F202" s="1038">
        <v>5</v>
      </c>
      <c r="G202" s="1038">
        <v>0</v>
      </c>
      <c r="H202" s="1038">
        <v>0</v>
      </c>
      <c r="I202" s="1038">
        <v>0</v>
      </c>
      <c r="J202" s="1039">
        <f t="shared" si="37"/>
        <v>5</v>
      </c>
      <c r="O202" s="384"/>
      <c r="P202" s="385"/>
      <c r="Q202" s="386"/>
      <c r="R202" s="386"/>
      <c r="S202" s="386"/>
      <c r="T202" s="386"/>
      <c r="U202" s="377"/>
      <c r="V202" s="377"/>
    </row>
    <row r="203" spans="1:22" ht="15.6" hidden="1" outlineLevel="3">
      <c r="A203" s="377">
        <f t="shared" si="38"/>
        <v>5</v>
      </c>
      <c r="B203" t="str">
        <f>+$B$72</f>
        <v>Washoe</v>
      </c>
      <c r="E203" s="1049"/>
      <c r="F203" s="1049">
        <v>10</v>
      </c>
      <c r="G203" s="1049">
        <v>0</v>
      </c>
      <c r="H203" s="1049">
        <v>0</v>
      </c>
      <c r="I203" s="1049">
        <v>0</v>
      </c>
      <c r="J203" s="1039">
        <f t="shared" si="37"/>
        <v>10</v>
      </c>
      <c r="O203" s="384"/>
      <c r="P203" s="385"/>
      <c r="Q203" s="386"/>
      <c r="R203" s="386"/>
      <c r="S203" s="386"/>
      <c r="T203" s="386"/>
      <c r="U203" s="377"/>
      <c r="V203" s="377"/>
    </row>
    <row r="204" spans="1:22" ht="15.6" hidden="1" outlineLevel="3">
      <c r="A204" s="377">
        <f t="shared" si="38"/>
        <v>6</v>
      </c>
      <c r="B204" t="str">
        <f>+$B$73</f>
        <v>White Pine</v>
      </c>
      <c r="E204" s="1049"/>
      <c r="F204" s="1049">
        <v>10</v>
      </c>
      <c r="G204" s="1049">
        <v>0</v>
      </c>
      <c r="H204" s="1049">
        <v>0</v>
      </c>
      <c r="I204" s="1049">
        <v>0</v>
      </c>
      <c r="J204" s="1050">
        <f t="shared" si="37"/>
        <v>10</v>
      </c>
      <c r="O204" s="384"/>
      <c r="P204" s="385"/>
      <c r="Q204" s="386"/>
      <c r="R204" s="386"/>
      <c r="S204" s="386"/>
      <c r="T204" s="386"/>
      <c r="U204" s="377"/>
      <c r="V204" s="377"/>
    </row>
    <row r="205" spans="1:22" ht="15.6" hidden="1" outlineLevel="3">
      <c r="A205" s="377"/>
      <c r="B205" s="1051" t="s">
        <v>156</v>
      </c>
      <c r="C205" s="1051"/>
      <c r="D205" s="1051"/>
      <c r="E205" s="1056">
        <f>SUM(E199:E204)</f>
        <v>100</v>
      </c>
      <c r="F205" s="1056">
        <f>SUM(F199:F204)</f>
        <v>125</v>
      </c>
      <c r="G205" s="1056">
        <f t="shared" ref="G205" si="39">SUM(G199:G204)</f>
        <v>50</v>
      </c>
      <c r="H205" s="1056">
        <f t="shared" ref="H205" si="40">SUM(H199:H204)</f>
        <v>50</v>
      </c>
      <c r="I205" s="1056">
        <f t="shared" ref="I205" si="41">SUM(I199:I204)</f>
        <v>2</v>
      </c>
      <c r="J205" s="1056">
        <f t="shared" si="37"/>
        <v>327</v>
      </c>
      <c r="O205" s="384"/>
      <c r="P205" s="385"/>
      <c r="Q205" s="386"/>
      <c r="R205" s="386"/>
      <c r="S205" s="386"/>
      <c r="T205" s="386"/>
      <c r="U205" s="377"/>
      <c r="V205" s="377"/>
    </row>
    <row r="206" spans="1:22" ht="15.6" hidden="1" outlineLevel="3">
      <c r="A206" s="377"/>
      <c r="J206" s="1044"/>
      <c r="O206" s="384"/>
      <c r="P206" s="385"/>
      <c r="Q206" s="386"/>
      <c r="R206" s="386"/>
      <c r="S206" s="386"/>
      <c r="T206" s="386"/>
      <c r="U206" s="377"/>
      <c r="V206" s="377"/>
    </row>
    <row r="207" spans="1:22" ht="15.6" hidden="1" outlineLevel="3">
      <c r="A207" s="377"/>
      <c r="E207" s="1004" t="s">
        <v>1248</v>
      </c>
      <c r="F207" s="404"/>
      <c r="G207" s="1004"/>
      <c r="H207" s="1004"/>
      <c r="I207" s="1004"/>
      <c r="J207" s="404"/>
      <c r="O207" s="384"/>
      <c r="P207" s="385"/>
      <c r="Q207" s="386"/>
      <c r="R207" s="386"/>
      <c r="S207" s="386"/>
      <c r="T207" s="386"/>
      <c r="U207" s="377"/>
      <c r="V207" s="377"/>
    </row>
    <row r="208" spans="1:22" ht="15.6" hidden="1" outlineLevel="3">
      <c r="A208" s="377"/>
      <c r="E208" s="1007" t="s">
        <v>668</v>
      </c>
      <c r="F208" s="1007" t="s">
        <v>1210</v>
      </c>
      <c r="G208" s="1007" t="s">
        <v>1211</v>
      </c>
      <c r="H208" s="1007" t="s">
        <v>1200</v>
      </c>
      <c r="I208" s="1007" t="s">
        <v>1212</v>
      </c>
      <c r="J208" s="1040"/>
      <c r="O208" s="384"/>
      <c r="P208" s="385"/>
      <c r="Q208" s="386"/>
      <c r="R208" s="386"/>
      <c r="S208" s="386"/>
      <c r="T208" s="386"/>
      <c r="U208" s="377"/>
      <c r="V208" s="377"/>
    </row>
    <row r="209" spans="1:22" ht="15.6" hidden="1" outlineLevel="3">
      <c r="A209" s="377"/>
      <c r="E209" s="1040"/>
      <c r="F209" s="1037">
        <f>+E185</f>
        <v>10</v>
      </c>
      <c r="G209" s="1037">
        <f>+E186</f>
        <v>10</v>
      </c>
      <c r="H209" s="1037">
        <f>+E187</f>
        <v>10</v>
      </c>
      <c r="I209" s="1037">
        <f>+E188</f>
        <v>10</v>
      </c>
      <c r="J209" s="1007" t="s">
        <v>156</v>
      </c>
      <c r="O209" s="384"/>
      <c r="P209" s="385"/>
      <c r="Q209" s="386"/>
      <c r="R209" s="386"/>
      <c r="S209" s="386"/>
      <c r="T209" s="386"/>
      <c r="U209" s="377"/>
      <c r="V209" s="377"/>
    </row>
    <row r="210" spans="1:22" ht="15.6" hidden="1" outlineLevel="3">
      <c r="A210" s="377">
        <v>1</v>
      </c>
      <c r="B210" t="str">
        <f>+B$67</f>
        <v xml:space="preserve">Carson City </v>
      </c>
      <c r="E210" s="1042"/>
      <c r="F210" s="1043">
        <v>20</v>
      </c>
      <c r="G210" s="1043">
        <v>20</v>
      </c>
      <c r="H210" s="1043">
        <v>30</v>
      </c>
      <c r="I210" s="1043">
        <v>1</v>
      </c>
      <c r="J210" s="1057">
        <f t="shared" ref="J210:J216" si="42">SUM(E210:I210)</f>
        <v>71</v>
      </c>
      <c r="O210" s="384"/>
      <c r="P210" s="385"/>
      <c r="Q210" s="386"/>
      <c r="R210" s="386"/>
      <c r="S210" s="386"/>
      <c r="T210" s="386"/>
      <c r="U210" s="377"/>
      <c r="V210" s="377"/>
    </row>
    <row r="211" spans="1:22" ht="15.6" hidden="1" outlineLevel="3">
      <c r="A211" s="377">
        <f>1+A210</f>
        <v>2</v>
      </c>
      <c r="B211" t="str">
        <f>+$B$68</f>
        <v>Churchill</v>
      </c>
      <c r="E211" s="1042"/>
      <c r="F211" s="1045">
        <v>0</v>
      </c>
      <c r="G211" s="1045"/>
      <c r="H211" s="1045"/>
      <c r="I211" s="1045"/>
      <c r="J211" s="1039">
        <f t="shared" si="42"/>
        <v>0</v>
      </c>
      <c r="O211" s="384"/>
      <c r="P211" s="385"/>
      <c r="Q211" s="386"/>
      <c r="R211" s="386"/>
      <c r="S211" s="386"/>
      <c r="T211" s="386"/>
      <c r="U211" s="377"/>
      <c r="V211" s="377"/>
    </row>
    <row r="212" spans="1:22" ht="15.6" hidden="1" outlineLevel="3">
      <c r="A212" s="377">
        <f t="shared" ref="A212:A215" si="43">1+A211</f>
        <v>3</v>
      </c>
      <c r="B212" t="str">
        <f>+$B$69</f>
        <v>Clark</v>
      </c>
      <c r="E212" s="1042"/>
      <c r="F212" s="1045">
        <v>30</v>
      </c>
      <c r="G212" s="1045"/>
      <c r="H212" s="1045"/>
      <c r="I212" s="1045"/>
      <c r="J212" s="1039">
        <f t="shared" si="42"/>
        <v>30</v>
      </c>
      <c r="O212" s="384"/>
      <c r="P212" s="385"/>
      <c r="Q212" s="386"/>
      <c r="R212" s="386"/>
      <c r="S212" s="386"/>
      <c r="T212" s="386"/>
      <c r="U212" s="377"/>
      <c r="V212" s="377"/>
    </row>
    <row r="213" spans="1:22" ht="15.6" hidden="1" outlineLevel="3">
      <c r="A213" s="377">
        <f t="shared" si="43"/>
        <v>4</v>
      </c>
      <c r="B213" t="str">
        <f>+$B$70</f>
        <v>Elko</v>
      </c>
      <c r="E213" s="1042"/>
      <c r="F213" s="1045">
        <v>5</v>
      </c>
      <c r="G213" s="1045"/>
      <c r="H213" s="1045"/>
      <c r="I213" s="1045"/>
      <c r="J213" s="1039">
        <f t="shared" si="42"/>
        <v>5</v>
      </c>
      <c r="O213" s="384"/>
      <c r="P213" s="385"/>
      <c r="Q213" s="386"/>
      <c r="R213" s="386"/>
      <c r="S213" s="386"/>
      <c r="T213" s="386"/>
      <c r="U213" s="377"/>
      <c r="V213" s="377"/>
    </row>
    <row r="214" spans="1:22" ht="15.6" hidden="1" outlineLevel="3">
      <c r="A214" s="377">
        <f t="shared" si="43"/>
        <v>5</v>
      </c>
      <c r="B214" t="str">
        <f>+$B$72</f>
        <v>Washoe</v>
      </c>
      <c r="E214" s="1042"/>
      <c r="F214" s="1045">
        <v>10</v>
      </c>
      <c r="G214" s="1045"/>
      <c r="H214" s="1045"/>
      <c r="I214" s="1045"/>
      <c r="J214" s="1039">
        <f t="shared" si="42"/>
        <v>10</v>
      </c>
      <c r="O214" s="384"/>
      <c r="P214" s="385"/>
      <c r="Q214" s="386"/>
      <c r="R214" s="386"/>
      <c r="S214" s="386"/>
      <c r="T214" s="386"/>
      <c r="U214" s="377"/>
      <c r="V214" s="377"/>
    </row>
    <row r="215" spans="1:22" ht="15.6" hidden="1" outlineLevel="3">
      <c r="A215" s="377">
        <f t="shared" si="43"/>
        <v>6</v>
      </c>
      <c r="B215" t="str">
        <f>+$B$73</f>
        <v>White Pine</v>
      </c>
      <c r="E215" s="1042"/>
      <c r="F215" s="1046">
        <v>0</v>
      </c>
      <c r="G215" s="1046"/>
      <c r="H215" s="1046"/>
      <c r="I215" s="1046"/>
      <c r="J215" s="1050">
        <f t="shared" si="42"/>
        <v>0</v>
      </c>
      <c r="O215" s="384"/>
      <c r="P215" s="385"/>
      <c r="Q215" s="386"/>
      <c r="R215" s="386"/>
      <c r="S215" s="386"/>
      <c r="T215" s="386"/>
      <c r="U215" s="377"/>
      <c r="V215" s="377"/>
    </row>
    <row r="216" spans="1:22" ht="15.6" hidden="1" outlineLevel="3">
      <c r="A216" s="377"/>
      <c r="B216" s="1051" t="s">
        <v>156</v>
      </c>
      <c r="C216" s="1051"/>
      <c r="D216" s="1051"/>
      <c r="E216" s="1047"/>
      <c r="F216" s="1048">
        <f t="shared" ref="F216" si="44">SUM(F210:F215)</f>
        <v>65</v>
      </c>
      <c r="G216" s="1048">
        <f t="shared" ref="G216" si="45">SUM(G210:G215)</f>
        <v>20</v>
      </c>
      <c r="H216" s="1048">
        <f t="shared" ref="H216" si="46">SUM(H210:H215)</f>
        <v>30</v>
      </c>
      <c r="I216" s="1048">
        <f t="shared" ref="I216" si="47">SUM(I210:I215)</f>
        <v>1</v>
      </c>
      <c r="J216" s="1056">
        <f t="shared" si="42"/>
        <v>116</v>
      </c>
      <c r="O216" s="384"/>
      <c r="P216" s="385"/>
      <c r="Q216" s="386"/>
      <c r="R216" s="386"/>
      <c r="S216" s="386"/>
      <c r="T216" s="386"/>
      <c r="U216" s="377"/>
      <c r="V216" s="377"/>
    </row>
    <row r="217" spans="1:22" ht="15.6" hidden="1" outlineLevel="3">
      <c r="A217" s="377"/>
      <c r="O217" s="384"/>
      <c r="P217" s="385"/>
      <c r="Q217" s="386"/>
      <c r="R217" s="386"/>
      <c r="S217" s="386"/>
      <c r="T217" s="386"/>
      <c r="U217" s="377"/>
      <c r="V217" s="377"/>
    </row>
    <row r="218" spans="1:22" ht="15.6" hidden="1" outlineLevel="3">
      <c r="A218" s="377"/>
      <c r="E218" s="1004"/>
      <c r="F218" s="1" t="s">
        <v>1245</v>
      </c>
      <c r="G218" s="404"/>
      <c r="H218" s="404"/>
      <c r="I218" s="404"/>
      <c r="O218" s="384"/>
      <c r="P218" s="385"/>
      <c r="Q218" s="386"/>
      <c r="R218" s="386"/>
      <c r="S218" s="386"/>
      <c r="T218" s="386"/>
      <c r="U218" s="377"/>
      <c r="V218" s="377"/>
    </row>
    <row r="219" spans="1:22" ht="15.6" hidden="1" outlineLevel="3">
      <c r="A219" s="377"/>
      <c r="E219" s="1007" t="s">
        <v>668</v>
      </c>
      <c r="F219" s="1052" t="s">
        <v>1210</v>
      </c>
      <c r="G219" s="1007" t="s">
        <v>1211</v>
      </c>
      <c r="H219" s="1007" t="s">
        <v>1200</v>
      </c>
      <c r="I219" s="1007" t="s">
        <v>1212</v>
      </c>
      <c r="O219" s="384"/>
      <c r="P219" s="385"/>
      <c r="Q219" s="386"/>
      <c r="R219" s="386"/>
      <c r="S219" s="386"/>
      <c r="T219" s="386"/>
      <c r="U219" s="377"/>
      <c r="V219" s="377"/>
    </row>
    <row r="220" spans="1:22" ht="15.6" hidden="1" outlineLevel="3">
      <c r="A220" s="377">
        <v>1</v>
      </c>
      <c r="B220" t="str">
        <f>+B$67</f>
        <v xml:space="preserve">Carson City </v>
      </c>
      <c r="E220" s="1053">
        <f>+E199-E210</f>
        <v>100</v>
      </c>
      <c r="F220" s="1053">
        <f t="shared" ref="F220:I220" si="48">+F199-F210</f>
        <v>20</v>
      </c>
      <c r="G220" s="1053">
        <f t="shared" si="48"/>
        <v>30</v>
      </c>
      <c r="H220" s="1053">
        <f t="shared" si="48"/>
        <v>20</v>
      </c>
      <c r="I220" s="1053">
        <f t="shared" si="48"/>
        <v>1</v>
      </c>
      <c r="J220" s="1044">
        <f t="shared" ref="J220:J226" si="49">SUM(E220:I220)</f>
        <v>171</v>
      </c>
      <c r="O220" s="384"/>
      <c r="P220" s="385"/>
      <c r="Q220" s="386"/>
      <c r="R220" s="386"/>
      <c r="S220" s="386"/>
      <c r="T220" s="386"/>
      <c r="U220" s="377"/>
      <c r="V220" s="377"/>
    </row>
    <row r="221" spans="1:22" ht="15.6" hidden="1" outlineLevel="3">
      <c r="A221" s="377">
        <f>1+A220</f>
        <v>2</v>
      </c>
      <c r="B221" t="str">
        <f>+$B$68</f>
        <v>Churchill</v>
      </c>
      <c r="E221" s="1054">
        <f t="shared" ref="E221:I221" si="50">+E200-E211</f>
        <v>0</v>
      </c>
      <c r="F221" s="1054">
        <f t="shared" si="50"/>
        <v>30</v>
      </c>
      <c r="G221" s="1054">
        <f t="shared" si="50"/>
        <v>0</v>
      </c>
      <c r="H221" s="1054">
        <f t="shared" si="50"/>
        <v>0</v>
      </c>
      <c r="I221" s="1054">
        <f t="shared" si="50"/>
        <v>0</v>
      </c>
      <c r="J221" s="1044">
        <f t="shared" si="49"/>
        <v>30</v>
      </c>
      <c r="O221" s="384"/>
      <c r="P221" s="385"/>
      <c r="Q221" s="386"/>
      <c r="R221" s="386"/>
      <c r="S221" s="386"/>
      <c r="T221" s="386"/>
      <c r="U221" s="377"/>
      <c r="V221" s="377"/>
    </row>
    <row r="222" spans="1:22" ht="15.6" hidden="1" outlineLevel="3">
      <c r="A222" s="377">
        <f t="shared" ref="A222:A225" si="51">1+A221</f>
        <v>3</v>
      </c>
      <c r="B222" t="str">
        <f>+$B$69</f>
        <v>Clark</v>
      </c>
      <c r="E222" s="1054">
        <f t="shared" ref="E222:I222" si="52">+E201-E212</f>
        <v>0</v>
      </c>
      <c r="F222" s="1054">
        <f t="shared" si="52"/>
        <v>0</v>
      </c>
      <c r="G222" s="1054">
        <f t="shared" si="52"/>
        <v>0</v>
      </c>
      <c r="H222" s="1054">
        <f t="shared" si="52"/>
        <v>0</v>
      </c>
      <c r="I222" s="1054">
        <f t="shared" si="52"/>
        <v>0</v>
      </c>
      <c r="J222" s="1044">
        <f t="shared" si="49"/>
        <v>0</v>
      </c>
      <c r="O222" s="384"/>
      <c r="P222" s="385"/>
      <c r="Q222" s="386"/>
      <c r="R222" s="386"/>
      <c r="S222" s="386"/>
      <c r="T222" s="386"/>
      <c r="U222" s="377"/>
      <c r="V222" s="377"/>
    </row>
    <row r="223" spans="1:22" ht="15.6" hidden="1" outlineLevel="3">
      <c r="A223" s="377">
        <f t="shared" si="51"/>
        <v>4</v>
      </c>
      <c r="B223" t="str">
        <f>+$B$70</f>
        <v>Elko</v>
      </c>
      <c r="E223" s="1054">
        <f t="shared" ref="E223:I223" si="53">+E202-E213</f>
        <v>0</v>
      </c>
      <c r="F223" s="1054">
        <f t="shared" si="53"/>
        <v>0</v>
      </c>
      <c r="G223" s="1054">
        <f t="shared" si="53"/>
        <v>0</v>
      </c>
      <c r="H223" s="1054">
        <f t="shared" si="53"/>
        <v>0</v>
      </c>
      <c r="I223" s="1054">
        <f t="shared" si="53"/>
        <v>0</v>
      </c>
      <c r="J223" s="1044">
        <f t="shared" si="49"/>
        <v>0</v>
      </c>
      <c r="O223" s="384"/>
      <c r="P223" s="385"/>
      <c r="Q223" s="386"/>
      <c r="R223" s="386"/>
      <c r="S223" s="386"/>
      <c r="T223" s="386"/>
      <c r="U223" s="377"/>
      <c r="V223" s="377"/>
    </row>
    <row r="224" spans="1:22" ht="15.6" hidden="1" outlineLevel="3">
      <c r="A224" s="377">
        <f t="shared" si="51"/>
        <v>5</v>
      </c>
      <c r="B224" t="str">
        <f>+$B$72</f>
        <v>Washoe</v>
      </c>
      <c r="E224" s="1054">
        <f t="shared" ref="E224:I224" si="54">+E203-E214</f>
        <v>0</v>
      </c>
      <c r="F224" s="1054">
        <f t="shared" si="54"/>
        <v>0</v>
      </c>
      <c r="G224" s="1054">
        <f t="shared" si="54"/>
        <v>0</v>
      </c>
      <c r="H224" s="1054">
        <f t="shared" si="54"/>
        <v>0</v>
      </c>
      <c r="I224" s="1054">
        <f t="shared" si="54"/>
        <v>0</v>
      </c>
      <c r="J224" s="1044">
        <f t="shared" si="49"/>
        <v>0</v>
      </c>
      <c r="O224" s="384"/>
      <c r="P224" s="385"/>
      <c r="Q224" s="386"/>
      <c r="R224" s="386"/>
      <c r="S224" s="386"/>
      <c r="T224" s="386"/>
      <c r="U224" s="377"/>
      <c r="V224" s="377"/>
    </row>
    <row r="225" spans="1:22" ht="15.6" hidden="1" outlineLevel="3">
      <c r="A225" s="377">
        <f t="shared" si="51"/>
        <v>6</v>
      </c>
      <c r="B225" t="str">
        <f>+$B$73</f>
        <v>White Pine</v>
      </c>
      <c r="E225" s="1055">
        <f t="shared" ref="E225:I225" si="55">+E204-E215</f>
        <v>0</v>
      </c>
      <c r="F225" s="1055">
        <f t="shared" si="55"/>
        <v>10</v>
      </c>
      <c r="G225" s="1055">
        <f t="shared" si="55"/>
        <v>0</v>
      </c>
      <c r="H225" s="1055">
        <f t="shared" si="55"/>
        <v>0</v>
      </c>
      <c r="I225" s="1055">
        <f t="shared" si="55"/>
        <v>0</v>
      </c>
      <c r="J225" s="1044">
        <f t="shared" si="49"/>
        <v>10</v>
      </c>
      <c r="O225" s="384"/>
      <c r="P225" s="385"/>
      <c r="Q225" s="386"/>
      <c r="R225" s="386"/>
      <c r="S225" s="386"/>
      <c r="T225" s="386"/>
      <c r="U225" s="377"/>
      <c r="V225" s="377"/>
    </row>
    <row r="226" spans="1:22" ht="15.6" hidden="1" outlineLevel="3">
      <c r="A226" s="377"/>
      <c r="B226" s="1051" t="s">
        <v>156</v>
      </c>
      <c r="C226" s="1051"/>
      <c r="D226" s="1051"/>
      <c r="E226" s="1048">
        <f>SUM(E220:E225)</f>
        <v>100</v>
      </c>
      <c r="F226" s="1048">
        <f t="shared" ref="F226" si="56">SUM(F220:F225)</f>
        <v>60</v>
      </c>
      <c r="G226" s="1048">
        <f t="shared" ref="G226" si="57">SUM(G220:G225)</f>
        <v>30</v>
      </c>
      <c r="H226" s="1048">
        <f t="shared" ref="H226" si="58">SUM(H220:H225)</f>
        <v>20</v>
      </c>
      <c r="I226" s="1048">
        <f t="shared" ref="I226" si="59">SUM(I220:I225)</f>
        <v>1</v>
      </c>
      <c r="J226" s="1048">
        <f t="shared" si="49"/>
        <v>211</v>
      </c>
      <c r="O226" s="384"/>
      <c r="P226" s="385"/>
      <c r="Q226" s="386"/>
      <c r="R226" s="386"/>
      <c r="S226" s="386"/>
      <c r="T226" s="386"/>
      <c r="U226" s="377"/>
      <c r="V226" s="377"/>
    </row>
    <row r="227" spans="1:22" ht="15.6" hidden="1" outlineLevel="3">
      <c r="A227" s="377"/>
      <c r="O227" s="384"/>
      <c r="P227" s="385"/>
      <c r="Q227" s="386"/>
      <c r="R227" s="386"/>
      <c r="S227" s="386"/>
      <c r="T227" s="386"/>
      <c r="U227" s="377"/>
      <c r="V227" s="377"/>
    </row>
    <row r="228" spans="1:22" ht="15.6" hidden="1" outlineLevel="3">
      <c r="A228" s="377"/>
      <c r="B228" s="1051" t="s">
        <v>1246</v>
      </c>
      <c r="C228" s="1051"/>
      <c r="D228" s="1051"/>
      <c r="E228" s="1048">
        <f>+E216+E226</f>
        <v>100</v>
      </c>
      <c r="F228" s="1048">
        <f t="shared" ref="F228:I228" si="60">+F216+F226</f>
        <v>125</v>
      </c>
      <c r="G228" s="1048">
        <f t="shared" si="60"/>
        <v>50</v>
      </c>
      <c r="H228" s="1048">
        <f t="shared" si="60"/>
        <v>50</v>
      </c>
      <c r="I228" s="1048">
        <f t="shared" si="60"/>
        <v>2</v>
      </c>
      <c r="J228" s="1048">
        <f>SUM(E228:I228)</f>
        <v>327</v>
      </c>
      <c r="O228" s="384"/>
      <c r="P228" s="385"/>
      <c r="Q228" s="386"/>
      <c r="R228" s="386"/>
      <c r="S228" s="386"/>
      <c r="T228" s="386"/>
      <c r="U228" s="377"/>
      <c r="V228" s="377"/>
    </row>
    <row r="229" spans="1:22" ht="15.6" hidden="1" outlineLevel="2" collapsed="1">
      <c r="A229" s="377"/>
      <c r="O229" s="384"/>
      <c r="P229" s="385"/>
      <c r="Q229" s="386"/>
      <c r="R229" s="386"/>
      <c r="S229" s="386"/>
      <c r="T229" s="386"/>
      <c r="U229" s="377"/>
      <c r="V229" s="377"/>
    </row>
    <row r="230" spans="1:22" ht="15.6" hidden="1" outlineLevel="2">
      <c r="A230" s="377"/>
      <c r="B230" s="1067" t="s">
        <v>491</v>
      </c>
      <c r="C230" s="1067"/>
      <c r="D230" s="1067"/>
      <c r="E230" s="1068"/>
      <c r="F230" s="1068"/>
      <c r="G230" s="1068"/>
      <c r="H230" s="1068"/>
      <c r="I230" s="1068"/>
      <c r="J230" s="1068"/>
      <c r="O230" s="384"/>
      <c r="P230" s="385"/>
      <c r="Q230" s="386"/>
      <c r="R230" s="386"/>
      <c r="S230" s="386"/>
      <c r="T230" s="386"/>
      <c r="U230" s="377"/>
      <c r="V230" s="377"/>
    </row>
    <row r="231" spans="1:22" ht="15.6" hidden="1" outlineLevel="2">
      <c r="A231" s="377"/>
      <c r="B231" s="1062" t="s">
        <v>1220</v>
      </c>
      <c r="C231" s="1062"/>
      <c r="D231" s="1062"/>
      <c r="E231" s="1016"/>
      <c r="F231" s="1016"/>
      <c r="G231" s="1062"/>
      <c r="H231" s="1016"/>
      <c r="I231" s="1016"/>
      <c r="J231" s="1063"/>
      <c r="O231" s="384"/>
      <c r="P231" s="385"/>
      <c r="Q231" s="386"/>
      <c r="R231" s="386"/>
      <c r="S231" s="386"/>
      <c r="T231" s="386"/>
      <c r="U231" s="377"/>
      <c r="V231" s="377"/>
    </row>
    <row r="232" spans="1:22" ht="15.6" hidden="1" outlineLevel="2">
      <c r="A232" s="377"/>
      <c r="B232" s="1004"/>
      <c r="C232" s="1004"/>
      <c r="D232" s="1004"/>
      <c r="E232" s="1004" t="s">
        <v>1242</v>
      </c>
      <c r="F232" s="404"/>
      <c r="G232" s="1004"/>
      <c r="H232" s="404"/>
      <c r="I232" s="404"/>
      <c r="J232" s="1058"/>
      <c r="O232" s="384"/>
      <c r="P232" s="385"/>
      <c r="Q232" s="386"/>
      <c r="R232" s="386"/>
      <c r="S232" s="386"/>
      <c r="T232" s="386"/>
      <c r="U232" s="377"/>
      <c r="V232" s="377"/>
    </row>
    <row r="233" spans="1:22" ht="15.6" hidden="1" outlineLevel="2">
      <c r="A233" s="377"/>
      <c r="B233" s="1007"/>
      <c r="C233" s="1007"/>
      <c r="D233" s="1007"/>
      <c r="E233" s="1007" t="s">
        <v>668</v>
      </c>
      <c r="F233" s="1007" t="s">
        <v>1210</v>
      </c>
      <c r="G233" s="1007" t="s">
        <v>1211</v>
      </c>
      <c r="H233" s="1007" t="s">
        <v>1200</v>
      </c>
      <c r="I233" s="1007" t="s">
        <v>1212</v>
      </c>
      <c r="J233" s="1007" t="s">
        <v>156</v>
      </c>
      <c r="O233" s="384"/>
      <c r="P233" s="385"/>
      <c r="Q233" s="386"/>
      <c r="R233" s="386"/>
      <c r="S233" s="386"/>
      <c r="T233" s="386"/>
      <c r="U233" s="377"/>
      <c r="V233" s="377"/>
    </row>
    <row r="234" spans="1:22" ht="15.6" hidden="1" outlineLevel="2">
      <c r="A234" s="377">
        <v>1</v>
      </c>
      <c r="B234" t="str">
        <f>+B$67</f>
        <v xml:space="preserve">Carson City </v>
      </c>
      <c r="C234" s="496"/>
      <c r="D234" s="496">
        <f>D67</f>
        <v>7494</v>
      </c>
      <c r="E234" s="1075">
        <f>+E247+E257</f>
        <v>74940</v>
      </c>
      <c r="F234" s="1075">
        <f t="shared" ref="F234:I234" si="61">+F247+F257</f>
        <v>41452.014005835765</v>
      </c>
      <c r="G234" s="1075">
        <f t="shared" si="61"/>
        <v>41067.120000000003</v>
      </c>
      <c r="H234" s="1075">
        <f t="shared" si="61"/>
        <v>38144.46</v>
      </c>
      <c r="I234" s="1075">
        <f t="shared" si="61"/>
        <v>8393.2800000000007</v>
      </c>
      <c r="J234" s="1073">
        <f t="shared" ref="J234:J241" si="62">SUM(E234:I234)</f>
        <v>203996.87400583577</v>
      </c>
      <c r="O234" s="384"/>
      <c r="P234" s="385"/>
      <c r="Q234" s="386"/>
      <c r="R234" s="386"/>
      <c r="S234" s="386"/>
      <c r="T234" s="386"/>
      <c r="U234" s="377"/>
      <c r="V234" s="377"/>
    </row>
    <row r="235" spans="1:22" ht="15.6" hidden="1" outlineLevel="2">
      <c r="A235" s="377">
        <f>1+A234</f>
        <v>2</v>
      </c>
      <c r="B235" t="str">
        <f>+$B$68</f>
        <v>Churchill</v>
      </c>
      <c r="C235" s="5"/>
      <c r="D235" s="5">
        <f>D68</f>
        <v>8093</v>
      </c>
      <c r="E235" s="1039">
        <f t="shared" ref="E235:I235" si="63">+E248+E258</f>
        <v>80930</v>
      </c>
      <c r="F235" s="1039">
        <f t="shared" si="63"/>
        <v>44765.298818952338</v>
      </c>
      <c r="G235" s="1039">
        <f t="shared" si="63"/>
        <v>44349.64</v>
      </c>
      <c r="H235" s="1039">
        <f t="shared" si="63"/>
        <v>41193.370000000003</v>
      </c>
      <c r="I235" s="1039">
        <f t="shared" si="63"/>
        <v>9064.16</v>
      </c>
      <c r="J235" s="1039">
        <f t="shared" si="62"/>
        <v>220302.46881895236</v>
      </c>
      <c r="O235" s="384"/>
      <c r="P235" s="385"/>
      <c r="Q235" s="386"/>
      <c r="R235" s="386"/>
      <c r="S235" s="386"/>
      <c r="T235" s="386"/>
      <c r="U235" s="377"/>
      <c r="V235" s="377"/>
    </row>
    <row r="236" spans="1:22" ht="15.6" hidden="1" outlineLevel="2">
      <c r="A236" s="377">
        <f t="shared" ref="A236:A239" si="64">1+A235</f>
        <v>3</v>
      </c>
      <c r="B236" t="str">
        <f>+$B$69</f>
        <v>Clark</v>
      </c>
      <c r="C236" s="5"/>
      <c r="D236" s="5">
        <f>D69</f>
        <v>7197</v>
      </c>
      <c r="E236" s="1039">
        <f t="shared" ref="E236:I236" si="65">+E249+E259</f>
        <v>71970</v>
      </c>
      <c r="F236" s="1039">
        <f t="shared" si="65"/>
        <v>39809.199999999997</v>
      </c>
      <c r="G236" s="1039">
        <f t="shared" si="65"/>
        <v>39439.56</v>
      </c>
      <c r="H236" s="1039">
        <f t="shared" si="65"/>
        <v>36632.730000000003</v>
      </c>
      <c r="I236" s="1039">
        <f t="shared" si="65"/>
        <v>8060.64</v>
      </c>
      <c r="J236" s="1039">
        <f t="shared" si="62"/>
        <v>195912.13000000003</v>
      </c>
      <c r="O236" s="384"/>
      <c r="P236" s="385"/>
      <c r="Q236" s="386"/>
      <c r="R236" s="386"/>
      <c r="S236" s="386"/>
      <c r="T236" s="386"/>
      <c r="U236" s="377"/>
      <c r="V236" s="377"/>
    </row>
    <row r="237" spans="1:22" ht="15.6" hidden="1" outlineLevel="2">
      <c r="A237" s="377">
        <f t="shared" si="64"/>
        <v>4</v>
      </c>
      <c r="B237" t="str">
        <f>+$B$70</f>
        <v>Elko</v>
      </c>
      <c r="C237" s="5"/>
      <c r="D237" s="5">
        <f>D70</f>
        <v>7715</v>
      </c>
      <c r="E237" s="1039">
        <f>+E250+E260</f>
        <v>77150</v>
      </c>
      <c r="F237" s="1039">
        <f t="shared" ref="F237:I237" si="66">+F250+F260</f>
        <v>42674.444629706821</v>
      </c>
      <c r="G237" s="1039">
        <f t="shared" si="66"/>
        <v>42278.2</v>
      </c>
      <c r="H237" s="1039">
        <f t="shared" si="66"/>
        <v>39269.35</v>
      </c>
      <c r="I237" s="1039">
        <f t="shared" si="66"/>
        <v>8640.7999999999993</v>
      </c>
      <c r="J237" s="1039">
        <f t="shared" si="62"/>
        <v>210012.7946297068</v>
      </c>
      <c r="O237" s="384"/>
      <c r="P237" s="385"/>
      <c r="Q237" s="386"/>
      <c r="R237" s="386"/>
      <c r="S237" s="386"/>
      <c r="T237" s="386"/>
      <c r="U237" s="377"/>
      <c r="V237" s="377"/>
    </row>
    <row r="238" spans="1:22" ht="15.6" hidden="1" outlineLevel="2">
      <c r="A238" s="377">
        <f t="shared" si="64"/>
        <v>5</v>
      </c>
      <c r="B238" t="str">
        <f>+$B$72</f>
        <v>Washoe</v>
      </c>
      <c r="C238" s="5"/>
      <c r="D238" s="5">
        <f>D72</f>
        <v>6980</v>
      </c>
      <c r="E238" s="1050">
        <f t="shared" ref="E238:I238" si="67">+E251+E261</f>
        <v>69800</v>
      </c>
      <c r="F238" s="1050">
        <f t="shared" si="67"/>
        <v>38608.894817284978</v>
      </c>
      <c r="G238" s="1050">
        <f t="shared" si="67"/>
        <v>38250.400000000001</v>
      </c>
      <c r="H238" s="1050">
        <f t="shared" si="67"/>
        <v>35528.199999999997</v>
      </c>
      <c r="I238" s="1050">
        <f t="shared" si="67"/>
        <v>7817.6</v>
      </c>
      <c r="J238" s="1039">
        <f t="shared" si="62"/>
        <v>190005.09481728499</v>
      </c>
      <c r="O238" s="384"/>
      <c r="P238" s="385"/>
      <c r="Q238" s="386"/>
      <c r="R238" s="386"/>
      <c r="S238" s="386"/>
      <c r="T238" s="386"/>
      <c r="U238" s="377"/>
      <c r="V238" s="377"/>
    </row>
    <row r="239" spans="1:22" ht="15.6" hidden="1" outlineLevel="2">
      <c r="A239" s="377">
        <f t="shared" si="64"/>
        <v>6</v>
      </c>
      <c r="B239" t="str">
        <f>+$B$73</f>
        <v>White Pine</v>
      </c>
      <c r="C239" s="5"/>
      <c r="D239" s="5">
        <f>D73</f>
        <v>10367</v>
      </c>
      <c r="E239" s="1050">
        <f t="shared" ref="E239:I239" si="68">+E252+E262</f>
        <v>103670</v>
      </c>
      <c r="F239" s="1050">
        <f t="shared" si="68"/>
        <v>57343.612116159507</v>
      </c>
      <c r="G239" s="1050">
        <f t="shared" si="68"/>
        <v>56811.16</v>
      </c>
      <c r="H239" s="1050">
        <f t="shared" si="68"/>
        <v>52768.03</v>
      </c>
      <c r="I239" s="1050">
        <f t="shared" si="68"/>
        <v>11611.04</v>
      </c>
      <c r="J239" s="1050">
        <f t="shared" si="62"/>
        <v>282203.8421161595</v>
      </c>
      <c r="O239" s="384"/>
      <c r="P239" s="385"/>
      <c r="Q239" s="386"/>
      <c r="R239" s="386"/>
      <c r="S239" s="386"/>
      <c r="T239" s="386"/>
      <c r="U239" s="377"/>
      <c r="V239" s="377"/>
    </row>
    <row r="240" spans="1:22" ht="15.6" hidden="1" outlineLevel="2">
      <c r="A240" s="377"/>
      <c r="B240" s="1051" t="s">
        <v>590</v>
      </c>
      <c r="C240" s="1051"/>
      <c r="D240" s="1051"/>
      <c r="E240" s="1074">
        <f>SUM(E234:E239)</f>
        <v>478460</v>
      </c>
      <c r="F240" s="1074">
        <f>SUM(F234:F239)</f>
        <v>264653.46438793937</v>
      </c>
      <c r="G240" s="1074">
        <f t="shared" ref="G240" si="69">SUM(G234:G239)</f>
        <v>262196.08</v>
      </c>
      <c r="H240" s="1074">
        <f t="shared" ref="H240" si="70">SUM(H234:H239)</f>
        <v>243536.13999999998</v>
      </c>
      <c r="I240" s="1074">
        <f t="shared" ref="I240" si="71">SUM(I234:I239)</f>
        <v>53587.520000000004</v>
      </c>
      <c r="J240" s="1076">
        <f t="shared" si="62"/>
        <v>1302433.2043879393</v>
      </c>
      <c r="O240" s="384"/>
      <c r="P240" s="385"/>
      <c r="Q240" s="386"/>
      <c r="R240" s="386"/>
      <c r="S240" s="386"/>
      <c r="T240" s="386"/>
      <c r="U240" s="377"/>
      <c r="V240" s="377"/>
    </row>
    <row r="241" spans="1:22" ht="15.6" hidden="1" outlineLevel="2">
      <c r="A241" s="377"/>
      <c r="B241" s="1" t="s">
        <v>587</v>
      </c>
      <c r="E241" s="1044">
        <f>+E170</f>
        <v>60</v>
      </c>
      <c r="F241" s="1044">
        <f t="shared" ref="F241:I241" si="72">+F170</f>
        <v>24</v>
      </c>
      <c r="G241" s="1044">
        <f t="shared" si="72"/>
        <v>30</v>
      </c>
      <c r="H241" s="1044">
        <f t="shared" si="72"/>
        <v>30</v>
      </c>
      <c r="I241" s="1044">
        <f t="shared" si="72"/>
        <v>6</v>
      </c>
      <c r="J241" s="1044">
        <f t="shared" si="62"/>
        <v>150</v>
      </c>
      <c r="O241" s="384"/>
      <c r="P241" s="385"/>
      <c r="Q241" s="386"/>
      <c r="R241" s="386"/>
      <c r="S241" s="386"/>
      <c r="T241" s="386"/>
      <c r="U241" s="377"/>
      <c r="V241" s="377"/>
    </row>
    <row r="242" spans="1:22" ht="15.6" hidden="1" outlineLevel="2">
      <c r="A242" s="377"/>
      <c r="B242" s="1051" t="s">
        <v>1249</v>
      </c>
      <c r="C242" s="1061"/>
      <c r="D242" s="1061"/>
      <c r="E242" s="1078">
        <f t="shared" ref="E242:I242" si="73">+E240/E241</f>
        <v>7974.333333333333</v>
      </c>
      <c r="F242" s="1078">
        <f t="shared" si="73"/>
        <v>11027.227682830808</v>
      </c>
      <c r="G242" s="1078">
        <f t="shared" si="73"/>
        <v>8739.869333333334</v>
      </c>
      <c r="H242" s="1078">
        <f t="shared" si="73"/>
        <v>8117.8713333333326</v>
      </c>
      <c r="I242" s="1078">
        <f t="shared" si="73"/>
        <v>8931.253333333334</v>
      </c>
      <c r="J242" s="1078">
        <f>+J240/J241</f>
        <v>8682.8880292529284</v>
      </c>
      <c r="O242" s="384"/>
      <c r="P242" s="385"/>
      <c r="Q242" s="386"/>
      <c r="R242" s="386"/>
      <c r="S242" s="386"/>
      <c r="T242" s="386"/>
      <c r="U242" s="377"/>
      <c r="V242" s="377"/>
    </row>
    <row r="243" spans="1:22" ht="15.6" hidden="1" outlineLevel="2">
      <c r="A243" s="377"/>
      <c r="B243" s="1"/>
      <c r="J243" s="1044"/>
      <c r="O243" s="384"/>
      <c r="P243" s="385"/>
      <c r="Q243" s="386"/>
      <c r="R243" s="386"/>
      <c r="S243" s="386"/>
      <c r="T243" s="386"/>
      <c r="U243" s="377"/>
      <c r="V243" s="377"/>
    </row>
    <row r="244" spans="1:22" ht="15.6" hidden="1" outlineLevel="2">
      <c r="A244" s="377"/>
      <c r="E244" s="1004" t="s">
        <v>1250</v>
      </c>
      <c r="F244" s="404"/>
      <c r="G244" s="1004"/>
      <c r="H244" s="1004"/>
      <c r="I244" s="1004"/>
      <c r="J244" s="404"/>
      <c r="O244" s="384"/>
      <c r="P244" s="385"/>
      <c r="Q244" s="386"/>
      <c r="R244" s="386"/>
      <c r="S244" s="386"/>
      <c r="T244" s="386"/>
      <c r="U244" s="377"/>
      <c r="V244" s="377"/>
    </row>
    <row r="245" spans="1:22" ht="15.6" hidden="1" outlineLevel="2">
      <c r="A245" s="377"/>
      <c r="E245" s="1007" t="s">
        <v>668</v>
      </c>
      <c r="F245" s="1007" t="s">
        <v>1210</v>
      </c>
      <c r="G245" s="1007" t="s">
        <v>1211</v>
      </c>
      <c r="H245" s="1007" t="s">
        <v>1200</v>
      </c>
      <c r="I245" s="1007" t="s">
        <v>1212</v>
      </c>
      <c r="J245" s="1040"/>
      <c r="O245" s="384"/>
      <c r="P245" s="385"/>
      <c r="Q245" s="386"/>
      <c r="R245" s="386"/>
      <c r="S245" s="386"/>
      <c r="T245" s="386"/>
      <c r="U245" s="377"/>
      <c r="V245" s="377"/>
    </row>
    <row r="246" spans="1:22" ht="15.6" hidden="1" outlineLevel="2">
      <c r="A246" s="377"/>
      <c r="B246" s="1007" t="s">
        <v>1244</v>
      </c>
      <c r="C246" s="1007"/>
      <c r="D246" s="1007"/>
      <c r="E246" s="1084">
        <v>0</v>
      </c>
      <c r="F246" s="1083">
        <f>+F174</f>
        <v>0.38284007225232736</v>
      </c>
      <c r="G246" s="1083">
        <f t="shared" ref="G246:I246" si="74">+G174</f>
        <v>0.24</v>
      </c>
      <c r="H246" s="1083">
        <f t="shared" si="74"/>
        <v>0.03</v>
      </c>
      <c r="I246" s="1083">
        <f t="shared" si="74"/>
        <v>0.12</v>
      </c>
      <c r="J246" s="1007" t="s">
        <v>156</v>
      </c>
      <c r="O246" s="384"/>
      <c r="P246" s="385"/>
      <c r="Q246" s="386"/>
      <c r="R246" s="386"/>
      <c r="S246" s="386"/>
      <c r="T246" s="386"/>
      <c r="U246" s="377"/>
      <c r="V246" s="377"/>
    </row>
    <row r="247" spans="1:22" ht="15.6" hidden="1" outlineLevel="2">
      <c r="A247" s="377">
        <v>1</v>
      </c>
      <c r="B247" t="str">
        <f>+B$67</f>
        <v xml:space="preserve">Carson City </v>
      </c>
      <c r="C247" s="496"/>
      <c r="D247" s="496">
        <f>D67</f>
        <v>7494</v>
      </c>
      <c r="E247" s="1042"/>
      <c r="F247" s="1093">
        <f t="shared" ref="F247:I252" si="75">F$246*F175*$D247</f>
        <v>11476.014005835765</v>
      </c>
      <c r="G247" s="1093">
        <f t="shared" si="75"/>
        <v>3597.12</v>
      </c>
      <c r="H247" s="1093">
        <f t="shared" si="75"/>
        <v>674.45999999999992</v>
      </c>
      <c r="I247" s="1093">
        <f t="shared" si="75"/>
        <v>899.28</v>
      </c>
      <c r="J247" s="1073">
        <f t="shared" ref="J247:J253" si="76">SUM(E247:I247)</f>
        <v>16646.874005835762</v>
      </c>
      <c r="O247" s="384"/>
      <c r="P247" s="385"/>
      <c r="Q247" s="386"/>
      <c r="R247" s="386"/>
      <c r="S247" s="386"/>
      <c r="T247" s="386"/>
      <c r="U247" s="377"/>
      <c r="V247" s="377"/>
    </row>
    <row r="248" spans="1:22" ht="15.6" hidden="1" outlineLevel="2">
      <c r="A248" s="377">
        <f>1+A247</f>
        <v>2</v>
      </c>
      <c r="B248" t="str">
        <f>+$B$68</f>
        <v>Churchill</v>
      </c>
      <c r="C248" s="5"/>
      <c r="D248" s="5">
        <f>D68</f>
        <v>8093</v>
      </c>
      <c r="E248" s="1042"/>
      <c r="F248" s="1070">
        <f t="shared" si="75"/>
        <v>12393.29881895234</v>
      </c>
      <c r="G248" s="1070">
        <f t="shared" si="75"/>
        <v>3884.64</v>
      </c>
      <c r="H248" s="1070">
        <f t="shared" si="75"/>
        <v>728.37</v>
      </c>
      <c r="I248" s="1070">
        <f t="shared" si="75"/>
        <v>971.16</v>
      </c>
      <c r="J248" s="1039">
        <f t="shared" si="76"/>
        <v>17977.46881895234</v>
      </c>
      <c r="O248" s="384"/>
      <c r="P248" s="385"/>
      <c r="Q248" s="386"/>
      <c r="R248" s="386"/>
      <c r="S248" s="386"/>
      <c r="T248" s="386"/>
      <c r="U248" s="377"/>
      <c r="V248" s="377"/>
    </row>
    <row r="249" spans="1:22" ht="15.6" hidden="1" outlineLevel="2">
      <c r="A249" s="377">
        <f t="shared" ref="A249:A252" si="77">1+A248</f>
        <v>3</v>
      </c>
      <c r="B249" t="str">
        <f>+$B$69</f>
        <v>Clark</v>
      </c>
      <c r="C249" s="5"/>
      <c r="D249" s="5">
        <f>D69</f>
        <v>7197</v>
      </c>
      <c r="E249" s="1042"/>
      <c r="F249" s="1070">
        <f t="shared" si="75"/>
        <v>11021.2</v>
      </c>
      <c r="G249" s="1070">
        <f t="shared" si="75"/>
        <v>3454.56</v>
      </c>
      <c r="H249" s="1070">
        <f t="shared" si="75"/>
        <v>647.73</v>
      </c>
      <c r="I249" s="1070">
        <f t="shared" si="75"/>
        <v>863.64</v>
      </c>
      <c r="J249" s="1039">
        <f t="shared" si="76"/>
        <v>15987.13</v>
      </c>
      <c r="O249" s="384"/>
      <c r="P249" s="385"/>
      <c r="Q249" s="386"/>
      <c r="R249" s="386"/>
      <c r="S249" s="386"/>
      <c r="T249" s="386"/>
      <c r="U249" s="377"/>
      <c r="V249" s="377"/>
    </row>
    <row r="250" spans="1:22" ht="15.6" hidden="1" outlineLevel="2">
      <c r="A250" s="377">
        <f t="shared" si="77"/>
        <v>4</v>
      </c>
      <c r="B250" t="str">
        <f>+$B$70</f>
        <v>Elko</v>
      </c>
      <c r="C250" s="5"/>
      <c r="D250" s="5">
        <f>D70</f>
        <v>7715</v>
      </c>
      <c r="E250" s="1042"/>
      <c r="F250" s="1070">
        <f t="shared" si="75"/>
        <v>11814.444629706823</v>
      </c>
      <c r="G250" s="1070">
        <f t="shared" si="75"/>
        <v>3703.2</v>
      </c>
      <c r="H250" s="1070">
        <f t="shared" si="75"/>
        <v>694.35</v>
      </c>
      <c r="I250" s="1070">
        <f t="shared" si="75"/>
        <v>925.8</v>
      </c>
      <c r="J250" s="1039">
        <f t="shared" si="76"/>
        <v>17137.794629706823</v>
      </c>
      <c r="O250" s="384"/>
      <c r="P250" s="385"/>
      <c r="Q250" s="386"/>
      <c r="R250" s="386"/>
      <c r="S250" s="386"/>
      <c r="T250" s="386"/>
      <c r="U250" s="377"/>
      <c r="V250" s="377"/>
    </row>
    <row r="251" spans="1:22" ht="15.6" hidden="1" outlineLevel="2">
      <c r="A251" s="377">
        <f t="shared" si="77"/>
        <v>5</v>
      </c>
      <c r="B251" t="str">
        <f>+$B$72</f>
        <v>Washoe</v>
      </c>
      <c r="C251" s="5"/>
      <c r="D251" s="5">
        <f>D72</f>
        <v>6980</v>
      </c>
      <c r="E251" s="1042"/>
      <c r="F251" s="1070">
        <f t="shared" si="75"/>
        <v>10688.89481728498</v>
      </c>
      <c r="G251" s="1070">
        <f t="shared" si="75"/>
        <v>3350.4</v>
      </c>
      <c r="H251" s="1070">
        <f t="shared" si="75"/>
        <v>628.19999999999993</v>
      </c>
      <c r="I251" s="1070">
        <f t="shared" si="75"/>
        <v>837.6</v>
      </c>
      <c r="J251" s="1039">
        <f t="shared" si="76"/>
        <v>15505.09481728498</v>
      </c>
      <c r="O251" s="384"/>
      <c r="P251" s="385"/>
      <c r="Q251" s="386"/>
      <c r="R251" s="386"/>
      <c r="S251" s="386"/>
      <c r="T251" s="386"/>
      <c r="U251" s="377"/>
      <c r="V251" s="377"/>
    </row>
    <row r="252" spans="1:22" ht="15.6" hidden="1" outlineLevel="2">
      <c r="A252" s="377">
        <f t="shared" si="77"/>
        <v>6</v>
      </c>
      <c r="B252" t="str">
        <f>+$B$73</f>
        <v>White Pine</v>
      </c>
      <c r="C252" s="5"/>
      <c r="D252" s="5">
        <f>D73</f>
        <v>10367</v>
      </c>
      <c r="E252" s="1042"/>
      <c r="F252" s="1071">
        <f t="shared" si="75"/>
        <v>15875.612116159511</v>
      </c>
      <c r="G252" s="1071">
        <f t="shared" si="75"/>
        <v>4976.16</v>
      </c>
      <c r="H252" s="1071">
        <f t="shared" si="75"/>
        <v>933.03</v>
      </c>
      <c r="I252" s="1071">
        <f t="shared" si="75"/>
        <v>1244.04</v>
      </c>
      <c r="J252" s="1050">
        <f t="shared" si="76"/>
        <v>23028.842116159511</v>
      </c>
      <c r="O252" s="384"/>
      <c r="P252" s="385"/>
      <c r="Q252" s="386"/>
      <c r="R252" s="386"/>
      <c r="S252" s="386"/>
      <c r="T252" s="386"/>
      <c r="U252" s="377"/>
      <c r="V252" s="377"/>
    </row>
    <row r="253" spans="1:22" ht="15.6" hidden="1" outlineLevel="2">
      <c r="A253" s="377"/>
      <c r="B253" s="1051" t="s">
        <v>156</v>
      </c>
      <c r="C253" s="1051"/>
      <c r="D253" s="1051"/>
      <c r="E253" s="1079"/>
      <c r="F253" s="1078">
        <f t="shared" ref="F253" si="78">SUM(F247:F252)</f>
        <v>73269.464387939413</v>
      </c>
      <c r="G253" s="1078">
        <f t="shared" ref="G253" si="79">SUM(G247:G252)</f>
        <v>22966.080000000002</v>
      </c>
      <c r="H253" s="1078">
        <f t="shared" ref="H253" si="80">SUM(H247:H252)</f>
        <v>4306.1399999999994</v>
      </c>
      <c r="I253" s="1078">
        <f t="shared" ref="I253" si="81">SUM(I247:I252)</f>
        <v>5741.52</v>
      </c>
      <c r="J253" s="1074">
        <f t="shared" si="76"/>
        <v>106283.20438793942</v>
      </c>
      <c r="O253" s="384"/>
      <c r="P253" s="385"/>
      <c r="Q253" s="386"/>
      <c r="R253" s="386"/>
      <c r="S253" s="386"/>
      <c r="T253" s="386"/>
      <c r="U253" s="377"/>
      <c r="V253" s="377"/>
    </row>
    <row r="254" spans="1:22" ht="15.6" hidden="1" outlineLevel="2">
      <c r="A254" s="377"/>
      <c r="O254" s="384"/>
      <c r="P254" s="385"/>
      <c r="Q254" s="386"/>
      <c r="R254" s="386"/>
      <c r="S254" s="386"/>
      <c r="T254" s="386"/>
      <c r="U254" s="377"/>
      <c r="V254" s="377"/>
    </row>
    <row r="255" spans="1:22" ht="15.6" hidden="1" outlineLevel="2">
      <c r="A255" s="377"/>
      <c r="E255" s="1004" t="s">
        <v>1251</v>
      </c>
      <c r="F255" s="1"/>
      <c r="G255" s="404"/>
      <c r="H255" s="404"/>
      <c r="I255" s="404"/>
      <c r="O255" s="384"/>
      <c r="P255" s="385"/>
      <c r="Q255" s="386"/>
      <c r="R255" s="386"/>
      <c r="S255" s="386"/>
      <c r="T255" s="386"/>
      <c r="U255" s="377"/>
      <c r="V255" s="377"/>
    </row>
    <row r="256" spans="1:22" ht="15.6" hidden="1" outlineLevel="2">
      <c r="A256" s="377"/>
      <c r="E256" s="1007" t="s">
        <v>668</v>
      </c>
      <c r="F256" s="1052" t="s">
        <v>1210</v>
      </c>
      <c r="G256" s="1007" t="s">
        <v>1211</v>
      </c>
      <c r="H256" s="1007" t="s">
        <v>1200</v>
      </c>
      <c r="I256" s="1007" t="s">
        <v>1212</v>
      </c>
      <c r="J256" s="1052" t="s">
        <v>156</v>
      </c>
      <c r="O256" s="384"/>
      <c r="P256" s="385"/>
      <c r="Q256" s="386"/>
      <c r="R256" s="386"/>
      <c r="S256" s="386"/>
      <c r="T256" s="386"/>
      <c r="U256" s="377"/>
      <c r="V256" s="377"/>
    </row>
    <row r="257" spans="1:22" ht="15.6" hidden="1" outlineLevel="2">
      <c r="A257" s="377">
        <v>1</v>
      </c>
      <c r="B257" t="str">
        <f>+B$67</f>
        <v xml:space="preserve">Carson City </v>
      </c>
      <c r="C257" s="496"/>
      <c r="D257" s="496">
        <f>D67</f>
        <v>7494</v>
      </c>
      <c r="E257" s="1094">
        <f>+$D67*E164</f>
        <v>74940</v>
      </c>
      <c r="F257" s="1094">
        <f>+$D257*F164</f>
        <v>29976</v>
      </c>
      <c r="G257" s="1094">
        <f t="shared" ref="G257:I260" si="82">+$D67*G164</f>
        <v>37470</v>
      </c>
      <c r="H257" s="1094">
        <f t="shared" si="82"/>
        <v>37470</v>
      </c>
      <c r="I257" s="1094">
        <f t="shared" si="82"/>
        <v>7494</v>
      </c>
      <c r="J257" s="1077">
        <f t="shared" ref="J257:J263" si="83">SUM(E257:I257)</f>
        <v>187350</v>
      </c>
      <c r="O257" s="384"/>
      <c r="P257" s="385"/>
      <c r="Q257" s="386"/>
      <c r="R257" s="386"/>
      <c r="S257" s="386"/>
      <c r="T257" s="386"/>
      <c r="U257" s="377"/>
      <c r="V257" s="377"/>
    </row>
    <row r="258" spans="1:22" ht="15.6" hidden="1" outlineLevel="2">
      <c r="A258" s="377">
        <f>1+A257</f>
        <v>2</v>
      </c>
      <c r="B258" t="str">
        <f>+$B$68</f>
        <v>Churchill</v>
      </c>
      <c r="C258" s="5"/>
      <c r="D258" s="5">
        <f>D68</f>
        <v>8093</v>
      </c>
      <c r="E258" s="1054">
        <f>+$D68*E165</f>
        <v>80930</v>
      </c>
      <c r="F258" s="1054">
        <f>+$D68*F165</f>
        <v>32372</v>
      </c>
      <c r="G258" s="1054">
        <f t="shared" si="82"/>
        <v>40465</v>
      </c>
      <c r="H258" s="1054">
        <f t="shared" si="82"/>
        <v>40465</v>
      </c>
      <c r="I258" s="1054">
        <f t="shared" si="82"/>
        <v>8093</v>
      </c>
      <c r="J258" s="1044">
        <f t="shared" si="83"/>
        <v>202325</v>
      </c>
      <c r="O258" s="384"/>
      <c r="P258" s="385"/>
      <c r="Q258" s="386"/>
      <c r="R258" s="386"/>
      <c r="S258" s="386"/>
      <c r="T258" s="386"/>
      <c r="U258" s="377"/>
      <c r="V258" s="377"/>
    </row>
    <row r="259" spans="1:22" ht="15.6" hidden="1" outlineLevel="2">
      <c r="A259" s="377">
        <f t="shared" ref="A259:A262" si="84">1+A258</f>
        <v>3</v>
      </c>
      <c r="B259" t="str">
        <f>+$B$69</f>
        <v>Clark</v>
      </c>
      <c r="C259" s="5"/>
      <c r="D259" s="5">
        <f>D69</f>
        <v>7197</v>
      </c>
      <c r="E259" s="1054">
        <f>+$D69*E166</f>
        <v>71970</v>
      </c>
      <c r="F259" s="1054">
        <f>+$D69*F166</f>
        <v>28788</v>
      </c>
      <c r="G259" s="1054">
        <f t="shared" si="82"/>
        <v>35985</v>
      </c>
      <c r="H259" s="1054">
        <f t="shared" si="82"/>
        <v>35985</v>
      </c>
      <c r="I259" s="1054">
        <f t="shared" si="82"/>
        <v>7197</v>
      </c>
      <c r="J259" s="1044">
        <f t="shared" si="83"/>
        <v>179925</v>
      </c>
      <c r="O259" s="384"/>
      <c r="P259" s="385"/>
      <c r="Q259" s="386"/>
      <c r="R259" s="386"/>
      <c r="S259" s="386"/>
      <c r="T259" s="386"/>
      <c r="U259" s="377"/>
      <c r="V259" s="377"/>
    </row>
    <row r="260" spans="1:22" ht="15.6" hidden="1" outlineLevel="2">
      <c r="A260" s="377">
        <f t="shared" si="84"/>
        <v>4</v>
      </c>
      <c r="B260" t="str">
        <f>+$B$70</f>
        <v>Elko</v>
      </c>
      <c r="C260" s="5"/>
      <c r="D260" s="5">
        <f>D70</f>
        <v>7715</v>
      </c>
      <c r="E260" s="1054">
        <f>+$D70*E167</f>
        <v>77150</v>
      </c>
      <c r="F260" s="1054">
        <f>+$D70*F167</f>
        <v>30860</v>
      </c>
      <c r="G260" s="1054">
        <f t="shared" si="82"/>
        <v>38575</v>
      </c>
      <c r="H260" s="1054">
        <f t="shared" si="82"/>
        <v>38575</v>
      </c>
      <c r="I260" s="1054">
        <f t="shared" si="82"/>
        <v>7715</v>
      </c>
      <c r="J260" s="1044">
        <f t="shared" si="83"/>
        <v>192875</v>
      </c>
      <c r="O260" s="384"/>
      <c r="P260" s="385"/>
      <c r="Q260" s="386"/>
      <c r="R260" s="386"/>
      <c r="S260" s="386"/>
      <c r="T260" s="386"/>
      <c r="U260" s="377"/>
      <c r="V260" s="377"/>
    </row>
    <row r="261" spans="1:22" ht="15.6" hidden="1" outlineLevel="2">
      <c r="A261" s="377">
        <f t="shared" si="84"/>
        <v>5</v>
      </c>
      <c r="B261" t="str">
        <f>+$B$72</f>
        <v>Washoe</v>
      </c>
      <c r="C261" s="5"/>
      <c r="D261" s="5">
        <f>D72</f>
        <v>6980</v>
      </c>
      <c r="E261" s="1054">
        <f t="shared" ref="E261:I262" si="85">+$D72*E168</f>
        <v>69800</v>
      </c>
      <c r="F261" s="1054">
        <f t="shared" si="85"/>
        <v>27920</v>
      </c>
      <c r="G261" s="1054">
        <f t="shared" si="85"/>
        <v>34900</v>
      </c>
      <c r="H261" s="1054">
        <f t="shared" si="85"/>
        <v>34900</v>
      </c>
      <c r="I261" s="1054">
        <f t="shared" si="85"/>
        <v>6980</v>
      </c>
      <c r="J261" s="1044">
        <f t="shared" si="83"/>
        <v>174500</v>
      </c>
      <c r="O261" s="384"/>
      <c r="P261" s="385"/>
      <c r="Q261" s="386"/>
      <c r="R261" s="386"/>
      <c r="S261" s="386"/>
      <c r="T261" s="386"/>
      <c r="U261" s="377"/>
      <c r="V261" s="377"/>
    </row>
    <row r="262" spans="1:22" ht="15.6" hidden="1" outlineLevel="2">
      <c r="A262" s="377">
        <f t="shared" si="84"/>
        <v>6</v>
      </c>
      <c r="B262" t="str">
        <f>+$B$73</f>
        <v>White Pine</v>
      </c>
      <c r="C262" s="5"/>
      <c r="D262" s="5">
        <f>D73</f>
        <v>10367</v>
      </c>
      <c r="E262" s="1055">
        <f t="shared" si="85"/>
        <v>103670</v>
      </c>
      <c r="F262" s="1055">
        <f t="shared" si="85"/>
        <v>41468</v>
      </c>
      <c r="G262" s="1055">
        <f t="shared" si="85"/>
        <v>51835</v>
      </c>
      <c r="H262" s="1055">
        <f t="shared" si="85"/>
        <v>51835</v>
      </c>
      <c r="I262" s="1055">
        <f t="shared" si="85"/>
        <v>10367</v>
      </c>
      <c r="J262" s="1044">
        <f t="shared" si="83"/>
        <v>259175</v>
      </c>
      <c r="O262" s="384"/>
      <c r="P262" s="385"/>
      <c r="Q262" s="386"/>
      <c r="R262" s="386"/>
      <c r="S262" s="386"/>
      <c r="T262" s="386"/>
      <c r="U262" s="377"/>
      <c r="V262" s="377"/>
    </row>
    <row r="263" spans="1:22" ht="15.6" hidden="1" outlineLevel="2">
      <c r="A263" s="377"/>
      <c r="B263" s="1051" t="s">
        <v>156</v>
      </c>
      <c r="C263" s="1051"/>
      <c r="D263" s="1051"/>
      <c r="E263" s="1078">
        <f>SUM(E257:E262)</f>
        <v>478460</v>
      </c>
      <c r="F263" s="1078">
        <f t="shared" ref="F263" si="86">SUM(F257:F262)</f>
        <v>191384</v>
      </c>
      <c r="G263" s="1078">
        <f t="shared" ref="G263" si="87">SUM(G257:G262)</f>
        <v>239230</v>
      </c>
      <c r="H263" s="1078">
        <f t="shared" ref="H263" si="88">SUM(H257:H262)</f>
        <v>239230</v>
      </c>
      <c r="I263" s="1078">
        <f t="shared" ref="I263" si="89">SUM(I257:I262)</f>
        <v>47846</v>
      </c>
      <c r="J263" s="1078">
        <f t="shared" si="83"/>
        <v>1196150</v>
      </c>
      <c r="O263" s="384"/>
      <c r="P263" s="385"/>
      <c r="Q263" s="386"/>
      <c r="R263" s="386"/>
      <c r="S263" s="386"/>
      <c r="T263" s="386"/>
      <c r="U263" s="377"/>
      <c r="V263" s="377"/>
    </row>
    <row r="264" spans="1:22" ht="15.6" hidden="1" outlineLevel="2">
      <c r="A264" s="377"/>
      <c r="O264" s="384"/>
      <c r="P264" s="385"/>
      <c r="Q264" s="386"/>
      <c r="R264" s="386"/>
      <c r="S264" s="386"/>
      <c r="T264" s="386"/>
      <c r="U264" s="377"/>
      <c r="V264" s="377"/>
    </row>
    <row r="265" spans="1:22" ht="15.6" hidden="1" outlineLevel="2">
      <c r="A265" s="377"/>
      <c r="B265" s="1051" t="s">
        <v>1246</v>
      </c>
      <c r="C265" s="1051"/>
      <c r="D265" s="1051"/>
      <c r="E265" s="1078">
        <f>+E253+E263</f>
        <v>478460</v>
      </c>
      <c r="F265" s="1078">
        <f t="shared" ref="F265:I265" si="90">+F253+F263</f>
        <v>264653.46438793943</v>
      </c>
      <c r="G265" s="1078">
        <f t="shared" si="90"/>
        <v>262196.08</v>
      </c>
      <c r="H265" s="1078">
        <f t="shared" si="90"/>
        <v>243536.14</v>
      </c>
      <c r="I265" s="1078">
        <f t="shared" si="90"/>
        <v>53587.520000000004</v>
      </c>
      <c r="J265" s="1080">
        <f>SUM(E265:I265)</f>
        <v>1302433.2043879395</v>
      </c>
      <c r="O265" s="384"/>
      <c r="P265" s="385"/>
      <c r="Q265" s="386"/>
      <c r="R265" s="386"/>
      <c r="S265" s="386"/>
      <c r="T265" s="386"/>
      <c r="U265" s="377"/>
      <c r="V265" s="377"/>
    </row>
    <row r="266" spans="1:22" ht="15.6" hidden="1" outlineLevel="2">
      <c r="A266" s="377"/>
      <c r="O266" s="384"/>
      <c r="P266" s="385"/>
      <c r="Q266" s="386"/>
      <c r="R266" s="386"/>
      <c r="S266" s="386"/>
      <c r="T266" s="386"/>
      <c r="U266" s="377"/>
      <c r="V266" s="377"/>
    </row>
    <row r="267" spans="1:22" ht="15.6" hidden="1" outlineLevel="2">
      <c r="A267" s="377"/>
      <c r="B267" s="1067" t="s">
        <v>491</v>
      </c>
      <c r="C267" s="1067"/>
      <c r="D267" s="1067"/>
      <c r="E267" s="1068"/>
      <c r="F267" s="1068"/>
      <c r="G267" s="1068"/>
      <c r="H267" s="1068"/>
      <c r="I267" s="1068"/>
      <c r="J267" s="1068"/>
      <c r="O267" s="384"/>
      <c r="P267" s="385"/>
      <c r="Q267" s="386"/>
      <c r="R267" s="386"/>
      <c r="S267" s="386"/>
      <c r="T267" s="386"/>
      <c r="U267" s="377"/>
      <c r="V267" s="377"/>
    </row>
    <row r="268" spans="1:22" ht="15.6" hidden="1" outlineLevel="2">
      <c r="A268" s="377"/>
      <c r="B268" s="1062" t="s">
        <v>1247</v>
      </c>
      <c r="C268" s="1062"/>
      <c r="D268" s="1062"/>
      <c r="E268" s="1062"/>
      <c r="F268" s="1016"/>
      <c r="G268" s="1062"/>
      <c r="H268" s="1016"/>
      <c r="I268" s="1016"/>
      <c r="J268" s="1063"/>
      <c r="O268" s="384"/>
      <c r="P268" s="385"/>
      <c r="Q268" s="386"/>
      <c r="R268" s="386"/>
      <c r="S268" s="386"/>
      <c r="T268" s="386"/>
      <c r="U268" s="377"/>
      <c r="V268" s="377"/>
    </row>
    <row r="269" spans="1:22" ht="15.6" hidden="1" outlineLevel="2">
      <c r="A269" s="377"/>
      <c r="B269" s="1004"/>
      <c r="C269" s="1004"/>
      <c r="D269" s="1004"/>
      <c r="E269" s="1004" t="s">
        <v>1242</v>
      </c>
      <c r="F269" s="404"/>
      <c r="G269" s="1004"/>
      <c r="H269" s="404"/>
      <c r="I269" s="404"/>
      <c r="J269" s="1058"/>
      <c r="O269" s="384"/>
      <c r="P269" s="385"/>
      <c r="Q269" s="386"/>
      <c r="R269" s="386"/>
      <c r="S269" s="386"/>
      <c r="T269" s="386"/>
      <c r="U269" s="377"/>
      <c r="V269" s="377"/>
    </row>
    <row r="270" spans="1:22" ht="15.6" hidden="1" outlineLevel="2">
      <c r="A270" s="377"/>
      <c r="B270" s="1007"/>
      <c r="C270" s="1007"/>
      <c r="D270" s="1007"/>
      <c r="E270" s="1007" t="s">
        <v>668</v>
      </c>
      <c r="F270" s="1007" t="s">
        <v>1210</v>
      </c>
      <c r="G270" s="1007" t="s">
        <v>1211</v>
      </c>
      <c r="H270" s="1007" t="s">
        <v>1200</v>
      </c>
      <c r="I270" s="1007" t="s">
        <v>1212</v>
      </c>
      <c r="J270" s="1007" t="s">
        <v>156</v>
      </c>
      <c r="O270" s="384"/>
      <c r="P270" s="385"/>
      <c r="Q270" s="386"/>
      <c r="R270" s="386"/>
      <c r="S270" s="386"/>
      <c r="T270" s="386"/>
      <c r="U270" s="377"/>
      <c r="V270" s="377"/>
    </row>
    <row r="271" spans="1:22" ht="15.6" hidden="1" outlineLevel="2">
      <c r="A271" s="377">
        <v>1</v>
      </c>
      <c r="B271" t="str">
        <f>+B$67</f>
        <v xml:space="preserve">Carson City </v>
      </c>
      <c r="C271" s="496"/>
      <c r="D271" s="496">
        <f>$D$50</f>
        <v>8966</v>
      </c>
      <c r="E271" s="1075">
        <f t="shared" ref="E271" si="91">+E282+E292</f>
        <v>0</v>
      </c>
      <c r="F271" s="1075">
        <f>+F282+F292</f>
        <v>68650.881756287345</v>
      </c>
      <c r="G271" s="1075">
        <f t="shared" ref="G271:I271" si="92">+G282+G292</f>
        <v>43036.799999999996</v>
      </c>
      <c r="H271" s="1075">
        <f t="shared" si="92"/>
        <v>8069.4</v>
      </c>
      <c r="I271" s="1075">
        <f t="shared" si="92"/>
        <v>1075.92</v>
      </c>
      <c r="J271" s="1073">
        <f t="shared" ref="J271:J277" si="93">SUM(E271:I271)</f>
        <v>120833.00175628734</v>
      </c>
      <c r="O271" s="384"/>
      <c r="P271" s="385"/>
      <c r="Q271" s="386"/>
      <c r="R271" s="386"/>
      <c r="S271" s="386"/>
      <c r="T271" s="386"/>
      <c r="U271" s="377"/>
      <c r="V271" s="377"/>
    </row>
    <row r="272" spans="1:22" ht="15.6" hidden="1" outlineLevel="2">
      <c r="A272" s="377">
        <f>1+A271</f>
        <v>2</v>
      </c>
      <c r="B272" t="str">
        <f>+$B$68</f>
        <v>Churchill</v>
      </c>
      <c r="C272" s="5"/>
      <c r="D272" s="5">
        <f t="shared" ref="D272:D276" si="94">$D$50</f>
        <v>8966</v>
      </c>
      <c r="E272" s="1039">
        <f t="shared" ref="E272:I272" si="95">+E283+E293</f>
        <v>0</v>
      </c>
      <c r="F272" s="1039">
        <f t="shared" si="95"/>
        <v>0</v>
      </c>
      <c r="G272" s="1039">
        <f t="shared" si="95"/>
        <v>0</v>
      </c>
      <c r="H272" s="1039">
        <f t="shared" si="95"/>
        <v>0</v>
      </c>
      <c r="I272" s="1039">
        <f t="shared" si="95"/>
        <v>0</v>
      </c>
      <c r="J272" s="1039">
        <f t="shared" si="93"/>
        <v>0</v>
      </c>
      <c r="O272" s="384"/>
      <c r="P272" s="385"/>
      <c r="Q272" s="386"/>
      <c r="R272" s="386"/>
      <c r="S272" s="386"/>
      <c r="T272" s="386"/>
      <c r="U272" s="377"/>
      <c r="V272" s="377"/>
    </row>
    <row r="273" spans="1:22" ht="15.6" hidden="1" outlineLevel="2">
      <c r="A273" s="377">
        <f t="shared" ref="A273:A276" si="96">1+A272</f>
        <v>3</v>
      </c>
      <c r="B273" t="str">
        <f>+$B$69</f>
        <v>Clark</v>
      </c>
      <c r="C273" s="5"/>
      <c r="D273" s="5">
        <f t="shared" si="94"/>
        <v>8966</v>
      </c>
      <c r="E273" s="1039">
        <f t="shared" ref="E273:I273" si="97">+E284+E294</f>
        <v>0</v>
      </c>
      <c r="F273" s="1039">
        <f t="shared" si="97"/>
        <v>102976.32263443101</v>
      </c>
      <c r="G273" s="1039">
        <f t="shared" si="97"/>
        <v>0</v>
      </c>
      <c r="H273" s="1039">
        <f t="shared" si="97"/>
        <v>0</v>
      </c>
      <c r="I273" s="1039">
        <f t="shared" si="97"/>
        <v>0</v>
      </c>
      <c r="J273" s="1039">
        <f t="shared" si="93"/>
        <v>102976.32263443101</v>
      </c>
      <c r="O273" s="384"/>
      <c r="P273" s="385"/>
      <c r="Q273" s="386"/>
      <c r="R273" s="386"/>
      <c r="S273" s="386"/>
      <c r="T273" s="386"/>
      <c r="U273" s="377"/>
      <c r="V273" s="377"/>
    </row>
    <row r="274" spans="1:22" ht="15.6" hidden="1" outlineLevel="2">
      <c r="A274" s="377">
        <f t="shared" si="96"/>
        <v>4</v>
      </c>
      <c r="B274" t="str">
        <f>+$B$70</f>
        <v>Elko</v>
      </c>
      <c r="C274" s="5"/>
      <c r="D274" s="5">
        <f t="shared" si="94"/>
        <v>8966</v>
      </c>
      <c r="E274" s="1039">
        <f t="shared" ref="E274:I274" si="98">+E285+E295</f>
        <v>0</v>
      </c>
      <c r="F274" s="1039">
        <f t="shared" si="98"/>
        <v>17162.720439071836</v>
      </c>
      <c r="G274" s="1039">
        <f t="shared" si="98"/>
        <v>0</v>
      </c>
      <c r="H274" s="1039">
        <f t="shared" si="98"/>
        <v>0</v>
      </c>
      <c r="I274" s="1039">
        <f t="shared" si="98"/>
        <v>0</v>
      </c>
      <c r="J274" s="1039">
        <f t="shared" si="93"/>
        <v>17162.720439071836</v>
      </c>
      <c r="O274" s="384"/>
      <c r="P274" s="385"/>
      <c r="Q274" s="386"/>
      <c r="R274" s="386"/>
      <c r="S274" s="386"/>
      <c r="T274" s="386"/>
      <c r="U274" s="377"/>
      <c r="V274" s="377"/>
    </row>
    <row r="275" spans="1:22" ht="15.6" hidden="1" outlineLevel="2">
      <c r="A275" s="377">
        <f t="shared" si="96"/>
        <v>5</v>
      </c>
      <c r="B275" t="str">
        <f>+$B$72</f>
        <v>Washoe</v>
      </c>
      <c r="C275" s="5"/>
      <c r="D275" s="5">
        <f t="shared" si="94"/>
        <v>8966</v>
      </c>
      <c r="E275" s="1050">
        <f t="shared" ref="E275:I275" si="99">+E286+E296</f>
        <v>0</v>
      </c>
      <c r="F275" s="1050">
        <f t="shared" si="99"/>
        <v>34325.440878143672</v>
      </c>
      <c r="G275" s="1050">
        <f t="shared" si="99"/>
        <v>0</v>
      </c>
      <c r="H275" s="1050">
        <f t="shared" si="99"/>
        <v>0</v>
      </c>
      <c r="I275" s="1050">
        <f t="shared" si="99"/>
        <v>0</v>
      </c>
      <c r="J275" s="1039">
        <f t="shared" si="93"/>
        <v>34325.440878143672</v>
      </c>
      <c r="O275" s="384"/>
      <c r="P275" s="385"/>
      <c r="Q275" s="386"/>
      <c r="R275" s="386"/>
      <c r="S275" s="386"/>
      <c r="T275" s="386"/>
      <c r="U275" s="377"/>
      <c r="V275" s="377"/>
    </row>
    <row r="276" spans="1:22" ht="15.6" hidden="1" outlineLevel="2">
      <c r="A276" s="377">
        <f t="shared" si="96"/>
        <v>6</v>
      </c>
      <c r="B276" t="str">
        <f>+$B$73</f>
        <v>White Pine</v>
      </c>
      <c r="C276" s="5"/>
      <c r="D276" s="5">
        <f t="shared" si="94"/>
        <v>8966</v>
      </c>
      <c r="E276" s="1050">
        <f t="shared" ref="E276:I276" si="100">+E287+E297</f>
        <v>0</v>
      </c>
      <c r="F276" s="1050">
        <f t="shared" si="100"/>
        <v>0</v>
      </c>
      <c r="G276" s="1050">
        <f t="shared" si="100"/>
        <v>0</v>
      </c>
      <c r="H276" s="1050">
        <f t="shared" si="100"/>
        <v>0</v>
      </c>
      <c r="I276" s="1050">
        <f t="shared" si="100"/>
        <v>0</v>
      </c>
      <c r="J276" s="1050">
        <f t="shared" si="93"/>
        <v>0</v>
      </c>
      <c r="O276" s="384"/>
      <c r="P276" s="385"/>
      <c r="Q276" s="386"/>
      <c r="R276" s="386"/>
      <c r="S276" s="386"/>
      <c r="T276" s="386"/>
      <c r="U276" s="377"/>
      <c r="V276" s="377"/>
    </row>
    <row r="277" spans="1:22" ht="15.6" hidden="1" outlineLevel="2">
      <c r="A277" s="377"/>
      <c r="B277" s="1051" t="s">
        <v>156</v>
      </c>
      <c r="C277" s="1051"/>
      <c r="D277" s="1051"/>
      <c r="E277" s="1074">
        <f>SUM(E271:E276)</f>
        <v>0</v>
      </c>
      <c r="F277" s="1074">
        <f>SUM(F271:F276)</f>
        <v>223115.36570793387</v>
      </c>
      <c r="G277" s="1074">
        <f t="shared" ref="G277" si="101">SUM(G271:G276)</f>
        <v>43036.799999999996</v>
      </c>
      <c r="H277" s="1074">
        <f t="shared" ref="H277" si="102">SUM(H271:H276)</f>
        <v>8069.4</v>
      </c>
      <c r="I277" s="1074">
        <f t="shared" ref="I277" si="103">SUM(I271:I276)</f>
        <v>1075.92</v>
      </c>
      <c r="J277" s="1076">
        <f t="shared" si="93"/>
        <v>275297.4857079339</v>
      </c>
      <c r="O277" s="384"/>
      <c r="P277" s="385"/>
      <c r="Q277" s="386"/>
      <c r="R277" s="386"/>
      <c r="S277" s="386"/>
      <c r="T277" s="386"/>
      <c r="U277" s="377"/>
      <c r="V277" s="377"/>
    </row>
    <row r="278" spans="1:22" ht="15.6" hidden="1" outlineLevel="2">
      <c r="A278" s="377"/>
      <c r="J278" s="1044"/>
      <c r="O278" s="384"/>
      <c r="P278" s="385"/>
      <c r="Q278" s="386"/>
      <c r="R278" s="386"/>
      <c r="S278" s="386"/>
      <c r="T278" s="386"/>
      <c r="U278" s="377"/>
      <c r="V278" s="377"/>
    </row>
    <row r="279" spans="1:22" ht="15.6" hidden="1" outlineLevel="2">
      <c r="A279" s="377"/>
      <c r="E279" s="1004" t="s">
        <v>1250</v>
      </c>
      <c r="F279" s="404"/>
      <c r="G279" s="1004"/>
      <c r="H279" s="1004"/>
      <c r="I279" s="1004"/>
      <c r="J279" s="404"/>
      <c r="O279" s="384"/>
      <c r="P279" s="385"/>
      <c r="Q279" s="386"/>
      <c r="R279" s="386"/>
      <c r="S279" s="386"/>
      <c r="T279" s="386"/>
      <c r="U279" s="377"/>
      <c r="V279" s="377"/>
    </row>
    <row r="280" spans="1:22" ht="15.6" hidden="1" outlineLevel="2">
      <c r="A280" s="377"/>
      <c r="E280" s="1007" t="s">
        <v>668</v>
      </c>
      <c r="F280" s="1007" t="s">
        <v>1210</v>
      </c>
      <c r="G280" s="1007" t="s">
        <v>1211</v>
      </c>
      <c r="H280" s="1007" t="s">
        <v>1200</v>
      </c>
      <c r="I280" s="1007" t="s">
        <v>1212</v>
      </c>
      <c r="J280" s="1040"/>
      <c r="O280" s="384"/>
      <c r="P280" s="385"/>
      <c r="Q280" s="386"/>
      <c r="R280" s="386"/>
      <c r="S280" s="386"/>
      <c r="T280" s="386"/>
      <c r="U280" s="377"/>
      <c r="V280" s="377"/>
    </row>
    <row r="281" spans="1:22" ht="15.6" hidden="1" outlineLevel="2">
      <c r="A281" s="377"/>
      <c r="E281" s="1040"/>
      <c r="F281" s="1037">
        <f>+F246</f>
        <v>0.38284007225232736</v>
      </c>
      <c r="G281" s="1037">
        <f t="shared" ref="G281:I281" si="104">+G246</f>
        <v>0.24</v>
      </c>
      <c r="H281" s="1037">
        <f t="shared" si="104"/>
        <v>0.03</v>
      </c>
      <c r="I281" s="1037">
        <f t="shared" si="104"/>
        <v>0.12</v>
      </c>
      <c r="J281" s="1007" t="s">
        <v>156</v>
      </c>
      <c r="O281" s="384"/>
      <c r="P281" s="385"/>
      <c r="Q281" s="386"/>
      <c r="R281" s="386"/>
      <c r="S281" s="386"/>
      <c r="T281" s="386"/>
      <c r="U281" s="377"/>
      <c r="V281" s="377"/>
    </row>
    <row r="282" spans="1:22" ht="15.6" hidden="1" outlineLevel="2">
      <c r="A282" s="377">
        <v>1</v>
      </c>
      <c r="B282" t="str">
        <f>+B$67</f>
        <v xml:space="preserve">Carson City </v>
      </c>
      <c r="C282" s="5"/>
      <c r="D282" s="5">
        <f t="shared" ref="D282:D287" si="105">$D$50</f>
        <v>8966</v>
      </c>
      <c r="E282" s="1042"/>
      <c r="F282" s="1093">
        <f t="shared" ref="F282:I287" si="106">F$246*F210*$D282</f>
        <v>68650.881756287345</v>
      </c>
      <c r="G282" s="1093">
        <f t="shared" si="106"/>
        <v>43036.799999999996</v>
      </c>
      <c r="H282" s="1093">
        <f t="shared" si="106"/>
        <v>8069.4</v>
      </c>
      <c r="I282" s="1093">
        <f t="shared" si="106"/>
        <v>1075.92</v>
      </c>
      <c r="J282" s="1073">
        <f t="shared" ref="J282:J288" si="107">SUM(E282:I282)</f>
        <v>120833.00175628734</v>
      </c>
      <c r="O282" s="384"/>
      <c r="P282" s="385"/>
      <c r="Q282" s="386"/>
      <c r="R282" s="386"/>
      <c r="S282" s="386"/>
      <c r="T282" s="386"/>
      <c r="U282" s="377"/>
      <c r="V282" s="377"/>
    </row>
    <row r="283" spans="1:22" ht="15.6" hidden="1" outlineLevel="2">
      <c r="A283" s="377">
        <f>1+A282</f>
        <v>2</v>
      </c>
      <c r="B283" t="str">
        <f>+$B$68</f>
        <v>Churchill</v>
      </c>
      <c r="C283" s="5"/>
      <c r="D283" s="5">
        <f t="shared" si="105"/>
        <v>8966</v>
      </c>
      <c r="E283" s="1042"/>
      <c r="F283" s="1070">
        <f t="shared" si="106"/>
        <v>0</v>
      </c>
      <c r="G283" s="1070">
        <f t="shared" si="106"/>
        <v>0</v>
      </c>
      <c r="H283" s="1070">
        <f t="shared" si="106"/>
        <v>0</v>
      </c>
      <c r="I283" s="1070">
        <f t="shared" si="106"/>
        <v>0</v>
      </c>
      <c r="J283" s="1039">
        <f t="shared" si="107"/>
        <v>0</v>
      </c>
      <c r="O283" s="384"/>
      <c r="P283" s="385"/>
      <c r="Q283" s="386"/>
      <c r="R283" s="386"/>
      <c r="S283" s="386"/>
      <c r="T283" s="386"/>
      <c r="U283" s="377"/>
      <c r="V283" s="377"/>
    </row>
    <row r="284" spans="1:22" ht="15.6" hidden="1" outlineLevel="2">
      <c r="A284" s="377">
        <f t="shared" ref="A284:A287" si="108">1+A283</f>
        <v>3</v>
      </c>
      <c r="B284" t="str">
        <f>+$B$69</f>
        <v>Clark</v>
      </c>
      <c r="C284" s="5"/>
      <c r="D284" s="5">
        <f t="shared" si="105"/>
        <v>8966</v>
      </c>
      <c r="E284" s="1042"/>
      <c r="F284" s="1070">
        <f t="shared" si="106"/>
        <v>102976.32263443101</v>
      </c>
      <c r="G284" s="1070">
        <f t="shared" si="106"/>
        <v>0</v>
      </c>
      <c r="H284" s="1070">
        <f t="shared" si="106"/>
        <v>0</v>
      </c>
      <c r="I284" s="1070">
        <f t="shared" si="106"/>
        <v>0</v>
      </c>
      <c r="J284" s="1039">
        <f t="shared" si="107"/>
        <v>102976.32263443101</v>
      </c>
      <c r="O284" s="384"/>
      <c r="P284" s="385"/>
      <c r="Q284" s="386"/>
      <c r="R284" s="386"/>
      <c r="S284" s="386"/>
      <c r="T284" s="386"/>
      <c r="U284" s="377"/>
      <c r="V284" s="377"/>
    </row>
    <row r="285" spans="1:22" ht="15.6" hidden="1" outlineLevel="2">
      <c r="A285" s="377">
        <f t="shared" si="108"/>
        <v>4</v>
      </c>
      <c r="B285" t="str">
        <f>+$B$70</f>
        <v>Elko</v>
      </c>
      <c r="C285" s="5"/>
      <c r="D285" s="5">
        <f t="shared" si="105"/>
        <v>8966</v>
      </c>
      <c r="E285" s="1042"/>
      <c r="F285" s="1070">
        <f t="shared" si="106"/>
        <v>17162.720439071836</v>
      </c>
      <c r="G285" s="1070">
        <f t="shared" si="106"/>
        <v>0</v>
      </c>
      <c r="H285" s="1070">
        <f t="shared" si="106"/>
        <v>0</v>
      </c>
      <c r="I285" s="1070">
        <f t="shared" si="106"/>
        <v>0</v>
      </c>
      <c r="J285" s="1039">
        <f t="shared" si="107"/>
        <v>17162.720439071836</v>
      </c>
      <c r="O285" s="384"/>
      <c r="P285" s="385"/>
      <c r="Q285" s="386"/>
      <c r="R285" s="386"/>
      <c r="S285" s="386"/>
      <c r="T285" s="386"/>
      <c r="U285" s="377"/>
      <c r="V285" s="377"/>
    </row>
    <row r="286" spans="1:22" ht="15.6" hidden="1" outlineLevel="2">
      <c r="A286" s="377">
        <f t="shared" si="108"/>
        <v>5</v>
      </c>
      <c r="B286" t="str">
        <f>+$B$72</f>
        <v>Washoe</v>
      </c>
      <c r="C286" s="5"/>
      <c r="D286" s="5">
        <f t="shared" si="105"/>
        <v>8966</v>
      </c>
      <c r="E286" s="1042"/>
      <c r="F286" s="1070">
        <f t="shared" si="106"/>
        <v>34325.440878143672</v>
      </c>
      <c r="G286" s="1070">
        <f t="shared" si="106"/>
        <v>0</v>
      </c>
      <c r="H286" s="1070">
        <f t="shared" si="106"/>
        <v>0</v>
      </c>
      <c r="I286" s="1070">
        <f t="shared" si="106"/>
        <v>0</v>
      </c>
      <c r="J286" s="1039">
        <f t="shared" si="107"/>
        <v>34325.440878143672</v>
      </c>
      <c r="O286" s="384"/>
      <c r="P286" s="385"/>
      <c r="Q286" s="386"/>
      <c r="R286" s="386"/>
      <c r="S286" s="386"/>
      <c r="T286" s="386"/>
      <c r="U286" s="377"/>
      <c r="V286" s="377"/>
    </row>
    <row r="287" spans="1:22" ht="15.6" hidden="1" outlineLevel="2">
      <c r="A287" s="377">
        <f t="shared" si="108"/>
        <v>6</v>
      </c>
      <c r="B287" t="str">
        <f>+$B$73</f>
        <v>White Pine</v>
      </c>
      <c r="C287" s="5"/>
      <c r="D287" s="5">
        <f t="shared" si="105"/>
        <v>8966</v>
      </c>
      <c r="E287" s="1042"/>
      <c r="F287" s="1071">
        <f t="shared" si="106"/>
        <v>0</v>
      </c>
      <c r="G287" s="1071">
        <f t="shared" si="106"/>
        <v>0</v>
      </c>
      <c r="H287" s="1071">
        <f t="shared" si="106"/>
        <v>0</v>
      </c>
      <c r="I287" s="1071">
        <f t="shared" si="106"/>
        <v>0</v>
      </c>
      <c r="J287" s="1050">
        <f t="shared" si="107"/>
        <v>0</v>
      </c>
      <c r="O287" s="384"/>
      <c r="P287" s="385"/>
      <c r="Q287" s="386"/>
      <c r="R287" s="386"/>
      <c r="S287" s="386"/>
      <c r="T287" s="386"/>
      <c r="U287" s="377"/>
      <c r="V287" s="377"/>
    </row>
    <row r="288" spans="1:22" ht="15.6" hidden="1" outlineLevel="2">
      <c r="A288" s="377"/>
      <c r="B288" s="1051" t="s">
        <v>156</v>
      </c>
      <c r="C288" s="1051"/>
      <c r="D288" s="1051"/>
      <c r="E288" s="1079"/>
      <c r="F288" s="1078">
        <f t="shared" ref="F288" si="109">SUM(F282:F287)</f>
        <v>223115.36570793387</v>
      </c>
      <c r="G288" s="1078">
        <f t="shared" ref="G288" si="110">SUM(G282:G287)</f>
        <v>43036.799999999996</v>
      </c>
      <c r="H288" s="1078">
        <f t="shared" ref="H288" si="111">SUM(H282:H287)</f>
        <v>8069.4</v>
      </c>
      <c r="I288" s="1078">
        <f t="shared" ref="I288" si="112">SUM(I282:I287)</f>
        <v>1075.92</v>
      </c>
      <c r="J288" s="1074">
        <f t="shared" si="107"/>
        <v>275297.4857079339</v>
      </c>
      <c r="O288" s="384"/>
      <c r="P288" s="385"/>
      <c r="Q288" s="386"/>
      <c r="R288" s="386"/>
      <c r="S288" s="386"/>
      <c r="T288" s="386"/>
      <c r="U288" s="377"/>
      <c r="V288" s="377"/>
    </row>
    <row r="289" spans="1:22" ht="15.6" hidden="1" outlineLevel="2">
      <c r="A289" s="377"/>
      <c r="O289" s="384"/>
      <c r="P289" s="385"/>
      <c r="Q289" s="386"/>
      <c r="R289" s="386"/>
      <c r="S289" s="386"/>
      <c r="T289" s="386"/>
      <c r="U289" s="377"/>
      <c r="V289" s="377"/>
    </row>
    <row r="290" spans="1:22" ht="15.6" hidden="1" outlineLevel="2">
      <c r="A290" s="377"/>
      <c r="E290" s="1004" t="s">
        <v>1251</v>
      </c>
      <c r="F290" s="1"/>
      <c r="G290" s="404"/>
      <c r="H290" s="404"/>
      <c r="I290" s="404"/>
      <c r="O290" s="384"/>
      <c r="P290" s="385"/>
      <c r="Q290" s="386"/>
      <c r="R290" s="386"/>
      <c r="S290" s="386"/>
      <c r="T290" s="386"/>
      <c r="U290" s="377"/>
      <c r="V290" s="377"/>
    </row>
    <row r="291" spans="1:22" ht="15.6" hidden="1" outlineLevel="2">
      <c r="A291" s="377"/>
      <c r="E291" s="1007" t="s">
        <v>668</v>
      </c>
      <c r="F291" s="1052" t="s">
        <v>1210</v>
      </c>
      <c r="G291" s="1007" t="s">
        <v>1211</v>
      </c>
      <c r="H291" s="1007" t="s">
        <v>1200</v>
      </c>
      <c r="I291" s="1007" t="s">
        <v>1212</v>
      </c>
      <c r="J291" s="1052" t="s">
        <v>156</v>
      </c>
      <c r="O291" s="384"/>
      <c r="P291" s="385"/>
      <c r="Q291" s="386"/>
      <c r="R291" s="386"/>
      <c r="S291" s="386"/>
      <c r="T291" s="386"/>
      <c r="U291" s="377"/>
      <c r="V291" s="377"/>
    </row>
    <row r="292" spans="1:22" ht="15.6" hidden="1" outlineLevel="2">
      <c r="A292" s="377">
        <v>1</v>
      </c>
      <c r="B292" t="str">
        <f>+B$67</f>
        <v xml:space="preserve">Carson City </v>
      </c>
      <c r="C292" s="5"/>
      <c r="D292" s="5">
        <f t="shared" ref="D292:D297" si="113">$D$50</f>
        <v>8966</v>
      </c>
      <c r="E292" s="1094">
        <f t="shared" ref="E292:I297" si="114">+$E177*E199</f>
        <v>0</v>
      </c>
      <c r="F292" s="1094">
        <f t="shared" si="114"/>
        <v>0</v>
      </c>
      <c r="G292" s="1094">
        <f t="shared" si="114"/>
        <v>0</v>
      </c>
      <c r="H292" s="1094">
        <f t="shared" si="114"/>
        <v>0</v>
      </c>
      <c r="I292" s="1094">
        <f t="shared" si="114"/>
        <v>0</v>
      </c>
      <c r="J292" s="1077">
        <f t="shared" ref="J292:J298" si="115">SUM(E292:I292)</f>
        <v>0</v>
      </c>
      <c r="O292" s="384"/>
      <c r="P292" s="385"/>
      <c r="Q292" s="386"/>
      <c r="R292" s="386"/>
      <c r="S292" s="386"/>
      <c r="T292" s="386"/>
      <c r="U292" s="377"/>
      <c r="V292" s="377"/>
    </row>
    <row r="293" spans="1:22" ht="15.6" hidden="1" outlineLevel="2">
      <c r="A293" s="377">
        <f>1+A292</f>
        <v>2</v>
      </c>
      <c r="B293" t="str">
        <f>+$B$68</f>
        <v>Churchill</v>
      </c>
      <c r="C293" s="5"/>
      <c r="D293" s="5">
        <f t="shared" si="113"/>
        <v>8966</v>
      </c>
      <c r="E293" s="1054">
        <f t="shared" si="114"/>
        <v>0</v>
      </c>
      <c r="F293" s="1054">
        <f t="shared" si="114"/>
        <v>0</v>
      </c>
      <c r="G293" s="1054">
        <f t="shared" si="114"/>
        <v>0</v>
      </c>
      <c r="H293" s="1054">
        <f t="shared" si="114"/>
        <v>0</v>
      </c>
      <c r="I293" s="1054">
        <f t="shared" si="114"/>
        <v>0</v>
      </c>
      <c r="J293" s="1044">
        <f t="shared" si="115"/>
        <v>0</v>
      </c>
      <c r="O293" s="384"/>
      <c r="P293" s="385"/>
      <c r="Q293" s="386"/>
      <c r="R293" s="386"/>
      <c r="S293" s="386"/>
      <c r="T293" s="386"/>
      <c r="U293" s="377"/>
      <c r="V293" s="377"/>
    </row>
    <row r="294" spans="1:22" ht="15.6" hidden="1" outlineLevel="2">
      <c r="A294" s="377">
        <f t="shared" ref="A294:A297" si="116">1+A293</f>
        <v>3</v>
      </c>
      <c r="B294" t="str">
        <f>+$B$69</f>
        <v>Clark</v>
      </c>
      <c r="C294" s="5"/>
      <c r="D294" s="5">
        <f t="shared" si="113"/>
        <v>8966</v>
      </c>
      <c r="E294" s="1054">
        <f t="shared" si="114"/>
        <v>0</v>
      </c>
      <c r="F294" s="1054">
        <f t="shared" si="114"/>
        <v>0</v>
      </c>
      <c r="G294" s="1054">
        <f t="shared" si="114"/>
        <v>0</v>
      </c>
      <c r="H294" s="1054">
        <f t="shared" si="114"/>
        <v>0</v>
      </c>
      <c r="I294" s="1054">
        <f t="shared" si="114"/>
        <v>0</v>
      </c>
      <c r="J294" s="1044">
        <f t="shared" si="115"/>
        <v>0</v>
      </c>
      <c r="O294" s="384"/>
      <c r="P294" s="385"/>
      <c r="Q294" s="386"/>
      <c r="R294" s="386"/>
      <c r="S294" s="386"/>
      <c r="T294" s="386"/>
      <c r="U294" s="377"/>
      <c r="V294" s="377"/>
    </row>
    <row r="295" spans="1:22" ht="15.6" hidden="1" outlineLevel="2">
      <c r="A295" s="377">
        <f t="shared" si="116"/>
        <v>4</v>
      </c>
      <c r="B295" t="str">
        <f>+$B$70</f>
        <v>Elko</v>
      </c>
      <c r="C295" s="5"/>
      <c r="D295" s="5">
        <f t="shared" si="113"/>
        <v>8966</v>
      </c>
      <c r="E295" s="1054">
        <f t="shared" si="114"/>
        <v>0</v>
      </c>
      <c r="F295" s="1054">
        <f t="shared" si="114"/>
        <v>0</v>
      </c>
      <c r="G295" s="1054">
        <f t="shared" si="114"/>
        <v>0</v>
      </c>
      <c r="H295" s="1054">
        <f t="shared" si="114"/>
        <v>0</v>
      </c>
      <c r="I295" s="1054">
        <f t="shared" si="114"/>
        <v>0</v>
      </c>
      <c r="J295" s="1044">
        <f t="shared" si="115"/>
        <v>0</v>
      </c>
      <c r="O295" s="384"/>
      <c r="P295" s="385"/>
      <c r="Q295" s="386"/>
      <c r="R295" s="386"/>
      <c r="S295" s="386"/>
      <c r="T295" s="386"/>
      <c r="U295" s="377"/>
      <c r="V295" s="377"/>
    </row>
    <row r="296" spans="1:22" ht="15.6" hidden="1" outlineLevel="2">
      <c r="A296" s="377">
        <f t="shared" si="116"/>
        <v>5</v>
      </c>
      <c r="B296" t="str">
        <f>+$B$72</f>
        <v>Washoe</v>
      </c>
      <c r="C296" s="5"/>
      <c r="D296" s="5">
        <f t="shared" si="113"/>
        <v>8966</v>
      </c>
      <c r="E296" s="1054">
        <f t="shared" si="114"/>
        <v>0</v>
      </c>
      <c r="F296" s="1054">
        <f t="shared" si="114"/>
        <v>0</v>
      </c>
      <c r="G296" s="1054">
        <f t="shared" si="114"/>
        <v>0</v>
      </c>
      <c r="H296" s="1054">
        <f t="shared" si="114"/>
        <v>0</v>
      </c>
      <c r="I296" s="1054">
        <f t="shared" si="114"/>
        <v>0</v>
      </c>
      <c r="J296" s="1044">
        <f t="shared" si="115"/>
        <v>0</v>
      </c>
      <c r="O296" s="384"/>
      <c r="P296" s="385"/>
      <c r="Q296" s="386"/>
      <c r="R296" s="386"/>
      <c r="S296" s="386"/>
      <c r="T296" s="386"/>
      <c r="U296" s="377"/>
      <c r="V296" s="377"/>
    </row>
    <row r="297" spans="1:22" ht="15.6" hidden="1" outlineLevel="2">
      <c r="A297" s="377">
        <f t="shared" si="116"/>
        <v>6</v>
      </c>
      <c r="B297" t="str">
        <f>+$B$73</f>
        <v>White Pine</v>
      </c>
      <c r="C297" s="5"/>
      <c r="D297" s="5">
        <f t="shared" si="113"/>
        <v>8966</v>
      </c>
      <c r="E297" s="1055">
        <f t="shared" si="114"/>
        <v>0</v>
      </c>
      <c r="F297" s="1055">
        <f t="shared" si="114"/>
        <v>0</v>
      </c>
      <c r="G297" s="1055">
        <f t="shared" si="114"/>
        <v>0</v>
      </c>
      <c r="H297" s="1055">
        <f t="shared" si="114"/>
        <v>0</v>
      </c>
      <c r="I297" s="1055">
        <f t="shared" si="114"/>
        <v>0</v>
      </c>
      <c r="J297" s="1044">
        <f t="shared" si="115"/>
        <v>0</v>
      </c>
      <c r="O297" s="384"/>
      <c r="P297" s="385"/>
      <c r="Q297" s="386"/>
      <c r="R297" s="386"/>
      <c r="S297" s="386"/>
      <c r="T297" s="386"/>
      <c r="U297" s="377"/>
      <c r="V297" s="377"/>
    </row>
    <row r="298" spans="1:22" ht="15.6" hidden="1" outlineLevel="2">
      <c r="A298" s="377"/>
      <c r="B298" s="1051" t="s">
        <v>156</v>
      </c>
      <c r="C298" s="1051"/>
      <c r="D298" s="1051"/>
      <c r="E298" s="1078">
        <f>SUM(E292:E297)</f>
        <v>0</v>
      </c>
      <c r="F298" s="1078">
        <f t="shared" ref="F298" si="117">SUM(F292:F297)</f>
        <v>0</v>
      </c>
      <c r="G298" s="1078">
        <f t="shared" ref="G298" si="118">SUM(G292:G297)</f>
        <v>0</v>
      </c>
      <c r="H298" s="1078">
        <f t="shared" ref="H298" si="119">SUM(H292:H297)</f>
        <v>0</v>
      </c>
      <c r="I298" s="1078">
        <f t="shared" ref="I298" si="120">SUM(I292:I297)</f>
        <v>0</v>
      </c>
      <c r="J298" s="1078">
        <f t="shared" si="115"/>
        <v>0</v>
      </c>
      <c r="O298" s="384"/>
      <c r="P298" s="385"/>
      <c r="Q298" s="386"/>
      <c r="R298" s="386"/>
      <c r="S298" s="386"/>
      <c r="T298" s="386"/>
      <c r="U298" s="377"/>
      <c r="V298" s="377"/>
    </row>
    <row r="299" spans="1:22" ht="15.6" hidden="1" outlineLevel="2">
      <c r="A299" s="377"/>
      <c r="O299" s="384"/>
      <c r="P299" s="385"/>
      <c r="Q299" s="386"/>
      <c r="R299" s="386"/>
      <c r="S299" s="386"/>
      <c r="T299" s="386"/>
      <c r="U299" s="377"/>
      <c r="V299" s="377"/>
    </row>
    <row r="300" spans="1:22" ht="15.6" hidden="1" outlineLevel="2">
      <c r="A300" s="377"/>
      <c r="B300" s="1051" t="s">
        <v>1246</v>
      </c>
      <c r="C300" s="1051"/>
      <c r="D300" s="1051"/>
      <c r="E300" s="1078">
        <f>+E288+E298</f>
        <v>0</v>
      </c>
      <c r="F300" s="1078">
        <f t="shared" ref="F300:I300" si="121">+F288+F298</f>
        <v>223115.36570793387</v>
      </c>
      <c r="G300" s="1078">
        <f t="shared" si="121"/>
        <v>43036.799999999996</v>
      </c>
      <c r="H300" s="1078">
        <f t="shared" si="121"/>
        <v>8069.4</v>
      </c>
      <c r="I300" s="1078">
        <f t="shared" si="121"/>
        <v>1075.92</v>
      </c>
      <c r="J300" s="1080">
        <f>SUM(E300:I300)</f>
        <v>275297.4857079339</v>
      </c>
      <c r="O300" s="384"/>
      <c r="P300" s="385"/>
      <c r="Q300" s="386"/>
      <c r="R300" s="386"/>
      <c r="S300" s="386"/>
      <c r="T300" s="386"/>
      <c r="U300" s="377"/>
      <c r="V300" s="377"/>
    </row>
    <row r="301" spans="1:22" ht="15.6" hidden="1" outlineLevel="2">
      <c r="A301" s="377"/>
      <c r="O301" s="384"/>
      <c r="P301" s="385"/>
      <c r="Q301" s="386"/>
      <c r="R301" s="386"/>
      <c r="S301" s="386"/>
      <c r="T301" s="386"/>
      <c r="U301" s="377"/>
      <c r="V301" s="377"/>
    </row>
    <row r="302" spans="1:22" ht="15.6" hidden="1" outlineLevel="2">
      <c r="A302" s="377"/>
      <c r="O302" s="384"/>
      <c r="P302" s="385"/>
      <c r="Q302" s="386"/>
      <c r="R302" s="386"/>
      <c r="S302" s="386"/>
      <c r="T302" s="386"/>
      <c r="U302" s="377"/>
      <c r="V302" s="377"/>
    </row>
    <row r="303" spans="1:22" ht="15.6" hidden="1" outlineLevel="2">
      <c r="A303" s="377"/>
      <c r="O303" s="377"/>
      <c r="P303" s="387"/>
      <c r="Q303" s="377"/>
      <c r="R303" s="377"/>
      <c r="S303" s="377"/>
      <c r="T303" s="377"/>
      <c r="U303" s="377"/>
      <c r="V303" s="377"/>
    </row>
    <row r="304" spans="1:22" ht="15.6" hidden="1" outlineLevel="2">
      <c r="A304" s="377"/>
      <c r="B304" s="1067" t="s">
        <v>491</v>
      </c>
      <c r="C304" s="1067"/>
      <c r="D304" s="1067"/>
      <c r="E304" s="1068"/>
      <c r="F304" s="1068"/>
      <c r="G304" s="1068"/>
      <c r="H304" s="1068"/>
      <c r="I304" s="1068"/>
      <c r="J304" s="1068"/>
      <c r="O304" s="377"/>
      <c r="P304" s="387"/>
      <c r="Q304" s="377"/>
      <c r="R304" s="377"/>
      <c r="S304" s="377"/>
      <c r="T304" s="377"/>
      <c r="U304" s="377"/>
      <c r="V304" s="377"/>
    </row>
    <row r="305" spans="1:22" ht="15.6" hidden="1" outlineLevel="2">
      <c r="A305" s="377"/>
      <c r="B305" s="1062" t="s">
        <v>1220</v>
      </c>
      <c r="C305" s="1062"/>
      <c r="D305" s="1062"/>
      <c r="E305" s="1016"/>
      <c r="F305" s="1016"/>
      <c r="G305" s="1062"/>
      <c r="H305" s="1016"/>
      <c r="I305" s="1016"/>
      <c r="J305" s="1063"/>
      <c r="O305" s="377"/>
      <c r="P305" s="387"/>
      <c r="Q305" s="377"/>
      <c r="R305" s="377"/>
      <c r="S305" s="377"/>
      <c r="T305" s="377"/>
      <c r="U305" s="377"/>
      <c r="V305" s="377"/>
    </row>
    <row r="306" spans="1:22" ht="15.6" hidden="1" outlineLevel="2">
      <c r="A306" s="377"/>
      <c r="B306" s="1004"/>
      <c r="C306" s="1004"/>
      <c r="D306" s="1004"/>
      <c r="E306" s="1004" t="s">
        <v>1242</v>
      </c>
      <c r="F306" s="404"/>
      <c r="G306" s="1004"/>
      <c r="H306" s="404"/>
      <c r="I306" s="404"/>
      <c r="J306" s="1058"/>
      <c r="O306" s="377"/>
      <c r="P306" s="387"/>
      <c r="Q306" s="377"/>
      <c r="R306" s="377"/>
      <c r="S306" s="377"/>
      <c r="T306" s="377"/>
      <c r="U306" s="377"/>
      <c r="V306" s="377"/>
    </row>
    <row r="307" spans="1:22" ht="15.6" hidden="1" outlineLevel="2">
      <c r="A307" s="377"/>
      <c r="B307" s="1007"/>
      <c r="C307" s="1007"/>
      <c r="D307" s="1007"/>
      <c r="E307" s="1007" t="s">
        <v>668</v>
      </c>
      <c r="F307" s="1007" t="s">
        <v>1210</v>
      </c>
      <c r="G307" s="1007" t="s">
        <v>1211</v>
      </c>
      <c r="H307" s="1007" t="s">
        <v>1200</v>
      </c>
      <c r="I307" s="1007" t="s">
        <v>1212</v>
      </c>
      <c r="J307" s="1007" t="s">
        <v>156</v>
      </c>
      <c r="O307" s="377"/>
      <c r="P307" s="387"/>
      <c r="Q307" s="377"/>
      <c r="R307" s="377"/>
      <c r="S307" s="377"/>
      <c r="T307" s="377"/>
      <c r="U307" s="377"/>
      <c r="V307" s="377"/>
    </row>
    <row r="308" spans="1:22" ht="15.6" hidden="1" outlineLevel="2">
      <c r="A308" s="377">
        <v>1</v>
      </c>
      <c r="B308" t="str">
        <f>+B$67</f>
        <v xml:space="preserve">Carson City </v>
      </c>
      <c r="C308" s="496"/>
      <c r="D308" s="496">
        <f>E217</f>
        <v>0</v>
      </c>
      <c r="E308" s="1075">
        <f>+E321+E331</f>
        <v>0</v>
      </c>
      <c r="F308" s="1075">
        <f t="shared" ref="F308:I308" si="122">+F321+F331</f>
        <v>0</v>
      </c>
      <c r="G308" s="1075">
        <f t="shared" si="122"/>
        <v>0</v>
      </c>
      <c r="H308" s="1075">
        <f t="shared" si="122"/>
        <v>0</v>
      </c>
      <c r="I308" s="1075">
        <f t="shared" si="122"/>
        <v>0</v>
      </c>
      <c r="J308" s="1073">
        <f t="shared" ref="J308:J315" si="123">SUM(E308:I308)</f>
        <v>0</v>
      </c>
      <c r="O308" s="377"/>
      <c r="P308" s="387"/>
      <c r="Q308" s="377"/>
      <c r="R308" s="377"/>
      <c r="S308" s="377"/>
      <c r="T308" s="377"/>
      <c r="U308" s="377"/>
      <c r="V308" s="377"/>
    </row>
    <row r="309" spans="1:22" ht="15.6" hidden="1" outlineLevel="2">
      <c r="A309" s="377">
        <f>1+A308</f>
        <v>2</v>
      </c>
      <c r="B309" t="str">
        <f>+$B$68</f>
        <v>Churchill</v>
      </c>
      <c r="C309" s="5"/>
      <c r="D309" s="5">
        <f t="shared" ref="D309:D313" si="124">E218</f>
        <v>0</v>
      </c>
      <c r="E309" s="1039">
        <f t="shared" ref="E309:I309" si="125">+E322+E332</f>
        <v>0</v>
      </c>
      <c r="F309" s="1039">
        <f t="shared" si="125"/>
        <v>0</v>
      </c>
      <c r="G309" s="1039">
        <f t="shared" si="125"/>
        <v>0</v>
      </c>
      <c r="H309" s="1039">
        <f t="shared" si="125"/>
        <v>0</v>
      </c>
      <c r="I309" s="1039">
        <f t="shared" si="125"/>
        <v>0</v>
      </c>
      <c r="J309" s="1039">
        <f t="shared" si="123"/>
        <v>0</v>
      </c>
      <c r="O309" s="377"/>
      <c r="P309" s="387"/>
      <c r="Q309" s="377"/>
      <c r="R309" s="377"/>
      <c r="S309" s="377"/>
      <c r="T309" s="377"/>
      <c r="U309" s="377"/>
      <c r="V309" s="377"/>
    </row>
    <row r="310" spans="1:22" ht="15.6" hidden="1" outlineLevel="2">
      <c r="A310" s="377">
        <f t="shared" ref="A310:A313" si="126">1+A309</f>
        <v>3</v>
      </c>
      <c r="B310" t="str">
        <f>+$B$69</f>
        <v>Clark</v>
      </c>
      <c r="C310" s="5"/>
      <c r="D310" s="5" t="str">
        <f t="shared" si="124"/>
        <v>General</v>
      </c>
      <c r="E310" s="1039" t="e">
        <f t="shared" ref="E310:I310" si="127">+E323+E333</f>
        <v>#VALUE!</v>
      </c>
      <c r="F310" s="1039" t="e">
        <f t="shared" si="127"/>
        <v>#VALUE!</v>
      </c>
      <c r="G310" s="1039" t="e">
        <f t="shared" si="127"/>
        <v>#VALUE!</v>
      </c>
      <c r="H310" s="1039" t="e">
        <f t="shared" si="127"/>
        <v>#VALUE!</v>
      </c>
      <c r="I310" s="1039" t="e">
        <f t="shared" si="127"/>
        <v>#VALUE!</v>
      </c>
      <c r="J310" s="1039" t="e">
        <f t="shared" si="123"/>
        <v>#VALUE!</v>
      </c>
      <c r="O310" s="377"/>
      <c r="P310" s="387"/>
      <c r="Q310" s="377"/>
      <c r="R310" s="377"/>
      <c r="S310" s="377"/>
      <c r="T310" s="377"/>
      <c r="U310" s="377"/>
      <c r="V310" s="377"/>
    </row>
    <row r="311" spans="1:22" ht="15.6" hidden="1" outlineLevel="2">
      <c r="A311" s="377">
        <f t="shared" si="126"/>
        <v>4</v>
      </c>
      <c r="B311" t="str">
        <f>+$B$70</f>
        <v>Elko</v>
      </c>
      <c r="C311" s="5"/>
      <c r="D311" s="5">
        <f t="shared" si="124"/>
        <v>100</v>
      </c>
      <c r="E311" s="1039">
        <f>+E324+E334</f>
        <v>797433.33333333326</v>
      </c>
      <c r="F311" s="1039">
        <f t="shared" ref="F311:I311" si="128">+F324+F334</f>
        <v>3907771.4722998859</v>
      </c>
      <c r="G311" s="1039">
        <f t="shared" si="128"/>
        <v>1425172.8533333335</v>
      </c>
      <c r="H311" s="1039">
        <f t="shared" si="128"/>
        <v>824705.55333333334</v>
      </c>
      <c r="I311" s="1039">
        <f t="shared" si="128"/>
        <v>962023.57333333336</v>
      </c>
      <c r="J311" s="1039">
        <f t="shared" si="123"/>
        <v>7917106.7856332194</v>
      </c>
      <c r="O311" s="377"/>
      <c r="P311" s="387"/>
      <c r="Q311" s="377"/>
      <c r="R311" s="377"/>
      <c r="S311" s="377"/>
      <c r="T311" s="377"/>
      <c r="U311" s="377"/>
      <c r="V311" s="377"/>
    </row>
    <row r="312" spans="1:22" ht="15.6" hidden="1" outlineLevel="2">
      <c r="A312" s="377">
        <f t="shared" si="126"/>
        <v>5</v>
      </c>
      <c r="B312" t="str">
        <f>+$B$72</f>
        <v>Washoe</v>
      </c>
      <c r="C312" s="5"/>
      <c r="D312" s="5">
        <f t="shared" si="124"/>
        <v>0</v>
      </c>
      <c r="E312" s="1050">
        <f t="shared" ref="E312:I312" si="129">+E325+E335</f>
        <v>0</v>
      </c>
      <c r="F312" s="1050">
        <f t="shared" si="129"/>
        <v>0</v>
      </c>
      <c r="G312" s="1050">
        <f t="shared" si="129"/>
        <v>0</v>
      </c>
      <c r="H312" s="1050">
        <f t="shared" si="129"/>
        <v>0</v>
      </c>
      <c r="I312" s="1050">
        <f t="shared" si="129"/>
        <v>0</v>
      </c>
      <c r="J312" s="1039">
        <f t="shared" si="123"/>
        <v>0</v>
      </c>
      <c r="O312" s="377"/>
      <c r="P312" s="387"/>
      <c r="Q312" s="377"/>
      <c r="R312" s="377"/>
      <c r="S312" s="377"/>
      <c r="T312" s="377"/>
      <c r="U312" s="377"/>
      <c r="V312" s="377"/>
    </row>
    <row r="313" spans="1:22" ht="15.6" hidden="1" outlineLevel="2">
      <c r="A313" s="377">
        <f t="shared" si="126"/>
        <v>6</v>
      </c>
      <c r="B313" t="str">
        <f>+$B$73</f>
        <v>White Pine</v>
      </c>
      <c r="C313" s="5"/>
      <c r="D313" s="5">
        <f t="shared" si="124"/>
        <v>0</v>
      </c>
      <c r="E313" s="1050" t="e">
        <f t="shared" ref="E313:I313" si="130">+E326+E336</f>
        <v>#VALUE!</v>
      </c>
      <c r="F313" s="1050">
        <f t="shared" si="130"/>
        <v>0</v>
      </c>
      <c r="G313" s="1050">
        <f t="shared" si="130"/>
        <v>0</v>
      </c>
      <c r="H313" s="1050">
        <f t="shared" si="130"/>
        <v>0</v>
      </c>
      <c r="I313" s="1050">
        <f t="shared" si="130"/>
        <v>0</v>
      </c>
      <c r="J313" s="1050" t="e">
        <f t="shared" si="123"/>
        <v>#VALUE!</v>
      </c>
      <c r="O313" s="377"/>
      <c r="P313" s="387"/>
      <c r="Q313" s="377"/>
      <c r="R313" s="377"/>
      <c r="S313" s="377"/>
      <c r="T313" s="377"/>
      <c r="U313" s="377"/>
      <c r="V313" s="377"/>
    </row>
    <row r="314" spans="1:22" ht="15.6" hidden="1" outlineLevel="2">
      <c r="A314" s="377"/>
      <c r="B314" s="1051" t="s">
        <v>590</v>
      </c>
      <c r="C314" s="1051"/>
      <c r="D314" s="1051"/>
      <c r="E314" s="1074" t="e">
        <f>SUM(E308:E313)</f>
        <v>#VALUE!</v>
      </c>
      <c r="F314" s="1074" t="e">
        <f>SUM(F308:F313)</f>
        <v>#VALUE!</v>
      </c>
      <c r="G314" s="1074" t="e">
        <f t="shared" ref="G314" si="131">SUM(G308:G313)</f>
        <v>#VALUE!</v>
      </c>
      <c r="H314" s="1074" t="e">
        <f t="shared" ref="H314" si="132">SUM(H308:H313)</f>
        <v>#VALUE!</v>
      </c>
      <c r="I314" s="1074" t="e">
        <f t="shared" ref="I314" si="133">SUM(I308:I313)</f>
        <v>#VALUE!</v>
      </c>
      <c r="J314" s="1076" t="e">
        <f t="shared" si="123"/>
        <v>#VALUE!</v>
      </c>
      <c r="O314" s="377"/>
      <c r="P314" s="387"/>
      <c r="Q314" s="377"/>
      <c r="R314" s="377"/>
      <c r="S314" s="377"/>
      <c r="T314" s="377"/>
      <c r="U314" s="377"/>
      <c r="V314" s="377"/>
    </row>
    <row r="315" spans="1:22" ht="15.6" hidden="1" outlineLevel="2">
      <c r="A315" s="377"/>
      <c r="B315" s="1" t="s">
        <v>587</v>
      </c>
      <c r="E315" s="1044" t="str">
        <f>+E245</f>
        <v>General</v>
      </c>
      <c r="F315" s="1044" t="str">
        <f t="shared" ref="F315:I315" si="134">+F245</f>
        <v>SpEd</v>
      </c>
      <c r="G315" s="1044" t="str">
        <f t="shared" si="134"/>
        <v>EL</v>
      </c>
      <c r="H315" s="1044" t="str">
        <f t="shared" si="134"/>
        <v>AR</v>
      </c>
      <c r="I315" s="1044" t="str">
        <f t="shared" si="134"/>
        <v>G&amp;T</v>
      </c>
      <c r="J315" s="1044">
        <f t="shared" si="123"/>
        <v>0</v>
      </c>
      <c r="O315" s="377"/>
      <c r="P315" s="387"/>
      <c r="Q315" s="377"/>
      <c r="R315" s="377"/>
      <c r="S315" s="377"/>
      <c r="T315" s="377"/>
      <c r="U315" s="377"/>
      <c r="V315" s="377"/>
    </row>
    <row r="316" spans="1:22" ht="15.6" hidden="1" outlineLevel="2">
      <c r="A316" s="377"/>
      <c r="B316" s="1051" t="s">
        <v>1249</v>
      </c>
      <c r="C316" s="1061"/>
      <c r="D316" s="1061"/>
      <c r="E316" s="1078" t="e">
        <f t="shared" ref="E316" si="135">+E314/E315</f>
        <v>#VALUE!</v>
      </c>
      <c r="F316" s="1078" t="e">
        <f t="shared" ref="F316" si="136">+F314/F315</f>
        <v>#VALUE!</v>
      </c>
      <c r="G316" s="1078" t="e">
        <f t="shared" ref="G316" si="137">+G314/G315</f>
        <v>#VALUE!</v>
      </c>
      <c r="H316" s="1078" t="e">
        <f t="shared" ref="H316" si="138">+H314/H315</f>
        <v>#VALUE!</v>
      </c>
      <c r="I316" s="1078" t="e">
        <f t="shared" ref="I316" si="139">+I314/I315</f>
        <v>#VALUE!</v>
      </c>
      <c r="J316" s="1078" t="e">
        <f>+J314/J315</f>
        <v>#VALUE!</v>
      </c>
      <c r="O316" s="377"/>
      <c r="P316" s="387"/>
      <c r="Q316" s="377"/>
      <c r="R316" s="377"/>
      <c r="S316" s="377"/>
      <c r="T316" s="377"/>
      <c r="U316" s="377"/>
      <c r="V316" s="377"/>
    </row>
    <row r="317" spans="1:22" ht="15.6" hidden="1" outlineLevel="2">
      <c r="A317" s="377"/>
      <c r="B317" s="1"/>
      <c r="J317" s="1044"/>
      <c r="O317" s="377"/>
      <c r="P317" s="387"/>
      <c r="Q317" s="377"/>
      <c r="R317" s="377"/>
      <c r="S317" s="377"/>
      <c r="T317" s="377"/>
      <c r="U317" s="377"/>
      <c r="V317" s="377"/>
    </row>
    <row r="318" spans="1:22" ht="15.6" hidden="1" outlineLevel="2">
      <c r="A318" s="377"/>
      <c r="E318" s="1004" t="s">
        <v>1250</v>
      </c>
      <c r="F318" s="404"/>
      <c r="G318" s="1004"/>
      <c r="H318" s="1004"/>
      <c r="I318" s="1004"/>
      <c r="J318" s="404"/>
      <c r="O318" s="377"/>
      <c r="P318" s="387"/>
      <c r="Q318" s="377"/>
      <c r="R318" s="377"/>
      <c r="S318" s="377"/>
      <c r="T318" s="377"/>
      <c r="U318" s="377"/>
      <c r="V318" s="377"/>
    </row>
    <row r="319" spans="1:22" ht="15.6" hidden="1" outlineLevel="2">
      <c r="A319" s="377"/>
      <c r="E319" s="1007" t="s">
        <v>668</v>
      </c>
      <c r="F319" s="1007" t="s">
        <v>1210</v>
      </c>
      <c r="G319" s="1007" t="s">
        <v>1211</v>
      </c>
      <c r="H319" s="1007" t="s">
        <v>1200</v>
      </c>
      <c r="I319" s="1007" t="s">
        <v>1212</v>
      </c>
      <c r="J319" s="1040"/>
      <c r="O319" s="377"/>
      <c r="P319" s="387"/>
      <c r="Q319" s="377"/>
      <c r="R319" s="377"/>
      <c r="S319" s="377"/>
      <c r="T319" s="377"/>
      <c r="U319" s="377"/>
      <c r="V319" s="377"/>
    </row>
    <row r="320" spans="1:22" ht="15.6" hidden="1" outlineLevel="2">
      <c r="A320" s="377"/>
      <c r="B320" s="1007" t="s">
        <v>1244</v>
      </c>
      <c r="C320" s="1007"/>
      <c r="D320" s="1007"/>
      <c r="E320" s="1084">
        <v>0</v>
      </c>
      <c r="F320" s="1083">
        <f>+F249</f>
        <v>11021.2</v>
      </c>
      <c r="G320" s="1083">
        <f t="shared" ref="G320:I320" si="140">+G249</f>
        <v>3454.56</v>
      </c>
      <c r="H320" s="1083">
        <f t="shared" si="140"/>
        <v>647.73</v>
      </c>
      <c r="I320" s="1083">
        <f t="shared" si="140"/>
        <v>863.64</v>
      </c>
      <c r="J320" s="1007" t="s">
        <v>156</v>
      </c>
      <c r="O320" s="377"/>
      <c r="P320" s="387"/>
      <c r="Q320" s="377"/>
      <c r="R320" s="377"/>
      <c r="S320" s="377"/>
      <c r="T320" s="377"/>
      <c r="U320" s="377"/>
      <c r="V320" s="377"/>
    </row>
    <row r="321" spans="1:22" ht="15.6" hidden="1" outlineLevel="2">
      <c r="A321" s="377">
        <v>1</v>
      </c>
      <c r="B321" t="str">
        <f>+B$67</f>
        <v xml:space="preserve">Carson City </v>
      </c>
      <c r="C321" s="496"/>
      <c r="D321" s="496">
        <f>E217</f>
        <v>0</v>
      </c>
      <c r="E321" s="1042"/>
      <c r="F321" s="1069">
        <f t="shared" ref="F321:I326" si="141">F$246*F250*$D321</f>
        <v>0</v>
      </c>
      <c r="G321" s="1069">
        <f t="shared" si="141"/>
        <v>0</v>
      </c>
      <c r="H321" s="1069">
        <f t="shared" si="141"/>
        <v>0</v>
      </c>
      <c r="I321" s="1069">
        <f t="shared" si="141"/>
        <v>0</v>
      </c>
      <c r="J321" s="1073">
        <f t="shared" ref="J321:J327" si="142">SUM(E321:I321)</f>
        <v>0</v>
      </c>
      <c r="O321" s="377"/>
      <c r="P321" s="387"/>
      <c r="Q321" s="377"/>
      <c r="R321" s="377"/>
      <c r="S321" s="377"/>
      <c r="T321" s="377"/>
      <c r="U321" s="377"/>
      <c r="V321" s="377"/>
    </row>
    <row r="322" spans="1:22" ht="15.6" hidden="1" outlineLevel="2">
      <c r="A322" s="377">
        <f>1+A321</f>
        <v>2</v>
      </c>
      <c r="B322" t="str">
        <f>+$B$68</f>
        <v>Churchill</v>
      </c>
      <c r="C322" s="5"/>
      <c r="D322" s="5">
        <f t="shared" ref="D322:D326" si="143">E218</f>
        <v>0</v>
      </c>
      <c r="E322" s="1042"/>
      <c r="F322" s="1070">
        <f t="shared" si="141"/>
        <v>0</v>
      </c>
      <c r="G322" s="1070">
        <f t="shared" si="141"/>
        <v>0</v>
      </c>
      <c r="H322" s="1070">
        <f t="shared" si="141"/>
        <v>0</v>
      </c>
      <c r="I322" s="1070">
        <f t="shared" si="141"/>
        <v>0</v>
      </c>
      <c r="J322" s="1039">
        <f t="shared" si="142"/>
        <v>0</v>
      </c>
      <c r="O322" s="377"/>
      <c r="P322" s="387"/>
      <c r="Q322" s="377"/>
      <c r="R322" s="377"/>
      <c r="S322" s="377"/>
      <c r="T322" s="377"/>
      <c r="U322" s="377"/>
      <c r="V322" s="377"/>
    </row>
    <row r="323" spans="1:22" ht="15.6" hidden="1" outlineLevel="2">
      <c r="A323" s="377">
        <f t="shared" ref="A323:A326" si="144">1+A322</f>
        <v>3</v>
      </c>
      <c r="B323" t="str">
        <f>+$B$69</f>
        <v>Clark</v>
      </c>
      <c r="C323" s="5"/>
      <c r="D323" s="5" t="str">
        <f t="shared" si="143"/>
        <v>General</v>
      </c>
      <c r="E323" s="1042"/>
      <c r="F323" s="1070" t="e">
        <f t="shared" si="141"/>
        <v>#VALUE!</v>
      </c>
      <c r="G323" s="1070" t="e">
        <f t="shared" si="141"/>
        <v>#VALUE!</v>
      </c>
      <c r="H323" s="1070" t="e">
        <f t="shared" si="141"/>
        <v>#VALUE!</v>
      </c>
      <c r="I323" s="1070" t="e">
        <f t="shared" si="141"/>
        <v>#VALUE!</v>
      </c>
      <c r="J323" s="1039" t="e">
        <f t="shared" si="142"/>
        <v>#VALUE!</v>
      </c>
      <c r="O323" s="377"/>
      <c r="P323" s="387"/>
      <c r="Q323" s="377"/>
      <c r="R323" s="377"/>
      <c r="S323" s="377"/>
      <c r="T323" s="377"/>
      <c r="U323" s="377"/>
      <c r="V323" s="377"/>
    </row>
    <row r="324" spans="1:22" ht="15.6" hidden="1" outlineLevel="2">
      <c r="A324" s="377">
        <f t="shared" si="144"/>
        <v>4</v>
      </c>
      <c r="B324" t="str">
        <f>+$B$70</f>
        <v>Elko</v>
      </c>
      <c r="C324" s="5"/>
      <c r="D324" s="5">
        <f t="shared" si="143"/>
        <v>100</v>
      </c>
      <c r="E324" s="1042"/>
      <c r="F324" s="1070">
        <f t="shared" si="141"/>
        <v>2805048.7040168052</v>
      </c>
      <c r="G324" s="1070">
        <f t="shared" si="141"/>
        <v>551185.92000000004</v>
      </c>
      <c r="H324" s="1070">
        <f t="shared" si="141"/>
        <v>12918.419999999998</v>
      </c>
      <c r="I324" s="1070">
        <f t="shared" si="141"/>
        <v>68898.240000000005</v>
      </c>
      <c r="J324" s="1039">
        <f t="shared" si="142"/>
        <v>3438051.2840168052</v>
      </c>
      <c r="O324" s="377"/>
      <c r="P324" s="387"/>
      <c r="Q324" s="377"/>
      <c r="R324" s="377"/>
      <c r="S324" s="377"/>
      <c r="T324" s="377"/>
      <c r="U324" s="377"/>
      <c r="V324" s="377"/>
    </row>
    <row r="325" spans="1:22" ht="15.6" hidden="1" outlineLevel="2">
      <c r="A325" s="377">
        <f t="shared" si="144"/>
        <v>5</v>
      </c>
      <c r="B325" t="str">
        <f>+$B$72</f>
        <v>Washoe</v>
      </c>
      <c r="C325" s="5"/>
      <c r="D325" s="5">
        <f t="shared" si="143"/>
        <v>0</v>
      </c>
      <c r="E325" s="1042"/>
      <c r="F325" s="1070">
        <f t="shared" si="141"/>
        <v>0</v>
      </c>
      <c r="G325" s="1070">
        <f t="shared" si="141"/>
        <v>0</v>
      </c>
      <c r="H325" s="1070">
        <f t="shared" si="141"/>
        <v>0</v>
      </c>
      <c r="I325" s="1070">
        <f t="shared" si="141"/>
        <v>0</v>
      </c>
      <c r="J325" s="1039">
        <f t="shared" si="142"/>
        <v>0</v>
      </c>
      <c r="O325" s="377"/>
      <c r="P325" s="387"/>
      <c r="Q325" s="377"/>
      <c r="R325" s="377"/>
      <c r="S325" s="377"/>
      <c r="T325" s="377"/>
      <c r="U325" s="377"/>
      <c r="V325" s="377"/>
    </row>
    <row r="326" spans="1:22" ht="15.6" hidden="1" outlineLevel="2">
      <c r="A326" s="377">
        <f t="shared" si="144"/>
        <v>6</v>
      </c>
      <c r="B326" t="str">
        <f>+$B$73</f>
        <v>White Pine</v>
      </c>
      <c r="C326" s="5"/>
      <c r="D326" s="5">
        <f t="shared" si="143"/>
        <v>0</v>
      </c>
      <c r="E326" s="1042"/>
      <c r="F326" s="1071">
        <f t="shared" si="141"/>
        <v>0</v>
      </c>
      <c r="G326" s="1071">
        <f t="shared" si="141"/>
        <v>0</v>
      </c>
      <c r="H326" s="1071">
        <f t="shared" si="141"/>
        <v>0</v>
      </c>
      <c r="I326" s="1071">
        <f t="shared" si="141"/>
        <v>0</v>
      </c>
      <c r="J326" s="1050">
        <f t="shared" si="142"/>
        <v>0</v>
      </c>
      <c r="O326" s="377"/>
      <c r="P326" s="387"/>
      <c r="Q326" s="377"/>
      <c r="R326" s="377"/>
      <c r="S326" s="377"/>
      <c r="T326" s="377"/>
      <c r="U326" s="377"/>
      <c r="V326" s="377"/>
    </row>
    <row r="327" spans="1:22" ht="15.6" hidden="1" outlineLevel="2">
      <c r="A327" s="377"/>
      <c r="B327" s="1051" t="s">
        <v>156</v>
      </c>
      <c r="C327" s="1051"/>
      <c r="D327" s="1051"/>
      <c r="E327" s="1079"/>
      <c r="F327" s="1078" t="e">
        <f t="shared" ref="F327" si="145">SUM(F321:F326)</f>
        <v>#VALUE!</v>
      </c>
      <c r="G327" s="1078" t="e">
        <f t="shared" ref="G327" si="146">SUM(G321:G326)</f>
        <v>#VALUE!</v>
      </c>
      <c r="H327" s="1078" t="e">
        <f t="shared" ref="H327" si="147">SUM(H321:H326)</f>
        <v>#VALUE!</v>
      </c>
      <c r="I327" s="1078" t="e">
        <f t="shared" ref="I327" si="148">SUM(I321:I326)</f>
        <v>#VALUE!</v>
      </c>
      <c r="J327" s="1074" t="e">
        <f t="shared" si="142"/>
        <v>#VALUE!</v>
      </c>
      <c r="O327" s="377"/>
      <c r="P327" s="387"/>
      <c r="Q327" s="377"/>
      <c r="R327" s="377"/>
      <c r="S327" s="377"/>
      <c r="T327" s="377"/>
      <c r="U327" s="377"/>
      <c r="V327" s="377"/>
    </row>
    <row r="328" spans="1:22" ht="15.6" hidden="1" outlineLevel="2">
      <c r="A328" s="377"/>
      <c r="O328" s="377"/>
      <c r="P328" s="387"/>
      <c r="Q328" s="377"/>
      <c r="R328" s="377"/>
      <c r="S328" s="377"/>
      <c r="T328" s="377"/>
      <c r="U328" s="377"/>
      <c r="V328" s="377"/>
    </row>
    <row r="329" spans="1:22" ht="15.6" hidden="1" outlineLevel="2">
      <c r="A329" s="377"/>
      <c r="E329" s="1004" t="s">
        <v>1251</v>
      </c>
      <c r="F329" s="1"/>
      <c r="G329" s="404"/>
      <c r="H329" s="404"/>
      <c r="I329" s="404"/>
      <c r="O329" s="377"/>
      <c r="P329" s="387"/>
      <c r="Q329" s="377"/>
      <c r="R329" s="377"/>
      <c r="S329" s="377"/>
      <c r="T329" s="377"/>
      <c r="U329" s="377"/>
      <c r="V329" s="377"/>
    </row>
    <row r="330" spans="1:22" ht="15.6" hidden="1" outlineLevel="2">
      <c r="A330" s="377"/>
      <c r="E330" s="1007" t="s">
        <v>668</v>
      </c>
      <c r="F330" s="1052" t="s">
        <v>1210</v>
      </c>
      <c r="G330" s="1007" t="s">
        <v>1211</v>
      </c>
      <c r="H330" s="1007" t="s">
        <v>1200</v>
      </c>
      <c r="I330" s="1007" t="s">
        <v>1212</v>
      </c>
      <c r="J330" s="1052" t="s">
        <v>156</v>
      </c>
      <c r="O330" s="377"/>
      <c r="P330" s="387"/>
      <c r="Q330" s="377"/>
      <c r="R330" s="377"/>
      <c r="S330" s="377"/>
      <c r="T330" s="377"/>
      <c r="U330" s="377"/>
      <c r="V330" s="377"/>
    </row>
    <row r="331" spans="1:22" ht="15.6" hidden="1" outlineLevel="2">
      <c r="A331" s="377">
        <v>1</v>
      </c>
      <c r="B331" t="str">
        <f>+B$67</f>
        <v xml:space="preserve">Carson City </v>
      </c>
      <c r="C331" s="496"/>
      <c r="D331" s="496">
        <f>E217</f>
        <v>0</v>
      </c>
      <c r="E331" s="1053">
        <f t="shared" ref="E331:I336" si="149">+$E217*E239</f>
        <v>0</v>
      </c>
      <c r="F331" s="1053">
        <f t="shared" si="149"/>
        <v>0</v>
      </c>
      <c r="G331" s="1053">
        <f t="shared" si="149"/>
        <v>0</v>
      </c>
      <c r="H331" s="1053">
        <f t="shared" si="149"/>
        <v>0</v>
      </c>
      <c r="I331" s="1053">
        <f t="shared" si="149"/>
        <v>0</v>
      </c>
      <c r="J331" s="1077">
        <f t="shared" ref="J331:J337" si="150">SUM(E331:I331)</f>
        <v>0</v>
      </c>
      <c r="O331" s="377"/>
      <c r="P331" s="387"/>
      <c r="Q331" s="377"/>
      <c r="R331" s="377"/>
      <c r="S331" s="377"/>
      <c r="T331" s="377"/>
      <c r="U331" s="377"/>
      <c r="V331" s="377"/>
    </row>
    <row r="332" spans="1:22" ht="15.6" hidden="1" outlineLevel="2">
      <c r="A332" s="377">
        <f>1+A331</f>
        <v>2</v>
      </c>
      <c r="B332" t="str">
        <f>+$B$68</f>
        <v>Churchill</v>
      </c>
      <c r="C332" s="5"/>
      <c r="D332" s="5">
        <f t="shared" ref="D332:D336" si="151">E218</f>
        <v>0</v>
      </c>
      <c r="E332" s="1054">
        <f t="shared" si="149"/>
        <v>0</v>
      </c>
      <c r="F332" s="1054">
        <f t="shared" si="149"/>
        <v>0</v>
      </c>
      <c r="G332" s="1054">
        <f t="shared" si="149"/>
        <v>0</v>
      </c>
      <c r="H332" s="1054">
        <f t="shared" si="149"/>
        <v>0</v>
      </c>
      <c r="I332" s="1054">
        <f t="shared" si="149"/>
        <v>0</v>
      </c>
      <c r="J332" s="1044">
        <f t="shared" si="150"/>
        <v>0</v>
      </c>
      <c r="O332" s="377"/>
      <c r="P332" s="387"/>
      <c r="Q332" s="377"/>
      <c r="R332" s="377"/>
      <c r="S332" s="377"/>
      <c r="T332" s="377"/>
      <c r="U332" s="377"/>
      <c r="V332" s="377"/>
    </row>
    <row r="333" spans="1:22" ht="15.6" hidden="1" outlineLevel="2">
      <c r="A333" s="377">
        <f t="shared" ref="A333:A336" si="152">1+A332</f>
        <v>3</v>
      </c>
      <c r="B333" t="str">
        <f>+$B$69</f>
        <v>Clark</v>
      </c>
      <c r="C333" s="5"/>
      <c r="D333" s="5" t="str">
        <f t="shared" si="151"/>
        <v>General</v>
      </c>
      <c r="E333" s="1054" t="e">
        <f t="shared" si="149"/>
        <v>#VALUE!</v>
      </c>
      <c r="F333" s="1054" t="e">
        <f t="shared" si="149"/>
        <v>#VALUE!</v>
      </c>
      <c r="G333" s="1054" t="e">
        <f t="shared" si="149"/>
        <v>#VALUE!</v>
      </c>
      <c r="H333" s="1054" t="e">
        <f t="shared" si="149"/>
        <v>#VALUE!</v>
      </c>
      <c r="I333" s="1054" t="e">
        <f t="shared" si="149"/>
        <v>#VALUE!</v>
      </c>
      <c r="J333" s="1044" t="e">
        <f t="shared" si="150"/>
        <v>#VALUE!</v>
      </c>
      <c r="O333" s="377"/>
      <c r="P333" s="387"/>
      <c r="Q333" s="377"/>
      <c r="R333" s="377"/>
      <c r="S333" s="377"/>
      <c r="T333" s="377"/>
      <c r="U333" s="377"/>
      <c r="V333" s="377"/>
    </row>
    <row r="334" spans="1:22" ht="15.6" hidden="1" outlineLevel="2">
      <c r="A334" s="377">
        <f t="shared" si="152"/>
        <v>4</v>
      </c>
      <c r="B334" t="str">
        <f>+$B$70</f>
        <v>Elko</v>
      </c>
      <c r="C334" s="5"/>
      <c r="D334" s="5">
        <f t="shared" si="151"/>
        <v>100</v>
      </c>
      <c r="E334" s="1054">
        <f t="shared" si="149"/>
        <v>797433.33333333326</v>
      </c>
      <c r="F334" s="1054">
        <f t="shared" si="149"/>
        <v>1102722.7682830808</v>
      </c>
      <c r="G334" s="1054">
        <f t="shared" si="149"/>
        <v>873986.93333333335</v>
      </c>
      <c r="H334" s="1054">
        <f t="shared" si="149"/>
        <v>811787.1333333333</v>
      </c>
      <c r="I334" s="1054">
        <f t="shared" si="149"/>
        <v>893125.33333333337</v>
      </c>
      <c r="J334" s="1044">
        <f t="shared" si="150"/>
        <v>4479055.5016164137</v>
      </c>
      <c r="O334" s="377"/>
      <c r="P334" s="387"/>
      <c r="Q334" s="377"/>
      <c r="R334" s="377"/>
      <c r="S334" s="377"/>
      <c r="T334" s="377"/>
      <c r="U334" s="377"/>
      <c r="V334" s="377"/>
    </row>
    <row r="335" spans="1:22" ht="15.6" hidden="1" outlineLevel="2">
      <c r="A335" s="377">
        <f t="shared" si="152"/>
        <v>5</v>
      </c>
      <c r="B335" t="str">
        <f>+$B$72</f>
        <v>Washoe</v>
      </c>
      <c r="C335" s="5"/>
      <c r="D335" s="5">
        <f t="shared" si="151"/>
        <v>0</v>
      </c>
      <c r="E335" s="1054">
        <f t="shared" si="149"/>
        <v>0</v>
      </c>
      <c r="F335" s="1054">
        <f t="shared" si="149"/>
        <v>0</v>
      </c>
      <c r="G335" s="1054">
        <f t="shared" si="149"/>
        <v>0</v>
      </c>
      <c r="H335" s="1054">
        <f t="shared" si="149"/>
        <v>0</v>
      </c>
      <c r="I335" s="1054">
        <f t="shared" si="149"/>
        <v>0</v>
      </c>
      <c r="J335" s="1044">
        <f t="shared" si="150"/>
        <v>0</v>
      </c>
      <c r="O335" s="377"/>
      <c r="P335" s="387"/>
      <c r="Q335" s="377"/>
      <c r="R335" s="377"/>
      <c r="S335" s="377"/>
      <c r="T335" s="377"/>
      <c r="U335" s="377"/>
      <c r="V335" s="377"/>
    </row>
    <row r="336" spans="1:22" ht="15.6" hidden="1" outlineLevel="2">
      <c r="A336" s="377">
        <f t="shared" si="152"/>
        <v>6</v>
      </c>
      <c r="B336" t="str">
        <f>+$B$73</f>
        <v>White Pine</v>
      </c>
      <c r="C336" s="5"/>
      <c r="D336" s="5">
        <f t="shared" si="151"/>
        <v>0</v>
      </c>
      <c r="E336" s="1055" t="e">
        <f t="shared" si="149"/>
        <v>#VALUE!</v>
      </c>
      <c r="F336" s="1055">
        <f t="shared" si="149"/>
        <v>0</v>
      </c>
      <c r="G336" s="1055">
        <f t="shared" si="149"/>
        <v>0</v>
      </c>
      <c r="H336" s="1055">
        <f t="shared" si="149"/>
        <v>0</v>
      </c>
      <c r="I336" s="1055">
        <f t="shared" si="149"/>
        <v>0</v>
      </c>
      <c r="J336" s="1044" t="e">
        <f t="shared" si="150"/>
        <v>#VALUE!</v>
      </c>
      <c r="O336" s="377"/>
      <c r="P336" s="387"/>
      <c r="Q336" s="377"/>
      <c r="R336" s="377"/>
      <c r="S336" s="377"/>
      <c r="T336" s="377"/>
      <c r="U336" s="377"/>
      <c r="V336" s="377"/>
    </row>
    <row r="337" spans="1:22" ht="15.6" hidden="1" outlineLevel="2">
      <c r="A337" s="377"/>
      <c r="B337" s="1051" t="s">
        <v>156</v>
      </c>
      <c r="C337" s="1051"/>
      <c r="D337" s="1051"/>
      <c r="E337" s="1078" t="e">
        <f>SUM(E331:E336)</f>
        <v>#VALUE!</v>
      </c>
      <c r="F337" s="1078" t="e">
        <f t="shared" ref="F337" si="153">SUM(F331:F336)</f>
        <v>#VALUE!</v>
      </c>
      <c r="G337" s="1078" t="e">
        <f t="shared" ref="G337" si="154">SUM(G331:G336)</f>
        <v>#VALUE!</v>
      </c>
      <c r="H337" s="1078" t="e">
        <f t="shared" ref="H337" si="155">SUM(H331:H336)</f>
        <v>#VALUE!</v>
      </c>
      <c r="I337" s="1078" t="e">
        <f t="shared" ref="I337" si="156">SUM(I331:I336)</f>
        <v>#VALUE!</v>
      </c>
      <c r="J337" s="1078" t="e">
        <f t="shared" si="150"/>
        <v>#VALUE!</v>
      </c>
      <c r="O337" s="377"/>
      <c r="P337" s="387"/>
      <c r="Q337" s="377"/>
      <c r="R337" s="377"/>
      <c r="S337" s="377"/>
      <c r="T337" s="377"/>
      <c r="U337" s="377"/>
      <c r="V337" s="377"/>
    </row>
    <row r="338" spans="1:22" ht="15.6" hidden="1" outlineLevel="2">
      <c r="A338" s="377"/>
      <c r="O338" s="377"/>
      <c r="P338" s="387"/>
      <c r="Q338" s="377"/>
      <c r="R338" s="377"/>
      <c r="S338" s="377"/>
      <c r="T338" s="377"/>
      <c r="U338" s="377"/>
      <c r="V338" s="377"/>
    </row>
    <row r="339" spans="1:22" ht="15.6" hidden="1" outlineLevel="2">
      <c r="A339" s="377"/>
      <c r="B339" s="1051" t="s">
        <v>1246</v>
      </c>
      <c r="C339" s="1051"/>
      <c r="D339" s="1051"/>
      <c r="E339" s="1078" t="e">
        <f>+E327+E337</f>
        <v>#VALUE!</v>
      </c>
      <c r="F339" s="1078" t="e">
        <f t="shared" ref="F339:I339" si="157">+F327+F337</f>
        <v>#VALUE!</v>
      </c>
      <c r="G339" s="1078" t="e">
        <f t="shared" si="157"/>
        <v>#VALUE!</v>
      </c>
      <c r="H339" s="1078" t="e">
        <f t="shared" si="157"/>
        <v>#VALUE!</v>
      </c>
      <c r="I339" s="1078" t="e">
        <f t="shared" si="157"/>
        <v>#VALUE!</v>
      </c>
      <c r="J339" s="1080" t="e">
        <f>SUM(E339:I339)</f>
        <v>#VALUE!</v>
      </c>
      <c r="O339" s="377"/>
      <c r="P339" s="387"/>
      <c r="Q339" s="377"/>
      <c r="R339" s="377"/>
      <c r="S339" s="377"/>
      <c r="T339" s="377"/>
      <c r="U339" s="377"/>
      <c r="V339" s="377"/>
    </row>
    <row r="340" spans="1:22" ht="15.6" hidden="1" outlineLevel="2">
      <c r="A340" s="377"/>
      <c r="O340" s="377"/>
      <c r="P340" s="387"/>
      <c r="Q340" s="377"/>
      <c r="R340" s="377"/>
      <c r="S340" s="377"/>
      <c r="T340" s="377"/>
      <c r="U340" s="377"/>
      <c r="V340" s="377"/>
    </row>
    <row r="341" spans="1:22" ht="15.6" hidden="1" outlineLevel="2">
      <c r="A341" s="377"/>
      <c r="O341" s="377"/>
      <c r="P341" s="387"/>
      <c r="Q341" s="377"/>
      <c r="R341" s="377"/>
      <c r="S341" s="377"/>
      <c r="T341" s="377"/>
      <c r="U341" s="377"/>
      <c r="V341" s="377"/>
    </row>
    <row r="342" spans="1:22" ht="15.6" hidden="1" outlineLevel="2">
      <c r="A342" s="377"/>
      <c r="O342" s="377"/>
      <c r="P342" s="387"/>
      <c r="Q342" s="377"/>
      <c r="R342" s="377"/>
      <c r="S342" s="377"/>
      <c r="T342" s="377"/>
      <c r="U342" s="377"/>
      <c r="V342" s="377"/>
    </row>
    <row r="343" spans="1:22" ht="15.6" hidden="1" outlineLevel="1" collapsed="1">
      <c r="A343" s="377"/>
      <c r="O343" s="377"/>
      <c r="P343" s="387"/>
      <c r="Q343" s="377"/>
      <c r="R343" s="377"/>
      <c r="S343" s="377"/>
      <c r="T343" s="377"/>
      <c r="U343" s="377"/>
      <c r="V343" s="377"/>
    </row>
    <row r="344" spans="1:22" ht="15.6" collapsed="1">
      <c r="A344" s="377"/>
      <c r="K344" s="1037"/>
      <c r="L344" s="1037"/>
      <c r="M344" s="1037"/>
      <c r="N344" s="1601"/>
      <c r="O344" s="1602"/>
      <c r="P344" s="387"/>
      <c r="Q344" s="377"/>
      <c r="R344" s="377"/>
      <c r="S344" s="377"/>
      <c r="T344" s="377"/>
      <c r="U344" s="377"/>
      <c r="V344" s="377"/>
    </row>
    <row r="345" spans="1:22" ht="15.6">
      <c r="A345" s="377"/>
      <c r="J345" s="1309"/>
      <c r="N345" s="496"/>
      <c r="O345" s="496"/>
      <c r="P345" s="387"/>
      <c r="Q345" s="377"/>
      <c r="R345" s="377"/>
      <c r="S345" s="377"/>
      <c r="T345" s="377"/>
      <c r="U345" s="377"/>
      <c r="V345" s="377"/>
    </row>
    <row r="346" spans="1:22" ht="15.6">
      <c r="A346" s="377"/>
      <c r="J346" s="1309"/>
      <c r="N346" s="496"/>
      <c r="O346" s="496"/>
      <c r="P346" s="387"/>
      <c r="Q346" s="377"/>
      <c r="R346" s="377"/>
      <c r="S346" s="377"/>
      <c r="T346" s="377"/>
      <c r="U346" s="377"/>
      <c r="V346" s="377"/>
    </row>
    <row r="347" spans="1:22" ht="15.6">
      <c r="A347" s="377"/>
      <c r="J347" s="1309"/>
      <c r="N347" s="496"/>
      <c r="O347" s="496"/>
      <c r="P347" s="387"/>
      <c r="Q347" s="377"/>
      <c r="R347" s="377"/>
      <c r="S347" s="377"/>
      <c r="T347" s="377"/>
      <c r="U347" s="377"/>
      <c r="V347" s="377"/>
    </row>
    <row r="348" spans="1:22" ht="15.6">
      <c r="A348" s="377"/>
      <c r="J348" s="1309"/>
      <c r="N348" s="496"/>
      <c r="O348" s="496"/>
      <c r="P348" s="387"/>
      <c r="Q348" s="377"/>
      <c r="R348" s="377"/>
      <c r="S348" s="377"/>
      <c r="T348" s="377"/>
      <c r="U348" s="377"/>
      <c r="V348" s="377"/>
    </row>
    <row r="349" spans="1:22" ht="15.6">
      <c r="A349" s="377"/>
      <c r="O349" s="377"/>
      <c r="P349" s="387"/>
      <c r="Q349" s="377"/>
      <c r="R349" s="377"/>
      <c r="S349" s="377"/>
      <c r="T349" s="377"/>
      <c r="U349" s="377"/>
      <c r="V349" s="377"/>
    </row>
    <row r="350" spans="1:22" ht="15.6">
      <c r="A350" s="377"/>
      <c r="O350" s="377"/>
      <c r="P350" s="387"/>
      <c r="Q350" s="377"/>
      <c r="R350" s="377"/>
      <c r="S350" s="377"/>
      <c r="T350" s="377"/>
      <c r="U350" s="377"/>
      <c r="V350" s="377"/>
    </row>
    <row r="351" spans="1:22" ht="15.6">
      <c r="A351" s="377"/>
      <c r="O351" s="377"/>
      <c r="P351" s="387"/>
      <c r="Q351" s="377"/>
      <c r="R351" s="377"/>
      <c r="S351" s="377"/>
      <c r="T351" s="377"/>
      <c r="U351" s="377"/>
      <c r="V351" s="377"/>
    </row>
    <row r="352" spans="1:22" ht="15.6">
      <c r="A352" s="377"/>
      <c r="O352" s="377"/>
      <c r="P352" s="387"/>
      <c r="Q352" s="377"/>
      <c r="R352" s="377"/>
      <c r="S352" s="377"/>
      <c r="T352" s="377"/>
      <c r="U352" s="377"/>
      <c r="V352" s="377"/>
    </row>
    <row r="353" spans="1:22" ht="15.6">
      <c r="A353" s="377"/>
      <c r="O353" s="377"/>
      <c r="P353" s="387"/>
      <c r="Q353" s="377"/>
      <c r="R353" s="377"/>
      <c r="S353" s="377"/>
      <c r="T353" s="377"/>
      <c r="U353" s="377"/>
      <c r="V353" s="377"/>
    </row>
    <row r="354" spans="1:22" ht="15.6">
      <c r="A354" s="377"/>
      <c r="O354" s="377"/>
      <c r="P354" s="387"/>
      <c r="Q354" s="377"/>
      <c r="R354" s="377"/>
      <c r="S354" s="377"/>
      <c r="T354" s="377"/>
      <c r="U354" s="377"/>
      <c r="V354" s="377"/>
    </row>
    <row r="355" spans="1:22" ht="15.6">
      <c r="A355" s="377"/>
      <c r="O355" s="377"/>
      <c r="P355" s="387"/>
      <c r="Q355" s="377"/>
      <c r="R355" s="377"/>
      <c r="S355" s="377"/>
      <c r="T355" s="377"/>
      <c r="U355" s="377"/>
      <c r="V355" s="377"/>
    </row>
    <row r="356" spans="1:22" ht="15.6">
      <c r="A356" s="377"/>
      <c r="O356" s="377"/>
      <c r="P356" s="387"/>
      <c r="Q356" s="377"/>
      <c r="R356" s="377"/>
      <c r="S356" s="377"/>
      <c r="T356" s="377"/>
      <c r="U356" s="377"/>
      <c r="V356" s="377"/>
    </row>
    <row r="357" spans="1:22" ht="15.6">
      <c r="A357" s="377"/>
      <c r="O357" s="377"/>
      <c r="P357" s="387"/>
      <c r="Q357" s="377"/>
      <c r="R357" s="377"/>
      <c r="S357" s="377"/>
      <c r="T357" s="377"/>
      <c r="U357" s="377"/>
      <c r="V357" s="377"/>
    </row>
    <row r="358" spans="1:22" ht="15.6">
      <c r="A358" s="377"/>
      <c r="O358" s="377"/>
      <c r="P358" s="387"/>
      <c r="Q358" s="377"/>
      <c r="R358" s="377"/>
      <c r="S358" s="377"/>
      <c r="T358" s="377"/>
      <c r="U358" s="377"/>
      <c r="V358" s="377"/>
    </row>
    <row r="359" spans="1:22" ht="15.6">
      <c r="A359" s="377"/>
      <c r="O359" s="377"/>
      <c r="P359" s="387"/>
      <c r="Q359" s="377"/>
      <c r="R359" s="377"/>
      <c r="S359" s="377"/>
      <c r="T359" s="377"/>
      <c r="U359" s="377"/>
      <c r="V359" s="377"/>
    </row>
    <row r="360" spans="1:22" ht="15.6">
      <c r="A360" s="377"/>
      <c r="O360" s="377"/>
      <c r="P360" s="387"/>
      <c r="Q360" s="377"/>
      <c r="R360" s="377"/>
      <c r="S360" s="377"/>
      <c r="T360" s="377"/>
      <c r="U360" s="377"/>
      <c r="V360" s="377"/>
    </row>
    <row r="361" spans="1:22" ht="15.6">
      <c r="A361" s="377"/>
      <c r="O361" s="377"/>
      <c r="P361" s="387"/>
      <c r="Q361" s="377"/>
      <c r="R361" s="377"/>
      <c r="S361" s="377"/>
      <c r="T361" s="377"/>
      <c r="U361" s="377"/>
      <c r="V361" s="377"/>
    </row>
    <row r="362" spans="1:22" ht="15.6">
      <c r="A362" s="377"/>
      <c r="O362" s="377"/>
      <c r="P362" s="387"/>
      <c r="Q362" s="377"/>
      <c r="R362" s="377"/>
      <c r="S362" s="377"/>
      <c r="T362" s="377"/>
      <c r="U362" s="377"/>
      <c r="V362" s="377"/>
    </row>
    <row r="363" spans="1:22" ht="15.6">
      <c r="A363" s="377"/>
      <c r="O363" s="377"/>
      <c r="P363" s="387"/>
      <c r="Q363" s="377"/>
      <c r="R363" s="377"/>
      <c r="S363" s="377"/>
      <c r="T363" s="377"/>
      <c r="U363" s="377"/>
      <c r="V363" s="377"/>
    </row>
    <row r="364" spans="1:22" ht="15.6">
      <c r="A364" s="377"/>
      <c r="O364" s="377"/>
      <c r="P364" s="387"/>
      <c r="Q364" s="377"/>
      <c r="R364" s="377"/>
      <c r="S364" s="377"/>
      <c r="T364" s="377"/>
      <c r="U364" s="377"/>
      <c r="V364" s="377"/>
    </row>
    <row r="365" spans="1:22" ht="15.6">
      <c r="A365" s="377"/>
      <c r="O365" s="377"/>
      <c r="P365" s="387"/>
      <c r="Q365" s="377"/>
      <c r="R365" s="377"/>
      <c r="S365" s="377"/>
      <c r="T365" s="377"/>
      <c r="U365" s="377"/>
      <c r="V365" s="377"/>
    </row>
    <row r="366" spans="1:22" ht="15.6">
      <c r="A366" s="377"/>
      <c r="O366" s="377"/>
      <c r="P366" s="387"/>
      <c r="Q366" s="377"/>
      <c r="R366" s="377"/>
      <c r="S366" s="377"/>
      <c r="T366" s="377"/>
      <c r="U366" s="377"/>
      <c r="V366" s="377"/>
    </row>
    <row r="367" spans="1:22" ht="15.6">
      <c r="A367" s="377"/>
      <c r="O367" s="377"/>
      <c r="P367" s="387"/>
      <c r="Q367" s="377"/>
      <c r="R367" s="377"/>
      <c r="S367" s="377"/>
      <c r="T367" s="377"/>
      <c r="U367" s="377"/>
      <c r="V367" s="377"/>
    </row>
    <row r="368" spans="1:22" ht="15.6">
      <c r="A368" s="377"/>
      <c r="O368" s="377"/>
      <c r="P368" s="387"/>
      <c r="Q368" s="377"/>
      <c r="R368" s="377"/>
      <c r="S368" s="377"/>
      <c r="T368" s="377"/>
      <c r="U368" s="377"/>
      <c r="V368" s="377"/>
    </row>
    <row r="369" spans="1:22" ht="15.6">
      <c r="A369" s="377"/>
      <c r="O369" s="377"/>
      <c r="P369" s="387"/>
      <c r="Q369" s="377"/>
      <c r="R369" s="377"/>
      <c r="S369" s="377"/>
      <c r="T369" s="377"/>
      <c r="U369" s="377"/>
      <c r="V369" s="377"/>
    </row>
    <row r="370" spans="1:22" ht="15.6">
      <c r="A370" s="377"/>
      <c r="O370" s="377"/>
      <c r="P370" s="387"/>
      <c r="Q370" s="377"/>
      <c r="R370" s="377"/>
      <c r="S370" s="377"/>
      <c r="T370" s="377"/>
      <c r="U370" s="377"/>
      <c r="V370" s="377"/>
    </row>
    <row r="371" spans="1:22" ht="15.6">
      <c r="A371" s="377"/>
      <c r="O371" s="377"/>
      <c r="P371" s="387"/>
      <c r="Q371" s="377"/>
      <c r="R371" s="377"/>
      <c r="S371" s="377"/>
      <c r="T371" s="377"/>
      <c r="U371" s="377"/>
      <c r="V371" s="377"/>
    </row>
    <row r="372" spans="1:22" ht="15.6">
      <c r="A372" s="377"/>
      <c r="O372" s="377"/>
      <c r="P372" s="387"/>
      <c r="Q372" s="377"/>
      <c r="R372" s="377"/>
      <c r="S372" s="377"/>
      <c r="T372" s="377"/>
      <c r="U372" s="377"/>
      <c r="V372" s="377"/>
    </row>
    <row r="373" spans="1:22" ht="15.6">
      <c r="A373" s="377"/>
      <c r="O373" s="377"/>
      <c r="P373" s="387"/>
      <c r="Q373" s="377"/>
      <c r="R373" s="377"/>
      <c r="S373" s="377"/>
      <c r="T373" s="377"/>
      <c r="U373" s="377"/>
      <c r="V373" s="377"/>
    </row>
    <row r="374" spans="1:22" ht="15.6">
      <c r="A374" s="377"/>
      <c r="O374" s="377"/>
      <c r="P374" s="387"/>
      <c r="Q374" s="377"/>
      <c r="R374" s="377"/>
      <c r="S374" s="377"/>
      <c r="T374" s="377"/>
      <c r="U374" s="377"/>
      <c r="V374" s="377"/>
    </row>
    <row r="375" spans="1:22" ht="15.6">
      <c r="A375" s="377"/>
      <c r="O375" s="377"/>
      <c r="P375" s="387"/>
      <c r="Q375" s="377"/>
      <c r="R375" s="377"/>
      <c r="S375" s="377"/>
      <c r="T375" s="377"/>
      <c r="U375" s="377"/>
      <c r="V375" s="377"/>
    </row>
    <row r="376" spans="1:22" ht="15.6">
      <c r="A376" s="377"/>
      <c r="O376" s="377"/>
      <c r="P376" s="387"/>
      <c r="Q376" s="377"/>
      <c r="R376" s="377"/>
      <c r="S376" s="377"/>
      <c r="T376" s="377"/>
      <c r="U376" s="377"/>
      <c r="V376" s="377"/>
    </row>
    <row r="377" spans="1:22" ht="15.6">
      <c r="A377" s="377"/>
      <c r="O377" s="377"/>
      <c r="P377" s="387"/>
      <c r="Q377" s="377"/>
      <c r="R377" s="377"/>
      <c r="S377" s="377"/>
      <c r="T377" s="377"/>
      <c r="U377" s="377"/>
      <c r="V377" s="377"/>
    </row>
    <row r="378" spans="1:22" ht="15.6">
      <c r="A378" s="377"/>
      <c r="O378" s="377"/>
      <c r="P378" s="387"/>
      <c r="Q378" s="377"/>
      <c r="R378" s="377"/>
      <c r="S378" s="377"/>
      <c r="T378" s="377"/>
      <c r="U378" s="377"/>
      <c r="V378" s="377"/>
    </row>
    <row r="379" spans="1:22" ht="15.6">
      <c r="A379" s="377"/>
      <c r="O379" s="377"/>
      <c r="P379" s="387"/>
      <c r="Q379" s="377"/>
      <c r="R379" s="377"/>
      <c r="S379" s="377"/>
      <c r="T379" s="377"/>
      <c r="U379" s="377"/>
      <c r="V379" s="377"/>
    </row>
    <row r="380" spans="1:22" ht="15.6">
      <c r="A380" s="377"/>
      <c r="O380" s="377"/>
      <c r="P380" s="387"/>
      <c r="Q380" s="377"/>
      <c r="R380" s="377"/>
      <c r="S380" s="377"/>
      <c r="T380" s="377"/>
      <c r="U380" s="377"/>
      <c r="V380" s="377"/>
    </row>
    <row r="381" spans="1:22" ht="15.6">
      <c r="A381" s="377"/>
      <c r="O381" s="377"/>
      <c r="P381" s="387"/>
      <c r="Q381" s="377"/>
      <c r="R381" s="377"/>
      <c r="S381" s="377"/>
      <c r="T381" s="377"/>
      <c r="U381" s="377"/>
      <c r="V381" s="377"/>
    </row>
    <row r="382" spans="1:22" ht="15.6">
      <c r="A382" s="377"/>
      <c r="O382" s="377"/>
      <c r="P382" s="387"/>
      <c r="Q382" s="377"/>
      <c r="R382" s="377"/>
      <c r="S382" s="377"/>
      <c r="T382" s="377"/>
      <c r="U382" s="377"/>
      <c r="V382" s="377"/>
    </row>
    <row r="383" spans="1:22" ht="15.6">
      <c r="A383" s="377"/>
      <c r="O383" s="377"/>
      <c r="P383" s="387"/>
      <c r="Q383" s="377"/>
      <c r="R383" s="377"/>
      <c r="S383" s="377"/>
      <c r="T383" s="377"/>
      <c r="U383" s="377"/>
      <c r="V383" s="377"/>
    </row>
    <row r="384" spans="1:22" ht="15.6">
      <c r="A384" s="377"/>
      <c r="O384" s="377"/>
      <c r="P384" s="387"/>
      <c r="Q384" s="377"/>
      <c r="R384" s="377"/>
      <c r="S384" s="377"/>
      <c r="T384" s="377"/>
      <c r="U384" s="377"/>
      <c r="V384" s="377"/>
    </row>
    <row r="385" spans="1:22" ht="15.6">
      <c r="A385" s="377"/>
      <c r="O385" s="377"/>
      <c r="P385" s="387"/>
      <c r="Q385" s="377"/>
      <c r="R385" s="377"/>
      <c r="S385" s="377"/>
      <c r="T385" s="377"/>
      <c r="U385" s="377"/>
      <c r="V385" s="377"/>
    </row>
    <row r="386" spans="1:22" ht="15.6">
      <c r="A386" s="377"/>
      <c r="O386" s="377"/>
      <c r="P386" s="387"/>
      <c r="Q386" s="377"/>
      <c r="R386" s="377"/>
      <c r="S386" s="377"/>
      <c r="T386" s="377"/>
      <c r="U386" s="377"/>
      <c r="V386" s="377"/>
    </row>
    <row r="387" spans="1:22" ht="15.6">
      <c r="A387" s="377"/>
      <c r="O387" s="377"/>
      <c r="P387" s="387"/>
      <c r="Q387" s="377"/>
      <c r="R387" s="377"/>
      <c r="S387" s="377"/>
      <c r="T387" s="377"/>
      <c r="U387" s="377"/>
      <c r="V387" s="377"/>
    </row>
    <row r="388" spans="1:22" ht="15.6">
      <c r="A388" s="377"/>
      <c r="O388" s="377"/>
      <c r="P388" s="387"/>
      <c r="Q388" s="377"/>
      <c r="R388" s="377"/>
      <c r="S388" s="377"/>
      <c r="T388" s="377"/>
      <c r="U388" s="377"/>
      <c r="V388" s="377"/>
    </row>
    <row r="389" spans="1:22" ht="15.6">
      <c r="A389" s="377"/>
      <c r="O389" s="377"/>
      <c r="P389" s="387"/>
      <c r="Q389" s="377"/>
      <c r="R389" s="377"/>
      <c r="S389" s="377"/>
      <c r="T389" s="377"/>
      <c r="U389" s="377"/>
      <c r="V389" s="377"/>
    </row>
    <row r="390" spans="1:22" ht="15.6">
      <c r="A390" s="377"/>
      <c r="O390" s="377"/>
      <c r="P390" s="387"/>
      <c r="Q390" s="377"/>
      <c r="R390" s="377"/>
      <c r="S390" s="377"/>
      <c r="T390" s="377"/>
      <c r="U390" s="377"/>
      <c r="V390" s="377"/>
    </row>
    <row r="391" spans="1:22" ht="15.6">
      <c r="A391" s="377"/>
      <c r="O391" s="377"/>
      <c r="P391" s="387"/>
      <c r="Q391" s="377"/>
      <c r="R391" s="377"/>
      <c r="S391" s="377"/>
      <c r="T391" s="377"/>
      <c r="U391" s="377"/>
      <c r="V391" s="377"/>
    </row>
    <row r="392" spans="1:22" ht="15.6">
      <c r="A392" s="377"/>
      <c r="O392" s="377"/>
      <c r="P392" s="387"/>
      <c r="Q392" s="377"/>
      <c r="R392" s="377"/>
      <c r="S392" s="377"/>
      <c r="T392" s="377"/>
      <c r="U392" s="377"/>
      <c r="V392" s="377"/>
    </row>
    <row r="393" spans="1:22" ht="15.6">
      <c r="A393" s="377"/>
      <c r="O393" s="377"/>
      <c r="P393" s="387"/>
      <c r="Q393" s="377"/>
      <c r="R393" s="377"/>
      <c r="S393" s="377"/>
      <c r="T393" s="377"/>
      <c r="U393" s="377"/>
      <c r="V393" s="377"/>
    </row>
    <row r="394" spans="1:22" ht="15.6">
      <c r="A394" s="377"/>
      <c r="O394" s="377"/>
      <c r="P394" s="387"/>
      <c r="Q394" s="377"/>
      <c r="R394" s="377"/>
      <c r="S394" s="377"/>
      <c r="T394" s="377"/>
      <c r="U394" s="377"/>
      <c r="V394" s="377"/>
    </row>
    <row r="395" spans="1:22" ht="15.6">
      <c r="A395" s="377"/>
      <c r="O395" s="377"/>
      <c r="P395" s="387"/>
      <c r="Q395" s="377"/>
      <c r="R395" s="377"/>
      <c r="S395" s="377"/>
      <c r="T395" s="377"/>
      <c r="U395" s="377"/>
      <c r="V395" s="377"/>
    </row>
    <row r="396" spans="1:22" ht="15.6">
      <c r="A396" s="377"/>
      <c r="O396" s="377"/>
      <c r="P396" s="387"/>
      <c r="Q396" s="377"/>
      <c r="R396" s="377"/>
      <c r="S396" s="377"/>
      <c r="T396" s="377"/>
      <c r="U396" s="377"/>
      <c r="V396" s="377"/>
    </row>
    <row r="397" spans="1:22" ht="15.6">
      <c r="A397" s="377"/>
      <c r="O397" s="377"/>
      <c r="P397" s="387"/>
      <c r="Q397" s="377"/>
      <c r="R397" s="377"/>
      <c r="S397" s="377"/>
      <c r="T397" s="377"/>
      <c r="U397" s="377"/>
      <c r="V397" s="377"/>
    </row>
    <row r="398" spans="1:22" ht="15.6">
      <c r="A398" s="377"/>
      <c r="O398" s="377"/>
      <c r="P398" s="387"/>
      <c r="Q398" s="377"/>
      <c r="R398" s="377"/>
      <c r="S398" s="377"/>
      <c r="T398" s="377"/>
      <c r="U398" s="377"/>
      <c r="V398" s="377"/>
    </row>
    <row r="399" spans="1:22" ht="15.6">
      <c r="A399" s="377"/>
      <c r="O399" s="377"/>
      <c r="P399" s="387"/>
      <c r="Q399" s="377"/>
      <c r="R399" s="377"/>
      <c r="S399" s="377"/>
      <c r="T399" s="377"/>
      <c r="U399" s="377"/>
      <c r="V399" s="377"/>
    </row>
    <row r="400" spans="1:22" ht="15.6">
      <c r="A400" s="377"/>
      <c r="B400" s="1091" t="s">
        <v>1252</v>
      </c>
      <c r="C400" s="1092"/>
      <c r="D400" s="1092"/>
      <c r="E400" s="1092"/>
      <c r="F400" s="1092"/>
      <c r="G400" s="1092"/>
      <c r="H400" s="1092"/>
      <c r="I400" s="1092"/>
      <c r="J400" s="1092"/>
      <c r="O400" s="377"/>
      <c r="P400" s="387"/>
      <c r="Q400" s="377"/>
      <c r="R400" s="377"/>
      <c r="S400" s="377"/>
      <c r="T400" s="377"/>
      <c r="U400" s="377"/>
      <c r="V400" s="377"/>
    </row>
    <row r="401" spans="1:22" ht="15.6">
      <c r="A401" s="377"/>
      <c r="B401" s="389" t="s">
        <v>1253</v>
      </c>
      <c r="C401" s="389"/>
      <c r="D401" s="377"/>
      <c r="E401" s="377"/>
      <c r="F401" s="377"/>
      <c r="G401" s="377"/>
      <c r="H401" s="377"/>
      <c r="I401" s="377"/>
      <c r="O401" s="377"/>
      <c r="P401" s="387"/>
      <c r="Q401" s="377"/>
      <c r="R401" s="377"/>
      <c r="S401" s="377"/>
      <c r="T401" s="377"/>
      <c r="U401" s="377"/>
      <c r="V401" s="377"/>
    </row>
    <row r="402" spans="1:22" ht="15.6">
      <c r="A402" s="377"/>
      <c r="B402" s="382">
        <v>6980</v>
      </c>
      <c r="C402" s="382"/>
      <c r="D402" s="389" t="s">
        <v>1254</v>
      </c>
      <c r="E402" s="389"/>
      <c r="F402" s="377"/>
      <c r="G402" s="377"/>
      <c r="H402" s="377"/>
      <c r="I402" s="377"/>
      <c r="O402" s="377"/>
      <c r="P402" s="387"/>
      <c r="Q402" s="377"/>
      <c r="R402" s="377"/>
      <c r="S402" s="377"/>
      <c r="T402" s="377"/>
      <c r="U402" s="377"/>
      <c r="V402" s="377"/>
    </row>
    <row r="403" spans="1:22" ht="15.6">
      <c r="A403" s="377"/>
      <c r="B403" s="377"/>
      <c r="C403" s="377"/>
      <c r="D403" s="377"/>
      <c r="E403" s="377"/>
      <c r="F403" s="389" t="s">
        <v>1129</v>
      </c>
      <c r="G403" s="377"/>
      <c r="H403" s="377"/>
      <c r="I403" s="389" t="s">
        <v>1129</v>
      </c>
      <c r="O403" s="377"/>
      <c r="P403" s="387"/>
      <c r="Q403" s="377"/>
      <c r="R403" s="377"/>
      <c r="S403" s="377"/>
      <c r="T403" s="377"/>
      <c r="U403" s="377"/>
      <c r="V403" s="377"/>
    </row>
    <row r="404" spans="1:22" ht="15.6">
      <c r="A404" s="377"/>
      <c r="B404" s="1028" t="s">
        <v>1255</v>
      </c>
      <c r="C404" s="1028"/>
      <c r="D404" s="1029"/>
      <c r="F404" s="1028" t="s">
        <v>1256</v>
      </c>
      <c r="G404" s="1022"/>
      <c r="H404" s="377"/>
      <c r="I404" s="1009" t="s">
        <v>1257</v>
      </c>
      <c r="J404" s="996"/>
      <c r="O404" s="377"/>
      <c r="P404" s="387"/>
      <c r="Q404" s="377"/>
      <c r="R404" s="377"/>
      <c r="S404" s="377"/>
      <c r="T404" s="377"/>
      <c r="U404" s="377"/>
      <c r="V404" s="377"/>
    </row>
    <row r="405" spans="1:22" ht="15.6">
      <c r="A405" s="377"/>
      <c r="B405" s="1004" t="s">
        <v>1258</v>
      </c>
      <c r="C405" s="1004"/>
      <c r="D405" s="1007" t="s">
        <v>1222</v>
      </c>
      <c r="E405" s="1007"/>
      <c r="F405" s="1005" t="s">
        <v>1131</v>
      </c>
      <c r="G405" s="1007" t="s">
        <v>1222</v>
      </c>
      <c r="H405" s="1006"/>
      <c r="I405" s="1005" t="s">
        <v>1131</v>
      </c>
      <c r="J405" s="1007" t="s">
        <v>1222</v>
      </c>
      <c r="O405" s="377"/>
      <c r="P405" s="387"/>
      <c r="Q405" s="377"/>
      <c r="R405" s="377"/>
      <c r="S405" s="377"/>
      <c r="T405" s="377"/>
      <c r="U405" s="377"/>
      <c r="V405" s="377"/>
    </row>
    <row r="406" spans="1:22" ht="15.6">
      <c r="A406" s="377"/>
      <c r="B406" s="1022" t="s">
        <v>1158</v>
      </c>
      <c r="C406" s="1022"/>
      <c r="D406" s="1020">
        <v>7763.23</v>
      </c>
      <c r="E406" s="382"/>
      <c r="F406" s="1022" t="s">
        <v>1158</v>
      </c>
      <c r="G406" s="1020">
        <v>6980</v>
      </c>
      <c r="H406" s="377"/>
      <c r="I406" s="1010" t="s">
        <v>1158</v>
      </c>
      <c r="J406" s="1024">
        <v>7494.32</v>
      </c>
      <c r="O406" s="377"/>
      <c r="P406" s="387"/>
      <c r="Q406" s="377"/>
      <c r="R406" s="377"/>
      <c r="S406" s="377"/>
      <c r="T406" s="377"/>
      <c r="U406" s="377"/>
      <c r="V406" s="377"/>
    </row>
    <row r="407" spans="1:22" ht="15.6">
      <c r="A407" s="377"/>
      <c r="B407" s="1022" t="s">
        <v>1159</v>
      </c>
      <c r="C407" s="1022"/>
      <c r="D407" s="1021">
        <v>8093.24</v>
      </c>
      <c r="E407" s="379"/>
      <c r="F407" s="1022" t="s">
        <v>1159</v>
      </c>
      <c r="G407" s="1021">
        <v>7169</v>
      </c>
      <c r="H407" s="377"/>
      <c r="I407" s="1010" t="s">
        <v>1159</v>
      </c>
      <c r="J407" s="1025">
        <v>8093.33</v>
      </c>
      <c r="O407" s="377"/>
      <c r="P407" s="387"/>
      <c r="Q407" s="377"/>
      <c r="R407" s="377"/>
      <c r="S407" s="377"/>
      <c r="T407" s="377"/>
      <c r="U407" s="377"/>
      <c r="V407" s="377"/>
    </row>
    <row r="408" spans="1:22" ht="15.6">
      <c r="A408" s="377"/>
      <c r="B408" s="1022" t="s">
        <v>1160</v>
      </c>
      <c r="C408" s="1022"/>
      <c r="D408" s="1021">
        <v>7264.25</v>
      </c>
      <c r="E408" s="379"/>
      <c r="F408" s="1022" t="s">
        <v>1160</v>
      </c>
      <c r="G408" s="1021">
        <v>7197</v>
      </c>
      <c r="H408" s="377"/>
      <c r="I408" s="1010" t="s">
        <v>1160</v>
      </c>
      <c r="J408" s="1025">
        <v>7197.34</v>
      </c>
      <c r="O408" s="377"/>
      <c r="P408" s="387"/>
      <c r="Q408" s="377"/>
      <c r="R408" s="377"/>
      <c r="S408" s="377"/>
      <c r="T408" s="377"/>
      <c r="U408" s="377"/>
      <c r="V408" s="377"/>
    </row>
    <row r="409" spans="1:22" ht="15.6">
      <c r="A409" s="377"/>
      <c r="B409" s="1022" t="s">
        <v>1259</v>
      </c>
      <c r="C409" s="1022"/>
      <c r="D409" s="1021">
        <v>9177.26</v>
      </c>
      <c r="E409" s="379"/>
      <c r="F409" s="1022" t="s">
        <v>1259</v>
      </c>
      <c r="G409" s="1021">
        <v>6980</v>
      </c>
      <c r="H409" s="377"/>
      <c r="I409" s="1010" t="s">
        <v>1161</v>
      </c>
      <c r="J409" s="1025">
        <v>7715.35</v>
      </c>
      <c r="O409" s="377"/>
      <c r="P409" s="387"/>
      <c r="Q409" s="377"/>
      <c r="R409" s="377"/>
      <c r="S409" s="377"/>
      <c r="T409" s="377"/>
      <c r="U409" s="377"/>
      <c r="V409" s="377"/>
    </row>
    <row r="410" spans="1:22" ht="15.6">
      <c r="A410" s="377"/>
      <c r="B410" s="1022" t="s">
        <v>1161</v>
      </c>
      <c r="C410" s="1022"/>
      <c r="D410" s="1021">
        <v>9279.27</v>
      </c>
      <c r="E410" s="379"/>
      <c r="F410" s="1022" t="s">
        <v>1161</v>
      </c>
      <c r="G410" s="1021">
        <v>7169</v>
      </c>
      <c r="H410" s="377"/>
      <c r="I410" s="1010" t="s">
        <v>1162</v>
      </c>
      <c r="J410" s="1025">
        <v>6980.36</v>
      </c>
      <c r="O410" s="377"/>
      <c r="P410" s="387"/>
      <c r="Q410" s="377"/>
      <c r="R410" s="377"/>
      <c r="S410" s="377"/>
      <c r="T410" s="377"/>
      <c r="U410" s="377"/>
      <c r="V410" s="377"/>
    </row>
    <row r="411" spans="1:22" ht="15.6">
      <c r="A411" s="377"/>
      <c r="B411" s="1022" t="s">
        <v>1260</v>
      </c>
      <c r="C411" s="1022"/>
      <c r="D411" s="1021">
        <v>22360.28</v>
      </c>
      <c r="E411" s="379"/>
      <c r="F411" s="1022" t="s">
        <v>1260</v>
      </c>
      <c r="G411" s="1021">
        <v>7169</v>
      </c>
      <c r="H411" s="377"/>
      <c r="I411" s="1010" t="s">
        <v>1163</v>
      </c>
      <c r="J411" s="1025">
        <v>10367</v>
      </c>
      <c r="O411" s="377"/>
      <c r="P411" s="387"/>
      <c r="Q411" s="377"/>
      <c r="R411" s="377"/>
      <c r="S411" s="377"/>
      <c r="T411" s="377"/>
      <c r="U411" s="377"/>
      <c r="V411" s="377"/>
    </row>
    <row r="412" spans="1:22" ht="15.6">
      <c r="A412" s="377"/>
      <c r="B412" s="1022" t="s">
        <v>1261</v>
      </c>
      <c r="C412" s="1022"/>
      <c r="D412" s="1021">
        <v>33746.29</v>
      </c>
      <c r="E412" s="379"/>
      <c r="F412" s="1022" t="s">
        <v>1261</v>
      </c>
      <c r="G412" s="1023">
        <v>7169</v>
      </c>
      <c r="H412" s="379"/>
      <c r="I412" s="1010" t="s">
        <v>1262</v>
      </c>
      <c r="J412" s="1026">
        <v>6980</v>
      </c>
      <c r="O412" s="377"/>
      <c r="P412" s="387"/>
      <c r="Q412" s="377"/>
      <c r="R412" s="377"/>
      <c r="S412" s="377"/>
      <c r="T412" s="377"/>
      <c r="U412" s="377"/>
      <c r="V412" s="377"/>
    </row>
    <row r="413" spans="1:22" ht="15.6">
      <c r="A413" s="377"/>
      <c r="B413" s="1022" t="s">
        <v>1263</v>
      </c>
      <c r="C413" s="1022"/>
      <c r="D413" s="1021">
        <v>9713.2999999999993</v>
      </c>
      <c r="E413" s="379"/>
      <c r="F413" s="1022" t="s">
        <v>1263</v>
      </c>
      <c r="G413" s="1023">
        <v>7169</v>
      </c>
      <c r="H413" s="379"/>
      <c r="O413" s="377"/>
      <c r="P413" s="387"/>
      <c r="Q413" s="377"/>
      <c r="R413" s="377"/>
      <c r="S413" s="377"/>
      <c r="T413" s="377"/>
      <c r="U413" s="377"/>
      <c r="V413" s="377"/>
    </row>
    <row r="414" spans="1:22" ht="15.6">
      <c r="A414" s="377"/>
      <c r="B414" s="1022" t="s">
        <v>1264</v>
      </c>
      <c r="C414" s="1022"/>
      <c r="D414" s="1021">
        <v>10547.31</v>
      </c>
      <c r="E414" s="379"/>
      <c r="F414" s="1022" t="s">
        <v>1264</v>
      </c>
      <c r="G414" s="1023">
        <v>7169</v>
      </c>
      <c r="H414" s="379"/>
      <c r="I414" s="1002" t="s">
        <v>1265</v>
      </c>
      <c r="J414" s="1003"/>
      <c r="O414" s="377"/>
      <c r="P414" s="387"/>
      <c r="Q414" s="377"/>
      <c r="R414" s="377"/>
      <c r="S414" s="377"/>
      <c r="T414" s="377"/>
      <c r="U414" s="377"/>
      <c r="V414" s="377"/>
    </row>
    <row r="415" spans="1:22" ht="15.6">
      <c r="A415" s="377"/>
      <c r="B415" s="1022" t="s">
        <v>1266</v>
      </c>
      <c r="C415" s="1022"/>
      <c r="D415" s="1021">
        <v>13725.32</v>
      </c>
      <c r="E415" s="379"/>
      <c r="F415" s="1022" t="s">
        <v>1266</v>
      </c>
      <c r="G415" s="1023">
        <v>7169</v>
      </c>
      <c r="H415" s="379"/>
      <c r="I415" s="1010" t="s">
        <v>1210</v>
      </c>
      <c r="J415" s="1027" t="s">
        <v>1267</v>
      </c>
      <c r="O415" s="377"/>
      <c r="P415" s="387"/>
      <c r="Q415" s="377"/>
      <c r="R415" s="377"/>
      <c r="S415" s="377"/>
      <c r="T415" s="377"/>
      <c r="U415" s="377"/>
      <c r="V415" s="377"/>
    </row>
    <row r="416" spans="1:22" ht="15.6">
      <c r="A416" s="377"/>
      <c r="B416" s="1022" t="s">
        <v>1268</v>
      </c>
      <c r="C416" s="1022"/>
      <c r="D416" s="1021">
        <v>8532.33</v>
      </c>
      <c r="E416" s="379"/>
      <c r="F416" s="1022" t="s">
        <v>1268</v>
      </c>
      <c r="G416" s="1023">
        <v>6980</v>
      </c>
      <c r="H416" s="379"/>
      <c r="I416" s="1010" t="s">
        <v>1147</v>
      </c>
      <c r="J416" s="1010">
        <v>0.24</v>
      </c>
      <c r="O416" s="377"/>
      <c r="P416" s="387"/>
      <c r="Q416" s="377"/>
      <c r="R416" s="377"/>
      <c r="S416" s="377"/>
      <c r="T416" s="377"/>
      <c r="U416" s="377"/>
      <c r="V416" s="377"/>
    </row>
    <row r="417" spans="1:22" ht="15.6">
      <c r="A417" s="377"/>
      <c r="B417" s="1022" t="s">
        <v>1269</v>
      </c>
      <c r="C417" s="1022"/>
      <c r="D417" s="1021">
        <v>12286.34</v>
      </c>
      <c r="E417" s="379"/>
      <c r="F417" s="1022" t="s">
        <v>1269</v>
      </c>
      <c r="G417" s="1023">
        <v>7169</v>
      </c>
      <c r="H417" s="379"/>
      <c r="I417" s="1010" t="s">
        <v>1270</v>
      </c>
      <c r="J417" s="1010">
        <v>0.03</v>
      </c>
      <c r="K417" t="s">
        <v>1271</v>
      </c>
      <c r="O417" s="377"/>
      <c r="P417" s="387"/>
      <c r="Q417" s="377"/>
      <c r="R417" s="377"/>
      <c r="S417" s="377"/>
      <c r="T417" s="377"/>
      <c r="U417" s="377"/>
      <c r="V417" s="377"/>
    </row>
    <row r="418" spans="1:22" ht="15.6">
      <c r="A418" s="377"/>
      <c r="B418" s="1022" t="s">
        <v>1272</v>
      </c>
      <c r="C418" s="1022"/>
      <c r="D418" s="1021">
        <v>8764.35</v>
      </c>
      <c r="E418" s="379"/>
      <c r="F418" s="1022" t="s">
        <v>1272</v>
      </c>
      <c r="G418" s="1023">
        <v>7169</v>
      </c>
      <c r="H418" s="379"/>
      <c r="I418" s="1010" t="s">
        <v>1148</v>
      </c>
      <c r="J418" s="1010">
        <v>0.12</v>
      </c>
      <c r="O418" s="377"/>
      <c r="P418" s="387"/>
      <c r="Q418" s="377"/>
      <c r="R418" s="377"/>
      <c r="S418" s="377"/>
      <c r="T418" s="377"/>
      <c r="U418" s="377"/>
      <c r="V418" s="377"/>
    </row>
    <row r="419" spans="1:22" ht="15.6">
      <c r="A419" s="377"/>
      <c r="B419" s="1022" t="s">
        <v>1273</v>
      </c>
      <c r="C419" s="1022"/>
      <c r="D419" s="1021">
        <v>11794.36</v>
      </c>
      <c r="E419" s="379"/>
      <c r="F419" s="1022" t="s">
        <v>1273</v>
      </c>
      <c r="G419" s="1023">
        <v>7169</v>
      </c>
      <c r="H419" s="379"/>
      <c r="O419" s="377"/>
      <c r="P419" s="387"/>
      <c r="Q419" s="377"/>
      <c r="R419" s="377"/>
      <c r="S419" s="377"/>
      <c r="T419" s="377"/>
      <c r="U419" s="377"/>
      <c r="V419" s="377"/>
    </row>
    <row r="420" spans="1:22" ht="15.6">
      <c r="A420" s="377"/>
      <c r="B420" s="1022" t="s">
        <v>1274</v>
      </c>
      <c r="C420" s="1022"/>
      <c r="D420" s="1021">
        <v>23274.37</v>
      </c>
      <c r="E420" s="379"/>
      <c r="F420" s="1022" t="s">
        <v>1274</v>
      </c>
      <c r="G420" s="1023">
        <v>6980</v>
      </c>
      <c r="H420" s="379"/>
      <c r="O420" s="377"/>
      <c r="P420" s="387"/>
      <c r="Q420" s="377"/>
      <c r="R420" s="377"/>
      <c r="S420" s="377"/>
      <c r="T420" s="377"/>
      <c r="U420" s="377"/>
      <c r="V420" s="377"/>
    </row>
    <row r="421" spans="1:22" ht="15.6">
      <c r="A421" s="377"/>
      <c r="B421" s="1022" t="s">
        <v>1162</v>
      </c>
      <c r="C421" s="1022"/>
      <c r="D421" s="1021">
        <v>7222.38</v>
      </c>
      <c r="E421" s="379"/>
      <c r="F421" s="1022" t="s">
        <v>1162</v>
      </c>
      <c r="G421" s="1023">
        <v>6980</v>
      </c>
      <c r="H421" s="379"/>
      <c r="I421" s="377"/>
      <c r="O421" s="377"/>
      <c r="P421" s="387"/>
      <c r="Q421" s="377"/>
      <c r="R421" s="377"/>
      <c r="S421" s="377"/>
      <c r="T421" s="377"/>
      <c r="U421" s="377"/>
      <c r="V421" s="377"/>
    </row>
    <row r="422" spans="1:22" ht="15.6">
      <c r="A422" s="377"/>
      <c r="B422" s="1022" t="s">
        <v>1163</v>
      </c>
      <c r="C422" s="1022"/>
      <c r="D422" s="1020">
        <v>11298</v>
      </c>
      <c r="E422" s="382"/>
      <c r="F422" s="1022" t="s">
        <v>1163</v>
      </c>
      <c r="G422" s="1023">
        <v>7169</v>
      </c>
      <c r="H422" s="379"/>
      <c r="I422" s="377"/>
      <c r="O422" s="377"/>
      <c r="P422" s="387"/>
      <c r="Q422" s="377"/>
      <c r="R422" s="377"/>
      <c r="S422" s="377"/>
      <c r="T422" s="377"/>
      <c r="U422" s="377"/>
      <c r="V422" s="377"/>
    </row>
    <row r="423" spans="1:22" ht="15.6">
      <c r="A423" s="377"/>
      <c r="B423" s="377"/>
      <c r="C423" s="377"/>
      <c r="D423" s="377"/>
      <c r="E423" s="377"/>
      <c r="H423" s="377"/>
      <c r="I423" s="377"/>
      <c r="O423" s="377"/>
      <c r="P423" s="387"/>
      <c r="Q423" s="377"/>
      <c r="R423" s="377"/>
      <c r="S423" s="377"/>
      <c r="T423" s="377"/>
      <c r="U423" s="377"/>
      <c r="V423" s="377"/>
    </row>
    <row r="424" spans="1:22" ht="15.6">
      <c r="A424" s="377"/>
      <c r="B424" s="377"/>
      <c r="C424" s="377"/>
      <c r="D424" s="377"/>
      <c r="E424" s="377"/>
      <c r="F424" s="377"/>
      <c r="G424" s="377"/>
      <c r="H424" s="377"/>
      <c r="I424" s="377"/>
      <c r="O424" s="377"/>
      <c r="P424" s="387"/>
      <c r="Q424" s="377"/>
      <c r="R424" s="377"/>
      <c r="S424" s="377"/>
      <c r="T424" s="377"/>
      <c r="U424" s="377"/>
      <c r="V424" s="377"/>
    </row>
    <row r="425" spans="1:22" ht="15.6">
      <c r="A425" s="377"/>
      <c r="B425" s="1017" t="s">
        <v>1275</v>
      </c>
      <c r="C425" s="1017"/>
      <c r="D425" s="1018"/>
      <c r="E425" s="1018"/>
      <c r="F425" s="1018"/>
      <c r="G425" s="1018"/>
      <c r="H425" s="1018"/>
      <c r="I425" s="1018"/>
      <c r="J425" s="1019"/>
      <c r="O425" s="377"/>
      <c r="P425" s="387"/>
      <c r="Q425" s="377"/>
      <c r="R425" s="377"/>
      <c r="S425" s="377"/>
      <c r="T425" s="377"/>
      <c r="U425" s="377"/>
      <c r="V425" s="377"/>
    </row>
    <row r="426" spans="1:22" ht="15.6">
      <c r="A426" s="377"/>
      <c r="B426" s="389" t="s">
        <v>1253</v>
      </c>
      <c r="C426" s="389"/>
      <c r="D426" s="377"/>
      <c r="E426" s="377"/>
      <c r="F426" s="377"/>
      <c r="G426" s="377"/>
      <c r="H426" s="377"/>
      <c r="I426" s="377"/>
      <c r="O426" s="377"/>
      <c r="P426" s="387"/>
      <c r="Q426" s="377"/>
      <c r="R426" s="377"/>
      <c r="S426" s="377"/>
      <c r="T426" s="377"/>
      <c r="U426" s="377"/>
      <c r="V426" s="377"/>
    </row>
    <row r="427" spans="1:22" ht="15.6">
      <c r="A427" s="377"/>
      <c r="B427" s="382">
        <v>7074</v>
      </c>
      <c r="C427" s="382"/>
      <c r="D427" s="389" t="s">
        <v>1276</v>
      </c>
      <c r="E427" s="389"/>
      <c r="F427" s="377"/>
      <c r="G427" s="377"/>
      <c r="H427" s="377"/>
      <c r="I427" s="377"/>
      <c r="O427" s="388"/>
      <c r="P427" s="387"/>
      <c r="Q427" s="377"/>
      <c r="R427" s="377"/>
      <c r="S427" s="377"/>
      <c r="T427" s="377"/>
      <c r="U427" s="377"/>
      <c r="V427" s="377"/>
    </row>
    <row r="428" spans="1:22" ht="15.6">
      <c r="A428" s="377"/>
      <c r="B428" s="377"/>
      <c r="C428" s="377"/>
      <c r="D428" s="377"/>
      <c r="E428" s="377"/>
      <c r="F428" s="389" t="s">
        <v>1129</v>
      </c>
      <c r="G428" s="377"/>
      <c r="H428" s="377"/>
      <c r="I428" s="389" t="s">
        <v>1129</v>
      </c>
      <c r="O428" s="388"/>
      <c r="P428" s="387"/>
      <c r="Q428" s="377"/>
      <c r="R428" s="377"/>
      <c r="S428" s="377"/>
      <c r="T428" s="377"/>
      <c r="U428" s="377"/>
      <c r="V428" s="377"/>
    </row>
    <row r="429" spans="1:22" ht="15.6">
      <c r="A429" s="377"/>
      <c r="B429" s="389" t="s">
        <v>1277</v>
      </c>
      <c r="C429" s="389"/>
      <c r="F429" s="389" t="s">
        <v>1278</v>
      </c>
      <c r="G429" s="377"/>
      <c r="H429" s="377"/>
      <c r="I429" s="389" t="s">
        <v>1279</v>
      </c>
      <c r="O429" s="388"/>
      <c r="P429" s="387"/>
      <c r="Q429" s="377"/>
      <c r="R429" s="377"/>
      <c r="S429" s="377"/>
      <c r="T429" s="377"/>
      <c r="U429" s="377"/>
      <c r="V429" s="377"/>
    </row>
    <row r="430" spans="1:22" ht="15.6">
      <c r="A430" s="377"/>
      <c r="B430" s="1004" t="s">
        <v>1258</v>
      </c>
      <c r="C430" s="1004"/>
      <c r="D430" s="1007" t="s">
        <v>1222</v>
      </c>
      <c r="E430" s="1007"/>
      <c r="F430" s="1005" t="s">
        <v>1131</v>
      </c>
      <c r="G430" s="1007" t="s">
        <v>1222</v>
      </c>
      <c r="H430" s="1006"/>
      <c r="I430" s="1005" t="s">
        <v>1131</v>
      </c>
      <c r="J430" s="1007" t="s">
        <v>1222</v>
      </c>
      <c r="O430" s="388"/>
      <c r="P430" s="387"/>
      <c r="Q430" s="377"/>
      <c r="R430" s="377"/>
      <c r="S430" s="377"/>
      <c r="T430" s="377"/>
      <c r="U430" s="377"/>
      <c r="V430" s="377"/>
    </row>
    <row r="431" spans="1:22" ht="15.6">
      <c r="A431" s="377"/>
      <c r="B431" s="1022" t="s">
        <v>1158</v>
      </c>
      <c r="C431" s="1022"/>
      <c r="D431" s="1020">
        <v>7753</v>
      </c>
      <c r="E431" s="382"/>
      <c r="F431" s="1022" t="s">
        <v>1158</v>
      </c>
      <c r="G431" s="1020">
        <v>7074</v>
      </c>
      <c r="H431" s="377"/>
      <c r="I431" s="1010" t="s">
        <v>1158</v>
      </c>
      <c r="J431" s="1024">
        <v>7594</v>
      </c>
      <c r="O431" s="377"/>
      <c r="P431" s="387"/>
      <c r="Q431" s="377"/>
      <c r="R431" s="377"/>
      <c r="S431" s="377"/>
      <c r="T431" s="377"/>
      <c r="U431" s="377"/>
      <c r="V431" s="377"/>
    </row>
    <row r="432" spans="1:22" ht="15.6">
      <c r="A432" s="377"/>
      <c r="B432" s="1022" t="s">
        <v>1159</v>
      </c>
      <c r="C432" s="1022"/>
      <c r="D432" s="1021">
        <v>8197</v>
      </c>
      <c r="E432" s="379"/>
      <c r="F432" s="1022" t="s">
        <v>1159</v>
      </c>
      <c r="G432" s="1021">
        <v>7265</v>
      </c>
      <c r="H432" s="377"/>
      <c r="I432" s="1010" t="s">
        <v>1159</v>
      </c>
      <c r="J432" s="1025">
        <v>8197</v>
      </c>
      <c r="O432" s="389"/>
      <c r="P432" s="377"/>
      <c r="Q432" s="377"/>
      <c r="R432" s="377"/>
      <c r="S432" s="377"/>
      <c r="T432" s="377"/>
      <c r="U432" s="377"/>
      <c r="V432" s="377"/>
    </row>
    <row r="433" spans="1:22" ht="15.6">
      <c r="A433" s="377"/>
      <c r="B433" s="1022" t="s">
        <v>1160</v>
      </c>
      <c r="C433" s="1022"/>
      <c r="D433" s="1021">
        <v>7361</v>
      </c>
      <c r="E433" s="379"/>
      <c r="F433" s="1022" t="s">
        <v>1160</v>
      </c>
      <c r="G433" s="1021">
        <v>7293</v>
      </c>
      <c r="H433" s="377"/>
      <c r="I433" s="1010" t="s">
        <v>1160</v>
      </c>
      <c r="J433" s="1025">
        <v>7293</v>
      </c>
      <c r="P433" s="377"/>
      <c r="Q433" s="377"/>
      <c r="R433" s="377"/>
      <c r="S433" s="377"/>
      <c r="T433" s="377"/>
      <c r="U433" s="377"/>
      <c r="V433" s="377"/>
    </row>
    <row r="434" spans="1:22" ht="15.6">
      <c r="A434" s="377"/>
      <c r="B434" s="1022" t="s">
        <v>1259</v>
      </c>
      <c r="C434" s="1022"/>
      <c r="D434" s="1021">
        <v>9165</v>
      </c>
      <c r="E434" s="379"/>
      <c r="F434" s="1022" t="s">
        <v>1259</v>
      </c>
      <c r="G434" s="1021">
        <v>7074</v>
      </c>
      <c r="H434" s="377"/>
      <c r="I434" s="1010" t="s">
        <v>1161</v>
      </c>
      <c r="J434" s="1025">
        <v>7818</v>
      </c>
      <c r="P434" s="377"/>
      <c r="Q434" s="377"/>
      <c r="R434" s="377"/>
      <c r="S434" s="377"/>
      <c r="T434" s="377"/>
      <c r="U434" s="377"/>
      <c r="V434" s="377"/>
    </row>
    <row r="435" spans="1:22" ht="15.6">
      <c r="A435" s="381">
        <f t="shared" ref="A435:A451" si="158">ROW()-39</f>
        <v>396</v>
      </c>
      <c r="B435" s="1022" t="s">
        <v>1161</v>
      </c>
      <c r="C435" s="1022"/>
      <c r="D435" s="1021">
        <v>9267</v>
      </c>
      <c r="E435" s="379"/>
      <c r="F435" s="1022" t="s">
        <v>1161</v>
      </c>
      <c r="G435" s="1021">
        <v>7265</v>
      </c>
      <c r="H435" s="377"/>
      <c r="I435" s="1010" t="s">
        <v>1162</v>
      </c>
      <c r="J435" s="1025">
        <v>7074</v>
      </c>
      <c r="P435" s="377"/>
      <c r="Q435" s="377"/>
      <c r="R435" s="377"/>
      <c r="S435" s="377"/>
      <c r="T435" s="377"/>
      <c r="U435" s="377"/>
      <c r="V435" s="377"/>
    </row>
    <row r="436" spans="1:22" ht="15.6">
      <c r="A436" s="381">
        <f t="shared" si="158"/>
        <v>397</v>
      </c>
      <c r="B436" s="1022" t="s">
        <v>1260</v>
      </c>
      <c r="C436" s="1022"/>
      <c r="D436" s="1021">
        <v>22331</v>
      </c>
      <c r="E436" s="379"/>
      <c r="F436" s="1022" t="s">
        <v>1260</v>
      </c>
      <c r="G436" s="1021">
        <v>7265</v>
      </c>
      <c r="H436" s="377"/>
      <c r="I436" s="1010" t="s">
        <v>1163</v>
      </c>
      <c r="J436" s="1025">
        <v>10501</v>
      </c>
      <c r="P436" s="377"/>
      <c r="Q436" s="377"/>
      <c r="R436" s="377"/>
      <c r="S436" s="377"/>
      <c r="T436" s="377"/>
      <c r="U436" s="377"/>
      <c r="V436" s="377"/>
    </row>
    <row r="437" spans="1:22" ht="15.6">
      <c r="A437" s="381">
        <f t="shared" si="158"/>
        <v>398</v>
      </c>
      <c r="B437" s="1022" t="s">
        <v>1261</v>
      </c>
      <c r="C437" s="1022"/>
      <c r="D437" s="1021">
        <v>33701</v>
      </c>
      <c r="E437" s="379"/>
      <c r="F437" s="1022" t="s">
        <v>1261</v>
      </c>
      <c r="G437" s="1023">
        <v>7265</v>
      </c>
      <c r="H437" s="379"/>
      <c r="I437" s="1010" t="s">
        <v>1262</v>
      </c>
      <c r="J437" s="1026">
        <f>+B427</f>
        <v>7074</v>
      </c>
      <c r="P437" s="377"/>
      <c r="Q437" s="377"/>
      <c r="R437" s="377"/>
      <c r="S437" s="377"/>
      <c r="T437" s="377"/>
      <c r="U437" s="377"/>
      <c r="V437" s="377"/>
    </row>
    <row r="438" spans="1:22" ht="15.6">
      <c r="A438" s="381">
        <f t="shared" si="158"/>
        <v>399</v>
      </c>
      <c r="B438" s="1022" t="s">
        <v>1263</v>
      </c>
      <c r="C438" s="1022"/>
      <c r="D438" s="1021">
        <v>9701</v>
      </c>
      <c r="E438" s="379"/>
      <c r="F438" s="1022" t="s">
        <v>1263</v>
      </c>
      <c r="G438" s="1023">
        <v>7265</v>
      </c>
      <c r="H438" s="379"/>
      <c r="P438" s="377"/>
      <c r="Q438" s="377"/>
      <c r="R438" s="377"/>
      <c r="S438" s="377"/>
      <c r="T438" s="377"/>
      <c r="U438" s="377"/>
      <c r="V438" s="377"/>
    </row>
    <row r="439" spans="1:22" ht="15.6">
      <c r="A439" s="381">
        <f t="shared" si="158"/>
        <v>400</v>
      </c>
      <c r="B439" s="1022" t="s">
        <v>1264</v>
      </c>
      <c r="C439" s="1022"/>
      <c r="D439" s="1021">
        <v>10683</v>
      </c>
      <c r="E439" s="379"/>
      <c r="F439" s="1022" t="s">
        <v>1264</v>
      </c>
      <c r="G439" s="1023">
        <v>7265</v>
      </c>
      <c r="H439" s="379"/>
      <c r="I439" s="1002" t="s">
        <v>1265</v>
      </c>
      <c r="J439" s="1003"/>
      <c r="P439" s="377"/>
      <c r="Q439" s="377"/>
      <c r="R439" s="377"/>
      <c r="S439" s="377"/>
      <c r="T439" s="377"/>
      <c r="U439" s="377"/>
      <c r="V439" s="377"/>
    </row>
    <row r="440" spans="1:22" ht="15.6">
      <c r="A440" s="381">
        <f t="shared" si="158"/>
        <v>401</v>
      </c>
      <c r="B440" s="1022" t="s">
        <v>1266</v>
      </c>
      <c r="C440" s="1022"/>
      <c r="D440" s="1021">
        <v>13707</v>
      </c>
      <c r="E440" s="379"/>
      <c r="F440" s="1022" t="s">
        <v>1266</v>
      </c>
      <c r="G440" s="1023">
        <v>7265</v>
      </c>
      <c r="H440" s="379"/>
      <c r="I440" s="1010" t="s">
        <v>1210</v>
      </c>
      <c r="J440" s="1027" t="s">
        <v>1267</v>
      </c>
      <c r="P440" s="377"/>
      <c r="Q440" s="377"/>
      <c r="R440" s="377"/>
      <c r="S440" s="377"/>
      <c r="T440" s="377"/>
      <c r="U440" s="377"/>
      <c r="V440" s="377"/>
    </row>
    <row r="441" spans="1:22" ht="15.6">
      <c r="A441" s="381">
        <f t="shared" si="158"/>
        <v>402</v>
      </c>
      <c r="B441" s="1022" t="s">
        <v>1268</v>
      </c>
      <c r="C441" s="1022"/>
      <c r="D441" s="1021">
        <v>8644</v>
      </c>
      <c r="E441" s="379"/>
      <c r="F441" s="1022" t="s">
        <v>1268</v>
      </c>
      <c r="G441" s="1023">
        <v>7074</v>
      </c>
      <c r="H441" s="379"/>
      <c r="I441" s="1010" t="s">
        <v>1147</v>
      </c>
      <c r="J441" s="1010">
        <v>0.23</v>
      </c>
      <c r="P441" s="377"/>
      <c r="Q441" s="377"/>
      <c r="R441" s="377"/>
      <c r="S441" s="377"/>
      <c r="T441" s="377"/>
      <c r="U441" s="377"/>
      <c r="V441" s="377"/>
    </row>
    <row r="442" spans="1:22" ht="15.6">
      <c r="A442" s="381">
        <f t="shared" si="158"/>
        <v>403</v>
      </c>
      <c r="B442" s="1022" t="s">
        <v>1269</v>
      </c>
      <c r="C442" s="1022"/>
      <c r="D442" s="1021">
        <v>12447</v>
      </c>
      <c r="E442" s="379"/>
      <c r="F442" s="1022" t="s">
        <v>1269</v>
      </c>
      <c r="G442" s="1023">
        <v>7265</v>
      </c>
      <c r="H442" s="379"/>
      <c r="I442" s="1010" t="s">
        <v>1270</v>
      </c>
      <c r="J442" s="1010">
        <v>0.03</v>
      </c>
      <c r="K442" t="s">
        <v>1271</v>
      </c>
      <c r="P442" s="377"/>
      <c r="Q442" s="377"/>
      <c r="R442" s="377"/>
      <c r="S442" s="377"/>
      <c r="T442" s="377"/>
      <c r="U442" s="377"/>
      <c r="V442" s="377"/>
    </row>
    <row r="443" spans="1:22" ht="15.6">
      <c r="A443" s="381">
        <f t="shared" si="158"/>
        <v>404</v>
      </c>
      <c r="B443" s="1022" t="s">
        <v>1272</v>
      </c>
      <c r="C443" s="1022"/>
      <c r="D443" s="1021">
        <v>8881</v>
      </c>
      <c r="E443" s="379"/>
      <c r="F443" s="1022" t="s">
        <v>1272</v>
      </c>
      <c r="G443" s="1023">
        <v>7265</v>
      </c>
      <c r="H443" s="379"/>
      <c r="I443" s="1010" t="s">
        <v>1148</v>
      </c>
      <c r="J443" s="1010">
        <v>0.12</v>
      </c>
      <c r="P443" s="377"/>
      <c r="Q443" s="377"/>
      <c r="R443" s="377"/>
      <c r="S443" s="377"/>
      <c r="T443" s="377"/>
      <c r="U443" s="377"/>
      <c r="V443" s="377"/>
    </row>
    <row r="444" spans="1:22" ht="15.6">
      <c r="A444" s="381">
        <f t="shared" si="158"/>
        <v>405</v>
      </c>
      <c r="B444" s="1022" t="s">
        <v>1273</v>
      </c>
      <c r="C444" s="1022"/>
      <c r="D444" s="1021">
        <v>11779</v>
      </c>
      <c r="E444" s="379"/>
      <c r="F444" s="1022" t="s">
        <v>1273</v>
      </c>
      <c r="G444" s="1023">
        <v>7265</v>
      </c>
      <c r="H444" s="379"/>
      <c r="P444" s="377"/>
      <c r="Q444" s="377"/>
      <c r="R444" s="377"/>
      <c r="S444" s="377"/>
      <c r="T444" s="377"/>
      <c r="U444" s="377"/>
      <c r="V444" s="377"/>
    </row>
    <row r="445" spans="1:22" ht="15.6">
      <c r="A445" s="381">
        <f t="shared" si="158"/>
        <v>406</v>
      </c>
      <c r="B445" s="1022" t="s">
        <v>1274</v>
      </c>
      <c r="C445" s="1022"/>
      <c r="D445" s="1021">
        <v>23243</v>
      </c>
      <c r="E445" s="379"/>
      <c r="F445" s="1022" t="s">
        <v>1274</v>
      </c>
      <c r="G445" s="1023">
        <v>7074</v>
      </c>
      <c r="H445" s="379"/>
      <c r="P445" s="377"/>
      <c r="Q445" s="377"/>
      <c r="R445" s="377"/>
      <c r="S445" s="377"/>
      <c r="T445" s="377"/>
      <c r="U445" s="377"/>
      <c r="V445" s="377"/>
    </row>
    <row r="446" spans="1:22" ht="15.6">
      <c r="A446" s="381">
        <f t="shared" si="158"/>
        <v>407</v>
      </c>
      <c r="B446" s="1022" t="s">
        <v>1162</v>
      </c>
      <c r="C446" s="1022"/>
      <c r="D446" s="1021">
        <v>7318</v>
      </c>
      <c r="E446" s="379"/>
      <c r="F446" s="1022" t="s">
        <v>1162</v>
      </c>
      <c r="G446" s="1023">
        <v>7074</v>
      </c>
      <c r="H446" s="379"/>
      <c r="I446" s="377"/>
      <c r="P446" s="377"/>
      <c r="Q446" s="377"/>
      <c r="R446" s="377"/>
      <c r="S446" s="377"/>
      <c r="T446" s="377"/>
      <c r="U446" s="377"/>
      <c r="V446" s="377"/>
    </row>
    <row r="447" spans="1:22" ht="15.6">
      <c r="A447" s="381">
        <f t="shared" si="158"/>
        <v>408</v>
      </c>
      <c r="B447" s="1022" t="s">
        <v>1163</v>
      </c>
      <c r="C447" s="1022"/>
      <c r="D447" s="1020">
        <v>11444.55</v>
      </c>
      <c r="E447" s="382"/>
      <c r="F447" s="1022" t="s">
        <v>1163</v>
      </c>
      <c r="G447" s="1023">
        <v>7265</v>
      </c>
      <c r="H447" s="379"/>
      <c r="I447" s="377"/>
      <c r="P447" s="377"/>
      <c r="Q447" s="377"/>
      <c r="R447" s="377"/>
      <c r="S447" s="377"/>
      <c r="T447" s="377"/>
      <c r="U447" s="377"/>
      <c r="V447" s="377"/>
    </row>
    <row r="448" spans="1:22" ht="15.6">
      <c r="A448" s="381">
        <f t="shared" si="158"/>
        <v>409</v>
      </c>
      <c r="B448" s="377"/>
      <c r="C448" s="377"/>
      <c r="D448" s="377"/>
      <c r="E448" s="377"/>
      <c r="F448" s="377" t="s">
        <v>1262</v>
      </c>
      <c r="G448" s="1008">
        <f>+B427</f>
        <v>7074</v>
      </c>
      <c r="H448" s="377"/>
      <c r="I448" s="377"/>
      <c r="P448" s="377"/>
      <c r="Q448" s="377"/>
      <c r="R448" s="377"/>
      <c r="S448" s="377"/>
      <c r="T448" s="377"/>
      <c r="U448" s="377"/>
      <c r="V448" s="377"/>
    </row>
    <row r="449" spans="1:22" ht="15.6">
      <c r="A449" s="381">
        <f t="shared" si="158"/>
        <v>410</v>
      </c>
      <c r="P449" s="377"/>
      <c r="Q449" s="377"/>
      <c r="R449" s="377"/>
      <c r="S449" s="377"/>
      <c r="T449" s="377"/>
      <c r="U449" s="377"/>
      <c r="V449" s="377"/>
    </row>
    <row r="450" spans="1:22" ht="15.6">
      <c r="A450" s="381">
        <f t="shared" si="158"/>
        <v>411</v>
      </c>
      <c r="P450" s="377"/>
      <c r="Q450" s="377"/>
      <c r="R450" s="377"/>
      <c r="S450" s="377"/>
      <c r="T450" s="377"/>
      <c r="U450" s="377"/>
      <c r="V450" s="377"/>
    </row>
    <row r="451" spans="1:22" ht="15.6">
      <c r="A451" s="381">
        <f t="shared" si="158"/>
        <v>412</v>
      </c>
      <c r="P451" s="377"/>
      <c r="Q451" s="377"/>
      <c r="R451" s="377"/>
      <c r="S451" s="377"/>
      <c r="T451" s="377"/>
      <c r="U451" s="377"/>
      <c r="V451" s="377"/>
    </row>
    <row r="452" spans="1:22" ht="15.6">
      <c r="A452" s="377"/>
      <c r="P452" s="377"/>
      <c r="Q452" s="377"/>
      <c r="R452" s="377"/>
      <c r="S452" s="377"/>
      <c r="T452" s="377"/>
      <c r="U452" s="377"/>
      <c r="V452" s="377"/>
    </row>
    <row r="453" spans="1:22" ht="15.6">
      <c r="A453" s="377"/>
      <c r="O453" s="390"/>
      <c r="P453" s="377"/>
      <c r="Q453" s="377"/>
      <c r="R453" s="377"/>
      <c r="S453" s="377"/>
      <c r="T453" s="377"/>
      <c r="U453" s="377"/>
      <c r="V453" s="377"/>
    </row>
    <row r="454" spans="1:22" ht="15.6">
      <c r="A454" s="377"/>
      <c r="O454" s="377"/>
      <c r="P454" s="377"/>
      <c r="Q454" s="377"/>
      <c r="R454" s="377"/>
      <c r="S454" s="377"/>
      <c r="T454" s="377"/>
      <c r="U454" s="377"/>
      <c r="V454" s="377"/>
    </row>
    <row r="455" spans="1:22">
      <c r="P455" s="1220"/>
    </row>
  </sheetData>
  <sheetProtection algorithmName="SHA-512" hashValue="fuFhzuPqx6WCpwvIVjNObw0yBz+eZLqpiwSHDzRfC3p/JljrH7ZFyp3oAq9Jnh3uTvP1pIjwB/KjaF7GDkDf+Q==" saltValue="Ax8bP5ZPTiMKqQ/Wlw34ZQ==" spinCount="100000" sheet="1" objects="1" scenarios="1"/>
  <mergeCells count="1">
    <mergeCell ref="S45:T45"/>
  </mergeCells>
  <conditionalFormatting sqref="J1">
    <cfRule type="expression" dxfId="7" priority="2" stopIfTrue="1">
      <formula>MOD(ROW(),2)=0</formula>
    </cfRule>
  </conditionalFormatting>
  <conditionalFormatting sqref="V1">
    <cfRule type="expression" dxfId="6" priority="3" stopIfTrue="1">
      <formula>MOD(ROW(),2)=0</formula>
    </cfRule>
  </conditionalFormatting>
  <hyperlinks>
    <hyperlink ref="J1" location="HypLink1" display="HypLink1"/>
    <hyperlink ref="B41" r:id="rId1"/>
    <hyperlink ref="B10" r:id="rId2"/>
    <hyperlink ref="B25" r:id="rId3"/>
  </hyperlinks>
  <pageMargins left="0.25" right="0.25" top="0.5" bottom="0.45" header="0.25" footer="0.25"/>
  <pageSetup scale="89" orientation="landscape" r:id="rId4"/>
  <headerFooter>
    <oddHeader xml:space="preserve">&amp;L &amp;C &amp;R </oddHeader>
    <oddFooter>&amp;L&amp;7&amp;D  at &amp;T Mike 702.486.8879&amp;C&amp;7&amp;F  &amp;A&amp;R&amp;7Page &amp;P of &amp;N</oddFooter>
  </headerFooter>
  <rowBreaks count="4" manualBreakCount="4">
    <brk id="76" max="13" man="1"/>
    <brk id="121" max="13" man="1"/>
    <brk id="302" max="13" man="1"/>
    <brk id="429" max="13" man="1"/>
  </rowBreaks>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249977111117893"/>
  </sheetPr>
  <dimension ref="A1:N43"/>
  <sheetViews>
    <sheetView topLeftCell="A4" workbookViewId="0">
      <selection activeCell="E12" sqref="E12"/>
    </sheetView>
  </sheetViews>
  <sheetFormatPr defaultColWidth="9.21875" defaultRowHeight="13.2"/>
  <cols>
    <col min="1" max="1" width="30" style="197" customWidth="1"/>
    <col min="2" max="2" width="30.77734375" style="197" customWidth="1"/>
    <col min="3" max="4" width="9" style="197" customWidth="1"/>
    <col min="5" max="5" width="7.44140625" style="1470" customWidth="1"/>
    <col min="6" max="6" width="7" style="1470" customWidth="1"/>
    <col min="7" max="7" width="12" style="1470" customWidth="1"/>
    <col min="8" max="8" width="8.21875" style="1470" customWidth="1"/>
    <col min="9" max="9" width="12.5546875" style="1470" customWidth="1"/>
    <col min="10" max="10" width="8.5546875" style="1470" customWidth="1"/>
    <col min="11" max="11" width="12.77734375" style="1470" customWidth="1"/>
    <col min="12" max="12" width="11.44140625" style="1470" customWidth="1"/>
    <col min="13" max="13" width="10.5546875" style="1470" customWidth="1"/>
    <col min="14" max="14" width="2.77734375" style="197" customWidth="1"/>
    <col min="15" max="16384" width="9.21875" style="197"/>
  </cols>
  <sheetData>
    <row r="1" spans="1:14" ht="15.6">
      <c r="A1" s="200" t="s">
        <v>1280</v>
      </c>
      <c r="B1" s="200"/>
      <c r="D1" s="408" t="s">
        <v>3</v>
      </c>
      <c r="H1" s="1471" t="s">
        <v>796</v>
      </c>
      <c r="I1" s="1471" t="s">
        <v>797</v>
      </c>
      <c r="J1" s="1471" t="s">
        <v>798</v>
      </c>
      <c r="K1" s="1471" t="s">
        <v>799</v>
      </c>
      <c r="L1" s="1471" t="s">
        <v>800</v>
      </c>
      <c r="M1" s="1472" t="s">
        <v>801</v>
      </c>
    </row>
    <row r="2" spans="1:14" ht="15.6">
      <c r="A2" s="201" t="str">
        <f>SchoolName</f>
        <v>The Delta Academy</v>
      </c>
      <c r="B2" s="201"/>
      <c r="H2" s="1473">
        <f>+' Enrol &amp; Rev'!G10</f>
        <v>2025</v>
      </c>
      <c r="I2" s="1474">
        <f>+H3</f>
        <v>2026</v>
      </c>
      <c r="J2" s="1474">
        <f>+I3</f>
        <v>2027</v>
      </c>
      <c r="K2" s="1474">
        <f>+J3</f>
        <v>2028</v>
      </c>
      <c r="L2" s="1474">
        <f>+K3</f>
        <v>2029</v>
      </c>
      <c r="M2" s="1475">
        <f>+L3</f>
        <v>2030</v>
      </c>
    </row>
    <row r="3" spans="1:14" ht="15.6">
      <c r="A3" s="198" t="s">
        <v>80</v>
      </c>
      <c r="H3" s="1476">
        <f t="shared" ref="H3:M3" si="0">+H2+1</f>
        <v>2026</v>
      </c>
      <c r="I3" s="1477">
        <f t="shared" si="0"/>
        <v>2027</v>
      </c>
      <c r="J3" s="1477">
        <f t="shared" si="0"/>
        <v>2028</v>
      </c>
      <c r="K3" s="1477">
        <f t="shared" si="0"/>
        <v>2029</v>
      </c>
      <c r="L3" s="1477">
        <f t="shared" si="0"/>
        <v>2030</v>
      </c>
      <c r="M3" s="1478">
        <f t="shared" si="0"/>
        <v>2031</v>
      </c>
    </row>
    <row r="4" spans="1:14" ht="13.8">
      <c r="A4" s="199" t="s">
        <v>81</v>
      </c>
      <c r="F4" s="1470" t="s">
        <v>1281</v>
      </c>
      <c r="H4" s="1479">
        <f>+' Enrol &amp; Rev'!G36</f>
        <v>1595</v>
      </c>
      <c r="I4" s="1479">
        <f>+' Enrol &amp; Rev'!H36</f>
        <v>1688</v>
      </c>
      <c r="J4" s="1479">
        <f>+' Enrol &amp; Rev'!I36</f>
        <v>1788.6201881600005</v>
      </c>
      <c r="K4" s="1479">
        <f>+' Enrol &amp; Rev'!J36</f>
        <v>1895.9373994496007</v>
      </c>
      <c r="L4" s="1479">
        <f>+' Enrol &amp; Rev'!K36</f>
        <v>2009.6936434165768</v>
      </c>
      <c r="M4" s="1479">
        <f>+' Enrol &amp; Rev'!L36</f>
        <v>2130.2752620215715</v>
      </c>
    </row>
    <row r="5" spans="1:14" ht="13.8">
      <c r="A5" s="219" t="str">
        <f ca="1">CELL("filename")</f>
        <v>C:\Users\kyle.konold\Downloads\[FY25 Budget - Delta Academy_Final.xlsx]Form 1 Cover</v>
      </c>
      <c r="F5" s="1470" t="s">
        <v>1282</v>
      </c>
      <c r="H5" s="1480">
        <f>+' Enrol &amp; Rev'!G19</f>
        <v>0</v>
      </c>
      <c r="I5" s="1480">
        <f>+' Enrol &amp; Rev'!H19</f>
        <v>0</v>
      </c>
      <c r="J5" s="1480">
        <f>+' Enrol &amp; Rev'!I19</f>
        <v>0</v>
      </c>
      <c r="K5" s="1480">
        <f>+' Enrol &amp; Rev'!J19</f>
        <v>0</v>
      </c>
      <c r="L5" s="1480">
        <f>+' Enrol &amp; Rev'!K19</f>
        <v>0</v>
      </c>
      <c r="M5" s="1480">
        <f>+' Enrol &amp; Rev'!L19</f>
        <v>0</v>
      </c>
    </row>
    <row r="6" spans="1:14" ht="13.8">
      <c r="F6" s="1470" t="s">
        <v>1283</v>
      </c>
      <c r="H6" s="1480">
        <f>IFERROR(H4/H5,0)</f>
        <v>0</v>
      </c>
      <c r="I6" s="1480">
        <f t="shared" ref="I6:M6" si="1">IFERROR(I4/I5,0)</f>
        <v>0</v>
      </c>
      <c r="J6" s="1480">
        <f t="shared" si="1"/>
        <v>0</v>
      </c>
      <c r="K6" s="1480">
        <f t="shared" si="1"/>
        <v>0</v>
      </c>
      <c r="L6" s="1480">
        <f t="shared" si="1"/>
        <v>0</v>
      </c>
      <c r="M6" s="1480">
        <f t="shared" si="1"/>
        <v>0</v>
      </c>
    </row>
    <row r="7" spans="1:14" ht="17.25" customHeight="1">
      <c r="A7" s="771" t="s">
        <v>1284</v>
      </c>
      <c r="B7" s="772"/>
      <c r="C7" s="772"/>
      <c r="D7" s="772"/>
      <c r="E7" s="1481"/>
      <c r="F7" s="1481"/>
      <c r="G7" s="1481"/>
      <c r="H7" s="1481"/>
      <c r="I7" s="1481"/>
      <c r="J7" s="1481"/>
      <c r="K7" s="1481"/>
      <c r="L7" s="1481"/>
      <c r="M7" s="1481"/>
      <c r="N7" s="218"/>
    </row>
    <row r="8" spans="1:14" ht="19.5" customHeight="1">
      <c r="A8" s="213" t="s">
        <v>1285</v>
      </c>
      <c r="B8" s="215" t="s">
        <v>1286</v>
      </c>
      <c r="C8" s="216" t="s">
        <v>1287</v>
      </c>
      <c r="D8" s="216" t="s">
        <v>1288</v>
      </c>
      <c r="E8" s="1482" t="s">
        <v>1289</v>
      </c>
      <c r="F8" s="1801" t="s">
        <v>1290</v>
      </c>
      <c r="G8" s="1802"/>
      <c r="H8" s="1801" t="s">
        <v>1291</v>
      </c>
      <c r="I8" s="1802"/>
      <c r="J8" s="1801" t="s">
        <v>1292</v>
      </c>
      <c r="K8" s="1802"/>
      <c r="L8" s="1801" t="s">
        <v>1293</v>
      </c>
      <c r="M8" s="1802"/>
    </row>
    <row r="9" spans="1:14" ht="13.8">
      <c r="A9" s="224" t="s">
        <v>587</v>
      </c>
      <c r="B9" s="227" t="s">
        <v>1294</v>
      </c>
      <c r="C9" s="214"/>
      <c r="D9" s="214"/>
      <c r="E9" s="1483"/>
      <c r="F9" s="264">
        <v>500</v>
      </c>
      <c r="G9" s="1484"/>
      <c r="H9" s="264">
        <v>400</v>
      </c>
      <c r="I9" s="1485"/>
      <c r="J9" s="264">
        <f>+H4</f>
        <v>1595</v>
      </c>
      <c r="K9" s="1485"/>
      <c r="L9" s="264">
        <f>+K4</f>
        <v>1895.9373994496007</v>
      </c>
      <c r="M9" s="1485"/>
    </row>
    <row r="10" spans="1:14" ht="13.8">
      <c r="A10" s="225" t="s">
        <v>1295</v>
      </c>
      <c r="B10" s="228" t="s">
        <v>1296</v>
      </c>
      <c r="C10" s="206"/>
      <c r="D10" s="206"/>
      <c r="E10" s="1486"/>
      <c r="F10" s="1487"/>
      <c r="G10" s="1488"/>
      <c r="H10" s="1489"/>
      <c r="I10" s="1490"/>
      <c r="J10" s="1489"/>
      <c r="K10" s="1490"/>
      <c r="L10" s="1489"/>
      <c r="M10" s="1485"/>
    </row>
    <row r="11" spans="1:14" ht="13.8">
      <c r="A11" s="225" t="s">
        <v>1297</v>
      </c>
      <c r="B11" s="228" t="s">
        <v>1298</v>
      </c>
      <c r="C11" s="206"/>
      <c r="D11" s="206"/>
      <c r="E11" s="1486"/>
      <c r="F11" s="264">
        <v>25</v>
      </c>
      <c r="G11" s="1488"/>
      <c r="H11" s="273">
        <v>25</v>
      </c>
      <c r="I11" s="1490"/>
      <c r="J11" s="278">
        <v>25</v>
      </c>
      <c r="K11" s="1490"/>
      <c r="L11" s="278">
        <f>+K6</f>
        <v>0</v>
      </c>
      <c r="M11" s="1485"/>
    </row>
    <row r="12" spans="1:14" ht="13.8">
      <c r="A12" s="225" t="s">
        <v>1299</v>
      </c>
      <c r="B12" s="228" t="s">
        <v>1300</v>
      </c>
      <c r="C12" s="217">
        <v>55</v>
      </c>
      <c r="D12" s="217">
        <v>100</v>
      </c>
      <c r="E12" s="266">
        <f>AVERAGE(C12:D12)</f>
        <v>77.5</v>
      </c>
      <c r="F12" s="265">
        <v>600</v>
      </c>
      <c r="G12" s="1491">
        <f>+F12*$E$12</f>
        <v>46500</v>
      </c>
      <c r="H12" s="274">
        <v>800</v>
      </c>
      <c r="I12" s="1491">
        <f>+H12*$E$12</f>
        <v>62000</v>
      </c>
      <c r="J12" s="274">
        <v>45000</v>
      </c>
      <c r="K12" s="1491">
        <f>+J12*$E$12</f>
        <v>3487500</v>
      </c>
      <c r="L12" s="274">
        <v>700</v>
      </c>
      <c r="M12" s="1491">
        <f>+L12*$E$12</f>
        <v>54250</v>
      </c>
    </row>
    <row r="13" spans="1:14" ht="13.8">
      <c r="A13" s="225"/>
      <c r="B13" s="228"/>
      <c r="C13" s="206"/>
      <c r="D13" s="206"/>
      <c r="E13" s="1492"/>
      <c r="F13" s="1493"/>
      <c r="G13" s="1484"/>
      <c r="H13" s="1493"/>
      <c r="I13" s="1485"/>
      <c r="J13" s="1493"/>
      <c r="K13" s="1485"/>
      <c r="L13" s="1493"/>
      <c r="M13" s="1485"/>
    </row>
    <row r="14" spans="1:14" ht="13.8">
      <c r="A14" s="224" t="s">
        <v>1301</v>
      </c>
      <c r="B14" s="228"/>
      <c r="C14" s="206"/>
      <c r="D14" s="206"/>
      <c r="E14" s="1492"/>
      <c r="F14" s="1487"/>
      <c r="G14" s="1484"/>
      <c r="H14" s="1487"/>
      <c r="I14" s="1485"/>
      <c r="J14" s="1487"/>
      <c r="K14" s="1485"/>
      <c r="L14" s="1487"/>
      <c r="M14" s="1485"/>
    </row>
    <row r="15" spans="1:14" ht="24" customHeight="1">
      <c r="A15" s="225" t="s">
        <v>1302</v>
      </c>
      <c r="B15" s="228" t="s">
        <v>1303</v>
      </c>
      <c r="C15" s="207">
        <v>750</v>
      </c>
      <c r="D15" s="207">
        <v>1000</v>
      </c>
      <c r="E15" s="267">
        <v>850</v>
      </c>
      <c r="F15" s="1487">
        <f>+F9/F11</f>
        <v>20</v>
      </c>
      <c r="G15" s="1494">
        <f>+F15*$E15</f>
        <v>17000</v>
      </c>
      <c r="H15" s="1487">
        <f>+H9/H11</f>
        <v>16</v>
      </c>
      <c r="I15" s="1494">
        <f>+H15*$E15</f>
        <v>13600</v>
      </c>
      <c r="J15" s="1495">
        <f>IFERROR(J9/J11,0)</f>
        <v>63.8</v>
      </c>
      <c r="K15" s="1494">
        <f>+J15*$E15</f>
        <v>54230</v>
      </c>
      <c r="L15" s="1495">
        <f>IFERROR(L9/L11,0)</f>
        <v>0</v>
      </c>
      <c r="M15" s="1494">
        <f>+L15*$E15</f>
        <v>0</v>
      </c>
    </row>
    <row r="16" spans="1:14" ht="13.8">
      <c r="A16" s="225" t="s">
        <v>1304</v>
      </c>
      <c r="B16" s="228" t="s">
        <v>1305</v>
      </c>
      <c r="C16" s="207">
        <v>850</v>
      </c>
      <c r="D16" s="207">
        <v>1200</v>
      </c>
      <c r="E16" s="267">
        <v>1000</v>
      </c>
      <c r="F16" s="268">
        <v>2</v>
      </c>
      <c r="G16" s="1496">
        <f t="shared" ref="G16:G28" si="2">+$E16*F16</f>
        <v>2000</v>
      </c>
      <c r="H16" s="264">
        <v>2</v>
      </c>
      <c r="I16" s="1496">
        <f t="shared" ref="I16:I28" si="3">+$E16*H16</f>
        <v>2000</v>
      </c>
      <c r="J16" s="276">
        <v>2</v>
      </c>
      <c r="K16" s="1496">
        <f t="shared" ref="K16:K28" si="4">+$E16*J16</f>
        <v>2000</v>
      </c>
      <c r="L16" s="276">
        <v>2</v>
      </c>
      <c r="M16" s="1496">
        <f t="shared" ref="M16:M28" si="5">+$E16*L16</f>
        <v>2000</v>
      </c>
    </row>
    <row r="17" spans="1:13" ht="13.8">
      <c r="A17" s="225" t="s">
        <v>1306</v>
      </c>
      <c r="B17" s="228" t="s">
        <v>1307</v>
      </c>
      <c r="C17" s="207">
        <v>850</v>
      </c>
      <c r="D17" s="207">
        <v>1200</v>
      </c>
      <c r="E17" s="267">
        <v>1000</v>
      </c>
      <c r="F17" s="269">
        <v>1</v>
      </c>
      <c r="G17" s="1496">
        <f t="shared" si="2"/>
        <v>1000</v>
      </c>
      <c r="H17" s="264">
        <v>1</v>
      </c>
      <c r="I17" s="1496">
        <f t="shared" si="3"/>
        <v>1000</v>
      </c>
      <c r="J17" s="276">
        <v>1</v>
      </c>
      <c r="K17" s="1496">
        <f t="shared" si="4"/>
        <v>1000</v>
      </c>
      <c r="L17" s="276">
        <v>1</v>
      </c>
      <c r="M17" s="1496">
        <f t="shared" si="5"/>
        <v>1000</v>
      </c>
    </row>
    <row r="18" spans="1:13" ht="31.5" customHeight="1">
      <c r="A18" s="225" t="s">
        <v>1308</v>
      </c>
      <c r="B18" s="228" t="s">
        <v>1309</v>
      </c>
      <c r="C18" s="207"/>
      <c r="D18" s="207"/>
      <c r="E18" s="267">
        <v>400</v>
      </c>
      <c r="F18" s="269">
        <v>2</v>
      </c>
      <c r="G18" s="1496">
        <f t="shared" si="2"/>
        <v>800</v>
      </c>
      <c r="H18" s="264">
        <v>2</v>
      </c>
      <c r="I18" s="1496">
        <f t="shared" si="3"/>
        <v>800</v>
      </c>
      <c r="J18" s="276">
        <v>2</v>
      </c>
      <c r="K18" s="1496">
        <f t="shared" si="4"/>
        <v>800</v>
      </c>
      <c r="L18" s="276">
        <v>2</v>
      </c>
      <c r="M18" s="1496">
        <f t="shared" si="5"/>
        <v>800</v>
      </c>
    </row>
    <row r="19" spans="1:13" ht="27.75" customHeight="1">
      <c r="A19" s="225" t="s">
        <v>1310</v>
      </c>
      <c r="B19" s="228" t="s">
        <v>1311</v>
      </c>
      <c r="C19" s="207"/>
      <c r="D19" s="207"/>
      <c r="E19" s="267">
        <v>100</v>
      </c>
      <c r="F19" s="269">
        <v>4</v>
      </c>
      <c r="G19" s="1496">
        <f t="shared" si="2"/>
        <v>400</v>
      </c>
      <c r="H19" s="264">
        <v>4</v>
      </c>
      <c r="I19" s="1496">
        <f t="shared" si="3"/>
        <v>400</v>
      </c>
      <c r="J19" s="276">
        <v>4</v>
      </c>
      <c r="K19" s="1496">
        <f t="shared" si="4"/>
        <v>400</v>
      </c>
      <c r="L19" s="276">
        <v>4</v>
      </c>
      <c r="M19" s="1496">
        <f t="shared" si="5"/>
        <v>400</v>
      </c>
    </row>
    <row r="20" spans="1:13" ht="13.8">
      <c r="A20" s="225" t="s">
        <v>1312</v>
      </c>
      <c r="B20" s="228" t="s">
        <v>1313</v>
      </c>
      <c r="C20" s="207"/>
      <c r="D20" s="207"/>
      <c r="E20" s="267">
        <v>400</v>
      </c>
      <c r="F20" s="269">
        <v>1</v>
      </c>
      <c r="G20" s="1496">
        <f t="shared" si="2"/>
        <v>400</v>
      </c>
      <c r="H20" s="264">
        <v>1</v>
      </c>
      <c r="I20" s="1496">
        <f t="shared" si="3"/>
        <v>400</v>
      </c>
      <c r="J20" s="276">
        <v>0.25</v>
      </c>
      <c r="K20" s="1496">
        <f t="shared" si="4"/>
        <v>100</v>
      </c>
      <c r="L20" s="276">
        <v>1</v>
      </c>
      <c r="M20" s="1496">
        <f t="shared" si="5"/>
        <v>400</v>
      </c>
    </row>
    <row r="21" spans="1:13" ht="13.8">
      <c r="A21" s="225" t="s">
        <v>1314</v>
      </c>
      <c r="B21" s="228" t="s">
        <v>1315</v>
      </c>
      <c r="C21" s="207">
        <v>70</v>
      </c>
      <c r="D21" s="207">
        <v>100</v>
      </c>
      <c r="E21" s="267">
        <v>100</v>
      </c>
      <c r="F21" s="269">
        <v>4</v>
      </c>
      <c r="G21" s="1496">
        <f t="shared" si="2"/>
        <v>400</v>
      </c>
      <c r="H21" s="264">
        <v>4</v>
      </c>
      <c r="I21" s="1496">
        <f t="shared" si="3"/>
        <v>400</v>
      </c>
      <c r="J21" s="276">
        <v>2</v>
      </c>
      <c r="K21" s="1496">
        <f t="shared" si="4"/>
        <v>200</v>
      </c>
      <c r="L21" s="276">
        <v>4</v>
      </c>
      <c r="M21" s="1496">
        <f t="shared" si="5"/>
        <v>400</v>
      </c>
    </row>
    <row r="22" spans="1:13" ht="13.8">
      <c r="A22" s="225" t="s">
        <v>1316</v>
      </c>
      <c r="B22" s="228" t="s">
        <v>1317</v>
      </c>
      <c r="C22" s="207"/>
      <c r="D22" s="207"/>
      <c r="E22" s="267">
        <v>400</v>
      </c>
      <c r="F22" s="269">
        <v>1</v>
      </c>
      <c r="G22" s="1496">
        <f t="shared" si="2"/>
        <v>400</v>
      </c>
      <c r="H22" s="264">
        <v>1</v>
      </c>
      <c r="I22" s="1496">
        <f t="shared" si="3"/>
        <v>400</v>
      </c>
      <c r="J22" s="276">
        <v>1</v>
      </c>
      <c r="K22" s="1496">
        <f t="shared" si="4"/>
        <v>400</v>
      </c>
      <c r="L22" s="276">
        <v>1</v>
      </c>
      <c r="M22" s="1496">
        <f t="shared" si="5"/>
        <v>400</v>
      </c>
    </row>
    <row r="23" spans="1:13" ht="13.8">
      <c r="A23" s="225" t="s">
        <v>1318</v>
      </c>
      <c r="B23" s="228" t="s">
        <v>1319</v>
      </c>
      <c r="C23" s="207"/>
      <c r="D23" s="207"/>
      <c r="E23" s="267">
        <v>600</v>
      </c>
      <c r="F23" s="269">
        <v>1</v>
      </c>
      <c r="G23" s="1496">
        <f t="shared" si="2"/>
        <v>600</v>
      </c>
      <c r="H23" s="264">
        <v>1</v>
      </c>
      <c r="I23" s="1496">
        <f t="shared" si="3"/>
        <v>600</v>
      </c>
      <c r="J23" s="276">
        <v>0</v>
      </c>
      <c r="K23" s="1496">
        <f t="shared" si="4"/>
        <v>0</v>
      </c>
      <c r="L23" s="276">
        <v>1</v>
      </c>
      <c r="M23" s="1496">
        <f t="shared" si="5"/>
        <v>600</v>
      </c>
    </row>
    <row r="24" spans="1:13" ht="13.8">
      <c r="A24" s="225" t="s">
        <v>1320</v>
      </c>
      <c r="B24" s="228" t="s">
        <v>1321</v>
      </c>
      <c r="C24" s="207"/>
      <c r="D24" s="207"/>
      <c r="E24" s="267">
        <v>1500</v>
      </c>
      <c r="F24" s="269">
        <v>1</v>
      </c>
      <c r="G24" s="1496">
        <f t="shared" si="2"/>
        <v>1500</v>
      </c>
      <c r="H24" s="264">
        <v>1</v>
      </c>
      <c r="I24" s="1496">
        <f t="shared" si="3"/>
        <v>1500</v>
      </c>
      <c r="J24" s="276">
        <v>1</v>
      </c>
      <c r="K24" s="1496">
        <f t="shared" si="4"/>
        <v>1500</v>
      </c>
      <c r="L24" s="276">
        <v>1</v>
      </c>
      <c r="M24" s="1496">
        <f t="shared" si="5"/>
        <v>1500</v>
      </c>
    </row>
    <row r="25" spans="1:13" ht="13.8">
      <c r="A25" s="225" t="s">
        <v>1322</v>
      </c>
      <c r="B25" s="228" t="s">
        <v>1323</v>
      </c>
      <c r="C25" s="207"/>
      <c r="D25" s="207"/>
      <c r="E25" s="267">
        <v>200</v>
      </c>
      <c r="F25" s="269">
        <v>1</v>
      </c>
      <c r="G25" s="1496">
        <f t="shared" si="2"/>
        <v>200</v>
      </c>
      <c r="H25" s="264">
        <v>1</v>
      </c>
      <c r="I25" s="1496">
        <f t="shared" si="3"/>
        <v>200</v>
      </c>
      <c r="J25" s="276">
        <v>0.5</v>
      </c>
      <c r="K25" s="1496">
        <f t="shared" si="4"/>
        <v>100</v>
      </c>
      <c r="L25" s="276">
        <v>1</v>
      </c>
      <c r="M25" s="1496">
        <f t="shared" si="5"/>
        <v>200</v>
      </c>
    </row>
    <row r="26" spans="1:13" ht="13.8">
      <c r="A26" s="225" t="s">
        <v>1324</v>
      </c>
      <c r="B26" s="228" t="s">
        <v>1325</v>
      </c>
      <c r="C26" s="207"/>
      <c r="D26" s="207"/>
      <c r="E26" s="267">
        <v>400</v>
      </c>
      <c r="F26" s="269">
        <v>2</v>
      </c>
      <c r="G26" s="1496">
        <f t="shared" si="2"/>
        <v>800</v>
      </c>
      <c r="H26" s="264">
        <v>2</v>
      </c>
      <c r="I26" s="1496">
        <f t="shared" si="3"/>
        <v>800</v>
      </c>
      <c r="J26" s="276">
        <v>2</v>
      </c>
      <c r="K26" s="1496">
        <f t="shared" si="4"/>
        <v>800</v>
      </c>
      <c r="L26" s="276">
        <v>2</v>
      </c>
      <c r="M26" s="1496">
        <f t="shared" si="5"/>
        <v>800</v>
      </c>
    </row>
    <row r="27" spans="1:13" ht="13.8">
      <c r="A27" s="225" t="s">
        <v>1326</v>
      </c>
      <c r="B27" s="228" t="s">
        <v>1327</v>
      </c>
      <c r="C27" s="207"/>
      <c r="D27" s="207"/>
      <c r="E27" s="267">
        <v>100</v>
      </c>
      <c r="F27" s="269">
        <v>3</v>
      </c>
      <c r="G27" s="1496">
        <f t="shared" si="2"/>
        <v>300</v>
      </c>
      <c r="H27" s="264">
        <v>3</v>
      </c>
      <c r="I27" s="1496">
        <f t="shared" si="3"/>
        <v>300</v>
      </c>
      <c r="J27" s="276">
        <v>3</v>
      </c>
      <c r="K27" s="1496">
        <f t="shared" si="4"/>
        <v>300</v>
      </c>
      <c r="L27" s="276">
        <v>3</v>
      </c>
      <c r="M27" s="1496">
        <f t="shared" si="5"/>
        <v>300</v>
      </c>
    </row>
    <row r="28" spans="1:13" ht="27.6">
      <c r="A28" s="225" t="s">
        <v>1328</v>
      </c>
      <c r="B28" s="228" t="s">
        <v>1329</v>
      </c>
      <c r="C28" s="207"/>
      <c r="D28" s="207"/>
      <c r="E28" s="267">
        <v>4000</v>
      </c>
      <c r="F28" s="269">
        <v>1</v>
      </c>
      <c r="G28" s="1496">
        <f t="shared" si="2"/>
        <v>4000</v>
      </c>
      <c r="H28" s="264">
        <v>0</v>
      </c>
      <c r="I28" s="1496">
        <f t="shared" si="3"/>
        <v>0</v>
      </c>
      <c r="J28" s="276">
        <v>0</v>
      </c>
      <c r="K28" s="1496">
        <f t="shared" si="4"/>
        <v>0</v>
      </c>
      <c r="L28" s="276">
        <v>0</v>
      </c>
      <c r="M28" s="1496">
        <f t="shared" si="5"/>
        <v>0</v>
      </c>
    </row>
    <row r="29" spans="1:13" ht="27.6">
      <c r="A29" s="225" t="s">
        <v>1330</v>
      </c>
      <c r="B29" s="228" t="s">
        <v>1331</v>
      </c>
      <c r="C29" s="207">
        <v>7</v>
      </c>
      <c r="D29" s="207">
        <v>10</v>
      </c>
      <c r="E29" s="1497" t="s">
        <v>1332</v>
      </c>
      <c r="F29" s="270">
        <v>0</v>
      </c>
      <c r="G29" s="1496">
        <f>+F29*F9</f>
        <v>0</v>
      </c>
      <c r="H29" s="270">
        <v>7</v>
      </c>
      <c r="I29" s="1496">
        <f>+H29*H9</f>
        <v>2800</v>
      </c>
      <c r="J29" s="270">
        <v>7</v>
      </c>
      <c r="K29" s="1496">
        <f>+J29*J9</f>
        <v>11165</v>
      </c>
      <c r="L29" s="270">
        <v>7</v>
      </c>
      <c r="M29" s="1496">
        <f>+L29*L9</f>
        <v>13271.561796147205</v>
      </c>
    </row>
    <row r="30" spans="1:13" ht="13.8">
      <c r="A30" s="225" t="s">
        <v>1333</v>
      </c>
      <c r="B30" s="228" t="s">
        <v>1334</v>
      </c>
      <c r="C30" s="207"/>
      <c r="D30" s="207"/>
      <c r="E30" s="267">
        <v>1000</v>
      </c>
      <c r="F30" s="269">
        <v>1</v>
      </c>
      <c r="G30" s="1496">
        <f>+$E30*F30</f>
        <v>1000</v>
      </c>
      <c r="H30" s="264">
        <v>1</v>
      </c>
      <c r="I30" s="1496">
        <f>+$E30*H30</f>
        <v>1000</v>
      </c>
      <c r="J30" s="276">
        <v>1</v>
      </c>
      <c r="K30" s="1496">
        <f>+$E30*J30</f>
        <v>1000</v>
      </c>
      <c r="L30" s="276">
        <v>1</v>
      </c>
      <c r="M30" s="1496">
        <f>+$E30*L30</f>
        <v>1000</v>
      </c>
    </row>
    <row r="31" spans="1:13" ht="13.8">
      <c r="A31" s="225" t="s">
        <v>1335</v>
      </c>
      <c r="B31" s="228" t="s">
        <v>1336</v>
      </c>
      <c r="C31" s="207"/>
      <c r="D31" s="207"/>
      <c r="E31" s="267">
        <v>300</v>
      </c>
      <c r="F31" s="269">
        <v>2</v>
      </c>
      <c r="G31" s="1496">
        <f>+$E31*F31</f>
        <v>600</v>
      </c>
      <c r="H31" s="264">
        <v>2</v>
      </c>
      <c r="I31" s="1496">
        <f>+$E31*H31</f>
        <v>600</v>
      </c>
      <c r="J31" s="276">
        <v>1</v>
      </c>
      <c r="K31" s="1496">
        <f>+$E31*J31</f>
        <v>300</v>
      </c>
      <c r="L31" s="276">
        <v>2</v>
      </c>
      <c r="M31" s="1496">
        <f>+$E31*L31</f>
        <v>600</v>
      </c>
    </row>
    <row r="32" spans="1:13" ht="13.8">
      <c r="A32" s="225" t="s">
        <v>1337</v>
      </c>
      <c r="B32" s="228" t="s">
        <v>1338</v>
      </c>
      <c r="C32" s="207"/>
      <c r="D32" s="207"/>
      <c r="E32" s="267">
        <v>150</v>
      </c>
      <c r="F32" s="269">
        <v>1</v>
      </c>
      <c r="G32" s="1496">
        <f>+$E32*F32</f>
        <v>150</v>
      </c>
      <c r="H32" s="264">
        <v>1</v>
      </c>
      <c r="I32" s="1496">
        <f>+$E32*H32</f>
        <v>150</v>
      </c>
      <c r="J32" s="276">
        <v>0.2</v>
      </c>
      <c r="K32" s="1496">
        <f>+$E32*J32</f>
        <v>30</v>
      </c>
      <c r="L32" s="276">
        <v>1</v>
      </c>
      <c r="M32" s="1496">
        <f>+$E32*L32</f>
        <v>150</v>
      </c>
    </row>
    <row r="33" spans="1:13" ht="13.8">
      <c r="A33" s="225" t="s">
        <v>1339</v>
      </c>
      <c r="B33" s="228" t="s">
        <v>1340</v>
      </c>
      <c r="C33" s="207"/>
      <c r="D33" s="207"/>
      <c r="E33" s="267">
        <v>250</v>
      </c>
      <c r="F33" s="269">
        <v>1</v>
      </c>
      <c r="G33" s="1496">
        <f>+$E33*F33</f>
        <v>250</v>
      </c>
      <c r="H33" s="264">
        <v>1</v>
      </c>
      <c r="I33" s="1496">
        <f>+$E33*H33</f>
        <v>250</v>
      </c>
      <c r="J33" s="276">
        <v>0.2</v>
      </c>
      <c r="K33" s="1496">
        <f>+$E33*J33</f>
        <v>50</v>
      </c>
      <c r="L33" s="276">
        <v>1</v>
      </c>
      <c r="M33" s="1496">
        <f>+$E33*L33</f>
        <v>250</v>
      </c>
    </row>
    <row r="34" spans="1:13" ht="27.6">
      <c r="A34" s="226" t="s">
        <v>1341</v>
      </c>
      <c r="B34" s="229" t="s">
        <v>1342</v>
      </c>
      <c r="C34" s="208"/>
      <c r="D34" s="208"/>
      <c r="E34" s="272">
        <v>200</v>
      </c>
      <c r="F34" s="271">
        <v>1</v>
      </c>
      <c r="G34" s="1498">
        <f>+$E34*F34</f>
        <v>200</v>
      </c>
      <c r="H34" s="275">
        <v>1</v>
      </c>
      <c r="I34" s="1498">
        <f>+$E34*H34</f>
        <v>200</v>
      </c>
      <c r="J34" s="277">
        <v>0.5</v>
      </c>
      <c r="K34" s="1498">
        <f>+$E34*J34</f>
        <v>100</v>
      </c>
      <c r="L34" s="277">
        <v>1</v>
      </c>
      <c r="M34" s="1498">
        <f>+$E34*L34</f>
        <v>200</v>
      </c>
    </row>
    <row r="35" spans="1:13" ht="13.8">
      <c r="A35" s="202" t="s">
        <v>1343</v>
      </c>
      <c r="B35" s="230"/>
      <c r="C35" s="205"/>
      <c r="D35" s="205"/>
      <c r="E35" s="1499"/>
      <c r="F35" s="1500"/>
      <c r="G35" s="1501">
        <f>SUM(G15:G34)</f>
        <v>32000</v>
      </c>
      <c r="H35" s="1502"/>
      <c r="I35" s="1501">
        <f>SUM(I15:I34)</f>
        <v>27400</v>
      </c>
      <c r="J35" s="1502"/>
      <c r="K35" s="1501">
        <f>SUM(K15:K34)</f>
        <v>74475</v>
      </c>
      <c r="L35" s="1502"/>
      <c r="M35" s="1501">
        <f>SUM(M15:M34)</f>
        <v>24271.561796147205</v>
      </c>
    </row>
    <row r="36" spans="1:13" ht="13.8">
      <c r="A36" s="203" t="s">
        <v>1344</v>
      </c>
      <c r="B36" s="232" t="s">
        <v>1345</v>
      </c>
      <c r="C36" s="233"/>
      <c r="D36" s="233"/>
      <c r="E36" s="279">
        <v>0.15</v>
      </c>
      <c r="F36" s="1503"/>
      <c r="G36" s="1504">
        <f>+G35*$E36</f>
        <v>4800</v>
      </c>
      <c r="H36" s="1505"/>
      <c r="I36" s="1504">
        <f>+I35*$E36</f>
        <v>4110</v>
      </c>
      <c r="J36" s="1505"/>
      <c r="K36" s="1504">
        <f>+K35*$E36</f>
        <v>11171.25</v>
      </c>
      <c r="L36" s="1505"/>
      <c r="M36" s="1504">
        <f>+M35*$E36</f>
        <v>3640.7342694220806</v>
      </c>
    </row>
    <row r="37" spans="1:13" ht="13.8">
      <c r="A37" s="209" t="s">
        <v>1346</v>
      </c>
      <c r="B37" s="210" t="s">
        <v>1347</v>
      </c>
      <c r="C37" s="204"/>
      <c r="D37" s="204"/>
      <c r="E37" s="1506"/>
      <c r="F37" s="1506"/>
      <c r="G37" s="1507">
        <f>+G35+G36</f>
        <v>36800</v>
      </c>
      <c r="H37" s="1508"/>
      <c r="I37" s="1507">
        <f>+I35+I36</f>
        <v>31510</v>
      </c>
      <c r="J37" s="1508"/>
      <c r="K37" s="1507">
        <f>+K35+K36</f>
        <v>85646.25</v>
      </c>
      <c r="L37" s="1508"/>
      <c r="M37" s="1507">
        <f>+M35+M36</f>
        <v>27912.296065569288</v>
      </c>
    </row>
    <row r="38" spans="1:13" ht="13.8">
      <c r="A38" s="211" t="s">
        <v>1348</v>
      </c>
      <c r="B38" s="212" t="s">
        <v>1349</v>
      </c>
      <c r="C38" s="204"/>
      <c r="D38" s="204"/>
      <c r="E38" s="1506"/>
      <c r="F38" s="1506"/>
      <c r="G38" s="1509">
        <f>+G37/F9</f>
        <v>73.599999999999994</v>
      </c>
      <c r="H38" s="1510"/>
      <c r="I38" s="1509">
        <f>+I37/H9</f>
        <v>78.775000000000006</v>
      </c>
      <c r="J38" s="1510"/>
      <c r="K38" s="1509">
        <f>+K37/J9</f>
        <v>53.696708463949847</v>
      </c>
      <c r="L38" s="1510"/>
      <c r="M38" s="1509">
        <f>+M37/L9</f>
        <v>14.72216122413765</v>
      </c>
    </row>
    <row r="39" spans="1:13" ht="15.6">
      <c r="C39" s="331" t="s">
        <v>1350</v>
      </c>
      <c r="D39" s="331"/>
      <c r="E39" s="1511">
        <v>1.2</v>
      </c>
      <c r="F39" s="1512"/>
      <c r="G39" s="1513">
        <f>+$E39*G$37*12</f>
        <v>529920</v>
      </c>
      <c r="H39" s="1514" t="s">
        <v>745</v>
      </c>
      <c r="I39" s="1513">
        <f>+$E39*I$37*12</f>
        <v>453744</v>
      </c>
      <c r="J39" s="1514" t="s">
        <v>745</v>
      </c>
      <c r="K39" s="1515">
        <f>+$E39*K$37</f>
        <v>102775.5</v>
      </c>
      <c r="M39" s="1515">
        <f>+$E39*M$37</f>
        <v>33494.755278683144</v>
      </c>
    </row>
    <row r="40" spans="1:13" ht="15.6">
      <c r="A40" s="231" t="s">
        <v>1351</v>
      </c>
      <c r="C40" s="331" t="s">
        <v>1352</v>
      </c>
      <c r="D40" s="331"/>
      <c r="E40" s="1511">
        <v>1.5</v>
      </c>
      <c r="F40" s="1512"/>
      <c r="G40" s="1513">
        <f t="shared" ref="G40:I40" si="6">+$E40*G$37*12</f>
        <v>662400</v>
      </c>
      <c r="H40" s="1514" t="s">
        <v>745</v>
      </c>
      <c r="I40" s="1513">
        <f t="shared" si="6"/>
        <v>567180</v>
      </c>
      <c r="J40" s="1514" t="s">
        <v>745</v>
      </c>
      <c r="K40" s="1515">
        <f>+$E40*K$37</f>
        <v>128469.375</v>
      </c>
      <c r="M40" s="1515">
        <f>+$E40*M$37</f>
        <v>41868.444098353932</v>
      </c>
    </row>
    <row r="41" spans="1:13">
      <c r="A41" s="197" t="s">
        <v>1353</v>
      </c>
    </row>
    <row r="42" spans="1:13">
      <c r="A42" s="197" t="s">
        <v>1354</v>
      </c>
    </row>
    <row r="43" spans="1:13">
      <c r="A43" s="197" t="s">
        <v>1355</v>
      </c>
    </row>
  </sheetData>
  <sheetProtection algorithmName="SHA-512" hashValue="2CN6aGUfGqGQpUVAjsQIBDphVcNW4Kn8ZJSTQUHIqRX+JONq+jgb2LtaJdKf27LgOsUJ9xR+zvzbwIVD/N9nww==" saltValue="AuIY4XoE1q8yPpeGdC/woA==" spinCount="100000" sheet="1" objects="1" scenarios="1"/>
  <mergeCells count="4">
    <mergeCell ref="F8:G8"/>
    <mergeCell ref="H8:I8"/>
    <mergeCell ref="J8:K8"/>
    <mergeCell ref="L8:M8"/>
  </mergeCells>
  <conditionalFormatting sqref="D1">
    <cfRule type="expression" dxfId="5" priority="2" stopIfTrue="1">
      <formula>MOD(ROW(),2)=0</formula>
    </cfRule>
  </conditionalFormatting>
  <hyperlinks>
    <hyperlink ref="D1" location="HypLink1" display="HypLink1"/>
  </hyperlinks>
  <pageMargins left="0.25" right="0.25" top="0.5" bottom="0.44999999999999996" header="0.25" footer="0.25"/>
  <pageSetup scale="69" orientation="landscape" r:id="rId1"/>
  <headerFooter>
    <oddHeader xml:space="preserve">&amp;L &amp;C &amp;R </oddHeader>
    <oddFooter>&amp;L&amp;7&amp;D  at &amp;T Mike 702.486.8879&amp;C&amp;7&amp;F  &amp;A&amp;R&amp;7Page &amp;P of &amp;N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0" tint="-0.34998626667073579"/>
  </sheetPr>
  <dimension ref="A1:U98"/>
  <sheetViews>
    <sheetView workbookViewId="0"/>
  </sheetViews>
  <sheetFormatPr defaultColWidth="9.21875" defaultRowHeight="13.2"/>
  <cols>
    <col min="1" max="1" width="5.21875" style="6" customWidth="1"/>
    <col min="2" max="16384" width="9.21875" style="6"/>
  </cols>
  <sheetData>
    <row r="1" spans="1:11" ht="15.6">
      <c r="A1" s="305" t="s">
        <v>1356</v>
      </c>
      <c r="B1" s="305"/>
      <c r="C1" s="305"/>
      <c r="K1" s="372" t="s">
        <v>3</v>
      </c>
    </row>
    <row r="2" spans="1:11" ht="15.6">
      <c r="A2" s="25" t="str">
        <f>SchoolName</f>
        <v>The Delta Academy</v>
      </c>
      <c r="B2" s="27"/>
      <c r="C2" s="27"/>
    </row>
    <row r="3" spans="1:11">
      <c r="A3" s="10" t="s">
        <v>80</v>
      </c>
    </row>
    <row r="4" spans="1:11">
      <c r="A4" s="9" t="s">
        <v>81</v>
      </c>
    </row>
    <row r="5" spans="1:11">
      <c r="A5" s="8" t="str">
        <f ca="1">CELL("filename")</f>
        <v>C:\Users\kyle.konold\Downloads\[FY25 Budget - Delta Academy_Final.xlsx]Form 1 Cover</v>
      </c>
    </row>
    <row r="7" spans="1:11">
      <c r="B7" s="367" t="s">
        <v>1357</v>
      </c>
      <c r="C7" s="6" t="s">
        <v>1358</v>
      </c>
    </row>
    <row r="8" spans="1:11">
      <c r="B8" s="367" t="s">
        <v>1359</v>
      </c>
      <c r="C8" s="6" t="s">
        <v>1360</v>
      </c>
    </row>
    <row r="9" spans="1:11">
      <c r="C9" s="6" t="s">
        <v>1361</v>
      </c>
    </row>
    <row r="10" spans="1:11">
      <c r="C10" s="6" t="s">
        <v>1362</v>
      </c>
    </row>
    <row r="11" spans="1:11">
      <c r="C11" s="6" t="s">
        <v>1363</v>
      </c>
    </row>
    <row r="12" spans="1:11">
      <c r="C12" s="6" t="s">
        <v>1364</v>
      </c>
    </row>
    <row r="13" spans="1:11">
      <c r="B13" s="367" t="s">
        <v>1365</v>
      </c>
      <c r="C13" s="6" t="s">
        <v>1366</v>
      </c>
    </row>
    <row r="25" spans="1:21">
      <c r="A25" s="7" t="s">
        <v>1367</v>
      </c>
      <c r="B25" s="7"/>
      <c r="C25" s="7"/>
      <c r="D25" s="7"/>
      <c r="E25" s="7" t="s">
        <v>1368</v>
      </c>
      <c r="F25" s="7"/>
      <c r="G25" s="7"/>
      <c r="H25" s="7"/>
      <c r="I25" s="7"/>
      <c r="J25" s="7"/>
      <c r="K25" s="7"/>
      <c r="L25" s="7"/>
      <c r="M25" s="7"/>
      <c r="N25" s="7"/>
      <c r="O25" s="7"/>
      <c r="P25" s="7"/>
    </row>
    <row r="26" spans="1:21">
      <c r="A26" s="7"/>
      <c r="B26" s="7"/>
      <c r="C26" s="7"/>
      <c r="D26" s="7"/>
      <c r="E26" s="7"/>
      <c r="F26" s="7"/>
      <c r="G26" s="7"/>
      <c r="H26" s="7"/>
      <c r="I26" s="7"/>
      <c r="J26" s="7"/>
      <c r="K26" s="7"/>
      <c r="L26" s="7"/>
      <c r="M26" s="7"/>
      <c r="N26" s="7"/>
      <c r="O26" s="7"/>
      <c r="P26" s="7"/>
    </row>
    <row r="27" spans="1:21">
      <c r="A27" s="7"/>
      <c r="B27" s="7"/>
      <c r="C27" s="7"/>
      <c r="D27" s="7"/>
      <c r="E27" s="7"/>
      <c r="F27" s="7"/>
      <c r="G27" s="7"/>
      <c r="H27" s="7"/>
      <c r="I27" s="7"/>
      <c r="J27" s="7"/>
      <c r="K27" s="7"/>
      <c r="L27" s="7"/>
      <c r="M27" s="7"/>
      <c r="N27" s="7"/>
      <c r="O27" s="7"/>
      <c r="P27" s="7"/>
    </row>
    <row r="28" spans="1:21">
      <c r="A28" s="7" t="s">
        <v>229</v>
      </c>
      <c r="B28" s="342">
        <v>1</v>
      </c>
      <c r="C28" s="7"/>
      <c r="D28" s="7"/>
      <c r="E28" s="7"/>
      <c r="F28" s="7"/>
      <c r="G28" s="7"/>
      <c r="H28" s="7"/>
      <c r="I28" s="7"/>
      <c r="J28" s="7"/>
      <c r="K28" s="7"/>
      <c r="L28" s="7"/>
      <c r="M28" s="7"/>
      <c r="N28" s="7"/>
      <c r="O28" s="7"/>
      <c r="P28" s="7"/>
    </row>
    <row r="29" spans="1:21">
      <c r="A29" s="7" t="s">
        <v>229</v>
      </c>
      <c r="B29" s="342">
        <v>2</v>
      </c>
      <c r="C29" s="7"/>
      <c r="D29" s="7"/>
      <c r="E29" s="7"/>
      <c r="F29" s="7"/>
      <c r="G29" s="7"/>
      <c r="H29" s="7"/>
      <c r="I29" s="7"/>
      <c r="J29" s="7"/>
      <c r="K29" s="7"/>
      <c r="L29" s="7"/>
      <c r="M29" s="7"/>
      <c r="N29" s="7"/>
      <c r="O29" s="7"/>
      <c r="P29" s="7"/>
      <c r="U29" s="6" t="s">
        <v>1369</v>
      </c>
    </row>
    <row r="30" spans="1:21">
      <c r="A30" s="7" t="s">
        <v>229</v>
      </c>
      <c r="B30" s="342">
        <v>3</v>
      </c>
      <c r="C30" s="7"/>
      <c r="D30" s="7"/>
      <c r="E30" s="7"/>
      <c r="F30" s="7"/>
      <c r="G30" s="7"/>
      <c r="H30" s="7"/>
      <c r="I30" s="7"/>
      <c r="J30" s="7"/>
      <c r="K30" s="7"/>
      <c r="L30" s="7"/>
      <c r="M30" s="7"/>
      <c r="N30" s="7"/>
      <c r="O30" s="7"/>
      <c r="P30" s="7"/>
    </row>
    <row r="31" spans="1:21">
      <c r="A31" s="7" t="s">
        <v>229</v>
      </c>
      <c r="B31" s="342">
        <v>4</v>
      </c>
      <c r="C31" s="7"/>
      <c r="D31" s="7"/>
      <c r="E31" s="7"/>
      <c r="F31" s="7"/>
      <c r="G31" s="7"/>
      <c r="H31" s="7"/>
      <c r="I31" s="7"/>
      <c r="J31" s="7"/>
      <c r="K31" s="7"/>
      <c r="L31" s="7"/>
      <c r="M31" s="7"/>
      <c r="N31" s="7"/>
      <c r="O31" s="7"/>
      <c r="P31" s="7"/>
    </row>
    <row r="32" spans="1:21">
      <c r="A32" s="7" t="s">
        <v>229</v>
      </c>
      <c r="B32" s="342">
        <v>5</v>
      </c>
      <c r="C32" s="7"/>
      <c r="D32" s="7"/>
      <c r="E32" s="7"/>
      <c r="F32" s="7"/>
      <c r="G32" s="7"/>
      <c r="H32" s="7"/>
      <c r="I32" s="7"/>
      <c r="J32" s="7"/>
      <c r="K32" s="7"/>
      <c r="L32" s="7"/>
      <c r="M32" s="7"/>
      <c r="N32" s="7"/>
      <c r="O32" s="7"/>
      <c r="P32" s="7"/>
    </row>
    <row r="33" spans="1:16">
      <c r="A33" s="7" t="s">
        <v>1370</v>
      </c>
      <c r="B33" s="7"/>
      <c r="C33" s="7"/>
      <c r="D33" s="7"/>
      <c r="E33" s="7"/>
      <c r="F33" s="7"/>
      <c r="G33" s="7"/>
      <c r="H33" s="7"/>
      <c r="I33" s="7"/>
      <c r="J33" s="7"/>
      <c r="K33" s="7"/>
      <c r="L33" s="7"/>
      <c r="M33" s="7"/>
      <c r="N33" s="7"/>
      <c r="O33" s="7"/>
      <c r="P33" s="7"/>
    </row>
    <row r="34" spans="1:16">
      <c r="A34" s="7" t="s">
        <v>1370</v>
      </c>
      <c r="B34" s="7"/>
      <c r="C34" s="7"/>
      <c r="D34" s="7"/>
      <c r="E34" s="7"/>
      <c r="F34" s="7"/>
      <c r="G34" s="7"/>
      <c r="H34" s="7"/>
      <c r="I34" s="7"/>
      <c r="J34" s="7"/>
      <c r="K34" s="7"/>
      <c r="L34" s="7"/>
      <c r="M34" s="7"/>
      <c r="N34" s="7"/>
      <c r="O34" s="7"/>
      <c r="P34" s="7"/>
    </row>
    <row r="35" spans="1:16">
      <c r="A35" s="7" t="s">
        <v>1371</v>
      </c>
      <c r="B35" s="7"/>
      <c r="C35" s="7"/>
      <c r="D35" s="7"/>
      <c r="E35" s="7"/>
      <c r="F35" s="7"/>
      <c r="G35" s="7"/>
      <c r="H35" s="7"/>
      <c r="I35" s="7"/>
      <c r="J35" s="7"/>
      <c r="K35" s="7"/>
      <c r="L35" s="7"/>
      <c r="M35" s="7"/>
      <c r="N35" s="7"/>
      <c r="O35" s="7"/>
      <c r="P35" s="7"/>
    </row>
    <row r="36" spans="1:16">
      <c r="A36" s="7" t="s">
        <v>1372</v>
      </c>
      <c r="B36" s="7"/>
      <c r="C36" s="7"/>
      <c r="D36" s="7"/>
      <c r="E36" s="7"/>
      <c r="F36" s="7"/>
      <c r="G36" s="7"/>
      <c r="H36" s="7"/>
      <c r="I36" s="7"/>
      <c r="J36" s="7"/>
      <c r="K36" s="7"/>
      <c r="L36" s="7"/>
      <c r="M36" s="7"/>
      <c r="N36" s="7"/>
      <c r="O36" s="7"/>
      <c r="P36" s="7"/>
    </row>
    <row r="37" spans="1:16">
      <c r="A37" s="7" t="s">
        <v>1373</v>
      </c>
      <c r="B37" s="7"/>
      <c r="C37" s="7"/>
      <c r="D37" s="7"/>
      <c r="E37" s="7"/>
      <c r="F37" s="7"/>
      <c r="G37" s="7"/>
      <c r="H37" s="7"/>
      <c r="I37" s="7"/>
      <c r="J37" s="7"/>
      <c r="K37" s="7"/>
      <c r="L37" s="7"/>
      <c r="M37" s="7"/>
      <c r="N37" s="7"/>
      <c r="O37" s="7"/>
      <c r="P37" s="7"/>
    </row>
    <row r="38" spans="1:16">
      <c r="A38" s="7" t="s">
        <v>1374</v>
      </c>
      <c r="B38" s="7"/>
      <c r="C38" s="7"/>
      <c r="D38" s="7"/>
      <c r="E38" s="7"/>
      <c r="F38" s="7"/>
      <c r="G38" s="7"/>
      <c r="H38" s="7"/>
      <c r="I38" s="7"/>
      <c r="J38" s="7"/>
      <c r="K38" s="7"/>
      <c r="L38" s="7"/>
      <c r="M38" s="7"/>
      <c r="N38" s="7"/>
      <c r="O38" s="7"/>
      <c r="P38" s="7"/>
    </row>
    <row r="39" spans="1:16">
      <c r="A39" s="7" t="s">
        <v>667</v>
      </c>
      <c r="B39" s="7"/>
      <c r="C39" s="7"/>
      <c r="D39" s="7"/>
      <c r="E39" s="7"/>
      <c r="F39" s="7"/>
      <c r="G39" s="7"/>
      <c r="H39" s="7"/>
      <c r="I39" s="7"/>
      <c r="J39" s="7"/>
      <c r="K39" s="7"/>
      <c r="L39" s="7"/>
      <c r="M39" s="7"/>
      <c r="N39" s="7"/>
      <c r="O39" s="7"/>
      <c r="P39" s="7"/>
    </row>
    <row r="40" spans="1:16">
      <c r="A40" s="341" t="s">
        <v>1375</v>
      </c>
      <c r="B40" s="7"/>
      <c r="C40" s="7"/>
      <c r="D40" s="7"/>
      <c r="E40" s="7"/>
      <c r="F40" s="7"/>
      <c r="G40" s="7"/>
      <c r="H40" s="7"/>
      <c r="I40" s="7"/>
      <c r="J40" s="7"/>
      <c r="K40" s="7"/>
      <c r="L40" s="7"/>
      <c r="M40" s="7"/>
      <c r="N40" s="7"/>
      <c r="O40" s="7"/>
      <c r="P40" s="7"/>
    </row>
    <row r="41" spans="1:16">
      <c r="A41" s="7" t="s">
        <v>1376</v>
      </c>
      <c r="B41" s="7"/>
      <c r="C41" s="7"/>
      <c r="D41" s="7"/>
      <c r="E41" s="7"/>
      <c r="F41" s="7"/>
      <c r="G41" s="7"/>
      <c r="H41" s="7"/>
      <c r="I41" s="7"/>
      <c r="J41" s="7"/>
      <c r="K41" s="7"/>
      <c r="L41" s="7"/>
      <c r="M41" s="7"/>
      <c r="N41" s="7"/>
      <c r="O41" s="7"/>
      <c r="P41" s="7"/>
    </row>
    <row r="42" spans="1:16">
      <c r="A42" s="7" t="s">
        <v>1377</v>
      </c>
      <c r="B42" s="7"/>
      <c r="C42" s="7"/>
      <c r="D42" s="7"/>
      <c r="E42" s="7"/>
      <c r="F42" s="7"/>
      <c r="G42" s="7"/>
      <c r="H42" s="7"/>
      <c r="I42" s="7"/>
      <c r="J42" s="7"/>
      <c r="K42" s="7"/>
      <c r="L42" s="7"/>
      <c r="M42" s="7"/>
      <c r="N42" s="7"/>
      <c r="O42" s="7"/>
      <c r="P42" s="7"/>
    </row>
    <row r="43" spans="1:16">
      <c r="A43" s="7" t="s">
        <v>1372</v>
      </c>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t="s">
        <v>1378</v>
      </c>
      <c r="C58" s="7"/>
      <c r="D58" s="7"/>
      <c r="E58" s="7"/>
      <c r="F58" s="7"/>
      <c r="G58" s="7"/>
      <c r="H58" s="7"/>
      <c r="I58" s="7"/>
      <c r="J58" s="7"/>
      <c r="K58" s="7"/>
      <c r="L58" s="7"/>
      <c r="M58" s="7"/>
      <c r="N58" s="7"/>
      <c r="O58" s="7"/>
      <c r="P58" s="7"/>
    </row>
    <row r="59" spans="1:16">
      <c r="A59" s="7"/>
      <c r="B59" s="7" t="s">
        <v>1379</v>
      </c>
      <c r="C59" s="7"/>
      <c r="D59" s="7"/>
      <c r="E59" s="7"/>
      <c r="F59" s="7"/>
      <c r="G59" s="7"/>
      <c r="H59" s="7"/>
      <c r="I59" s="7"/>
      <c r="J59" s="7"/>
      <c r="K59" s="7"/>
      <c r="L59" s="7"/>
      <c r="M59" s="7"/>
      <c r="N59" s="7"/>
      <c r="O59" s="7"/>
      <c r="P59" s="7"/>
    </row>
    <row r="60" spans="1:16">
      <c r="A60" s="7"/>
      <c r="B60" s="6" t="s">
        <v>1380</v>
      </c>
      <c r="D60" s="7" t="s">
        <v>1381</v>
      </c>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341"/>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row r="81" spans="1:21">
      <c r="A81" s="7"/>
      <c r="B81" s="7"/>
      <c r="C81" s="7"/>
      <c r="D81" s="7"/>
      <c r="E81" s="7"/>
      <c r="F81" s="7"/>
      <c r="G81" s="7"/>
      <c r="H81" s="7"/>
      <c r="I81" s="7"/>
      <c r="J81" s="7"/>
      <c r="K81" s="7"/>
      <c r="L81" s="7"/>
      <c r="M81" s="7"/>
      <c r="N81" s="7"/>
      <c r="O81" s="7"/>
      <c r="P81" s="7"/>
    </row>
    <row r="82" spans="1:21">
      <c r="A82" s="7"/>
      <c r="B82" s="7"/>
      <c r="C82" s="7"/>
      <c r="D82" s="7"/>
      <c r="E82" s="7"/>
      <c r="F82" s="7"/>
      <c r="G82" s="7"/>
      <c r="H82" s="7"/>
      <c r="I82" s="7"/>
      <c r="J82" s="7"/>
      <c r="K82" s="7"/>
      <c r="L82" s="7"/>
      <c r="M82" s="7"/>
      <c r="N82" s="7"/>
      <c r="O82" s="7"/>
      <c r="P82" s="7"/>
      <c r="U82" s="6" t="s">
        <v>1382</v>
      </c>
    </row>
    <row r="83" spans="1:21">
      <c r="A83" s="7"/>
      <c r="B83" s="7"/>
      <c r="C83" s="7"/>
      <c r="D83" s="7"/>
      <c r="E83" s="7"/>
      <c r="F83" s="7"/>
      <c r="G83" s="7"/>
      <c r="H83" s="7"/>
      <c r="I83" s="7"/>
      <c r="J83" s="7"/>
      <c r="K83" s="7"/>
      <c r="L83" s="7"/>
      <c r="M83" s="7"/>
      <c r="N83" s="7"/>
      <c r="O83" s="7"/>
      <c r="P83" s="7"/>
    </row>
    <row r="84" spans="1:21">
      <c r="A84" s="7"/>
      <c r="B84" s="7"/>
      <c r="C84" s="7"/>
      <c r="D84" s="7"/>
      <c r="E84" s="7"/>
      <c r="F84" s="7"/>
      <c r="G84" s="7"/>
      <c r="H84" s="7"/>
      <c r="I84" s="7"/>
      <c r="J84" s="7"/>
      <c r="K84" s="7"/>
      <c r="L84" s="7"/>
      <c r="M84" s="7"/>
      <c r="N84" s="7"/>
      <c r="O84" s="7"/>
      <c r="P84" s="7"/>
    </row>
    <row r="85" spans="1:21">
      <c r="A85" s="7"/>
      <c r="B85" s="7"/>
      <c r="C85" s="7"/>
      <c r="D85" s="7"/>
      <c r="E85" s="7"/>
      <c r="F85" s="7"/>
      <c r="G85" s="7"/>
      <c r="H85" s="7"/>
      <c r="I85" s="7"/>
      <c r="J85" s="7"/>
      <c r="K85" s="7"/>
      <c r="L85" s="7"/>
      <c r="M85" s="7"/>
      <c r="N85" s="7"/>
      <c r="O85" s="7"/>
      <c r="P85" s="7"/>
    </row>
    <row r="86" spans="1:21">
      <c r="A86" s="7"/>
      <c r="B86" s="7"/>
      <c r="C86" s="7"/>
      <c r="D86" s="7"/>
      <c r="E86" s="7"/>
      <c r="F86" s="7"/>
      <c r="G86" s="7"/>
      <c r="H86" s="7"/>
      <c r="I86" s="7"/>
      <c r="J86" s="7"/>
      <c r="K86" s="7"/>
      <c r="L86" s="7"/>
      <c r="M86" s="7"/>
      <c r="N86" s="7"/>
      <c r="O86" s="7"/>
      <c r="P86" s="7"/>
    </row>
    <row r="87" spans="1:21">
      <c r="A87" s="7"/>
      <c r="B87" s="7"/>
      <c r="C87" s="7"/>
      <c r="D87" s="7"/>
      <c r="E87" s="7"/>
      <c r="F87" s="7"/>
      <c r="G87" s="7"/>
      <c r="H87" s="7"/>
      <c r="I87" s="7"/>
      <c r="J87" s="7"/>
      <c r="K87" s="7"/>
      <c r="L87" s="7"/>
      <c r="M87" s="7"/>
      <c r="N87" s="7"/>
      <c r="O87" s="7"/>
      <c r="P87" s="7"/>
    </row>
    <row r="88" spans="1:21">
      <c r="A88" s="7"/>
      <c r="B88" s="7"/>
      <c r="C88" s="7"/>
      <c r="D88" s="7"/>
      <c r="E88" s="7"/>
      <c r="F88" s="7"/>
      <c r="G88" s="7"/>
      <c r="H88" s="7"/>
      <c r="I88" s="7"/>
      <c r="J88" s="7"/>
      <c r="K88" s="7"/>
      <c r="L88" s="7"/>
      <c r="M88" s="7"/>
      <c r="N88" s="7"/>
      <c r="O88" s="7"/>
      <c r="P88" s="7"/>
    </row>
    <row r="89" spans="1:21">
      <c r="A89" s="7" t="s">
        <v>1383</v>
      </c>
      <c r="B89" s="7"/>
      <c r="C89" s="7"/>
      <c r="D89" s="7"/>
      <c r="E89" s="7"/>
      <c r="F89" s="7"/>
      <c r="G89" s="7"/>
      <c r="H89" s="7"/>
      <c r="I89" s="7"/>
      <c r="J89" s="7"/>
      <c r="K89" s="7"/>
      <c r="L89" s="7"/>
      <c r="M89" s="7"/>
      <c r="N89" s="7"/>
      <c r="O89" s="7"/>
      <c r="P89" s="7"/>
    </row>
    <row r="90" spans="1:21">
      <c r="A90" s="7" t="s">
        <v>1384</v>
      </c>
      <c r="B90" s="7"/>
      <c r="C90" s="7"/>
      <c r="D90" s="7"/>
      <c r="E90" s="7"/>
      <c r="F90" s="7"/>
      <c r="G90" s="7"/>
      <c r="H90" s="7"/>
      <c r="I90" s="7"/>
      <c r="J90" s="7"/>
      <c r="K90" s="7"/>
      <c r="L90" s="7"/>
      <c r="M90" s="7"/>
      <c r="N90" s="7"/>
      <c r="O90" s="7"/>
      <c r="P90" s="7"/>
    </row>
    <row r="91" spans="1:21">
      <c r="A91" s="7"/>
      <c r="B91" s="7"/>
      <c r="C91" s="7"/>
      <c r="D91" s="7"/>
      <c r="E91" s="7"/>
      <c r="F91" s="7"/>
      <c r="G91" s="7"/>
      <c r="H91" s="7"/>
      <c r="I91" s="7"/>
      <c r="J91" s="7"/>
      <c r="K91" s="7"/>
      <c r="L91" s="7"/>
      <c r="M91" s="7"/>
      <c r="N91" s="7"/>
      <c r="O91" s="7"/>
      <c r="P91" s="7"/>
    </row>
    <row r="92" spans="1:21">
      <c r="A92" s="7"/>
      <c r="B92" s="7"/>
      <c r="C92" s="7"/>
      <c r="D92" s="7"/>
      <c r="E92" s="7"/>
      <c r="F92" s="7"/>
      <c r="G92" s="7"/>
      <c r="H92" s="7"/>
      <c r="I92" s="7"/>
      <c r="J92" s="7"/>
      <c r="K92" s="7"/>
      <c r="L92" s="7"/>
      <c r="M92" s="7"/>
      <c r="N92" s="7"/>
      <c r="O92" s="7"/>
      <c r="P92" s="7"/>
    </row>
    <row r="93" spans="1:21">
      <c r="A93" s="7"/>
      <c r="B93" s="7"/>
      <c r="C93" s="7"/>
      <c r="D93" s="7"/>
      <c r="E93" s="7"/>
      <c r="F93" s="7"/>
      <c r="G93" s="7"/>
      <c r="H93" s="7"/>
      <c r="I93" s="7"/>
      <c r="J93" s="7"/>
      <c r="K93" s="7"/>
      <c r="L93" s="7"/>
      <c r="M93" s="7"/>
      <c r="N93" s="7"/>
      <c r="O93" s="7"/>
      <c r="P93" s="7"/>
    </row>
    <row r="94" spans="1:21">
      <c r="A94" s="7"/>
      <c r="B94" s="7"/>
      <c r="C94" s="7"/>
      <c r="D94" s="7"/>
      <c r="E94" s="7"/>
      <c r="F94" s="7"/>
      <c r="G94" s="7"/>
      <c r="H94" s="7"/>
      <c r="I94" s="7"/>
      <c r="J94" s="7"/>
      <c r="K94" s="7"/>
      <c r="L94" s="7"/>
      <c r="M94" s="7"/>
      <c r="N94" s="7"/>
      <c r="O94" s="7"/>
      <c r="P94" s="7"/>
    </row>
    <row r="95" spans="1:21">
      <c r="A95" s="7"/>
      <c r="B95" s="7"/>
      <c r="C95" s="7"/>
      <c r="D95" s="7"/>
      <c r="E95" s="7"/>
      <c r="F95" s="7"/>
      <c r="G95" s="7"/>
      <c r="H95" s="7"/>
      <c r="I95" s="7"/>
      <c r="J95" s="7"/>
      <c r="K95" s="7"/>
      <c r="L95" s="7"/>
      <c r="M95" s="7"/>
      <c r="N95" s="7"/>
      <c r="O95" s="7"/>
      <c r="P95" s="7"/>
    </row>
    <row r="96" spans="1:21">
      <c r="A96" s="7"/>
      <c r="B96" s="7"/>
      <c r="C96" s="7"/>
      <c r="D96" s="7"/>
      <c r="E96" s="7"/>
      <c r="F96" s="7"/>
      <c r="G96" s="7"/>
      <c r="H96" s="7"/>
      <c r="I96" s="7"/>
      <c r="J96" s="7"/>
      <c r="K96" s="7"/>
      <c r="L96" s="7"/>
      <c r="M96" s="7"/>
      <c r="N96" s="7"/>
      <c r="O96" s="7"/>
      <c r="P96" s="7"/>
    </row>
    <row r="97" spans="1:16">
      <c r="A97" s="7"/>
      <c r="B97" s="7"/>
      <c r="C97" s="7"/>
      <c r="D97" s="7"/>
      <c r="E97" s="7"/>
      <c r="F97" s="7"/>
      <c r="G97" s="7"/>
      <c r="H97" s="7"/>
      <c r="I97" s="7"/>
      <c r="J97" s="7"/>
      <c r="K97" s="7"/>
      <c r="L97" s="7"/>
      <c r="M97" s="7"/>
      <c r="N97" s="7"/>
      <c r="O97" s="7"/>
      <c r="P97" s="7"/>
    </row>
    <row r="98" spans="1:16">
      <c r="A98" s="7"/>
      <c r="B98" s="7"/>
      <c r="C98" s="7"/>
      <c r="D98" s="7"/>
      <c r="E98" s="7"/>
      <c r="F98" s="7"/>
      <c r="G98" s="7"/>
      <c r="H98" s="7"/>
      <c r="I98" s="7"/>
      <c r="J98" s="7"/>
      <c r="K98" s="7"/>
      <c r="L98" s="7"/>
      <c r="M98" s="7"/>
      <c r="N98" s="7"/>
      <c r="O98" s="7"/>
      <c r="P98" s="7"/>
    </row>
  </sheetData>
  <sheetProtection algorithmName="SHA-512" hashValue="Z0tyuDxLBNDQgL0ORnFWqU9El4i+mbhHS3uGX/Bq7GQrCBBBX7vO/jG1DTsj13KWmhYcZY0uFSzjiOw3JfkvPA==" saltValue="zxrRYbkAsQrWc4IKEbotAg==" spinCount="100000" sheet="1" objects="1" scenarios="1"/>
  <conditionalFormatting sqref="K1">
    <cfRule type="expression" dxfId="4" priority="1" stopIfTrue="1">
      <formula>MOD(ROW(),2)=0</formula>
    </cfRule>
  </conditionalFormatting>
  <hyperlinks>
    <hyperlink ref="K1" location="HypLink1" display="HypLink1"/>
  </hyperlinks>
  <pageMargins left="0.35" right="0.25" top="0.32" bottom="0.5" header="0.32" footer="0.3"/>
  <pageSetup orientation="portrait" r:id="rId1"/>
  <headerFooter alignWithMargins="0">
    <oddFooter>&amp;L&amp;7&amp;D  at &amp;T Mike 702.486.8879&amp;C&amp;7Page &amp;P of &amp;N&amp;R&amp;7&amp;F  &amp;A</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34998626667073579"/>
  </sheetPr>
  <dimension ref="A1:T80"/>
  <sheetViews>
    <sheetView workbookViewId="0"/>
  </sheetViews>
  <sheetFormatPr defaultColWidth="9.21875" defaultRowHeight="13.2"/>
  <cols>
    <col min="1" max="1" width="10.77734375" style="6" bestFit="1" customWidth="1"/>
    <col min="2" max="16384" width="9.21875" style="6"/>
  </cols>
  <sheetData>
    <row r="1" spans="1:20" ht="15.6">
      <c r="A1" s="305" t="s">
        <v>1385</v>
      </c>
      <c r="B1" s="305"/>
      <c r="C1" s="305"/>
      <c r="E1" s="408" t="s">
        <v>3</v>
      </c>
      <c r="P1" s="7"/>
      <c r="Q1" s="7"/>
      <c r="R1" s="7"/>
      <c r="S1" s="7"/>
      <c r="T1" s="7"/>
    </row>
    <row r="2" spans="1:20" ht="15.6">
      <c r="A2" s="25" t="str">
        <f>SchoolName</f>
        <v>The Delta Academy</v>
      </c>
      <c r="B2" s="27"/>
      <c r="C2" s="27"/>
      <c r="P2" s="7"/>
      <c r="Q2" s="7"/>
      <c r="R2" s="7"/>
      <c r="S2" s="7"/>
      <c r="T2" s="7"/>
    </row>
    <row r="3" spans="1:20">
      <c r="A3" s="10" t="s">
        <v>80</v>
      </c>
      <c r="P3" s="7"/>
      <c r="Q3" s="7"/>
      <c r="R3" s="7"/>
      <c r="S3" s="7"/>
      <c r="T3" s="7"/>
    </row>
    <row r="4" spans="1:20">
      <c r="A4" s="9" t="s">
        <v>81</v>
      </c>
      <c r="P4" s="7"/>
      <c r="Q4" s="7"/>
      <c r="R4" s="7"/>
      <c r="S4" s="7"/>
      <c r="T4" s="7"/>
    </row>
    <row r="5" spans="1:20">
      <c r="A5" s="8" t="str">
        <f ca="1">CELL("filename")</f>
        <v>C:\Users\kyle.konold\Downloads\[FY25 Budget - Delta Academy_Final.xlsx]Form 1 Cover</v>
      </c>
      <c r="P5" s="7"/>
      <c r="Q5" s="7"/>
      <c r="R5" s="7"/>
      <c r="S5" s="7"/>
      <c r="T5" s="7"/>
    </row>
    <row r="6" spans="1:20">
      <c r="P6" s="7"/>
      <c r="Q6" s="7"/>
      <c r="R6" s="7"/>
      <c r="S6" s="7"/>
      <c r="T6" s="7"/>
    </row>
    <row r="7" spans="1:20">
      <c r="A7" s="7"/>
      <c r="B7" s="7"/>
      <c r="C7" s="7"/>
      <c r="D7" s="7"/>
      <c r="E7" s="7"/>
      <c r="F7" s="7"/>
      <c r="G7" s="7"/>
      <c r="H7" s="7"/>
      <c r="I7" s="7"/>
      <c r="J7" s="7"/>
      <c r="K7" s="7"/>
      <c r="L7" s="7"/>
      <c r="M7" s="7"/>
      <c r="N7" s="7"/>
      <c r="O7" s="7"/>
      <c r="P7" s="7"/>
      <c r="Q7" s="7"/>
      <c r="R7" s="7"/>
      <c r="S7" s="7"/>
      <c r="T7" s="7"/>
    </row>
    <row r="8" spans="1:20">
      <c r="A8" s="7"/>
      <c r="B8" s="7"/>
      <c r="C8" s="7"/>
      <c r="D8" s="7"/>
      <c r="E8" s="7"/>
      <c r="F8" s="7"/>
      <c r="G8" s="7"/>
      <c r="H8" s="7"/>
      <c r="I8" s="7"/>
      <c r="J8" s="7"/>
      <c r="K8" s="7"/>
      <c r="L8" s="7"/>
      <c r="M8" s="7"/>
      <c r="N8" s="7"/>
      <c r="O8" s="7"/>
      <c r="P8" s="7"/>
      <c r="Q8" s="7"/>
      <c r="R8" s="7"/>
      <c r="S8" s="7"/>
      <c r="T8" s="7"/>
    </row>
    <row r="9" spans="1:20">
      <c r="A9" s="7"/>
      <c r="B9" s="7"/>
      <c r="C9" s="7"/>
      <c r="D9" s="7"/>
      <c r="E9" s="7"/>
      <c r="F9" s="7"/>
      <c r="G9" s="7"/>
      <c r="H9" s="7"/>
      <c r="I9" s="7"/>
      <c r="J9" s="7"/>
      <c r="K9" s="7"/>
      <c r="L9" s="7"/>
      <c r="M9" s="7"/>
      <c r="N9" s="7"/>
      <c r="O9" s="7"/>
      <c r="P9" s="7"/>
      <c r="Q9" s="7"/>
      <c r="R9" s="7"/>
      <c r="S9" s="7"/>
      <c r="T9" s="7"/>
    </row>
    <row r="10" spans="1:20">
      <c r="A10" s="7"/>
      <c r="B10" s="7"/>
      <c r="C10" s="7"/>
      <c r="D10" s="7"/>
      <c r="E10" s="7"/>
      <c r="F10" s="7"/>
      <c r="G10" s="7"/>
      <c r="H10" s="7"/>
      <c r="I10" s="7"/>
      <c r="J10" s="7"/>
      <c r="K10" s="7"/>
      <c r="L10" s="7"/>
      <c r="M10" s="7"/>
      <c r="N10" s="7"/>
      <c r="O10" s="7"/>
      <c r="P10" s="7"/>
      <c r="Q10" s="7"/>
      <c r="R10" s="7"/>
      <c r="S10" s="7"/>
      <c r="T10" s="7"/>
    </row>
    <row r="11" spans="1:20">
      <c r="A11" s="7"/>
      <c r="B11" s="7"/>
      <c r="C11" s="7"/>
      <c r="D11" s="7"/>
      <c r="E11" s="7"/>
      <c r="F11" s="7"/>
      <c r="G11" s="7"/>
      <c r="H11" s="7"/>
      <c r="I11" s="7"/>
      <c r="J11" s="7"/>
      <c r="K11" s="7"/>
      <c r="L11" s="7"/>
      <c r="M11" s="7"/>
      <c r="N11" s="7"/>
      <c r="O11" s="7"/>
      <c r="P11" s="7"/>
      <c r="Q11" s="7"/>
      <c r="R11" s="7"/>
      <c r="S11" s="7"/>
      <c r="T11" s="7"/>
    </row>
    <row r="12" spans="1:20">
      <c r="A12" s="7"/>
      <c r="B12" s="7"/>
      <c r="C12" s="7"/>
      <c r="D12" s="7"/>
      <c r="E12" s="7"/>
      <c r="F12" s="7"/>
      <c r="G12" s="7"/>
      <c r="H12" s="7"/>
      <c r="I12" s="7"/>
      <c r="J12" s="7"/>
      <c r="K12" s="7"/>
      <c r="L12" s="7"/>
      <c r="M12" s="7"/>
      <c r="N12" s="7"/>
      <c r="O12" s="7"/>
      <c r="P12" s="7"/>
      <c r="Q12" s="7"/>
      <c r="R12" s="7"/>
      <c r="S12" s="7"/>
      <c r="T12" s="7"/>
    </row>
    <row r="13" spans="1:20">
      <c r="A13" s="7"/>
      <c r="B13" s="7"/>
      <c r="C13" s="7"/>
      <c r="D13" s="7"/>
      <c r="E13" s="7"/>
      <c r="F13" s="7"/>
      <c r="G13" s="7"/>
      <c r="H13" s="7"/>
      <c r="I13" s="7"/>
      <c r="J13" s="7"/>
      <c r="K13" s="7"/>
      <c r="L13" s="7"/>
      <c r="M13" s="7"/>
      <c r="N13" s="7"/>
      <c r="O13" s="7"/>
      <c r="P13" s="7"/>
      <c r="Q13" s="7"/>
      <c r="R13" s="7"/>
      <c r="S13" s="7"/>
      <c r="T13" s="7"/>
    </row>
    <row r="14" spans="1:20">
      <c r="A14" s="7"/>
      <c r="B14" s="7"/>
      <c r="C14" s="7"/>
      <c r="D14" s="7"/>
      <c r="E14" s="7"/>
      <c r="F14" s="7"/>
      <c r="G14" s="7"/>
      <c r="H14" s="7"/>
      <c r="I14" s="7"/>
      <c r="J14" s="7"/>
      <c r="K14" s="7"/>
      <c r="L14" s="7"/>
      <c r="M14" s="7"/>
      <c r="N14" s="7"/>
      <c r="O14" s="7"/>
      <c r="P14" s="7"/>
      <c r="Q14" s="7"/>
      <c r="R14" s="7"/>
      <c r="S14" s="7"/>
      <c r="T14" s="7"/>
    </row>
    <row r="15" spans="1:20">
      <c r="A15" s="7"/>
      <c r="B15" s="7"/>
      <c r="C15" s="7"/>
      <c r="D15" s="7"/>
      <c r="E15" s="7"/>
      <c r="F15" s="7"/>
      <c r="G15" s="7"/>
      <c r="H15" s="7"/>
      <c r="I15" s="7"/>
      <c r="J15" s="7"/>
      <c r="K15" s="7"/>
      <c r="L15" s="7"/>
      <c r="M15" s="7"/>
      <c r="N15" s="7"/>
      <c r="O15" s="7"/>
      <c r="P15" s="7"/>
      <c r="Q15" s="7"/>
      <c r="R15" s="7"/>
      <c r="S15" s="7"/>
      <c r="T15" s="7"/>
    </row>
    <row r="16" spans="1:20">
      <c r="A16" s="7"/>
      <c r="B16" s="7"/>
      <c r="C16" s="7"/>
      <c r="D16" s="7"/>
      <c r="E16" s="7"/>
      <c r="F16" s="7"/>
      <c r="G16" s="7"/>
      <c r="H16" s="7"/>
      <c r="I16" s="7"/>
      <c r="J16" s="7"/>
      <c r="K16" s="7"/>
      <c r="L16" s="7"/>
      <c r="M16" s="7"/>
      <c r="N16" s="7"/>
      <c r="O16" s="7"/>
      <c r="P16" s="7"/>
      <c r="Q16" s="7"/>
      <c r="R16" s="7"/>
      <c r="S16" s="7"/>
      <c r="T16" s="7"/>
    </row>
    <row r="17" spans="1:20">
      <c r="A17" s="7"/>
      <c r="B17" s="7"/>
      <c r="C17" s="7"/>
      <c r="D17" s="7"/>
      <c r="E17" s="7"/>
      <c r="F17" s="7"/>
      <c r="G17" s="7"/>
      <c r="H17" s="7"/>
      <c r="I17" s="7"/>
      <c r="J17" s="7"/>
      <c r="K17" s="7"/>
      <c r="L17" s="7"/>
      <c r="M17" s="7"/>
      <c r="N17" s="7"/>
      <c r="O17" s="7"/>
      <c r="P17" s="7"/>
      <c r="Q17" s="7"/>
      <c r="R17" s="7"/>
      <c r="S17" s="7"/>
      <c r="T17" s="7"/>
    </row>
    <row r="18" spans="1:20">
      <c r="A18" s="7"/>
      <c r="B18" s="7"/>
      <c r="C18" s="7"/>
      <c r="D18" s="7"/>
      <c r="E18" s="7"/>
      <c r="F18" s="7"/>
      <c r="G18" s="7"/>
      <c r="H18" s="7"/>
      <c r="I18" s="7"/>
      <c r="J18" s="7"/>
      <c r="K18" s="7"/>
      <c r="L18" s="7"/>
      <c r="M18" s="7"/>
      <c r="N18" s="7"/>
      <c r="O18" s="7"/>
      <c r="P18" s="7"/>
      <c r="Q18" s="7"/>
      <c r="R18" s="7"/>
      <c r="S18" s="7"/>
      <c r="T18" s="7"/>
    </row>
    <row r="19" spans="1:20">
      <c r="A19" s="7"/>
      <c r="B19" s="7"/>
      <c r="C19" s="7"/>
      <c r="D19" s="7"/>
      <c r="E19" s="7"/>
      <c r="F19" s="7"/>
      <c r="G19" s="7"/>
      <c r="H19" s="7"/>
      <c r="I19" s="7"/>
      <c r="J19" s="7"/>
      <c r="K19" s="7"/>
      <c r="L19" s="7"/>
      <c r="M19" s="7"/>
      <c r="N19" s="7"/>
      <c r="O19" s="7"/>
      <c r="P19" s="7"/>
      <c r="Q19" s="7"/>
      <c r="R19" s="7"/>
      <c r="S19" s="7"/>
      <c r="T19" s="7"/>
    </row>
    <row r="20" spans="1:20">
      <c r="A20" s="7"/>
      <c r="B20" s="7"/>
      <c r="C20" s="7"/>
      <c r="D20" s="7"/>
      <c r="E20" s="7"/>
      <c r="F20" s="7"/>
      <c r="G20" s="7"/>
      <c r="H20" s="7"/>
      <c r="I20" s="7"/>
      <c r="J20" s="7"/>
      <c r="K20" s="7"/>
      <c r="L20" s="7"/>
      <c r="M20" s="7"/>
      <c r="N20" s="7"/>
      <c r="O20" s="7"/>
      <c r="P20" s="7"/>
      <c r="Q20" s="7"/>
      <c r="R20" s="7"/>
      <c r="S20" s="7"/>
      <c r="T20" s="7"/>
    </row>
    <row r="21" spans="1:20">
      <c r="A21" s="7"/>
      <c r="B21" s="7"/>
      <c r="C21" s="7"/>
      <c r="D21" s="7"/>
      <c r="E21" s="7"/>
      <c r="F21" s="7"/>
      <c r="G21" s="7"/>
      <c r="H21" s="7"/>
      <c r="I21" s="7"/>
      <c r="J21" s="7"/>
      <c r="K21" s="7"/>
      <c r="L21" s="7"/>
      <c r="M21" s="7"/>
      <c r="N21" s="7"/>
      <c r="O21" s="7"/>
      <c r="P21" s="7"/>
      <c r="Q21" s="7"/>
      <c r="R21" s="7"/>
      <c r="S21" s="7"/>
      <c r="T21" s="7"/>
    </row>
    <row r="22" spans="1:20">
      <c r="A22" s="7"/>
      <c r="B22" s="7"/>
      <c r="C22" s="7"/>
      <c r="D22" s="7"/>
      <c r="E22" s="7"/>
      <c r="F22" s="7"/>
      <c r="G22" s="7"/>
      <c r="H22" s="7"/>
      <c r="I22" s="7"/>
      <c r="J22" s="7"/>
      <c r="K22" s="7"/>
      <c r="L22" s="7"/>
      <c r="M22" s="7"/>
      <c r="N22" s="7"/>
      <c r="O22" s="7"/>
      <c r="P22" s="7"/>
      <c r="Q22" s="7"/>
      <c r="R22" s="7"/>
      <c r="S22" s="7"/>
      <c r="T22" s="7"/>
    </row>
    <row r="23" spans="1:20">
      <c r="A23" s="7"/>
      <c r="B23" s="7"/>
      <c r="C23" s="7"/>
      <c r="D23" s="7"/>
      <c r="E23" s="7"/>
      <c r="F23" s="7"/>
      <c r="G23" s="7"/>
      <c r="H23" s="7"/>
      <c r="I23" s="7"/>
      <c r="J23" s="7"/>
      <c r="K23" s="7"/>
      <c r="L23" s="7"/>
      <c r="M23" s="7"/>
      <c r="N23" s="7"/>
      <c r="O23" s="7"/>
      <c r="P23" s="7"/>
      <c r="Q23" s="7"/>
      <c r="R23" s="7"/>
      <c r="S23" s="7"/>
      <c r="T23" s="7"/>
    </row>
    <row r="24" spans="1:20">
      <c r="A24" s="7"/>
      <c r="B24" s="7"/>
      <c r="C24" s="7"/>
      <c r="D24" s="7"/>
      <c r="E24" s="7"/>
      <c r="F24" s="7"/>
      <c r="G24" s="7"/>
      <c r="H24" s="7"/>
      <c r="I24" s="7"/>
      <c r="J24" s="7"/>
      <c r="K24" s="7"/>
      <c r="L24" s="7"/>
      <c r="M24" s="7"/>
      <c r="N24" s="7"/>
      <c r="O24" s="7"/>
      <c r="P24" s="7"/>
      <c r="Q24" s="7"/>
      <c r="R24" s="7"/>
      <c r="S24" s="7"/>
      <c r="T24" s="7"/>
    </row>
    <row r="25" spans="1:20">
      <c r="A25" s="7"/>
      <c r="B25" s="7"/>
      <c r="C25" s="7"/>
      <c r="D25" s="7"/>
      <c r="E25" s="7"/>
      <c r="F25" s="7"/>
      <c r="G25" s="7"/>
      <c r="H25" s="7"/>
      <c r="I25" s="7"/>
      <c r="J25" s="7"/>
      <c r="K25" s="7"/>
      <c r="L25" s="7"/>
      <c r="M25" s="7"/>
      <c r="N25" s="7"/>
      <c r="O25" s="7"/>
      <c r="P25" s="7"/>
      <c r="Q25" s="7"/>
      <c r="R25" s="7"/>
      <c r="S25" s="7"/>
      <c r="T25" s="7"/>
    </row>
    <row r="26" spans="1:20">
      <c r="A26" s="7"/>
      <c r="B26" s="7"/>
      <c r="C26" s="7"/>
      <c r="D26" s="7"/>
      <c r="E26" s="7"/>
      <c r="F26" s="7"/>
      <c r="G26" s="7"/>
      <c r="H26" s="7"/>
      <c r="I26" s="7"/>
      <c r="J26" s="7"/>
      <c r="K26" s="7"/>
      <c r="L26" s="7"/>
      <c r="M26" s="7"/>
      <c r="N26" s="7"/>
      <c r="O26" s="7"/>
      <c r="P26" s="7"/>
      <c r="Q26" s="7"/>
      <c r="R26" s="7"/>
      <c r="S26" s="7"/>
      <c r="T26" s="7"/>
    </row>
    <row r="27" spans="1:20">
      <c r="A27" s="7"/>
      <c r="B27" s="7"/>
      <c r="C27" s="7"/>
      <c r="D27" s="7"/>
      <c r="E27" s="7"/>
      <c r="F27" s="7"/>
      <c r="G27" s="7"/>
      <c r="H27" s="7"/>
      <c r="I27" s="7"/>
      <c r="J27" s="7"/>
      <c r="K27" s="7"/>
      <c r="L27" s="7"/>
      <c r="M27" s="7"/>
      <c r="N27" s="7"/>
      <c r="O27" s="7"/>
      <c r="P27" s="7"/>
      <c r="Q27" s="7"/>
      <c r="R27" s="7"/>
      <c r="S27" s="7"/>
      <c r="T27" s="7"/>
    </row>
    <row r="28" spans="1:20">
      <c r="A28" s="7"/>
      <c r="B28" s="7"/>
      <c r="C28" s="7"/>
      <c r="D28" s="7"/>
      <c r="E28" s="7"/>
      <c r="F28" s="7"/>
      <c r="G28" s="7"/>
      <c r="H28" s="7"/>
      <c r="I28" s="7"/>
      <c r="J28" s="7"/>
      <c r="K28" s="7"/>
      <c r="L28" s="7"/>
      <c r="M28" s="7"/>
      <c r="N28" s="7"/>
      <c r="O28" s="7"/>
      <c r="P28" s="7"/>
      <c r="Q28" s="7"/>
      <c r="R28" s="7"/>
      <c r="S28" s="7"/>
      <c r="T28" s="7"/>
    </row>
    <row r="29" spans="1:20">
      <c r="A29" s="7"/>
      <c r="B29" s="7"/>
      <c r="C29" s="7"/>
      <c r="D29" s="7"/>
      <c r="E29" s="7"/>
      <c r="F29" s="7"/>
      <c r="G29" s="7"/>
      <c r="H29" s="7"/>
      <c r="I29" s="7"/>
      <c r="J29" s="7"/>
      <c r="K29" s="7"/>
      <c r="L29" s="7"/>
      <c r="M29" s="7"/>
      <c r="N29" s="7"/>
      <c r="O29" s="7"/>
      <c r="P29" s="7"/>
      <c r="Q29" s="7"/>
      <c r="R29" s="7"/>
      <c r="S29" s="7"/>
      <c r="T29" s="7"/>
    </row>
    <row r="30" spans="1:20">
      <c r="A30" s="7"/>
      <c r="B30" s="7"/>
      <c r="C30" s="7"/>
      <c r="D30" s="7"/>
      <c r="E30" s="7"/>
      <c r="F30" s="7"/>
      <c r="G30" s="7"/>
      <c r="H30" s="7"/>
      <c r="I30" s="7"/>
      <c r="J30" s="7"/>
      <c r="K30" s="7"/>
      <c r="L30" s="7"/>
      <c r="M30" s="7"/>
      <c r="N30" s="7"/>
      <c r="O30" s="7"/>
      <c r="P30" s="7"/>
    </row>
    <row r="31" spans="1:20">
      <c r="A31" s="7"/>
      <c r="B31" s="7"/>
      <c r="C31" s="7"/>
      <c r="D31" s="7"/>
      <c r="E31" s="7"/>
      <c r="F31" s="7"/>
      <c r="G31" s="7"/>
      <c r="H31" s="7"/>
      <c r="I31" s="7"/>
      <c r="J31" s="7"/>
      <c r="K31" s="7"/>
      <c r="L31" s="7"/>
      <c r="M31" s="7"/>
      <c r="N31" s="7"/>
      <c r="O31" s="7"/>
      <c r="P31" s="7"/>
    </row>
    <row r="32" spans="1:20">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sheetData>
  <sheetProtection algorithmName="SHA-512" hashValue="HxAGCs6slx+HBwLfONVLkOIcdGZ3O8YKZnustKEn16ubxos3D3uW6gdgGa8ST4txPB0AEf16M6gWcq1iBPNNSg==" saltValue="NRnHKWVpw/NU0N+i2hlnZg==" spinCount="100000" sheet="1" objects="1" scenarios="1"/>
  <conditionalFormatting sqref="E1">
    <cfRule type="expression" dxfId="3" priority="2" stopIfTrue="1">
      <formula>MOD(ROW(),2)=0</formula>
    </cfRule>
  </conditionalFormatting>
  <conditionalFormatting sqref="P1:T29">
    <cfRule type="cellIs" dxfId="2" priority="1" stopIfTrue="1" operator="equal">
      <formula>0</formula>
    </cfRule>
  </conditionalFormatting>
  <hyperlinks>
    <hyperlink ref="E1" location="HypLink1" display="HypLink1"/>
  </hyperlinks>
  <pageMargins left="0.35" right="0.25" top="0.32" bottom="0.5" header="0.32" footer="0.3"/>
  <pageSetup orientation="portrait" r:id="rId1"/>
  <headerFooter alignWithMargins="0">
    <oddFooter>&amp;L&amp;7&amp;D  at &amp;T Mike 702.486.8879&amp;C&amp;7Page &amp;P of &amp;N&amp;R&amp;7&amp;F  &amp;A</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0" tint="-0.34998626667073579"/>
  </sheetPr>
  <dimension ref="A1:P80"/>
  <sheetViews>
    <sheetView workbookViewId="0"/>
  </sheetViews>
  <sheetFormatPr defaultColWidth="9.21875" defaultRowHeight="13.2"/>
  <cols>
    <col min="1" max="1" width="4.44140625" style="6" customWidth="1"/>
    <col min="2" max="16384" width="9.21875" style="6"/>
  </cols>
  <sheetData>
    <row r="1" spans="1:16" ht="15.6">
      <c r="A1" s="308" t="s">
        <v>1386</v>
      </c>
      <c r="B1" s="308"/>
      <c r="C1" s="308"/>
      <c r="D1" s="308"/>
      <c r="E1" s="308"/>
      <c r="F1" s="308"/>
      <c r="G1" s="308"/>
      <c r="M1" s="372" t="s">
        <v>3</v>
      </c>
    </row>
    <row r="2" spans="1:16" ht="15.6">
      <c r="A2" s="25"/>
      <c r="B2" s="27"/>
      <c r="C2" s="27"/>
      <c r="D2" s="27"/>
      <c r="E2" s="27"/>
      <c r="F2" s="27"/>
      <c r="G2" s="27"/>
      <c r="H2" s="6" t="s">
        <v>1387</v>
      </c>
    </row>
    <row r="3" spans="1:16">
      <c r="A3" s="10" t="s">
        <v>448</v>
      </c>
      <c r="H3" s="6" t="s">
        <v>1388</v>
      </c>
    </row>
    <row r="4" spans="1:16">
      <c r="A4" s="9" t="s">
        <v>80</v>
      </c>
    </row>
    <row r="5" spans="1:16">
      <c r="A5" s="8" t="str">
        <f ca="1">CELL("filename")</f>
        <v>C:\Users\kyle.konold\Downloads\[FY25 Budget - Delta Academy_Final.xlsx]Form 1 Cover</v>
      </c>
    </row>
    <row r="6" spans="1:16">
      <c r="A6" s="7"/>
      <c r="B6" s="7"/>
      <c r="C6" s="7"/>
      <c r="D6" s="7"/>
      <c r="E6" s="7"/>
      <c r="F6" s="7"/>
      <c r="G6" s="7"/>
      <c r="H6" s="7"/>
      <c r="I6" s="7"/>
      <c r="J6" s="7"/>
      <c r="K6" s="7"/>
      <c r="L6" s="7"/>
      <c r="M6" s="7"/>
      <c r="N6" s="7"/>
      <c r="O6" s="7"/>
      <c r="P6" s="7"/>
    </row>
    <row r="7" spans="1:16">
      <c r="A7" s="7"/>
      <c r="B7" s="7" t="s">
        <v>1389</v>
      </c>
      <c r="C7" s="7"/>
      <c r="D7" s="7"/>
      <c r="E7" s="7"/>
      <c r="F7" s="7"/>
      <c r="G7" s="7"/>
      <c r="H7" s="7"/>
      <c r="I7" s="7"/>
      <c r="J7" s="7"/>
      <c r="K7" s="7"/>
      <c r="L7" s="7"/>
      <c r="M7" s="7"/>
      <c r="N7" s="7"/>
      <c r="O7" s="7"/>
      <c r="P7" s="7"/>
    </row>
    <row r="8" spans="1:16">
      <c r="A8" s="7"/>
      <c r="B8" s="7" t="s">
        <v>1390</v>
      </c>
      <c r="C8" s="7"/>
      <c r="D8" s="7"/>
      <c r="E8" s="7"/>
      <c r="F8" s="7"/>
      <c r="G8" s="7"/>
      <c r="H8" s="7"/>
      <c r="I8" s="7"/>
      <c r="J8" s="7"/>
      <c r="K8" s="7"/>
      <c r="L8" s="7"/>
      <c r="M8" s="7"/>
      <c r="N8" s="7"/>
      <c r="O8" s="7"/>
      <c r="P8" s="7"/>
    </row>
    <row r="9" spans="1:16">
      <c r="A9" s="7"/>
      <c r="B9" s="7"/>
      <c r="C9" s="7"/>
      <c r="D9" s="7"/>
      <c r="E9" s="7"/>
      <c r="F9" s="7"/>
      <c r="G9" s="7"/>
      <c r="H9" s="7"/>
      <c r="I9" s="7"/>
      <c r="J9" s="7"/>
      <c r="K9" s="7"/>
      <c r="L9" s="7"/>
      <c r="M9" s="7"/>
      <c r="N9" s="7"/>
      <c r="O9" s="7"/>
      <c r="P9" s="7"/>
    </row>
    <row r="10" spans="1:16">
      <c r="A10" s="7"/>
      <c r="B10" s="332"/>
      <c r="C10" s="332"/>
      <c r="D10" s="332"/>
      <c r="E10" s="332"/>
      <c r="F10" s="332"/>
      <c r="G10" s="1803" t="s">
        <v>1391</v>
      </c>
      <c r="H10" s="1803"/>
      <c r="I10" s="1657" t="s">
        <v>1392</v>
      </c>
      <c r="J10" s="1657"/>
      <c r="K10" s="1657"/>
      <c r="L10" s="1657"/>
      <c r="M10" s="1657"/>
      <c r="N10" s="1657"/>
      <c r="O10" s="7"/>
      <c r="P10" s="7"/>
    </row>
    <row r="11" spans="1:16">
      <c r="A11" s="7"/>
      <c r="B11" s="333"/>
      <c r="C11" s="17"/>
      <c r="D11" s="17"/>
      <c r="E11" s="17"/>
      <c r="F11" s="17"/>
      <c r="G11" s="334" t="s">
        <v>1393</v>
      </c>
      <c r="H11" s="334" t="s">
        <v>1394</v>
      </c>
      <c r="I11" s="334" t="s">
        <v>641</v>
      </c>
      <c r="J11" s="334">
        <v>1</v>
      </c>
      <c r="K11" s="334">
        <f>+J11+1</f>
        <v>2</v>
      </c>
      <c r="L11" s="334">
        <f>+K11+1</f>
        <v>3</v>
      </c>
      <c r="M11" s="334">
        <f>+L11+1</f>
        <v>4</v>
      </c>
      <c r="N11" s="334">
        <f>+M11+1</f>
        <v>5</v>
      </c>
      <c r="O11" s="7"/>
      <c r="P11" s="7"/>
    </row>
    <row r="12" spans="1:16">
      <c r="A12" s="7"/>
      <c r="C12" s="7"/>
      <c r="D12" s="7"/>
      <c r="E12" s="7"/>
      <c r="F12" s="7"/>
      <c r="G12" s="7"/>
      <c r="H12" s="7"/>
      <c r="I12" s="7"/>
      <c r="J12" s="7"/>
      <c r="K12" s="7"/>
      <c r="L12" s="7"/>
      <c r="M12" s="7"/>
      <c r="N12" s="7"/>
      <c r="O12" s="7"/>
      <c r="P12" s="7"/>
    </row>
    <row r="13" spans="1:16">
      <c r="A13" s="7"/>
      <c r="B13" s="335" t="s">
        <v>1395</v>
      </c>
      <c r="C13" s="17"/>
      <c r="D13" s="17"/>
      <c r="E13" s="17"/>
      <c r="F13" s="17"/>
      <c r="G13" s="17"/>
      <c r="H13" s="17"/>
      <c r="I13" s="17"/>
      <c r="J13" s="17"/>
      <c r="K13" s="17"/>
      <c r="L13" s="17"/>
      <c r="M13" s="17"/>
      <c r="N13" s="17"/>
      <c r="O13" s="7"/>
      <c r="P13" s="7"/>
    </row>
    <row r="14" spans="1:16">
      <c r="A14" s="7"/>
      <c r="B14" s="336" t="s">
        <v>1396</v>
      </c>
      <c r="C14" s="336"/>
      <c r="D14" s="336"/>
      <c r="E14" s="336"/>
      <c r="F14" s="336"/>
      <c r="G14" s="337"/>
      <c r="H14" s="337"/>
      <c r="I14" s="337"/>
      <c r="J14" s="337"/>
      <c r="K14" s="337"/>
      <c r="L14" s="337"/>
      <c r="M14" s="337"/>
      <c r="N14" s="337"/>
      <c r="O14" s="7"/>
      <c r="P14" s="7"/>
    </row>
    <row r="15" spans="1:16">
      <c r="A15" s="7"/>
      <c r="B15" s="338" t="s">
        <v>1397</v>
      </c>
      <c r="C15" s="338"/>
      <c r="D15" s="338"/>
      <c r="E15" s="338"/>
      <c r="F15" s="338"/>
      <c r="G15" s="339"/>
      <c r="H15" s="339"/>
      <c r="I15" s="339"/>
      <c r="J15" s="339"/>
      <c r="K15" s="339"/>
      <c r="L15" s="339"/>
      <c r="M15" s="339"/>
      <c r="N15" s="339"/>
      <c r="O15" s="7"/>
      <c r="P15" s="7"/>
    </row>
    <row r="16" spans="1:16">
      <c r="A16" s="7"/>
      <c r="B16" s="338" t="s">
        <v>1398</v>
      </c>
      <c r="C16" s="338"/>
      <c r="D16" s="338"/>
      <c r="E16" s="338"/>
      <c r="F16" s="338"/>
      <c r="G16" s="339"/>
      <c r="H16" s="339"/>
      <c r="I16" s="339"/>
      <c r="J16" s="339"/>
      <c r="K16" s="339"/>
      <c r="L16" s="339"/>
      <c r="M16" s="339"/>
      <c r="N16" s="339"/>
      <c r="O16" s="7"/>
      <c r="P16" s="7"/>
    </row>
    <row r="17" spans="1:16">
      <c r="A17" s="7"/>
      <c r="B17" s="338" t="s">
        <v>1399</v>
      </c>
      <c r="C17" s="338"/>
      <c r="D17" s="338"/>
      <c r="E17" s="338"/>
      <c r="F17" s="338"/>
      <c r="G17" s="339"/>
      <c r="H17" s="339"/>
      <c r="I17" s="339"/>
      <c r="J17" s="339"/>
      <c r="K17" s="339"/>
      <c r="L17" s="339"/>
      <c r="M17" s="339"/>
      <c r="N17" s="339"/>
      <c r="O17" s="7"/>
      <c r="P17" s="7"/>
    </row>
    <row r="18" spans="1:16">
      <c r="A18" s="7"/>
      <c r="B18" s="338" t="s">
        <v>1400</v>
      </c>
      <c r="C18" s="338"/>
      <c r="D18" s="338"/>
      <c r="E18" s="338"/>
      <c r="F18" s="338"/>
      <c r="G18" s="339"/>
      <c r="H18" s="339"/>
      <c r="I18" s="339"/>
      <c r="J18" s="339"/>
      <c r="K18" s="339"/>
      <c r="L18" s="339"/>
      <c r="M18" s="339"/>
      <c r="N18" s="339"/>
      <c r="O18" s="7"/>
      <c r="P18" s="7"/>
    </row>
    <row r="19" spans="1:16">
      <c r="A19" s="7"/>
      <c r="B19" s="338" t="s">
        <v>1401</v>
      </c>
      <c r="C19" s="338"/>
      <c r="D19" s="338"/>
      <c r="E19" s="338"/>
      <c r="F19" s="338"/>
      <c r="G19" s="339"/>
      <c r="H19" s="339"/>
      <c r="I19" s="339"/>
      <c r="J19" s="339"/>
      <c r="K19" s="339"/>
      <c r="L19" s="339"/>
      <c r="M19" s="339"/>
      <c r="N19" s="339"/>
      <c r="O19" s="7"/>
      <c r="P19" s="7"/>
    </row>
    <row r="20" spans="1:16">
      <c r="A20" s="7"/>
      <c r="B20" s="338" t="s">
        <v>1402</v>
      </c>
      <c r="C20" s="338"/>
      <c r="D20" s="338"/>
      <c r="E20" s="338"/>
      <c r="F20" s="338"/>
      <c r="G20" s="339"/>
      <c r="H20" s="339"/>
      <c r="I20" s="339"/>
      <c r="J20" s="339"/>
      <c r="K20" s="339"/>
      <c r="L20" s="339"/>
      <c r="M20" s="339"/>
      <c r="N20" s="339"/>
      <c r="O20" s="7"/>
      <c r="P20" s="7"/>
    </row>
    <row r="21" spans="1:16">
      <c r="A21" s="7"/>
      <c r="B21" s="338" t="s">
        <v>1403</v>
      </c>
      <c r="C21" s="338"/>
      <c r="D21" s="338"/>
      <c r="E21" s="338"/>
      <c r="F21" s="338"/>
      <c r="G21" s="339"/>
      <c r="H21" s="339"/>
      <c r="I21" s="339"/>
      <c r="J21" s="339"/>
      <c r="K21" s="339"/>
      <c r="L21" s="339"/>
      <c r="M21" s="339"/>
      <c r="N21" s="339"/>
      <c r="O21" s="7"/>
      <c r="P21" s="7"/>
    </row>
    <row r="22" spans="1:16">
      <c r="A22" s="7"/>
      <c r="B22" s="338" t="s">
        <v>1404</v>
      </c>
      <c r="C22" s="338"/>
      <c r="D22" s="338"/>
      <c r="E22" s="338"/>
      <c r="F22" s="338"/>
      <c r="G22" s="339"/>
      <c r="H22" s="339"/>
      <c r="I22" s="339"/>
      <c r="J22" s="339"/>
      <c r="K22" s="339"/>
      <c r="L22" s="339"/>
      <c r="M22" s="339"/>
      <c r="N22" s="339"/>
      <c r="O22" s="7"/>
      <c r="P22" s="7"/>
    </row>
    <row r="23" spans="1:16">
      <c r="A23" s="7"/>
      <c r="B23" s="338" t="s">
        <v>1405</v>
      </c>
      <c r="C23" s="338"/>
      <c r="D23" s="338"/>
      <c r="E23" s="338"/>
      <c r="F23" s="338"/>
      <c r="G23" s="339"/>
      <c r="H23" s="339"/>
      <c r="I23" s="339"/>
      <c r="J23" s="339"/>
      <c r="K23" s="339"/>
      <c r="L23" s="339"/>
      <c r="M23" s="339"/>
      <c r="N23" s="339"/>
      <c r="O23" s="7"/>
      <c r="P23" s="7"/>
    </row>
    <row r="24" spans="1:16">
      <c r="A24" s="7"/>
      <c r="B24" s="338" t="s">
        <v>1406</v>
      </c>
      <c r="C24" s="338"/>
      <c r="D24" s="338"/>
      <c r="E24" s="338"/>
      <c r="F24" s="338"/>
      <c r="G24" s="339"/>
      <c r="H24" s="339"/>
      <c r="I24" s="339"/>
      <c r="J24" s="339"/>
      <c r="K24" s="339"/>
      <c r="L24" s="339"/>
      <c r="M24" s="339"/>
      <c r="N24" s="339"/>
      <c r="O24" s="7"/>
      <c r="P24" s="7"/>
    </row>
    <row r="25" spans="1:16">
      <c r="A25" s="7"/>
      <c r="B25" s="338" t="s">
        <v>1407</v>
      </c>
      <c r="C25" s="338"/>
      <c r="D25" s="338"/>
      <c r="E25" s="338"/>
      <c r="F25" s="338"/>
      <c r="G25" s="339"/>
      <c r="H25" s="339"/>
      <c r="I25" s="339"/>
      <c r="J25" s="339"/>
      <c r="K25" s="339"/>
      <c r="L25" s="339"/>
      <c r="M25" s="339"/>
      <c r="N25" s="339"/>
      <c r="O25" s="7"/>
      <c r="P25" s="7"/>
    </row>
    <row r="26" spans="1:16">
      <c r="A26" s="7"/>
      <c r="B26" s="7"/>
      <c r="C26" s="7"/>
      <c r="D26" s="7"/>
      <c r="E26" s="7"/>
      <c r="F26" s="7"/>
      <c r="G26" s="7"/>
      <c r="H26" s="7"/>
      <c r="I26" s="7">
        <f>SUM(I14:I25)</f>
        <v>0</v>
      </c>
      <c r="J26" s="7">
        <f t="shared" ref="J26:N26" si="0">SUM(J14:J25)</f>
        <v>0</v>
      </c>
      <c r="K26" s="7">
        <f t="shared" si="0"/>
        <v>0</v>
      </c>
      <c r="L26" s="7">
        <f t="shared" si="0"/>
        <v>0</v>
      </c>
      <c r="M26" s="7">
        <f t="shared" si="0"/>
        <v>0</v>
      </c>
      <c r="N26" s="7">
        <f t="shared" si="0"/>
        <v>0</v>
      </c>
      <c r="O26" s="7"/>
      <c r="P26" s="7"/>
    </row>
    <row r="27" spans="1:16">
      <c r="A27" s="7"/>
      <c r="B27" s="7"/>
      <c r="C27" s="7"/>
      <c r="D27" s="7"/>
      <c r="E27" s="7"/>
      <c r="F27" s="7"/>
      <c r="G27" s="7"/>
      <c r="H27" s="7"/>
      <c r="I27" s="7"/>
      <c r="J27" s="7"/>
      <c r="K27" s="7"/>
      <c r="L27" s="7"/>
      <c r="M27" s="7"/>
      <c r="N27" s="7"/>
      <c r="O27" s="7"/>
      <c r="P27" s="7"/>
    </row>
    <row r="28" spans="1:16">
      <c r="A28" s="7"/>
      <c r="B28" s="335" t="s">
        <v>1408</v>
      </c>
      <c r="C28" s="17"/>
      <c r="D28" s="17"/>
      <c r="E28" s="17"/>
      <c r="F28" s="17"/>
      <c r="G28" s="17"/>
      <c r="H28" s="17"/>
      <c r="I28" s="17"/>
      <c r="J28" s="17"/>
      <c r="K28" s="17"/>
      <c r="L28" s="17"/>
      <c r="M28" s="17"/>
      <c r="N28" s="17"/>
      <c r="O28" s="7"/>
      <c r="P28" s="7"/>
    </row>
    <row r="29" spans="1:16">
      <c r="A29" s="7"/>
      <c r="B29" s="336" t="s">
        <v>1409</v>
      </c>
      <c r="C29" s="336"/>
      <c r="D29" s="336"/>
      <c r="E29" s="336"/>
      <c r="F29" s="336"/>
      <c r="G29" s="337"/>
      <c r="H29" s="337"/>
      <c r="I29" s="337"/>
      <c r="J29" s="337"/>
      <c r="K29" s="337"/>
      <c r="L29" s="337"/>
      <c r="M29" s="337"/>
      <c r="N29" s="337"/>
      <c r="O29" s="7"/>
      <c r="P29" s="7"/>
    </row>
    <row r="30" spans="1:16">
      <c r="A30" s="7"/>
      <c r="B30" s="338" t="s">
        <v>1410</v>
      </c>
      <c r="C30" s="338"/>
      <c r="D30" s="338"/>
      <c r="E30" s="338"/>
      <c r="F30" s="338"/>
      <c r="G30" s="339"/>
      <c r="H30" s="339"/>
      <c r="I30" s="339"/>
      <c r="J30" s="339"/>
      <c r="K30" s="339"/>
      <c r="L30" s="339"/>
      <c r="M30" s="339"/>
      <c r="N30" s="339"/>
      <c r="O30" s="7"/>
      <c r="P30" s="7"/>
    </row>
    <row r="31" spans="1:16">
      <c r="A31" s="7"/>
      <c r="B31" s="338" t="s">
        <v>1411</v>
      </c>
      <c r="C31" s="338"/>
      <c r="D31" s="338"/>
      <c r="E31" s="338"/>
      <c r="F31" s="338"/>
      <c r="G31" s="339"/>
      <c r="H31" s="339"/>
      <c r="I31" s="339"/>
      <c r="J31" s="339"/>
      <c r="K31" s="339"/>
      <c r="L31" s="339"/>
      <c r="M31" s="339"/>
      <c r="N31" s="339"/>
      <c r="O31" s="7"/>
      <c r="P31" s="7"/>
    </row>
    <row r="32" spans="1:16">
      <c r="A32" s="7"/>
      <c r="B32" s="338" t="s">
        <v>1412</v>
      </c>
      <c r="C32" s="338"/>
      <c r="D32" s="338"/>
      <c r="E32" s="338"/>
      <c r="F32" s="338"/>
      <c r="G32" s="339"/>
      <c r="H32" s="339"/>
      <c r="I32" s="339"/>
      <c r="J32" s="339"/>
      <c r="K32" s="339"/>
      <c r="L32" s="339"/>
      <c r="M32" s="339"/>
      <c r="N32" s="339"/>
      <c r="O32" s="7"/>
      <c r="P32" s="7"/>
    </row>
    <row r="33" spans="1:16">
      <c r="A33" s="7"/>
      <c r="B33" s="338" t="s">
        <v>1413</v>
      </c>
      <c r="C33" s="338"/>
      <c r="D33" s="338"/>
      <c r="E33" s="338"/>
      <c r="F33" s="338"/>
      <c r="G33" s="339"/>
      <c r="H33" s="339"/>
      <c r="I33" s="339"/>
      <c r="J33" s="339"/>
      <c r="K33" s="339"/>
      <c r="L33" s="339"/>
      <c r="M33" s="339"/>
      <c r="N33" s="339"/>
      <c r="O33" s="7"/>
      <c r="P33" s="7"/>
    </row>
    <row r="34" spans="1:16">
      <c r="A34" s="7"/>
      <c r="B34" s="340" t="s">
        <v>1414</v>
      </c>
      <c r="C34" s="338"/>
      <c r="D34" s="338"/>
      <c r="E34" s="338"/>
      <c r="F34" s="338"/>
      <c r="G34" s="339"/>
      <c r="H34" s="339"/>
      <c r="I34" s="339"/>
      <c r="J34" s="339"/>
      <c r="K34" s="339"/>
      <c r="L34" s="339"/>
      <c r="M34" s="339"/>
      <c r="N34" s="339"/>
      <c r="O34" s="7"/>
      <c r="P34" s="7"/>
    </row>
    <row r="35" spans="1:16">
      <c r="A35" s="7"/>
      <c r="B35" s="340" t="s">
        <v>1415</v>
      </c>
      <c r="C35" s="338"/>
      <c r="D35" s="338"/>
      <c r="E35" s="338"/>
      <c r="F35" s="338"/>
      <c r="G35" s="339"/>
      <c r="H35" s="339"/>
      <c r="I35" s="339"/>
      <c r="J35" s="339"/>
      <c r="K35" s="339"/>
      <c r="L35" s="339"/>
      <c r="M35" s="339"/>
      <c r="N35" s="339"/>
      <c r="O35" s="7"/>
      <c r="P35" s="7"/>
    </row>
    <row r="36" spans="1:16">
      <c r="A36" s="7"/>
      <c r="B36" s="340" t="s">
        <v>1416</v>
      </c>
      <c r="C36" s="338"/>
      <c r="D36" s="338"/>
      <c r="E36" s="338"/>
      <c r="F36" s="338"/>
      <c r="G36" s="339"/>
      <c r="H36" s="339"/>
      <c r="I36" s="339"/>
      <c r="J36" s="339"/>
      <c r="K36" s="339"/>
      <c r="L36" s="339"/>
      <c r="M36" s="339"/>
      <c r="N36" s="339"/>
      <c r="O36" s="7"/>
      <c r="P36" s="7"/>
    </row>
    <row r="37" spans="1:16">
      <c r="A37" s="7"/>
      <c r="B37" s="340" t="s">
        <v>1417</v>
      </c>
      <c r="C37" s="338"/>
      <c r="D37" s="338"/>
      <c r="E37" s="338"/>
      <c r="F37" s="338"/>
      <c r="G37" s="339"/>
      <c r="H37" s="339"/>
      <c r="I37" s="339"/>
      <c r="J37" s="339"/>
      <c r="K37" s="339"/>
      <c r="L37" s="339"/>
      <c r="M37" s="339"/>
      <c r="N37" s="339"/>
      <c r="O37" s="7"/>
      <c r="P37" s="7"/>
    </row>
    <row r="38" spans="1:16">
      <c r="A38" s="7"/>
      <c r="B38" s="340" t="s">
        <v>1418</v>
      </c>
      <c r="C38" s="338"/>
      <c r="D38" s="338"/>
      <c r="E38" s="338"/>
      <c r="F38" s="338"/>
      <c r="G38" s="339"/>
      <c r="H38" s="339"/>
      <c r="I38" s="339"/>
      <c r="J38" s="339"/>
      <c r="K38" s="339"/>
      <c r="L38" s="339"/>
      <c r="M38" s="339"/>
      <c r="N38" s="339"/>
      <c r="O38" s="7"/>
      <c r="P38" s="7"/>
    </row>
    <row r="39" spans="1:16">
      <c r="A39" s="7"/>
      <c r="B39" s="7"/>
      <c r="C39" s="7"/>
      <c r="D39" s="7"/>
      <c r="E39" s="7"/>
      <c r="F39" s="7"/>
      <c r="G39" s="7"/>
      <c r="H39" s="7"/>
      <c r="I39" s="7">
        <f>SUM(I29:I38)</f>
        <v>0</v>
      </c>
      <c r="J39" s="7">
        <f t="shared" ref="J39:N39" si="1">SUM(J29:J38)</f>
        <v>0</v>
      </c>
      <c r="K39" s="7">
        <f t="shared" si="1"/>
        <v>0</v>
      </c>
      <c r="L39" s="7">
        <f t="shared" si="1"/>
        <v>0</v>
      </c>
      <c r="M39" s="7">
        <f t="shared" si="1"/>
        <v>0</v>
      </c>
      <c r="N39" s="7">
        <f t="shared" si="1"/>
        <v>0</v>
      </c>
      <c r="O39" s="7"/>
      <c r="P39" s="7"/>
    </row>
    <row r="40" spans="1:16">
      <c r="A40" s="7"/>
      <c r="B40" s="7"/>
      <c r="C40" s="7"/>
      <c r="D40" s="7"/>
      <c r="E40" s="7"/>
      <c r="F40" s="7"/>
      <c r="G40" s="7"/>
      <c r="H40" s="7"/>
      <c r="I40" s="7"/>
      <c r="J40" s="7"/>
      <c r="K40" s="7"/>
      <c r="L40" s="7"/>
      <c r="M40" s="7"/>
      <c r="N40" s="7"/>
      <c r="O40" s="7"/>
      <c r="P40" s="7"/>
    </row>
    <row r="41" spans="1:16">
      <c r="A41" s="7"/>
      <c r="B41" s="7" t="s">
        <v>1419</v>
      </c>
      <c r="C41" s="7"/>
      <c r="D41" s="7"/>
      <c r="E41" s="7"/>
      <c r="F41" s="7"/>
      <c r="G41" s="7"/>
      <c r="H41" s="7"/>
      <c r="I41" s="7"/>
      <c r="J41" s="7"/>
      <c r="K41" s="7"/>
      <c r="L41" s="7"/>
      <c r="M41" s="7"/>
      <c r="N41" s="7"/>
      <c r="O41" s="7"/>
      <c r="P41" s="7"/>
    </row>
    <row r="42" spans="1:16">
      <c r="A42" s="7"/>
      <c r="B42" s="7" t="s">
        <v>1420</v>
      </c>
      <c r="C42" s="7"/>
      <c r="D42" s="7"/>
      <c r="E42" s="7"/>
      <c r="F42" s="7"/>
      <c r="G42" s="7"/>
      <c r="H42" s="7"/>
      <c r="I42" s="7"/>
      <c r="J42" s="7"/>
      <c r="K42" s="7"/>
      <c r="L42" s="7"/>
      <c r="M42" s="7"/>
      <c r="N42" s="7"/>
      <c r="O42" s="7"/>
      <c r="P42" s="7"/>
    </row>
    <row r="43" spans="1:16">
      <c r="A43" s="7"/>
      <c r="B43" s="7" t="s">
        <v>1421</v>
      </c>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sheetData>
  <sheetProtection algorithmName="SHA-512" hashValue="DM/4y5gxKjjlDyI2fVSzWAg1zG2c/G6hjxG8EQ8LDKNtklZPbqAAxK6xudyimwHaD6SN5RoThJYLfAzor037Pw==" saltValue="WMveOM/CsaHNAp6q8ukjGg==" spinCount="100000" sheet="1" objects="1" scenarios="1"/>
  <mergeCells count="1">
    <mergeCell ref="G10:H10"/>
  </mergeCells>
  <conditionalFormatting sqref="M1">
    <cfRule type="expression" dxfId="1" priority="1" stopIfTrue="1">
      <formula>MOD(ROW(),2)=0</formula>
    </cfRule>
  </conditionalFormatting>
  <hyperlinks>
    <hyperlink ref="M1" location="HypLink1" display="HypLink1"/>
  </hyperlinks>
  <pageMargins left="0.35" right="0.25" top="0.32" bottom="0.5" header="0.32" footer="0.3"/>
  <pageSetup orientation="portrait" r:id="rId1"/>
  <headerFooter alignWithMargins="0">
    <oddFooter>&amp;L&amp;7&amp;D  at &amp;T Mike 702.486.8879&amp;C&amp;7Page &amp;P of &amp;N&amp;R&amp;7&amp;F  &amp;A</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81"/>
  <sheetViews>
    <sheetView workbookViewId="0"/>
  </sheetViews>
  <sheetFormatPr defaultColWidth="8.77734375" defaultRowHeight="13.2"/>
  <cols>
    <col min="1" max="1" width="1.21875" style="6" customWidth="1"/>
    <col min="2" max="2" width="2.77734375" style="6" customWidth="1"/>
    <col min="3" max="5" width="8.77734375" style="6"/>
    <col min="6" max="6" width="9" style="6" bestFit="1" customWidth="1"/>
    <col min="7" max="7" width="9.77734375" style="6" bestFit="1" customWidth="1"/>
    <col min="8" max="8" width="9" style="6" bestFit="1" customWidth="1"/>
    <col min="9" max="11" width="9.77734375" style="6" bestFit="1" customWidth="1"/>
    <col min="12" max="13" width="1.77734375" style="6" customWidth="1"/>
    <col min="14" max="14" width="18.77734375" style="6" customWidth="1"/>
    <col min="15" max="15" width="22.21875" style="6" customWidth="1"/>
    <col min="16" max="16" width="16.21875" style="6" customWidth="1"/>
    <col min="17" max="16384" width="8.77734375" style="6"/>
  </cols>
  <sheetData>
    <row r="1" spans="1:14" ht="15.6">
      <c r="A1" s="308"/>
      <c r="B1" s="308"/>
      <c r="C1" s="308"/>
    </row>
    <row r="2" spans="1:14" ht="15.6">
      <c r="A2" s="25"/>
      <c r="B2" s="27"/>
      <c r="C2" s="27"/>
    </row>
    <row r="3" spans="1:14">
      <c r="A3" s="10" t="s">
        <v>448</v>
      </c>
    </row>
    <row r="4" spans="1:14">
      <c r="A4" s="9" t="s">
        <v>80</v>
      </c>
    </row>
    <row r="5" spans="1:14">
      <c r="A5" s="8" t="str">
        <f ca="1">CELL("filename")</f>
        <v>C:\Users\kyle.konold\Downloads\[FY25 Budget - Delta Academy_Final.xlsx]Form 1 Cover</v>
      </c>
    </row>
    <row r="6" spans="1:14">
      <c r="A6" s="7"/>
      <c r="L6" s="7"/>
      <c r="M6" s="7"/>
      <c r="N6" s="7"/>
    </row>
    <row r="7" spans="1:14">
      <c r="A7" s="7"/>
      <c r="L7" s="7"/>
      <c r="M7" s="7"/>
      <c r="N7" s="7"/>
    </row>
    <row r="8" spans="1:14">
      <c r="A8" s="7"/>
      <c r="B8" s="23" t="s">
        <v>1422</v>
      </c>
      <c r="L8" s="7"/>
      <c r="M8" s="7"/>
      <c r="N8" s="7"/>
    </row>
    <row r="9" spans="1:14">
      <c r="A9" s="7"/>
      <c r="L9" s="7"/>
      <c r="M9" s="7"/>
      <c r="N9" s="7"/>
    </row>
    <row r="10" spans="1:14" ht="13.8">
      <c r="A10" s="7"/>
      <c r="F10" s="1306">
        <v>1</v>
      </c>
      <c r="G10" s="718">
        <v>2</v>
      </c>
      <c r="H10" s="718">
        <v>3</v>
      </c>
      <c r="I10" s="718">
        <v>4</v>
      </c>
      <c r="J10" s="718">
        <v>5</v>
      </c>
      <c r="K10" s="1188">
        <v>6</v>
      </c>
      <c r="L10" s="7"/>
      <c r="M10" s="7"/>
    </row>
    <row r="11" spans="1:14" ht="13.8">
      <c r="A11" s="7"/>
      <c r="B11" s="7"/>
      <c r="C11" s="7"/>
      <c r="D11" s="7"/>
      <c r="E11" s="7"/>
      <c r="F11" s="719">
        <v>2022</v>
      </c>
      <c r="G11" s="720">
        <v>2023</v>
      </c>
      <c r="H11" s="720">
        <v>2024</v>
      </c>
      <c r="I11" s="720">
        <v>2025</v>
      </c>
      <c r="J11" s="720">
        <v>2026</v>
      </c>
      <c r="K11" s="721">
        <v>2027</v>
      </c>
      <c r="L11" s="7"/>
      <c r="M11" s="7"/>
    </row>
    <row r="12" spans="1:14" ht="13.8">
      <c r="A12" s="7"/>
      <c r="B12" s="1303" t="s">
        <v>1423</v>
      </c>
      <c r="C12" s="7"/>
      <c r="D12" s="7"/>
      <c r="E12" s="7"/>
      <c r="F12" s="722">
        <v>2023</v>
      </c>
      <c r="G12" s="723">
        <v>2024</v>
      </c>
      <c r="H12" s="723">
        <v>2025</v>
      </c>
      <c r="I12" s="723">
        <v>2026</v>
      </c>
      <c r="J12" s="723">
        <v>2027</v>
      </c>
      <c r="K12" s="724">
        <v>2028</v>
      </c>
      <c r="L12" s="7"/>
      <c r="M12" s="7"/>
    </row>
    <row r="13" spans="1:14">
      <c r="A13" s="7"/>
      <c r="B13" s="6" t="s">
        <v>1424</v>
      </c>
      <c r="C13" s="7"/>
      <c r="D13" s="7"/>
      <c r="E13" s="7"/>
      <c r="F13" s="7">
        <v>10</v>
      </c>
      <c r="G13" s="7">
        <v>16</v>
      </c>
      <c r="H13" s="7">
        <v>20</v>
      </c>
      <c r="I13" s="7">
        <v>21</v>
      </c>
      <c r="J13" s="7">
        <v>21</v>
      </c>
      <c r="K13" s="7">
        <v>21</v>
      </c>
      <c r="L13" s="7"/>
      <c r="M13" s="7"/>
    </row>
    <row r="14" spans="1:14">
      <c r="A14" s="7"/>
      <c r="B14" s="6" t="s">
        <v>1425</v>
      </c>
      <c r="C14" s="7"/>
      <c r="D14" s="7"/>
      <c r="E14" s="7"/>
      <c r="F14" s="7">
        <v>10</v>
      </c>
      <c r="G14" s="7">
        <v>13</v>
      </c>
      <c r="H14" s="7">
        <v>18</v>
      </c>
      <c r="I14" s="7">
        <v>18</v>
      </c>
      <c r="J14" s="7">
        <f>+I14</f>
        <v>18</v>
      </c>
      <c r="K14" s="7">
        <f>+J14</f>
        <v>18</v>
      </c>
      <c r="L14" s="7"/>
      <c r="M14" s="7"/>
    </row>
    <row r="15" spans="1:14">
      <c r="A15" s="7"/>
      <c r="B15" s="7"/>
      <c r="C15" s="7" t="s">
        <v>1426</v>
      </c>
      <c r="D15" s="7"/>
      <c r="E15" s="1305">
        <v>40000</v>
      </c>
      <c r="F15" s="7">
        <f>+F13-F14</f>
        <v>0</v>
      </c>
      <c r="G15" s="7">
        <f t="shared" ref="G15:K15" si="0">+G13-G14</f>
        <v>3</v>
      </c>
      <c r="H15" s="7">
        <f t="shared" si="0"/>
        <v>2</v>
      </c>
      <c r="I15" s="7">
        <f t="shared" si="0"/>
        <v>3</v>
      </c>
      <c r="J15" s="7">
        <f t="shared" si="0"/>
        <v>3</v>
      </c>
      <c r="K15" s="7">
        <f t="shared" si="0"/>
        <v>3</v>
      </c>
      <c r="L15" s="7"/>
      <c r="M15" s="7"/>
      <c r="N15" s="7"/>
    </row>
    <row r="16" spans="1:14">
      <c r="A16" s="7"/>
      <c r="B16" s="7"/>
      <c r="C16" s="1304" t="s">
        <v>1427</v>
      </c>
      <c r="D16" s="7"/>
      <c r="E16" s="7"/>
      <c r="F16" s="1302">
        <f t="shared" ref="F16:K16" si="1">+F15*$E$15</f>
        <v>0</v>
      </c>
      <c r="G16" s="1302">
        <f t="shared" si="1"/>
        <v>120000</v>
      </c>
      <c r="H16" s="1302">
        <f t="shared" si="1"/>
        <v>80000</v>
      </c>
      <c r="I16" s="1302">
        <f t="shared" si="1"/>
        <v>120000</v>
      </c>
      <c r="J16" s="1302">
        <f t="shared" si="1"/>
        <v>120000</v>
      </c>
      <c r="K16" s="1302">
        <f t="shared" si="1"/>
        <v>120000</v>
      </c>
      <c r="L16" s="7"/>
      <c r="M16" s="7"/>
      <c r="N16" s="7"/>
    </row>
    <row r="17" spans="1:16">
      <c r="A17" s="7"/>
      <c r="B17" s="7"/>
      <c r="C17" s="7"/>
      <c r="D17" s="7"/>
      <c r="E17" s="7"/>
      <c r="F17" s="7"/>
      <c r="G17" s="7"/>
      <c r="H17" s="7"/>
      <c r="I17" s="7"/>
      <c r="J17" s="7"/>
      <c r="K17" s="7"/>
      <c r="L17" s="7"/>
      <c r="M17" s="7"/>
    </row>
    <row r="18" spans="1:16" ht="30">
      <c r="A18" s="7"/>
      <c r="B18" s="7"/>
      <c r="C18" s="7"/>
      <c r="D18" s="7"/>
      <c r="E18" s="7"/>
      <c r="F18" s="7"/>
      <c r="G18" s="7"/>
      <c r="H18" s="7"/>
      <c r="I18" s="7"/>
      <c r="J18" s="7"/>
      <c r="K18" s="7"/>
      <c r="L18" s="7"/>
      <c r="M18" s="7"/>
      <c r="N18" s="1307" t="s">
        <v>1230</v>
      </c>
      <c r="O18" s="1307" t="s">
        <v>1231</v>
      </c>
      <c r="P18" s="1307" t="s">
        <v>1232</v>
      </c>
    </row>
    <row r="19" spans="1:16" ht="15">
      <c r="A19" s="7"/>
      <c r="B19" s="7"/>
      <c r="C19" s="7"/>
      <c r="D19" s="7"/>
      <c r="E19" s="7"/>
      <c r="F19" s="7"/>
      <c r="G19" s="7"/>
      <c r="H19" s="7"/>
      <c r="I19" s="7"/>
      <c r="J19" s="7"/>
      <c r="K19" s="7"/>
      <c r="L19" s="7"/>
      <c r="M19" s="7"/>
      <c r="N19" s="1307" t="s">
        <v>401</v>
      </c>
      <c r="O19" s="1307" t="s">
        <v>1233</v>
      </c>
      <c r="P19" s="1307" t="s">
        <v>1234</v>
      </c>
    </row>
    <row r="20" spans="1:16" ht="30">
      <c r="A20" s="7"/>
      <c r="B20" s="7"/>
      <c r="C20" s="7"/>
      <c r="D20" s="7"/>
      <c r="E20" s="7"/>
      <c r="F20" s="7"/>
      <c r="G20" s="7"/>
      <c r="H20" s="7"/>
      <c r="I20" s="7"/>
      <c r="J20" s="7"/>
      <c r="K20" s="7"/>
      <c r="L20" s="7"/>
      <c r="M20" s="7"/>
      <c r="N20" s="1307" t="s">
        <v>162</v>
      </c>
      <c r="O20" s="1307" t="s">
        <v>1235</v>
      </c>
      <c r="P20" s="1307" t="s">
        <v>1236</v>
      </c>
    </row>
    <row r="21" spans="1:16" ht="15">
      <c r="A21" s="7"/>
      <c r="B21" s="7"/>
      <c r="C21" s="7"/>
      <c r="D21" s="7"/>
      <c r="E21" s="7"/>
      <c r="F21" s="7"/>
      <c r="G21" s="7"/>
      <c r="H21" s="7"/>
      <c r="I21" s="7"/>
      <c r="J21" s="7"/>
      <c r="K21" s="7"/>
      <c r="L21" s="7"/>
      <c r="M21" s="7"/>
      <c r="N21" s="1307" t="s">
        <v>405</v>
      </c>
      <c r="O21" s="1307" t="s">
        <v>1237</v>
      </c>
      <c r="P21" s="1307" t="s">
        <v>1236</v>
      </c>
    </row>
    <row r="22" spans="1:16" ht="30">
      <c r="A22" s="7"/>
      <c r="B22" s="7"/>
      <c r="C22" s="7"/>
      <c r="D22" s="7"/>
      <c r="H22" s="7"/>
      <c r="I22" s="7"/>
      <c r="J22" s="7"/>
      <c r="K22" s="7"/>
      <c r="L22" s="7"/>
      <c r="M22" s="7"/>
      <c r="N22" s="1307" t="s">
        <v>1238</v>
      </c>
      <c r="O22" s="1307" t="s">
        <v>1239</v>
      </c>
      <c r="P22" s="1307" t="s">
        <v>1240</v>
      </c>
    </row>
    <row r="23" spans="1:16">
      <c r="A23" s="7"/>
      <c r="B23" s="7"/>
      <c r="C23" s="7"/>
      <c r="D23" s="7"/>
      <c r="H23" s="7"/>
      <c r="I23" s="7"/>
      <c r="J23" s="7"/>
      <c r="K23" s="7"/>
      <c r="L23" s="7"/>
      <c r="M23" s="7"/>
      <c r="N23" s="7"/>
    </row>
    <row r="24" spans="1:16">
      <c r="A24" s="7"/>
      <c r="B24" s="7"/>
      <c r="C24" s="7"/>
      <c r="D24" s="7"/>
      <c r="H24" s="7"/>
      <c r="I24" s="7"/>
      <c r="J24" s="7"/>
      <c r="K24" s="7"/>
      <c r="L24" s="7"/>
      <c r="M24" s="7"/>
      <c r="N24" s="7"/>
    </row>
    <row r="25" spans="1:16">
      <c r="A25" s="7"/>
      <c r="B25" s="7"/>
      <c r="C25" s="7"/>
      <c r="D25" s="7"/>
      <c r="H25" s="7"/>
      <c r="I25" s="7"/>
      <c r="J25" s="7"/>
      <c r="K25" s="7"/>
      <c r="L25" s="7"/>
      <c r="M25" s="7"/>
      <c r="N25" s="7"/>
    </row>
    <row r="26" spans="1:16">
      <c r="A26" s="7"/>
      <c r="B26" s="7"/>
      <c r="C26" s="7"/>
      <c r="D26" s="7"/>
      <c r="H26" s="7"/>
      <c r="I26" s="7"/>
      <c r="J26" s="7"/>
      <c r="K26" s="7"/>
      <c r="L26" s="7"/>
      <c r="M26" s="7"/>
      <c r="N26" s="7"/>
    </row>
    <row r="27" spans="1:16">
      <c r="A27" s="7"/>
      <c r="B27" s="7"/>
      <c r="C27" s="7"/>
      <c r="D27" s="7"/>
      <c r="E27" s="7"/>
      <c r="F27" s="7"/>
      <c r="G27" s="7"/>
      <c r="H27" s="7"/>
      <c r="I27" s="7"/>
      <c r="J27" s="7"/>
      <c r="K27" s="7"/>
      <c r="L27" s="7"/>
      <c r="M27" s="7"/>
      <c r="N27" s="7"/>
    </row>
    <row r="28" spans="1:16">
      <c r="A28" s="7"/>
      <c r="B28" s="7"/>
      <c r="C28" s="7"/>
      <c r="D28" s="7"/>
      <c r="E28" s="7"/>
      <c r="F28" s="7"/>
      <c r="G28" s="7"/>
      <c r="H28" s="7"/>
      <c r="I28" s="7"/>
      <c r="J28" s="7"/>
      <c r="K28" s="7"/>
      <c r="L28" s="7"/>
      <c r="M28" s="7"/>
      <c r="N28" s="7"/>
    </row>
    <row r="29" spans="1:16">
      <c r="A29" s="7"/>
      <c r="B29" s="7"/>
      <c r="C29" s="7"/>
      <c r="D29" s="7"/>
      <c r="E29" s="7"/>
      <c r="F29" s="7"/>
      <c r="G29" s="7"/>
      <c r="H29" s="7"/>
      <c r="I29" s="7"/>
      <c r="J29" s="7"/>
      <c r="K29" s="7"/>
      <c r="L29" s="7"/>
      <c r="M29" s="7"/>
      <c r="N29" s="7"/>
    </row>
    <row r="30" spans="1:16">
      <c r="A30" s="7"/>
      <c r="B30" s="7"/>
      <c r="C30" s="7"/>
      <c r="D30" s="7"/>
      <c r="E30" s="7"/>
      <c r="F30" s="7"/>
      <c r="G30" s="7"/>
      <c r="H30" s="7"/>
      <c r="I30" s="7"/>
      <c r="J30" s="7"/>
      <c r="K30" s="7"/>
      <c r="L30" s="7"/>
      <c r="M30" s="7"/>
      <c r="N30" s="7"/>
    </row>
    <row r="31" spans="1:16">
      <c r="A31" s="7"/>
      <c r="B31" s="7"/>
      <c r="C31" s="7"/>
      <c r="D31" s="7"/>
      <c r="E31" s="7"/>
      <c r="F31" s="7"/>
      <c r="G31" s="7"/>
      <c r="H31" s="7"/>
      <c r="I31" s="7"/>
      <c r="J31" s="7"/>
      <c r="K31" s="7"/>
      <c r="L31" s="7"/>
      <c r="M31" s="7"/>
      <c r="N31" s="7"/>
    </row>
    <row r="32" spans="1:16">
      <c r="A32" s="7"/>
      <c r="B32" s="7"/>
      <c r="C32" s="7"/>
      <c r="D32" s="7"/>
      <c r="E32" s="7"/>
      <c r="F32" s="7"/>
      <c r="G32" s="7"/>
      <c r="H32" s="7"/>
      <c r="I32" s="7"/>
      <c r="J32" s="7"/>
      <c r="K32" s="7"/>
      <c r="L32" s="7"/>
      <c r="M32" s="7"/>
      <c r="N32" s="7"/>
    </row>
    <row r="33" spans="1:14">
      <c r="A33" s="7"/>
      <c r="B33" s="7"/>
      <c r="C33" s="7"/>
      <c r="D33" s="7"/>
      <c r="E33" s="7"/>
      <c r="F33" s="7"/>
      <c r="G33" s="7"/>
      <c r="H33" s="7"/>
      <c r="I33" s="7"/>
      <c r="J33" s="7"/>
      <c r="K33" s="7"/>
      <c r="L33" s="7"/>
      <c r="M33" s="7"/>
      <c r="N33" s="7"/>
    </row>
    <row r="34" spans="1:14">
      <c r="A34" s="7"/>
      <c r="B34" s="7"/>
      <c r="C34" s="7"/>
      <c r="D34" s="7"/>
      <c r="E34" s="7"/>
      <c r="F34" s="7"/>
      <c r="G34" s="7"/>
      <c r="H34" s="7"/>
      <c r="I34" s="7"/>
      <c r="J34" s="7"/>
      <c r="K34" s="7"/>
      <c r="L34" s="7"/>
      <c r="M34" s="7"/>
      <c r="N34" s="7"/>
    </row>
    <row r="35" spans="1:14">
      <c r="A35" s="7"/>
      <c r="B35" s="7"/>
      <c r="C35" s="7"/>
      <c r="D35" s="7"/>
      <c r="E35" s="7"/>
      <c r="F35" s="7"/>
      <c r="G35" s="7"/>
      <c r="H35" s="7"/>
      <c r="I35" s="7"/>
      <c r="J35" s="7"/>
      <c r="K35" s="7"/>
      <c r="L35" s="7"/>
      <c r="M35" s="7"/>
      <c r="N35" s="7"/>
    </row>
    <row r="36" spans="1:14">
      <c r="A36" s="7"/>
      <c r="B36" s="7"/>
      <c r="C36" s="7"/>
      <c r="D36" s="7"/>
      <c r="E36" s="7"/>
      <c r="F36" s="7"/>
      <c r="G36" s="7"/>
      <c r="H36" s="7"/>
      <c r="I36" s="7"/>
      <c r="J36" s="7"/>
      <c r="K36" s="7"/>
      <c r="L36" s="7"/>
      <c r="M36" s="7"/>
      <c r="N36" s="7"/>
    </row>
    <row r="37" spans="1:14">
      <c r="A37" s="7"/>
      <c r="B37" s="7"/>
      <c r="C37" s="7"/>
      <c r="D37" s="7"/>
      <c r="E37" s="7"/>
      <c r="F37" s="7"/>
      <c r="G37" s="7"/>
      <c r="H37" s="7"/>
      <c r="I37" s="7"/>
      <c r="J37" s="7"/>
      <c r="K37" s="7"/>
      <c r="L37" s="7"/>
      <c r="M37" s="7"/>
      <c r="N37" s="7"/>
    </row>
    <row r="38" spans="1:14">
      <c r="A38" s="7"/>
      <c r="B38" s="7"/>
      <c r="C38" s="7"/>
      <c r="D38" s="7"/>
      <c r="E38" s="7"/>
      <c r="F38" s="7"/>
      <c r="G38" s="7"/>
      <c r="H38" s="7"/>
      <c r="I38" s="7"/>
      <c r="J38" s="7"/>
      <c r="K38" s="7"/>
      <c r="L38" s="7"/>
      <c r="M38" s="7"/>
      <c r="N38" s="7"/>
    </row>
    <row r="39" spans="1:14">
      <c r="A39" s="7"/>
      <c r="B39" s="7"/>
      <c r="C39" s="7"/>
      <c r="D39" s="7"/>
      <c r="E39" s="7"/>
      <c r="F39" s="7"/>
      <c r="G39" s="7"/>
      <c r="H39" s="7"/>
      <c r="I39" s="7"/>
      <c r="J39" s="7"/>
      <c r="K39" s="7"/>
      <c r="L39" s="7"/>
      <c r="M39" s="7"/>
      <c r="N39" s="7"/>
    </row>
    <row r="40" spans="1:14">
      <c r="A40" s="7"/>
      <c r="B40" s="7"/>
      <c r="C40" s="7"/>
      <c r="D40" s="7"/>
      <c r="E40" s="7"/>
      <c r="F40" s="7"/>
      <c r="G40" s="7"/>
      <c r="H40" s="7"/>
      <c r="I40" s="7"/>
      <c r="J40" s="7"/>
      <c r="K40" s="7"/>
      <c r="L40" s="7"/>
      <c r="M40" s="7"/>
      <c r="N40" s="7"/>
    </row>
    <row r="41" spans="1:14">
      <c r="A41" s="7"/>
      <c r="B41" s="7"/>
      <c r="C41" s="7"/>
      <c r="D41" s="7"/>
      <c r="E41" s="7"/>
      <c r="F41" s="7"/>
      <c r="G41" s="7"/>
      <c r="H41" s="7"/>
      <c r="I41" s="7"/>
      <c r="J41" s="7"/>
      <c r="K41" s="7"/>
      <c r="L41" s="7"/>
      <c r="M41" s="7"/>
      <c r="N41" s="7"/>
    </row>
    <row r="42" spans="1:14">
      <c r="A42" s="7"/>
      <c r="B42" s="7"/>
      <c r="C42" s="7"/>
      <c r="D42" s="7"/>
      <c r="E42" s="7"/>
      <c r="F42" s="7"/>
      <c r="G42" s="7"/>
      <c r="H42" s="7"/>
      <c r="I42" s="7"/>
      <c r="J42" s="7"/>
      <c r="K42" s="7"/>
      <c r="L42" s="7"/>
      <c r="M42" s="7"/>
      <c r="N42" s="7"/>
    </row>
    <row r="43" spans="1:14">
      <c r="A43" s="7"/>
      <c r="B43" s="7"/>
      <c r="C43" s="7"/>
      <c r="D43" s="7"/>
      <c r="E43" s="7"/>
      <c r="F43" s="7"/>
      <c r="G43" s="7"/>
      <c r="H43" s="7"/>
      <c r="I43" s="7"/>
      <c r="J43" s="7"/>
      <c r="K43" s="7"/>
      <c r="L43" s="7"/>
      <c r="M43" s="7"/>
      <c r="N43" s="7"/>
    </row>
    <row r="44" spans="1:14">
      <c r="A44" s="7"/>
      <c r="B44" s="7"/>
      <c r="C44" s="7"/>
      <c r="D44" s="7"/>
      <c r="E44" s="7"/>
      <c r="F44" s="7"/>
      <c r="G44" s="7"/>
      <c r="H44" s="7"/>
      <c r="I44" s="7"/>
      <c r="J44" s="7"/>
      <c r="K44" s="7"/>
      <c r="L44" s="7"/>
      <c r="M44" s="7"/>
      <c r="N44" s="7"/>
    </row>
    <row r="45" spans="1:14">
      <c r="A45" s="7"/>
      <c r="B45" s="7"/>
      <c r="C45" s="7"/>
      <c r="D45" s="7"/>
      <c r="E45" s="7"/>
      <c r="F45" s="7"/>
      <c r="G45" s="7"/>
      <c r="H45" s="7"/>
      <c r="I45" s="7"/>
      <c r="J45" s="7"/>
      <c r="K45" s="7"/>
      <c r="L45" s="7"/>
      <c r="M45" s="7"/>
      <c r="N45" s="7"/>
    </row>
    <row r="46" spans="1:14">
      <c r="A46" s="7"/>
      <c r="B46" s="7"/>
      <c r="C46" s="7"/>
      <c r="D46" s="7"/>
      <c r="E46" s="7"/>
      <c r="F46" s="7"/>
      <c r="G46" s="7"/>
      <c r="H46" s="7"/>
      <c r="I46" s="7"/>
      <c r="J46" s="7"/>
      <c r="K46" s="7"/>
      <c r="L46" s="7"/>
      <c r="M46" s="7"/>
      <c r="N46" s="7"/>
    </row>
    <row r="47" spans="1:14">
      <c r="A47" s="7"/>
      <c r="B47" s="7"/>
      <c r="C47" s="7"/>
      <c r="D47" s="7"/>
      <c r="E47" s="7"/>
      <c r="F47" s="7"/>
      <c r="G47" s="7"/>
      <c r="H47" s="7"/>
      <c r="I47" s="7"/>
      <c r="J47" s="7"/>
      <c r="K47" s="7"/>
      <c r="L47" s="7"/>
      <c r="M47" s="7"/>
      <c r="N47" s="7"/>
    </row>
    <row r="48" spans="1:14">
      <c r="A48" s="7"/>
      <c r="B48" s="7"/>
      <c r="C48" s="7"/>
      <c r="D48" s="7"/>
      <c r="E48" s="7"/>
      <c r="F48" s="7"/>
      <c r="G48" s="7"/>
      <c r="H48" s="7"/>
      <c r="I48" s="7"/>
      <c r="J48" s="7"/>
      <c r="K48" s="7"/>
      <c r="L48" s="7"/>
      <c r="M48" s="7"/>
      <c r="N48" s="7"/>
    </row>
    <row r="49" spans="1:14">
      <c r="A49" s="7"/>
      <c r="B49" s="7"/>
      <c r="C49" s="7"/>
      <c r="D49" s="7"/>
      <c r="E49" s="7"/>
      <c r="F49" s="7"/>
      <c r="G49" s="7"/>
      <c r="H49" s="7"/>
      <c r="I49" s="7"/>
      <c r="J49" s="7"/>
      <c r="K49" s="7"/>
      <c r="L49" s="7"/>
      <c r="M49" s="7"/>
      <c r="N49" s="7"/>
    </row>
    <row r="50" spans="1:14">
      <c r="A50" s="7"/>
      <c r="B50" s="7"/>
      <c r="C50" s="7"/>
      <c r="D50" s="7"/>
      <c r="E50" s="7"/>
      <c r="F50" s="7"/>
      <c r="G50" s="7"/>
      <c r="H50" s="7"/>
      <c r="I50" s="7"/>
      <c r="J50" s="7"/>
      <c r="K50" s="7"/>
      <c r="L50" s="7"/>
      <c r="M50" s="7"/>
      <c r="N50" s="7"/>
    </row>
    <row r="51" spans="1:14">
      <c r="A51" s="7"/>
      <c r="B51" s="7"/>
      <c r="C51" s="7"/>
      <c r="D51" s="7"/>
      <c r="E51" s="7"/>
      <c r="F51" s="7"/>
      <c r="G51" s="7"/>
      <c r="H51" s="7"/>
      <c r="I51" s="7"/>
      <c r="J51" s="7"/>
      <c r="K51" s="7"/>
      <c r="L51" s="7"/>
      <c r="M51" s="7"/>
      <c r="N51" s="7"/>
    </row>
    <row r="52" spans="1:14">
      <c r="A52" s="7"/>
      <c r="B52" s="7"/>
      <c r="C52" s="7"/>
      <c r="D52" s="7"/>
      <c r="E52" s="7"/>
      <c r="F52" s="7"/>
      <c r="G52" s="7"/>
      <c r="H52" s="7"/>
      <c r="I52" s="7"/>
      <c r="J52" s="7"/>
      <c r="K52" s="7"/>
      <c r="L52" s="7"/>
      <c r="M52" s="7"/>
      <c r="N52" s="7"/>
    </row>
    <row r="53" spans="1:14">
      <c r="A53" s="7"/>
      <c r="B53" s="7"/>
      <c r="C53" s="7"/>
      <c r="D53" s="7"/>
      <c r="E53" s="7"/>
      <c r="F53" s="7"/>
      <c r="G53" s="7"/>
      <c r="H53" s="7"/>
      <c r="I53" s="7"/>
      <c r="J53" s="7"/>
      <c r="K53" s="7"/>
      <c r="L53" s="7"/>
      <c r="M53" s="7"/>
      <c r="N53" s="7"/>
    </row>
    <row r="54" spans="1:14">
      <c r="A54" s="7"/>
      <c r="B54" s="7"/>
      <c r="C54" s="7"/>
      <c r="D54" s="7"/>
      <c r="E54" s="7"/>
      <c r="F54" s="7"/>
      <c r="G54" s="7"/>
      <c r="H54" s="7"/>
      <c r="I54" s="7"/>
      <c r="J54" s="7"/>
      <c r="K54" s="7"/>
      <c r="L54" s="7"/>
      <c r="M54" s="7"/>
      <c r="N54" s="7"/>
    </row>
    <row r="55" spans="1:14">
      <c r="A55" s="7"/>
      <c r="B55" s="7"/>
      <c r="C55" s="7"/>
      <c r="D55" s="7"/>
      <c r="E55" s="7"/>
      <c r="F55" s="7"/>
      <c r="G55" s="7"/>
      <c r="H55" s="7"/>
      <c r="I55" s="7"/>
      <c r="J55" s="7"/>
      <c r="K55" s="7"/>
      <c r="L55" s="7"/>
      <c r="M55" s="7"/>
      <c r="N55" s="7"/>
    </row>
    <row r="56" spans="1:14">
      <c r="A56" s="7"/>
      <c r="B56" s="7"/>
      <c r="C56" s="7"/>
      <c r="D56" s="7"/>
      <c r="E56" s="7"/>
      <c r="F56" s="7"/>
      <c r="G56" s="7"/>
      <c r="H56" s="7"/>
      <c r="I56" s="7"/>
      <c r="J56" s="7"/>
      <c r="K56" s="7"/>
      <c r="L56" s="7"/>
      <c r="M56" s="7"/>
      <c r="N56" s="7"/>
    </row>
    <row r="57" spans="1:14">
      <c r="A57" s="7"/>
      <c r="B57" s="7"/>
      <c r="C57" s="7"/>
      <c r="D57" s="7"/>
      <c r="E57" s="7"/>
      <c r="F57" s="7"/>
      <c r="G57" s="7"/>
      <c r="H57" s="7"/>
      <c r="I57" s="7"/>
      <c r="J57" s="7"/>
      <c r="K57" s="7"/>
      <c r="L57" s="7"/>
      <c r="M57" s="7"/>
      <c r="N57" s="7"/>
    </row>
    <row r="58" spans="1:14">
      <c r="A58" s="7"/>
      <c r="B58" s="7"/>
      <c r="C58" s="7"/>
      <c r="D58" s="7"/>
      <c r="E58" s="7"/>
      <c r="F58" s="7"/>
      <c r="G58" s="7"/>
      <c r="H58" s="7"/>
      <c r="I58" s="7"/>
      <c r="J58" s="7"/>
      <c r="K58" s="7"/>
      <c r="L58" s="7"/>
      <c r="M58" s="7"/>
      <c r="N58" s="7"/>
    </row>
    <row r="59" spans="1:14">
      <c r="A59" s="7"/>
      <c r="B59" s="7"/>
      <c r="C59" s="7"/>
      <c r="D59" s="7"/>
      <c r="E59" s="7"/>
      <c r="F59" s="7"/>
      <c r="G59" s="7"/>
      <c r="H59" s="7"/>
      <c r="I59" s="7"/>
      <c r="J59" s="7"/>
      <c r="K59" s="7"/>
      <c r="L59" s="7"/>
      <c r="M59" s="7"/>
      <c r="N59" s="7"/>
    </row>
    <row r="60" spans="1:14">
      <c r="A60" s="7"/>
      <c r="B60" s="7"/>
      <c r="C60" s="7"/>
      <c r="D60" s="7"/>
      <c r="E60" s="7"/>
      <c r="F60" s="7"/>
      <c r="G60" s="7"/>
      <c r="H60" s="7"/>
      <c r="I60" s="7"/>
      <c r="J60" s="7"/>
      <c r="K60" s="7"/>
      <c r="L60" s="7"/>
      <c r="M60" s="7"/>
      <c r="N60" s="7"/>
    </row>
    <row r="61" spans="1:14">
      <c r="A61" s="7"/>
      <c r="B61" s="7"/>
      <c r="C61" s="7"/>
      <c r="D61" s="7"/>
      <c r="E61" s="7"/>
      <c r="F61" s="7"/>
      <c r="G61" s="7"/>
      <c r="H61" s="7"/>
      <c r="I61" s="7"/>
      <c r="J61" s="7"/>
      <c r="K61" s="7"/>
      <c r="L61" s="7"/>
      <c r="M61" s="7"/>
      <c r="N61" s="7"/>
    </row>
    <row r="62" spans="1:14">
      <c r="A62" s="7"/>
      <c r="B62" s="7"/>
      <c r="C62" s="7"/>
      <c r="D62" s="7"/>
      <c r="E62" s="7"/>
      <c r="F62" s="7"/>
      <c r="G62" s="7"/>
      <c r="H62" s="7"/>
      <c r="I62" s="7"/>
      <c r="J62" s="7"/>
      <c r="K62" s="7"/>
      <c r="L62" s="7"/>
      <c r="M62" s="7"/>
      <c r="N62" s="7"/>
    </row>
    <row r="63" spans="1:14">
      <c r="A63" s="7"/>
      <c r="B63" s="7"/>
      <c r="C63" s="7"/>
      <c r="D63" s="7"/>
      <c r="E63" s="7"/>
      <c r="F63" s="7"/>
      <c r="G63" s="7"/>
      <c r="H63" s="7"/>
      <c r="I63" s="7"/>
      <c r="J63" s="7"/>
      <c r="K63" s="7"/>
      <c r="L63" s="7"/>
      <c r="M63" s="7"/>
      <c r="N63" s="7"/>
    </row>
    <row r="64" spans="1:14">
      <c r="A64" s="7"/>
      <c r="B64" s="7"/>
      <c r="C64" s="7"/>
      <c r="D64" s="7"/>
      <c r="E64" s="7"/>
      <c r="F64" s="7"/>
      <c r="G64" s="7"/>
      <c r="H64" s="7"/>
      <c r="I64" s="7"/>
      <c r="J64" s="7"/>
      <c r="K64" s="7"/>
      <c r="L64" s="7"/>
      <c r="M64" s="7"/>
      <c r="N64" s="7"/>
    </row>
    <row r="65" spans="1:14">
      <c r="A65" s="7"/>
      <c r="B65" s="7"/>
      <c r="C65" s="7"/>
      <c r="D65" s="7"/>
      <c r="E65" s="7"/>
      <c r="F65" s="7"/>
      <c r="G65" s="7"/>
      <c r="H65" s="7"/>
      <c r="I65" s="7"/>
      <c r="J65" s="7"/>
      <c r="K65" s="7"/>
      <c r="L65" s="7"/>
      <c r="M65" s="7"/>
      <c r="N65" s="7"/>
    </row>
    <row r="66" spans="1:14">
      <c r="A66" s="7"/>
      <c r="B66" s="7"/>
      <c r="C66" s="7"/>
      <c r="D66" s="7"/>
      <c r="E66" s="7"/>
      <c r="F66" s="7"/>
      <c r="G66" s="7"/>
      <c r="H66" s="7"/>
      <c r="I66" s="7"/>
      <c r="J66" s="7"/>
      <c r="K66" s="7"/>
      <c r="L66" s="7"/>
      <c r="M66" s="7"/>
      <c r="N66" s="7"/>
    </row>
    <row r="67" spans="1:14">
      <c r="A67" s="7"/>
      <c r="B67" s="7"/>
      <c r="C67" s="7"/>
      <c r="D67" s="7"/>
      <c r="E67" s="7"/>
      <c r="F67" s="7"/>
      <c r="G67" s="7"/>
      <c r="H67" s="7"/>
      <c r="I67" s="7"/>
      <c r="J67" s="7"/>
      <c r="K67" s="7"/>
      <c r="L67" s="7"/>
      <c r="M67" s="7"/>
      <c r="N67" s="7"/>
    </row>
    <row r="68" spans="1:14">
      <c r="A68" s="7"/>
      <c r="B68" s="7"/>
      <c r="C68" s="7"/>
      <c r="D68" s="7"/>
      <c r="E68" s="7"/>
      <c r="F68" s="7"/>
      <c r="G68" s="7"/>
      <c r="H68" s="7"/>
      <c r="I68" s="7"/>
      <c r="J68" s="7"/>
      <c r="K68" s="7"/>
      <c r="L68" s="7"/>
      <c r="M68" s="7"/>
      <c r="N68" s="7"/>
    </row>
    <row r="69" spans="1:14">
      <c r="A69" s="7"/>
      <c r="B69" s="7"/>
      <c r="C69" s="7"/>
      <c r="D69" s="7"/>
      <c r="E69" s="7"/>
      <c r="F69" s="7"/>
      <c r="G69" s="7"/>
      <c r="H69" s="7"/>
      <c r="I69" s="7"/>
      <c r="J69" s="7"/>
      <c r="K69" s="7"/>
      <c r="L69" s="7"/>
      <c r="M69" s="7"/>
      <c r="N69" s="7"/>
    </row>
    <row r="70" spans="1:14">
      <c r="A70" s="7"/>
      <c r="B70" s="7"/>
      <c r="C70" s="7"/>
      <c r="D70" s="7"/>
      <c r="E70" s="7"/>
      <c r="F70" s="7"/>
      <c r="G70" s="7"/>
      <c r="H70" s="7"/>
      <c r="I70" s="7"/>
      <c r="J70" s="7"/>
      <c r="K70" s="7"/>
      <c r="L70" s="7"/>
      <c r="M70" s="7"/>
      <c r="N70" s="7"/>
    </row>
    <row r="71" spans="1:14">
      <c r="A71" s="7"/>
      <c r="B71" s="7"/>
      <c r="C71" s="7"/>
      <c r="D71" s="7"/>
      <c r="E71" s="7"/>
      <c r="F71" s="7"/>
      <c r="G71" s="7"/>
      <c r="H71" s="7"/>
      <c r="I71" s="7"/>
      <c r="J71" s="7"/>
      <c r="K71" s="7"/>
      <c r="L71" s="7"/>
      <c r="M71" s="7"/>
      <c r="N71" s="7"/>
    </row>
    <row r="72" spans="1:14">
      <c r="A72" s="7"/>
      <c r="B72" s="7"/>
      <c r="C72" s="7"/>
      <c r="D72" s="7"/>
      <c r="E72" s="7"/>
      <c r="F72" s="7"/>
      <c r="G72" s="7"/>
      <c r="H72" s="7"/>
      <c r="I72" s="7"/>
      <c r="J72" s="7"/>
      <c r="K72" s="7"/>
      <c r="L72" s="7"/>
      <c r="M72" s="7"/>
      <c r="N72" s="7"/>
    </row>
    <row r="73" spans="1:14">
      <c r="A73" s="7"/>
      <c r="B73" s="7"/>
      <c r="C73" s="7"/>
      <c r="D73" s="7"/>
      <c r="E73" s="7"/>
      <c r="F73" s="7"/>
      <c r="G73" s="7"/>
      <c r="H73" s="7"/>
      <c r="I73" s="7"/>
      <c r="J73" s="7"/>
      <c r="K73" s="7"/>
      <c r="L73" s="7"/>
      <c r="M73" s="7"/>
      <c r="N73" s="7"/>
    </row>
    <row r="74" spans="1:14">
      <c r="A74" s="7"/>
      <c r="B74" s="7"/>
      <c r="C74" s="7"/>
      <c r="D74" s="7"/>
      <c r="E74" s="7"/>
      <c r="F74" s="7"/>
      <c r="G74" s="7"/>
      <c r="H74" s="7"/>
      <c r="I74" s="7"/>
      <c r="J74" s="7"/>
      <c r="K74" s="7"/>
      <c r="L74" s="7"/>
      <c r="M74" s="7"/>
      <c r="N74" s="7"/>
    </row>
    <row r="75" spans="1:14">
      <c r="A75" s="7"/>
      <c r="B75" s="7"/>
      <c r="C75" s="7"/>
      <c r="D75" s="7"/>
      <c r="E75" s="7"/>
      <c r="F75" s="7"/>
      <c r="G75" s="7"/>
      <c r="H75" s="7"/>
      <c r="I75" s="7"/>
      <c r="J75" s="7"/>
      <c r="K75" s="7"/>
      <c r="L75" s="7"/>
      <c r="M75" s="7"/>
      <c r="N75" s="7"/>
    </row>
    <row r="76" spans="1:14">
      <c r="A76" s="7"/>
      <c r="B76" s="7"/>
      <c r="C76" s="7"/>
      <c r="D76" s="7"/>
      <c r="E76" s="7"/>
      <c r="F76" s="7"/>
      <c r="G76" s="7"/>
      <c r="H76" s="7"/>
      <c r="I76" s="7"/>
      <c r="J76" s="7"/>
      <c r="K76" s="7"/>
      <c r="L76" s="7"/>
      <c r="M76" s="7"/>
      <c r="N76" s="7"/>
    </row>
    <row r="77" spans="1:14">
      <c r="A77" s="7"/>
      <c r="B77" s="7"/>
      <c r="C77" s="7"/>
      <c r="D77" s="7"/>
      <c r="E77" s="7"/>
      <c r="F77" s="7"/>
      <c r="G77" s="7"/>
      <c r="H77" s="7"/>
      <c r="I77" s="7"/>
      <c r="J77" s="7"/>
      <c r="K77" s="7"/>
      <c r="L77" s="7"/>
      <c r="M77" s="7"/>
      <c r="N77" s="7"/>
    </row>
    <row r="78" spans="1:14">
      <c r="A78" s="7"/>
      <c r="B78" s="7"/>
      <c r="C78" s="7"/>
      <c r="D78" s="7"/>
      <c r="E78" s="7"/>
      <c r="F78" s="7"/>
      <c r="G78" s="7"/>
      <c r="H78" s="7"/>
      <c r="I78" s="7"/>
      <c r="J78" s="7"/>
      <c r="K78" s="7"/>
      <c r="L78" s="7"/>
      <c r="M78" s="7"/>
      <c r="N78" s="7"/>
    </row>
    <row r="79" spans="1:14">
      <c r="A79" s="7"/>
      <c r="B79" s="7"/>
      <c r="C79" s="7"/>
      <c r="D79" s="7"/>
      <c r="E79" s="7"/>
      <c r="F79" s="7"/>
      <c r="G79" s="7"/>
      <c r="H79" s="7"/>
      <c r="I79" s="7"/>
      <c r="J79" s="7"/>
      <c r="K79" s="7"/>
      <c r="L79" s="7"/>
      <c r="M79" s="7"/>
      <c r="N79" s="7"/>
    </row>
    <row r="80" spans="1:14">
      <c r="A80" s="7"/>
      <c r="B80" s="7"/>
      <c r="C80" s="7"/>
      <c r="D80" s="7"/>
      <c r="E80" s="7"/>
      <c r="F80" s="7"/>
      <c r="G80" s="7"/>
      <c r="H80" s="7"/>
      <c r="I80" s="7"/>
      <c r="J80" s="7"/>
      <c r="K80" s="7"/>
      <c r="L80" s="7"/>
      <c r="M80" s="7"/>
      <c r="N80" s="7"/>
    </row>
    <row r="81" spans="1:14">
      <c r="A81" s="7"/>
      <c r="B81" s="7"/>
      <c r="C81" s="7"/>
      <c r="D81" s="7"/>
      <c r="E81" s="7"/>
      <c r="F81" s="7"/>
      <c r="G81" s="7"/>
      <c r="H81" s="7"/>
      <c r="I81" s="7"/>
      <c r="J81" s="7"/>
      <c r="K81" s="7"/>
      <c r="L81" s="7"/>
      <c r="M81" s="7"/>
      <c r="N81" s="7"/>
    </row>
  </sheetData>
  <sheetProtection algorithmName="SHA-512" hashValue="zeMkOPlh1aLkfl6pyrujhQ3LcI/hjTj2iq0D+d05x4b5h/2FSDaZozpg13bd7EUFbjO+R/oNYvv7FjiLr0d4CQ==" saltValue="nZfEUAAwDknc2D+ltfmlr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colBreaks count="1" manualBreakCount="1">
    <brk id="12" max="43"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0.34998626667073579"/>
  </sheetPr>
  <dimension ref="A1:I39"/>
  <sheetViews>
    <sheetView topLeftCell="A15" workbookViewId="0">
      <selection activeCell="C10" sqref="C10"/>
    </sheetView>
  </sheetViews>
  <sheetFormatPr defaultRowHeight="14.4"/>
  <cols>
    <col min="1" max="1" width="27.77734375" customWidth="1"/>
    <col min="2" max="2" width="13.5546875" customWidth="1"/>
    <col min="3" max="3" width="11.5546875" bestFit="1" customWidth="1"/>
    <col min="4" max="9" width="14.44140625" bestFit="1" customWidth="1"/>
  </cols>
  <sheetData>
    <row r="1" spans="1:9" ht="15.6">
      <c r="A1" s="21" t="s">
        <v>1428</v>
      </c>
      <c r="I1" s="407" t="s">
        <v>3</v>
      </c>
    </row>
    <row r="2" spans="1:9" ht="15.6">
      <c r="A2" s="1653" t="str">
        <f>SchoolName</f>
        <v>The Delta Academy</v>
      </c>
    </row>
    <row r="3" spans="1:9">
      <c r="A3" s="375" t="s">
        <v>2</v>
      </c>
    </row>
    <row r="4" spans="1:9">
      <c r="A4" s="376" t="str">
        <f ca="1">CELL("filename")</f>
        <v>C:\Users\kyle.konold\Downloads\[FY25 Budget - Delta Academy_Final.xlsx]Form 1 Cover</v>
      </c>
    </row>
    <row r="5" spans="1:9">
      <c r="A5" s="33"/>
      <c r="B5" s="33"/>
      <c r="C5" s="32"/>
      <c r="D5" s="31"/>
      <c r="E5" s="33"/>
      <c r="F5" s="33"/>
      <c r="G5" s="33"/>
      <c r="H5" s="33"/>
      <c r="I5" s="33"/>
    </row>
    <row r="6" spans="1:9">
      <c r="A6" s="33"/>
      <c r="B6" s="33"/>
      <c r="C6" s="727">
        <f>' Enrol &amp; Rev'!F9</f>
        <v>0</v>
      </c>
      <c r="D6" s="777">
        <f>' Enrol &amp; Rev'!G9</f>
        <v>1</v>
      </c>
      <c r="E6" s="777">
        <f>' Enrol &amp; Rev'!H9</f>
        <v>2</v>
      </c>
      <c r="F6" s="777">
        <f>' Enrol &amp; Rev'!I9</f>
        <v>3</v>
      </c>
      <c r="G6" s="777">
        <f>' Enrol &amp; Rev'!J9</f>
        <v>4</v>
      </c>
      <c r="H6" s="777">
        <f>' Enrol &amp; Rev'!K9</f>
        <v>5</v>
      </c>
      <c r="I6" s="778">
        <f>' Enrol &amp; Rev'!L9</f>
        <v>6</v>
      </c>
    </row>
    <row r="7" spans="1:9" ht="15.6">
      <c r="A7" s="33"/>
      <c r="B7" s="33"/>
      <c r="C7" s="779">
        <f>' Enrol &amp; Rev'!F10</f>
        <v>2024</v>
      </c>
      <c r="D7" s="768">
        <f>' Enrol &amp; Rev'!G10</f>
        <v>2025</v>
      </c>
      <c r="E7" s="769">
        <f>' Enrol &amp; Rev'!H10</f>
        <v>2026</v>
      </c>
      <c r="F7" s="769">
        <f>' Enrol &amp; Rev'!I10</f>
        <v>2027</v>
      </c>
      <c r="G7" s="769">
        <f>' Enrol &amp; Rev'!J10</f>
        <v>2028</v>
      </c>
      <c r="H7" s="769">
        <f>' Enrol &amp; Rev'!K10</f>
        <v>2029</v>
      </c>
      <c r="I7" s="770">
        <f>' Enrol &amp; Rev'!L10</f>
        <v>2030</v>
      </c>
    </row>
    <row r="8" spans="1:9" ht="15.6">
      <c r="A8" s="1215"/>
      <c r="B8" s="1216" t="s">
        <v>343</v>
      </c>
      <c r="C8" s="780">
        <f>' Enrol &amp; Rev'!F11</f>
        <v>2025</v>
      </c>
      <c r="D8" s="754">
        <f>' Enrol &amp; Rev'!G11</f>
        <v>2026</v>
      </c>
      <c r="E8" s="755">
        <f>' Enrol &amp; Rev'!H11</f>
        <v>2027</v>
      </c>
      <c r="F8" s="755">
        <f>' Enrol &amp; Rev'!I11</f>
        <v>2028</v>
      </c>
      <c r="G8" s="755">
        <f>' Enrol &amp; Rev'!J11</f>
        <v>2029</v>
      </c>
      <c r="H8" s="755">
        <f>' Enrol &amp; Rev'!K11</f>
        <v>2030</v>
      </c>
      <c r="I8" s="756">
        <f>' Enrol &amp; Rev'!L11</f>
        <v>2031</v>
      </c>
    </row>
    <row r="9" spans="1:9">
      <c r="A9" t="s">
        <v>984</v>
      </c>
      <c r="B9" s="5">
        <f>SUM(C9:I9)</f>
        <v>11107.52649304775</v>
      </c>
      <c r="C9" s="5" t="s">
        <v>1429</v>
      </c>
      <c r="D9" s="5">
        <f>' Enrol &amp; Rev'!G36</f>
        <v>1595</v>
      </c>
      <c r="E9" s="5">
        <f>' Enrol &amp; Rev'!H36</f>
        <v>1688</v>
      </c>
      <c r="F9" s="5">
        <f>' Enrol &amp; Rev'!I36</f>
        <v>1788.6201881600005</v>
      </c>
      <c r="G9" s="5">
        <f>' Enrol &amp; Rev'!J36</f>
        <v>1895.9373994496007</v>
      </c>
      <c r="H9" s="5">
        <f>' Enrol &amp; Rev'!K36</f>
        <v>2009.6936434165768</v>
      </c>
      <c r="I9" s="5">
        <f>' Enrol &amp; Rev'!L36</f>
        <v>2130.2752620215715</v>
      </c>
    </row>
    <row r="10" spans="1:9">
      <c r="A10" t="s">
        <v>590</v>
      </c>
      <c r="B10" s="495">
        <f>SUM(C10:I10)</f>
        <v>113313088.27620967</v>
      </c>
      <c r="C10" s="495">
        <f>' Enrol &amp; Rev'!F145</f>
        <v>0</v>
      </c>
      <c r="D10" s="495">
        <f>' Enrol &amp; Rev'!G145</f>
        <v>15606245.845000001</v>
      </c>
      <c r="E10" s="495">
        <f>' Enrol &amp; Rev'!H145</f>
        <v>17335514.31800412</v>
      </c>
      <c r="F10" s="495">
        <f>' Enrol &amp; Rev'!I145</f>
        <v>18369626.809209835</v>
      </c>
      <c r="G10" s="495">
        <f>' Enrol &amp; Rev'!J145</f>
        <v>19473416.592535403</v>
      </c>
      <c r="H10" s="495">
        <f>' Enrol &amp; Rev'!K145</f>
        <v>20643825.588087529</v>
      </c>
      <c r="I10" s="495">
        <f>' Enrol &amp; Rev'!L145</f>
        <v>21884459.123372782</v>
      </c>
    </row>
    <row r="11" spans="1:9">
      <c r="A11" t="s">
        <v>985</v>
      </c>
      <c r="B11" s="496">
        <f>IFERROR(B10/B9,0)</f>
        <v>10201.46909819507</v>
      </c>
      <c r="C11" s="496"/>
      <c r="D11" s="496">
        <f>IFERROR(D10/D9,0)</f>
        <v>9784.4801536050163</v>
      </c>
      <c r="E11" s="496">
        <f t="shared" ref="E11:I11" si="0">IFERROR(E10/E9,0)</f>
        <v>10269.854453793911</v>
      </c>
      <c r="F11" s="496">
        <f t="shared" si="0"/>
        <v>10270.278134402108</v>
      </c>
      <c r="G11" s="496">
        <f t="shared" si="0"/>
        <v>10271.128465627939</v>
      </c>
      <c r="H11" s="496">
        <f t="shared" si="0"/>
        <v>10272.125632537714</v>
      </c>
      <c r="I11" s="496">
        <f t="shared" si="0"/>
        <v>10273.066356037503</v>
      </c>
    </row>
    <row r="12" spans="1:9">
      <c r="A12" t="s">
        <v>1430</v>
      </c>
      <c r="B12" s="496">
        <f>SUM(C12:I12)</f>
        <v>51154881.553164676</v>
      </c>
      <c r="C12" s="495">
        <f>Staff!G42</f>
        <v>0</v>
      </c>
      <c r="D12" s="495">
        <f>Staff!H42</f>
        <v>7710594.4629328558</v>
      </c>
      <c r="E12" s="495">
        <f>Staff!I42</f>
        <v>8017467.3105970509</v>
      </c>
      <c r="F12" s="495">
        <f>Staff!J42</f>
        <v>8326545.4407981113</v>
      </c>
      <c r="G12" s="495">
        <f>Staff!K42</f>
        <v>8687635.3565685581</v>
      </c>
      <c r="H12" s="495">
        <f>Staff!L42</f>
        <v>9022236.0731210615</v>
      </c>
      <c r="I12" s="495">
        <f>Staff!M42</f>
        <v>9390402.9091470391</v>
      </c>
    </row>
    <row r="13" spans="1:9">
      <c r="A13" t="s">
        <v>1431</v>
      </c>
      <c r="B13" s="496">
        <f>IFERROR(B12/B9,0)</f>
        <v>4605.4251218921463</v>
      </c>
      <c r="C13" s="496"/>
      <c r="D13" s="496">
        <f>IFERROR(D12/D9,0)</f>
        <v>4834.2285034061788</v>
      </c>
      <c r="E13" s="496">
        <f t="shared" ref="E13:I13" si="1">IFERROR(E12/E9,0)</f>
        <v>4749.6844257091534</v>
      </c>
      <c r="F13" s="496">
        <f t="shared" si="1"/>
        <v>4655.2898686466478</v>
      </c>
      <c r="G13" s="496">
        <f t="shared" si="1"/>
        <v>4582.2374510311465</v>
      </c>
      <c r="H13" s="496">
        <f t="shared" si="1"/>
        <v>4489.3589143183144</v>
      </c>
      <c r="I13" s="496">
        <f t="shared" si="1"/>
        <v>4408.0702041462046</v>
      </c>
    </row>
    <row r="14" spans="1:9">
      <c r="A14" t="s">
        <v>598</v>
      </c>
      <c r="B14" s="496">
        <f>B10-B12</f>
        <v>62158206.723044991</v>
      </c>
      <c r="C14" s="496">
        <f t="shared" ref="C14:I14" si="2">C10-C12</f>
        <v>0</v>
      </c>
      <c r="D14" s="496">
        <f t="shared" si="2"/>
        <v>7895651.3820671448</v>
      </c>
      <c r="E14" s="496">
        <f t="shared" si="2"/>
        <v>9318047.0074070692</v>
      </c>
      <c r="F14" s="496">
        <f t="shared" si="2"/>
        <v>10043081.368411724</v>
      </c>
      <c r="G14" s="496">
        <f t="shared" si="2"/>
        <v>10785781.235966844</v>
      </c>
      <c r="H14" s="496">
        <f t="shared" si="2"/>
        <v>11621589.514966467</v>
      </c>
      <c r="I14" s="496">
        <f t="shared" si="2"/>
        <v>12494056.214225743</v>
      </c>
    </row>
    <row r="15" spans="1:9" ht="30" customHeight="1">
      <c r="A15" s="368" t="s">
        <v>1432</v>
      </c>
      <c r="B15" s="496">
        <f>IFERROR(B14/B9,0)</f>
        <v>5596.0439763029235</v>
      </c>
      <c r="C15" s="496"/>
      <c r="D15" s="496">
        <f>IFERROR(D14/D9,0)</f>
        <v>4950.2516501988366</v>
      </c>
      <c r="E15" s="496">
        <f t="shared" ref="E15:I15" si="3">IFERROR(E14/E9,0)</f>
        <v>5520.1700280847563</v>
      </c>
      <c r="F15" s="496">
        <f t="shared" si="3"/>
        <v>5614.988265755459</v>
      </c>
      <c r="G15" s="496">
        <f t="shared" si="3"/>
        <v>5688.891014596793</v>
      </c>
      <c r="H15" s="496">
        <f t="shared" si="3"/>
        <v>5782.7667182194</v>
      </c>
      <c r="I15" s="496">
        <f t="shared" si="3"/>
        <v>5864.9961518912978</v>
      </c>
    </row>
    <row r="16" spans="1:9">
      <c r="A16" t="s">
        <v>1433</v>
      </c>
      <c r="B16" s="496">
        <f>SUM(C16:I16)</f>
        <v>49058630.460473381</v>
      </c>
      <c r="C16" s="495">
        <f>'Gen Optg'!F197</f>
        <v>0</v>
      </c>
      <c r="D16" s="495">
        <f>'Gen Optg'!G197</f>
        <v>7019373.1394213699</v>
      </c>
      <c r="E16" s="495">
        <f>'Gen Optg'!H197</f>
        <v>7483649.8404728128</v>
      </c>
      <c r="F16" s="495">
        <f>'Gen Optg'!I197</f>
        <v>7904974.8157994384</v>
      </c>
      <c r="G16" s="495">
        <f>'Gen Optg'!J197</f>
        <v>8393185.4837793801</v>
      </c>
      <c r="H16" s="495">
        <f>'Gen Optg'!K197</f>
        <v>8866799.6951712426</v>
      </c>
      <c r="I16" s="495">
        <f>'Gen Optg'!L197</f>
        <v>9390647.4858291373</v>
      </c>
    </row>
    <row r="17" spans="1:9">
      <c r="A17" t="s">
        <v>1434</v>
      </c>
      <c r="B17" s="496">
        <f>IFERROR(B16/B9,0)</f>
        <v>4416.7016384052195</v>
      </c>
      <c r="C17" s="496"/>
      <c r="D17" s="496">
        <f>IFERROR(D16/D9,0)</f>
        <v>4400.8609024585394</v>
      </c>
      <c r="E17" s="496">
        <f t="shared" ref="E17:I17" si="4">IFERROR(E16/E9,0)</f>
        <v>4433.4418486213344</v>
      </c>
      <c r="F17" s="496">
        <f t="shared" si="4"/>
        <v>4419.5938680148129</v>
      </c>
      <c r="G17" s="496">
        <f t="shared" si="4"/>
        <v>4426.9317574599036</v>
      </c>
      <c r="H17" s="496">
        <f t="shared" si="4"/>
        <v>4412.0155946242894</v>
      </c>
      <c r="I17" s="496">
        <f t="shared" si="4"/>
        <v>4408.1850140425868</v>
      </c>
    </row>
    <row r="18" spans="1:9">
      <c r="A18" t="s">
        <v>815</v>
      </c>
      <c r="B18" s="496">
        <f>B10-B16</f>
        <v>64254457.815736286</v>
      </c>
      <c r="C18" s="496">
        <f t="shared" ref="C18:I18" si="5">C10-C16</f>
        <v>0</v>
      </c>
      <c r="D18" s="496">
        <f t="shared" si="5"/>
        <v>8586872.7055786308</v>
      </c>
      <c r="E18" s="496">
        <f t="shared" si="5"/>
        <v>9851864.4775313064</v>
      </c>
      <c r="F18" s="496">
        <f t="shared" si="5"/>
        <v>10464651.993410397</v>
      </c>
      <c r="G18" s="496">
        <f t="shared" si="5"/>
        <v>11080231.108756023</v>
      </c>
      <c r="H18" s="496">
        <f t="shared" si="5"/>
        <v>11777025.892916286</v>
      </c>
      <c r="I18" s="496">
        <f t="shared" si="5"/>
        <v>12493811.637543645</v>
      </c>
    </row>
    <row r="19" spans="1:9" ht="31.5" customHeight="1">
      <c r="A19" s="2" t="s">
        <v>816</v>
      </c>
      <c r="B19" s="496">
        <f>IFERROR(B18/B9,0)</f>
        <v>5784.7674597898495</v>
      </c>
      <c r="C19" s="496"/>
      <c r="D19" s="496">
        <f>IFERROR(D18/D9,0)</f>
        <v>5383.6192511464769</v>
      </c>
      <c r="E19" s="496">
        <f t="shared" ref="E19:I19" si="6">IFERROR(E18/E9,0)</f>
        <v>5836.4126051725752</v>
      </c>
      <c r="F19" s="496">
        <f t="shared" si="6"/>
        <v>5850.6842663872949</v>
      </c>
      <c r="G19" s="496">
        <f t="shared" si="6"/>
        <v>5844.1967081680359</v>
      </c>
      <c r="H19" s="496">
        <f t="shared" si="6"/>
        <v>5860.1100379134259</v>
      </c>
      <c r="I19" s="496">
        <f t="shared" si="6"/>
        <v>5864.8813419949156</v>
      </c>
    </row>
    <row r="20" spans="1:9">
      <c r="A20" t="s">
        <v>1435</v>
      </c>
      <c r="B20" s="496">
        <f>SUM(C20:I20)</f>
        <v>8418981.8998299316</v>
      </c>
      <c r="C20" s="495">
        <f>Facilities!F76</f>
        <v>616575</v>
      </c>
      <c r="D20" s="495">
        <f>Facilities!G76</f>
        <v>1237373.2320000001</v>
      </c>
      <c r="E20" s="495">
        <f>Facilities!H76</f>
        <v>1261766.0896127999</v>
      </c>
      <c r="F20" s="495">
        <f>Facilities!I76</f>
        <v>1286760.0280487731</v>
      </c>
      <c r="G20" s="495">
        <f>Facilities!J76</f>
        <v>1312371.7204016002</v>
      </c>
      <c r="H20" s="495">
        <f>Facilities!K76</f>
        <v>1338618.3258207305</v>
      </c>
      <c r="I20" s="495">
        <f>Facilities!L76</f>
        <v>1365517.5039460282</v>
      </c>
    </row>
    <row r="21" spans="1:9">
      <c r="A21" t="s">
        <v>1436</v>
      </c>
      <c r="B21" s="496">
        <f>IFERROR(B20/B9,0)</f>
        <v>757.95289843327498</v>
      </c>
      <c r="C21" s="496"/>
      <c r="D21" s="496">
        <f t="shared" ref="D21:I21" si="7">IFERROR(D20/D9,0)</f>
        <v>775.78259059561128</v>
      </c>
      <c r="E21" s="496">
        <f t="shared" si="7"/>
        <v>747.49175924928909</v>
      </c>
      <c r="F21" s="496">
        <f t="shared" si="7"/>
        <v>719.41490796461164</v>
      </c>
      <c r="G21" s="496">
        <f t="shared" si="7"/>
        <v>692.20203197773708</v>
      </c>
      <c r="H21" s="496">
        <f t="shared" si="7"/>
        <v>666.0807880871904</v>
      </c>
      <c r="I21" s="496">
        <f t="shared" si="7"/>
        <v>641.00519228214216</v>
      </c>
    </row>
    <row r="22" spans="1:9">
      <c r="A22" t="s">
        <v>1437</v>
      </c>
      <c r="B22" s="496">
        <f>B10-B20</f>
        <v>104894106.37637973</v>
      </c>
      <c r="C22" s="496">
        <f t="shared" ref="C22:I22" si="8">C10-C20</f>
        <v>-616575</v>
      </c>
      <c r="D22" s="496">
        <f t="shared" si="8"/>
        <v>14368872.613</v>
      </c>
      <c r="E22" s="496">
        <f t="shared" si="8"/>
        <v>16073748.22839132</v>
      </c>
      <c r="F22" s="496">
        <f t="shared" si="8"/>
        <v>17082866.781161062</v>
      </c>
      <c r="G22" s="496">
        <f t="shared" si="8"/>
        <v>18161044.872133803</v>
      </c>
      <c r="H22" s="496">
        <f t="shared" si="8"/>
        <v>19305207.2622668</v>
      </c>
      <c r="I22" s="496">
        <f t="shared" si="8"/>
        <v>20518941.619426753</v>
      </c>
    </row>
    <row r="23" spans="1:9" ht="30.75" customHeight="1">
      <c r="A23" s="2" t="s">
        <v>1438</v>
      </c>
      <c r="B23" s="496">
        <f>IFERROR(B22/B9,0)</f>
        <v>9443.5161997617943</v>
      </c>
      <c r="C23" s="496"/>
      <c r="D23" s="496">
        <f t="shared" ref="D23:I23" si="9">IFERROR(D22/D9,0)</f>
        <v>9008.6975630094039</v>
      </c>
      <c r="E23" s="496">
        <f t="shared" si="9"/>
        <v>9522.3626945446213</v>
      </c>
      <c r="F23" s="496">
        <f t="shared" si="9"/>
        <v>9550.8632264374955</v>
      </c>
      <c r="G23" s="496">
        <f t="shared" si="9"/>
        <v>9578.9264336502019</v>
      </c>
      <c r="H23" s="496">
        <f t="shared" si="9"/>
        <v>9606.0448444505255</v>
      </c>
      <c r="I23" s="496">
        <f t="shared" si="9"/>
        <v>9632.0611637553611</v>
      </c>
    </row>
    <row r="24" spans="1:9">
      <c r="A24" t="s">
        <v>986</v>
      </c>
      <c r="B24" s="496">
        <f>SUM(C24:I24)</f>
        <v>6157711.8119202498</v>
      </c>
      <c r="C24" s="495">
        <f>'FFE&amp;T'!F43</f>
        <v>0</v>
      </c>
      <c r="D24" s="495">
        <f>'FFE&amp;T'!G43</f>
        <v>948297.92890000006</v>
      </c>
      <c r="E24" s="495">
        <f>'FFE&amp;T'!H43</f>
        <v>972590.65899700008</v>
      </c>
      <c r="F24" s="495">
        <f>'FFE&amp;T'!I43</f>
        <v>999796.05546468985</v>
      </c>
      <c r="G24" s="495">
        <f>'FFE&amp;T'!J43</f>
        <v>1046139.4319510041</v>
      </c>
      <c r="H24" s="495">
        <f>'FFE&amp;T'!K43</f>
        <v>1075614.7794212499</v>
      </c>
      <c r="I24" s="495">
        <f>'FFE&amp;T'!L43</f>
        <v>1115272.9571863061</v>
      </c>
    </row>
    <row r="25" spans="1:9">
      <c r="A25" t="s">
        <v>987</v>
      </c>
      <c r="B25" s="496">
        <f>IFERROR(B24/B9,0)</f>
        <v>554.37291243684081</v>
      </c>
      <c r="C25" s="496"/>
      <c r="D25" s="496">
        <f t="shared" ref="D25:I25" si="10">IFERROR(D24/D9,0)</f>
        <v>594.54415605015674</v>
      </c>
      <c r="E25" s="496">
        <f t="shared" si="10"/>
        <v>576.17930035367306</v>
      </c>
      <c r="F25" s="496">
        <f t="shared" si="10"/>
        <v>558.9761661435823</v>
      </c>
      <c r="G25" s="496">
        <f t="shared" si="10"/>
        <v>551.77952196876504</v>
      </c>
      <c r="H25" s="496">
        <f t="shared" si="10"/>
        <v>535.21330623937911</v>
      </c>
      <c r="I25" s="496">
        <f t="shared" si="10"/>
        <v>523.53467041059446</v>
      </c>
    </row>
    <row r="26" spans="1:9">
      <c r="A26" t="s">
        <v>988</v>
      </c>
      <c r="B26" s="496">
        <f>B10-B24</f>
        <v>107155376.46428941</v>
      </c>
      <c r="C26" s="496">
        <f t="shared" ref="C26:I26" si="11">C10-C24</f>
        <v>0</v>
      </c>
      <c r="D26" s="496">
        <f t="shared" si="11"/>
        <v>14657947.916100001</v>
      </c>
      <c r="E26" s="496">
        <f t="shared" si="11"/>
        <v>16362923.659007121</v>
      </c>
      <c r="F26" s="496">
        <f t="shared" si="11"/>
        <v>17369830.753745146</v>
      </c>
      <c r="G26" s="496">
        <f t="shared" si="11"/>
        <v>18427277.160584398</v>
      </c>
      <c r="H26" s="496">
        <f t="shared" si="11"/>
        <v>19568210.808666278</v>
      </c>
      <c r="I26" s="496">
        <f t="shared" si="11"/>
        <v>20769186.166186474</v>
      </c>
    </row>
    <row r="27" spans="1:9" ht="30.75" customHeight="1">
      <c r="A27" s="2" t="s">
        <v>989</v>
      </c>
      <c r="B27" s="496">
        <f>IFERROR(B26/B9,0)</f>
        <v>9647.0961857582279</v>
      </c>
      <c r="C27" s="496"/>
      <c r="D27" s="496">
        <f t="shared" ref="D27:I27" si="12">IFERROR(D26/D9,0)</f>
        <v>9189.9359975548596</v>
      </c>
      <c r="E27" s="496">
        <f t="shared" si="12"/>
        <v>9693.6751534402374</v>
      </c>
      <c r="F27" s="496">
        <f t="shared" si="12"/>
        <v>9711.3019682585254</v>
      </c>
      <c r="G27" s="496">
        <f t="shared" si="12"/>
        <v>9719.3489436591735</v>
      </c>
      <c r="H27" s="496">
        <f t="shared" si="12"/>
        <v>9736.9123262983358</v>
      </c>
      <c r="I27" s="496">
        <f t="shared" si="12"/>
        <v>9749.5316856269073</v>
      </c>
    </row>
    <row r="28" spans="1:9">
      <c r="A28" t="s">
        <v>1439</v>
      </c>
      <c r="B28" s="496">
        <f>SUM(C28:I28)</f>
        <v>0</v>
      </c>
      <c r="C28" s="495">
        <f>'Gen Optg'!F177</f>
        <v>0</v>
      </c>
      <c r="D28" s="495">
        <f>'Gen Optg'!G177</f>
        <v>0</v>
      </c>
      <c r="E28" s="495">
        <f>'Gen Optg'!H177</f>
        <v>0</v>
      </c>
      <c r="F28" s="495">
        <f>'Gen Optg'!I177</f>
        <v>0</v>
      </c>
      <c r="G28" s="495">
        <f>'Gen Optg'!J177</f>
        <v>0</v>
      </c>
      <c r="H28" s="495">
        <f>'Gen Optg'!K177</f>
        <v>0</v>
      </c>
      <c r="I28" s="495">
        <f>'Gen Optg'!L177</f>
        <v>0</v>
      </c>
    </row>
    <row r="29" spans="1:9">
      <c r="A29" t="s">
        <v>1440</v>
      </c>
      <c r="B29" s="496">
        <f>IFERROR(B28/B9,0)</f>
        <v>0</v>
      </c>
      <c r="C29" s="496"/>
      <c r="D29" s="496">
        <f t="shared" ref="D29:I29" si="13">IFERROR(D28/D9,0)</f>
        <v>0</v>
      </c>
      <c r="E29" s="496">
        <f t="shared" si="13"/>
        <v>0</v>
      </c>
      <c r="F29" s="496">
        <f t="shared" si="13"/>
        <v>0</v>
      </c>
      <c r="G29" s="496">
        <f t="shared" si="13"/>
        <v>0</v>
      </c>
      <c r="H29" s="496">
        <f t="shared" si="13"/>
        <v>0</v>
      </c>
      <c r="I29" s="496">
        <f t="shared" si="13"/>
        <v>0</v>
      </c>
    </row>
    <row r="30" spans="1:9">
      <c r="A30" t="s">
        <v>1441</v>
      </c>
      <c r="B30" s="496">
        <f>SUM(C30:I30)</f>
        <v>842064.43437876715</v>
      </c>
      <c r="C30" s="495">
        <f>Ins!F51</f>
        <v>0</v>
      </c>
      <c r="D30" s="495">
        <f>Ins!G51</f>
        <v>100413.258</v>
      </c>
      <c r="E30" s="495">
        <f>Ins!H51</f>
        <v>113768.22131400002</v>
      </c>
      <c r="F30" s="495">
        <f>Ins!I51</f>
        <v>128899.39474876202</v>
      </c>
      <c r="G30" s="495">
        <f>Ins!J51</f>
        <v>146043.01425034736</v>
      </c>
      <c r="H30" s="495">
        <f>Ins!K51</f>
        <v>165466.73514564359</v>
      </c>
      <c r="I30" s="495">
        <f>Ins!L51</f>
        <v>187473.81092001419</v>
      </c>
    </row>
    <row r="31" spans="1:9">
      <c r="A31" t="s">
        <v>1442</v>
      </c>
      <c r="B31" s="496">
        <f>IFERROR(B30/B9,0)</f>
        <v>75.810256667478498</v>
      </c>
      <c r="C31" s="496"/>
      <c r="D31" s="496">
        <f t="shared" ref="D31:I31" si="14">IFERROR(D30/D9,0)</f>
        <v>62.955020689655171</v>
      </c>
      <c r="E31" s="496">
        <f t="shared" si="14"/>
        <v>67.398235375592435</v>
      </c>
      <c r="F31" s="496">
        <f t="shared" si="14"/>
        <v>72.066387040707696</v>
      </c>
      <c r="G31" s="496">
        <f t="shared" si="14"/>
        <v>77.029449544454536</v>
      </c>
      <c r="H31" s="496">
        <f t="shared" si="14"/>
        <v>82.334307862138672</v>
      </c>
      <c r="I31" s="496">
        <f t="shared" si="14"/>
        <v>88.004500762078422</v>
      </c>
    </row>
    <row r="32" spans="1:9">
      <c r="A32" t="s">
        <v>1443</v>
      </c>
      <c r="B32" s="496">
        <f>SUM(C32:I32)</f>
        <v>544303.92000000004</v>
      </c>
      <c r="C32" s="495">
        <f>Marketing!H44</f>
        <v>0</v>
      </c>
      <c r="D32" s="495">
        <f>Marketing!I44</f>
        <v>90717.32</v>
      </c>
      <c r="E32" s="495">
        <f>Marketing!J44</f>
        <v>90717.32</v>
      </c>
      <c r="F32" s="495">
        <f>Marketing!K44</f>
        <v>90717.32</v>
      </c>
      <c r="G32" s="495">
        <f>Marketing!L44</f>
        <v>90717.32</v>
      </c>
      <c r="H32" s="495">
        <f>Marketing!M44</f>
        <v>90717.32</v>
      </c>
      <c r="I32" s="495">
        <f>Marketing!N44</f>
        <v>90717.32</v>
      </c>
    </row>
    <row r="33" spans="1:9">
      <c r="A33" t="s">
        <v>1444</v>
      </c>
      <c r="B33" s="496">
        <f>IFERROR(B32/B9,0)</f>
        <v>49.003161985765445</v>
      </c>
      <c r="C33" s="496"/>
      <c r="D33" s="496">
        <f t="shared" ref="D33:I33" si="15">IFERROR(D32/D9,0)</f>
        <v>56.876062695924766</v>
      </c>
      <c r="E33" s="496">
        <f t="shared" si="15"/>
        <v>53.742488151658769</v>
      </c>
      <c r="F33" s="496">
        <f t="shared" si="15"/>
        <v>50.719163632678914</v>
      </c>
      <c r="G33" s="496">
        <f t="shared" si="15"/>
        <v>47.848267577998968</v>
      </c>
      <c r="H33" s="496">
        <f t="shared" si="15"/>
        <v>45.13987507358393</v>
      </c>
      <c r="I33" s="496">
        <f t="shared" si="15"/>
        <v>42.584787805267858</v>
      </c>
    </row>
    <row r="34" spans="1:9">
      <c r="A34" t="s">
        <v>1445</v>
      </c>
      <c r="B34" s="496">
        <f>B32+B30+B28</f>
        <v>1386368.3543787673</v>
      </c>
      <c r="C34" s="496">
        <f t="shared" ref="C34:I34" si="16">C32+C30+C28</f>
        <v>0</v>
      </c>
      <c r="D34" s="496">
        <f t="shared" si="16"/>
        <v>191130.57800000001</v>
      </c>
      <c r="E34" s="496">
        <f t="shared" si="16"/>
        <v>204485.54131400003</v>
      </c>
      <c r="F34" s="496">
        <f t="shared" si="16"/>
        <v>219616.71474876202</v>
      </c>
      <c r="G34" s="496">
        <f t="shared" si="16"/>
        <v>236760.33425034737</v>
      </c>
      <c r="H34" s="496">
        <f t="shared" si="16"/>
        <v>256184.05514564359</v>
      </c>
      <c r="I34" s="496">
        <f t="shared" si="16"/>
        <v>278191.13092001423</v>
      </c>
    </row>
    <row r="35" spans="1:9">
      <c r="A35" t="s">
        <v>1446</v>
      </c>
      <c r="B35" s="496">
        <f>IFERROR(B34/B9,0)</f>
        <v>124.81341865324394</v>
      </c>
      <c r="C35" s="496"/>
      <c r="D35" s="496">
        <f t="shared" ref="D35:I35" si="17">IFERROR(D34/D9,0)</f>
        <v>119.83108338557994</v>
      </c>
      <c r="E35" s="496">
        <f t="shared" si="17"/>
        <v>121.1407235272512</v>
      </c>
      <c r="F35" s="496">
        <f t="shared" si="17"/>
        <v>122.78555067338661</v>
      </c>
      <c r="G35" s="496">
        <f t="shared" si="17"/>
        <v>124.8777171224535</v>
      </c>
      <c r="H35" s="496">
        <f t="shared" si="17"/>
        <v>127.47418293572261</v>
      </c>
      <c r="I35" s="496">
        <f t="shared" si="17"/>
        <v>130.5892885673463</v>
      </c>
    </row>
    <row r="36" spans="1:9">
      <c r="A36" t="s">
        <v>1447</v>
      </c>
      <c r="B36" s="496">
        <f>B10-B34</f>
        <v>111926719.92183089</v>
      </c>
      <c r="C36" s="496">
        <f t="shared" ref="C36:I36" si="18">C10-C34</f>
        <v>0</v>
      </c>
      <c r="D36" s="496">
        <f t="shared" si="18"/>
        <v>15415115.267000001</v>
      </c>
      <c r="E36" s="496">
        <f t="shared" si="18"/>
        <v>17131028.776690122</v>
      </c>
      <c r="F36" s="496">
        <f t="shared" si="18"/>
        <v>18150010.094461072</v>
      </c>
      <c r="G36" s="496">
        <f t="shared" si="18"/>
        <v>19236656.258285057</v>
      </c>
      <c r="H36" s="496">
        <f t="shared" si="18"/>
        <v>20387641.532941885</v>
      </c>
      <c r="I36" s="496">
        <f t="shared" si="18"/>
        <v>21606267.992452767</v>
      </c>
    </row>
    <row r="37" spans="1:9" ht="30" customHeight="1">
      <c r="A37" s="2" t="s">
        <v>1448</v>
      </c>
      <c r="B37" s="496">
        <f>IFERROR(B36/B9,0)</f>
        <v>10076.655679541826</v>
      </c>
      <c r="C37" s="496"/>
      <c r="D37" s="496">
        <f t="shared" ref="D37:I37" si="19">IFERROR(D36/D9,0)</f>
        <v>9664.6490702194369</v>
      </c>
      <c r="E37" s="496">
        <f t="shared" si="19"/>
        <v>10148.71373026666</v>
      </c>
      <c r="F37" s="496">
        <f t="shared" si="19"/>
        <v>10147.492583728719</v>
      </c>
      <c r="G37" s="496">
        <f t="shared" si="19"/>
        <v>10146.250748505487</v>
      </c>
      <c r="H37" s="496">
        <f t="shared" si="19"/>
        <v>10144.651449601992</v>
      </c>
      <c r="I37" s="496">
        <f t="shared" si="19"/>
        <v>10142.477067470156</v>
      </c>
    </row>
    <row r="38" spans="1:9">
      <c r="A38" t="s">
        <v>600</v>
      </c>
      <c r="B38" s="496">
        <f t="shared" ref="B38:I38" si="20">B10-B12-B16-B28-B20-B24-B30-B32</f>
        <v>-2863485.8035573382</v>
      </c>
      <c r="C38" s="496">
        <f t="shared" si="20"/>
        <v>-616575</v>
      </c>
      <c r="D38" s="496">
        <f t="shared" si="20"/>
        <v>-1500523.496254225</v>
      </c>
      <c r="E38" s="496">
        <f t="shared" si="20"/>
        <v>-604445.1229895436</v>
      </c>
      <c r="F38" s="496">
        <f t="shared" si="20"/>
        <v>-368066.24564993981</v>
      </c>
      <c r="G38" s="496">
        <f t="shared" si="20"/>
        <v>-202675.7344154873</v>
      </c>
      <c r="H38" s="496">
        <f t="shared" si="20"/>
        <v>84372.659407600819</v>
      </c>
      <c r="I38" s="496">
        <f t="shared" si="20"/>
        <v>344427.13634425722</v>
      </c>
    </row>
    <row r="39" spans="1:9">
      <c r="A39" t="s">
        <v>601</v>
      </c>
      <c r="B39" s="496">
        <f>IFERROR(B38/B9,0)</f>
        <v>-257.79689162565643</v>
      </c>
      <c r="C39" s="496"/>
      <c r="D39" s="496">
        <f t="shared" ref="D39:I39" si="21">IFERROR(D38/D9,0)</f>
        <v>-940.7670822910502</v>
      </c>
      <c r="E39" s="496">
        <f t="shared" si="21"/>
        <v>-358.08360366679125</v>
      </c>
      <c r="F39" s="496">
        <f t="shared" si="21"/>
        <v>-205.78222704093429</v>
      </c>
      <c r="G39" s="496">
        <f t="shared" si="21"/>
        <v>-106.900013932066</v>
      </c>
      <c r="H39" s="496">
        <f t="shared" si="21"/>
        <v>41.982846332818767</v>
      </c>
      <c r="I39" s="496">
        <f t="shared" si="21"/>
        <v>161.68198658862775</v>
      </c>
    </row>
  </sheetData>
  <sheetProtection algorithmName="SHA-512" hashValue="kPcm2omUO54QFlw32v8/MllTCGhL8rG/Dy1Pr9XeNNBaF71TVNM1pZ4q/l3tFL9YnzGr78IziVvczZNd2PaW0g==" saltValue="O9Saw0wsvyXwqwDttX840Q==" spinCount="100000" sheet="1" objects="1" scenarios="1"/>
  <conditionalFormatting sqref="I1">
    <cfRule type="expression" dxfId="0" priority="1" stopIfTrue="1">
      <formula>MOD(ROW(),2)=0</formula>
    </cfRule>
  </conditionalFormatting>
  <hyperlinks>
    <hyperlink ref="I1" location="HypLink1" display="HypLink1"/>
  </hyperlinks>
  <pageMargins left="0.25" right="0.25" top="0.5" bottom="0.45" header="0.25" footer="0.25"/>
  <pageSetup scale="88" orientation="landscape" r:id="rId1"/>
  <headerFooter>
    <oddHeader xml:space="preserve">&amp;L &amp;C &amp;R </oddHeader>
    <oddFooter>&amp;L&amp;7&amp;D  at &amp;T Mike 702.486.8879&amp;C&amp;7&amp;F  &amp;A&amp;R&amp;7Page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R81"/>
  <sheetViews>
    <sheetView workbookViewId="0"/>
  </sheetViews>
  <sheetFormatPr defaultColWidth="8.77734375" defaultRowHeight="13.2"/>
  <cols>
    <col min="1" max="1" width="1.21875" style="6" customWidth="1"/>
    <col min="2" max="2" width="2.77734375" style="6" customWidth="1"/>
    <col min="3" max="5" width="8.77734375" style="6"/>
    <col min="6" max="6" width="16.21875" style="6" customWidth="1"/>
    <col min="7" max="17" width="8.77734375" style="1349"/>
    <col min="18" max="16384" width="8.77734375" style="6"/>
  </cols>
  <sheetData>
    <row r="1" spans="1:18" ht="15.6">
      <c r="A1" s="21" t="s">
        <v>1449</v>
      </c>
      <c r="B1" s="21"/>
      <c r="C1" s="21"/>
      <c r="D1" s="21"/>
    </row>
    <row r="2" spans="1:18" ht="15.6">
      <c r="A2" s="1653" t="str">
        <f>SchoolName</f>
        <v>The Delta Academy</v>
      </c>
      <c r="B2" s="1653"/>
      <c r="C2" s="1653"/>
      <c r="D2" s="1653"/>
    </row>
    <row r="3" spans="1:18">
      <c r="A3" s="10" t="s">
        <v>448</v>
      </c>
    </row>
    <row r="4" spans="1:18">
      <c r="A4" s="9" t="s">
        <v>80</v>
      </c>
    </row>
    <row r="5" spans="1:18">
      <c r="A5" s="8" t="str">
        <f ca="1">CELL("filename")</f>
        <v>C:\Users\kyle.konold\Downloads\[FY25 Budget - Delta Academy_Final.xlsx]Form 1 Cover</v>
      </c>
    </row>
    <row r="6" spans="1:18">
      <c r="A6" s="1348"/>
      <c r="B6" s="1349"/>
      <c r="C6" s="1349"/>
      <c r="D6" s="1349"/>
      <c r="E6" s="1349"/>
      <c r="F6" s="1349"/>
      <c r="R6" s="1349"/>
    </row>
    <row r="7" spans="1:18">
      <c r="A7" s="1348"/>
      <c r="B7" s="1349"/>
      <c r="C7" s="1349"/>
      <c r="D7" s="1349"/>
      <c r="E7" s="1349"/>
      <c r="F7" s="1349"/>
      <c r="R7" s="1349"/>
    </row>
    <row r="8" spans="1:18">
      <c r="A8" s="1348"/>
      <c r="B8" s="1349"/>
      <c r="C8" s="1349"/>
      <c r="D8" s="1349"/>
      <c r="E8" s="1349"/>
      <c r="F8" s="1349"/>
      <c r="R8" s="1349"/>
    </row>
    <row r="9" spans="1:18">
      <c r="A9" s="1348"/>
      <c r="B9" s="1349"/>
      <c r="C9" s="1349"/>
      <c r="D9" s="1349"/>
      <c r="E9" s="1349"/>
      <c r="F9" s="1349"/>
      <c r="R9" s="1349"/>
    </row>
    <row r="10" spans="1:18">
      <c r="A10" s="1348"/>
      <c r="B10" s="1349"/>
      <c r="C10" s="1349"/>
      <c r="D10" s="1349"/>
      <c r="E10" s="1349"/>
      <c r="F10" s="1349"/>
      <c r="R10" s="1349"/>
    </row>
    <row r="11" spans="1:18">
      <c r="A11" s="1348"/>
      <c r="B11" s="1349"/>
      <c r="C11" s="1349"/>
      <c r="D11" s="1349"/>
      <c r="E11" s="1349"/>
      <c r="F11" s="1349"/>
      <c r="R11" s="1349"/>
    </row>
    <row r="12" spans="1:18">
      <c r="A12" s="1348"/>
      <c r="B12" s="1349"/>
      <c r="C12" s="1349"/>
      <c r="D12" s="1349"/>
      <c r="E12" s="1349"/>
      <c r="F12" s="1349"/>
      <c r="R12" s="1349"/>
    </row>
    <row r="13" spans="1:18">
      <c r="A13" s="1348"/>
      <c r="B13" s="1349"/>
      <c r="C13" s="1349"/>
      <c r="D13" s="1349"/>
      <c r="E13" s="1349"/>
      <c r="F13" s="1349"/>
      <c r="R13" s="1349"/>
    </row>
    <row r="14" spans="1:18">
      <c r="A14" s="1348"/>
      <c r="B14" s="1349"/>
      <c r="C14" s="1349"/>
      <c r="D14" s="1349"/>
      <c r="E14" s="1349"/>
      <c r="F14" s="1349"/>
      <c r="R14" s="1349"/>
    </row>
    <row r="15" spans="1:18">
      <c r="A15" s="1348"/>
      <c r="B15" s="1349"/>
      <c r="C15" s="1349"/>
      <c r="D15" s="1349"/>
      <c r="E15" s="1349"/>
      <c r="F15" s="1349"/>
      <c r="R15" s="1349"/>
    </row>
    <row r="16" spans="1:18">
      <c r="A16" s="1348"/>
      <c r="B16" s="1349"/>
      <c r="C16" s="1349"/>
      <c r="D16" s="1349"/>
      <c r="E16" s="1349"/>
      <c r="F16" s="1349"/>
      <c r="R16" s="1349"/>
    </row>
    <row r="17" spans="1:18">
      <c r="A17" s="1348"/>
      <c r="B17" s="1349"/>
      <c r="C17" s="1349"/>
      <c r="D17" s="1349"/>
      <c r="E17" s="1349"/>
      <c r="F17" s="1349"/>
      <c r="R17" s="1349"/>
    </row>
    <row r="18" spans="1:18">
      <c r="A18" s="1348"/>
      <c r="B18" s="1349"/>
      <c r="C18" s="1349"/>
      <c r="D18" s="1349"/>
      <c r="E18" s="1349"/>
      <c r="F18" s="1349"/>
      <c r="R18" s="1349"/>
    </row>
    <row r="19" spans="1:18">
      <c r="A19" s="1348"/>
      <c r="B19" s="1349"/>
      <c r="C19" s="1349"/>
      <c r="D19" s="1349"/>
      <c r="E19" s="1349"/>
      <c r="F19" s="1349"/>
      <c r="R19" s="1349"/>
    </row>
    <row r="20" spans="1:18">
      <c r="A20" s="1348"/>
      <c r="B20" s="1349"/>
      <c r="C20" s="1349"/>
      <c r="D20" s="1349"/>
      <c r="E20" s="1349"/>
      <c r="F20" s="1349"/>
      <c r="R20" s="1349"/>
    </row>
    <row r="21" spans="1:18">
      <c r="A21" s="1348"/>
      <c r="B21" s="1349"/>
      <c r="C21" s="1349"/>
      <c r="D21" s="1349"/>
      <c r="E21" s="1349"/>
      <c r="F21" s="1349"/>
      <c r="R21" s="1349"/>
    </row>
    <row r="22" spans="1:18">
      <c r="A22" s="1348"/>
      <c r="B22" s="1349"/>
      <c r="C22" s="1349"/>
      <c r="D22" s="1349"/>
      <c r="E22" s="1349"/>
      <c r="F22" s="1349"/>
      <c r="R22" s="1349"/>
    </row>
    <row r="23" spans="1:18">
      <c r="A23" s="1348"/>
      <c r="B23" s="1349"/>
      <c r="C23" s="1349"/>
      <c r="D23" s="1349"/>
      <c r="E23" s="1349"/>
      <c r="F23" s="1349"/>
      <c r="R23" s="1349"/>
    </row>
    <row r="24" spans="1:18">
      <c r="A24" s="1348"/>
      <c r="B24" s="1349"/>
      <c r="C24" s="1349"/>
      <c r="D24" s="1349"/>
      <c r="E24" s="1349"/>
      <c r="F24" s="1349"/>
      <c r="R24" s="1349"/>
    </row>
    <row r="25" spans="1:18">
      <c r="A25" s="1348"/>
      <c r="B25" s="1349"/>
      <c r="C25" s="1349"/>
      <c r="D25" s="1349"/>
      <c r="E25" s="1349"/>
      <c r="F25" s="1349"/>
      <c r="R25" s="1349"/>
    </row>
    <row r="26" spans="1:18">
      <c r="A26" s="1348"/>
      <c r="B26" s="1349"/>
      <c r="C26" s="1349"/>
      <c r="D26" s="1349"/>
      <c r="E26" s="1349"/>
      <c r="F26" s="1349"/>
      <c r="R26" s="1349"/>
    </row>
    <row r="27" spans="1:18">
      <c r="A27" s="1348"/>
      <c r="B27" s="1349"/>
      <c r="C27" s="1349"/>
      <c r="D27" s="1349"/>
      <c r="E27" s="1349"/>
      <c r="F27" s="1349"/>
      <c r="R27" s="1349"/>
    </row>
    <row r="28" spans="1:18">
      <c r="A28" s="1348"/>
      <c r="B28" s="1349"/>
      <c r="C28" s="1349"/>
      <c r="D28" s="1349"/>
      <c r="E28" s="1349"/>
      <c r="F28" s="1349"/>
      <c r="R28" s="1349"/>
    </row>
    <row r="29" spans="1:18">
      <c r="A29" s="1348"/>
      <c r="B29" s="1349"/>
      <c r="C29" s="1349"/>
      <c r="D29" s="1349"/>
      <c r="E29" s="1349"/>
      <c r="F29" s="1349"/>
      <c r="R29" s="1349"/>
    </row>
    <row r="30" spans="1:18">
      <c r="A30" s="1348"/>
      <c r="B30" s="1348"/>
      <c r="C30" s="1348"/>
      <c r="D30" s="1348"/>
      <c r="E30" s="1348"/>
      <c r="F30" s="1349"/>
      <c r="R30" s="1349"/>
    </row>
    <row r="31" spans="1:18">
      <c r="A31" s="1348"/>
      <c r="B31" s="1348"/>
      <c r="C31" s="1348"/>
      <c r="D31" s="1348"/>
      <c r="E31" s="1348"/>
      <c r="F31" s="1349"/>
      <c r="R31" s="1349"/>
    </row>
    <row r="32" spans="1:18">
      <c r="A32" s="1348"/>
      <c r="B32" s="1348"/>
      <c r="C32" s="1348"/>
      <c r="D32" s="1348"/>
      <c r="E32" s="1348"/>
      <c r="F32" s="1349"/>
      <c r="R32" s="1349"/>
    </row>
    <row r="33" spans="1:18">
      <c r="A33" s="1348"/>
      <c r="B33" s="1348"/>
      <c r="C33" s="1348"/>
      <c r="D33" s="1348"/>
      <c r="E33" s="1348"/>
      <c r="F33" s="1349"/>
      <c r="R33" s="1349"/>
    </row>
    <row r="34" spans="1:18">
      <c r="A34" s="1348"/>
      <c r="B34" s="1348"/>
      <c r="C34" s="1348"/>
      <c r="D34" s="1348"/>
      <c r="E34" s="1348"/>
      <c r="F34" s="1349"/>
      <c r="R34" s="1349"/>
    </row>
    <row r="35" spans="1:18">
      <c r="A35" s="1348"/>
      <c r="B35" s="1348"/>
      <c r="C35" s="1348"/>
      <c r="D35" s="1348"/>
      <c r="E35" s="1348"/>
      <c r="F35" s="1349"/>
      <c r="R35" s="1349"/>
    </row>
    <row r="36" spans="1:18">
      <c r="A36" s="1348"/>
      <c r="B36" s="1348"/>
      <c r="C36" s="1348"/>
      <c r="D36" s="1348"/>
      <c r="E36" s="1348"/>
      <c r="F36" s="1349"/>
      <c r="R36" s="1349"/>
    </row>
    <row r="37" spans="1:18">
      <c r="A37" s="1348"/>
      <c r="B37" s="1348"/>
      <c r="C37" s="1348"/>
      <c r="D37" s="1348"/>
      <c r="E37" s="1348"/>
      <c r="F37" s="1349"/>
      <c r="R37" s="1349"/>
    </row>
    <row r="38" spans="1:18">
      <c r="A38" s="1348"/>
      <c r="B38" s="1348"/>
      <c r="C38" s="1348"/>
      <c r="D38" s="1348"/>
      <c r="E38" s="1348"/>
      <c r="F38" s="1349"/>
      <c r="R38" s="1349"/>
    </row>
    <row r="39" spans="1:18">
      <c r="A39" s="1348"/>
      <c r="B39" s="1348"/>
      <c r="C39" s="1348"/>
      <c r="D39" s="1348"/>
      <c r="E39" s="1348"/>
      <c r="F39" s="1349"/>
      <c r="R39" s="1349"/>
    </row>
    <row r="40" spans="1:18">
      <c r="A40" s="1348"/>
      <c r="B40" s="1348"/>
      <c r="C40" s="1348"/>
      <c r="D40" s="1348"/>
      <c r="E40" s="1348"/>
      <c r="F40" s="1349"/>
      <c r="R40" s="1349"/>
    </row>
    <row r="41" spans="1:18">
      <c r="A41" s="1348"/>
      <c r="B41" s="1348"/>
      <c r="C41" s="1348"/>
      <c r="D41" s="1348"/>
      <c r="E41" s="1348"/>
      <c r="F41" s="1349"/>
      <c r="R41" s="1349"/>
    </row>
    <row r="42" spans="1:18">
      <c r="A42" s="1348"/>
      <c r="B42" s="1348"/>
      <c r="C42" s="1348"/>
      <c r="D42" s="1348"/>
      <c r="E42" s="1348"/>
      <c r="F42" s="1349"/>
      <c r="R42" s="1349"/>
    </row>
    <row r="43" spans="1:18">
      <c r="A43" s="1348"/>
      <c r="B43" s="1348"/>
      <c r="C43" s="1348"/>
      <c r="D43" s="1348"/>
      <c r="E43" s="1348"/>
      <c r="F43" s="1349"/>
      <c r="R43" s="1349"/>
    </row>
    <row r="44" spans="1:18">
      <c r="A44" s="1348"/>
      <c r="B44" s="1348"/>
      <c r="C44" s="1348"/>
      <c r="D44" s="1348"/>
      <c r="E44" s="1348"/>
      <c r="F44" s="1349"/>
      <c r="R44" s="1349"/>
    </row>
    <row r="45" spans="1:18">
      <c r="A45" s="1348"/>
      <c r="B45" s="1348"/>
      <c r="C45" s="1348"/>
      <c r="D45" s="1348"/>
      <c r="E45" s="1348"/>
      <c r="F45" s="1349"/>
      <c r="R45" s="1349"/>
    </row>
    <row r="46" spans="1:18">
      <c r="A46" s="1348"/>
      <c r="B46" s="1348"/>
      <c r="C46" s="1348"/>
      <c r="D46" s="1348"/>
      <c r="E46" s="1348"/>
      <c r="F46" s="1349"/>
      <c r="R46" s="1349"/>
    </row>
    <row r="47" spans="1:18">
      <c r="A47" s="1348"/>
      <c r="B47" s="1348"/>
      <c r="C47" s="1348"/>
      <c r="D47" s="1348"/>
      <c r="E47" s="1348"/>
      <c r="F47" s="1349"/>
      <c r="R47" s="1349"/>
    </row>
    <row r="48" spans="1:18">
      <c r="A48" s="1348"/>
      <c r="B48" s="1348"/>
      <c r="C48" s="1348"/>
      <c r="D48" s="1348"/>
      <c r="E48" s="1348"/>
      <c r="F48" s="1349"/>
      <c r="R48" s="1349"/>
    </row>
    <row r="49" spans="1:18">
      <c r="A49" s="1348"/>
      <c r="B49" s="1348"/>
      <c r="C49" s="1348"/>
      <c r="D49" s="1348"/>
      <c r="E49" s="1348"/>
      <c r="F49" s="1349"/>
      <c r="R49" s="1349"/>
    </row>
    <row r="50" spans="1:18">
      <c r="A50" s="1348"/>
      <c r="B50" s="1348"/>
      <c r="C50" s="1348"/>
      <c r="D50" s="1348"/>
      <c r="E50" s="1348"/>
      <c r="F50" s="1349"/>
      <c r="R50" s="1349"/>
    </row>
    <row r="51" spans="1:18">
      <c r="A51" s="1348"/>
      <c r="B51" s="1348"/>
      <c r="C51" s="1348"/>
      <c r="D51" s="1348"/>
      <c r="E51" s="1348"/>
      <c r="F51" s="1349"/>
      <c r="R51" s="1349"/>
    </row>
    <row r="52" spans="1:18">
      <c r="A52" s="1348"/>
      <c r="B52" s="1348"/>
      <c r="C52" s="1348"/>
      <c r="D52" s="1348"/>
      <c r="E52" s="1348"/>
      <c r="F52" s="1349"/>
      <c r="R52" s="1349"/>
    </row>
    <row r="53" spans="1:18">
      <c r="A53" s="1348"/>
      <c r="B53" s="1348"/>
      <c r="C53" s="1348"/>
      <c r="D53" s="1348"/>
      <c r="E53" s="1348"/>
      <c r="F53" s="1349"/>
      <c r="R53" s="1349"/>
    </row>
    <row r="54" spans="1:18">
      <c r="A54" s="1348"/>
      <c r="B54" s="1348"/>
      <c r="C54" s="1348"/>
      <c r="D54" s="1348"/>
      <c r="E54" s="1348"/>
      <c r="F54" s="1349"/>
      <c r="R54" s="1349"/>
    </row>
    <row r="55" spans="1:18">
      <c r="A55" s="1348"/>
      <c r="B55" s="1348"/>
      <c r="C55" s="1348"/>
      <c r="D55" s="1348"/>
      <c r="E55" s="1348"/>
      <c r="F55" s="1349"/>
      <c r="R55" s="1349"/>
    </row>
    <row r="56" spans="1:18">
      <c r="A56" s="1348"/>
      <c r="B56" s="1348"/>
      <c r="C56" s="1348"/>
      <c r="D56" s="1348"/>
      <c r="E56" s="1348"/>
      <c r="F56" s="1349"/>
      <c r="R56" s="1349"/>
    </row>
    <row r="57" spans="1:18">
      <c r="A57" s="1348"/>
      <c r="B57" s="1348"/>
      <c r="C57" s="1348"/>
      <c r="D57" s="1348"/>
      <c r="E57" s="1348"/>
      <c r="F57" s="1349"/>
      <c r="R57" s="1349"/>
    </row>
    <row r="58" spans="1:18">
      <c r="A58" s="1348"/>
      <c r="B58" s="1348"/>
      <c r="C58" s="1348"/>
      <c r="D58" s="1348"/>
      <c r="E58" s="1348"/>
      <c r="F58" s="1349"/>
      <c r="R58" s="1349"/>
    </row>
    <row r="59" spans="1:18">
      <c r="A59" s="1348"/>
      <c r="B59" s="1348"/>
      <c r="C59" s="1348"/>
      <c r="D59" s="1348"/>
      <c r="E59" s="1348"/>
      <c r="F59" s="1349"/>
      <c r="R59" s="1349"/>
    </row>
    <row r="60" spans="1:18">
      <c r="A60" s="1348"/>
      <c r="B60" s="1348"/>
      <c r="C60" s="1348"/>
      <c r="D60" s="1348"/>
      <c r="E60" s="1348"/>
      <c r="F60" s="1349"/>
      <c r="R60" s="1349"/>
    </row>
    <row r="61" spans="1:18">
      <c r="A61" s="1348"/>
      <c r="B61" s="1348"/>
      <c r="C61" s="1348"/>
      <c r="D61" s="1348"/>
      <c r="E61" s="1348"/>
      <c r="F61" s="1349"/>
      <c r="R61" s="1349"/>
    </row>
    <row r="62" spans="1:18">
      <c r="A62" s="1348"/>
      <c r="B62" s="1348"/>
      <c r="C62" s="1348"/>
      <c r="D62" s="1348"/>
      <c r="E62" s="1348"/>
      <c r="F62" s="1349"/>
      <c r="R62" s="1349"/>
    </row>
    <row r="63" spans="1:18">
      <c r="A63" s="1348"/>
      <c r="B63" s="1348"/>
      <c r="C63" s="1348"/>
      <c r="D63" s="1348"/>
      <c r="E63" s="1348"/>
      <c r="F63" s="1349"/>
      <c r="R63" s="1349"/>
    </row>
    <row r="64" spans="1:18">
      <c r="A64" s="1348"/>
      <c r="B64" s="1348"/>
      <c r="C64" s="1348"/>
      <c r="D64" s="1348"/>
      <c r="E64" s="1348"/>
      <c r="F64" s="1349"/>
      <c r="R64" s="1349"/>
    </row>
    <row r="65" spans="1:18">
      <c r="A65" s="1348"/>
      <c r="B65" s="1348"/>
      <c r="C65" s="1348"/>
      <c r="D65" s="1348"/>
      <c r="E65" s="1348"/>
      <c r="F65" s="1349"/>
      <c r="R65" s="1349"/>
    </row>
    <row r="66" spans="1:18">
      <c r="A66" s="1348"/>
      <c r="B66" s="1348"/>
      <c r="C66" s="1348"/>
      <c r="D66" s="1348"/>
      <c r="E66" s="1348"/>
      <c r="F66" s="1349"/>
      <c r="R66" s="1349"/>
    </row>
    <row r="67" spans="1:18">
      <c r="A67" s="1348"/>
      <c r="B67" s="1348"/>
      <c r="C67" s="1348"/>
      <c r="D67" s="1348"/>
      <c r="E67" s="1348"/>
      <c r="F67" s="1349"/>
    </row>
    <row r="68" spans="1:18">
      <c r="A68" s="1348"/>
      <c r="B68" s="1348"/>
      <c r="C68" s="1348"/>
      <c r="D68" s="1348"/>
      <c r="E68" s="1348"/>
      <c r="F68" s="1349"/>
    </row>
    <row r="69" spans="1:18">
      <c r="A69" s="1348"/>
      <c r="B69" s="1348"/>
      <c r="C69" s="1348"/>
      <c r="D69" s="1348"/>
      <c r="E69" s="1348"/>
      <c r="F69" s="1349"/>
    </row>
    <row r="70" spans="1:18">
      <c r="A70" s="7"/>
      <c r="B70" s="7"/>
      <c r="C70" s="7"/>
      <c r="D70" s="7"/>
      <c r="E70" s="7"/>
    </row>
    <row r="71" spans="1:18">
      <c r="A71" s="7"/>
      <c r="B71" s="7"/>
      <c r="C71" s="7"/>
      <c r="D71" s="7"/>
      <c r="E71" s="7"/>
    </row>
    <row r="72" spans="1:18">
      <c r="A72" s="7"/>
      <c r="B72" s="7"/>
      <c r="C72" s="7"/>
      <c r="D72" s="7"/>
      <c r="E72" s="7"/>
    </row>
    <row r="73" spans="1:18">
      <c r="A73" s="7"/>
      <c r="B73" s="7"/>
      <c r="C73" s="7"/>
      <c r="D73" s="7"/>
      <c r="E73" s="7"/>
    </row>
    <row r="74" spans="1:18">
      <c r="A74" s="7"/>
      <c r="B74" s="7"/>
      <c r="C74" s="7"/>
      <c r="D74" s="7"/>
      <c r="E74" s="7"/>
    </row>
    <row r="75" spans="1:18">
      <c r="A75" s="7"/>
      <c r="B75" s="7"/>
      <c r="C75" s="7"/>
      <c r="D75" s="7"/>
      <c r="E75" s="7"/>
    </row>
    <row r="76" spans="1:18">
      <c r="A76" s="7"/>
      <c r="B76" s="7"/>
      <c r="C76" s="7"/>
      <c r="D76" s="7"/>
      <c r="E76" s="7"/>
    </row>
    <row r="77" spans="1:18">
      <c r="A77" s="7"/>
      <c r="B77" s="7"/>
      <c r="C77" s="7"/>
      <c r="D77" s="7"/>
      <c r="E77" s="7"/>
    </row>
    <row r="78" spans="1:18">
      <c r="A78" s="7"/>
      <c r="B78" s="7"/>
      <c r="C78" s="7"/>
      <c r="D78" s="7"/>
      <c r="E78" s="7"/>
    </row>
    <row r="79" spans="1:18">
      <c r="A79" s="7"/>
      <c r="B79" s="7"/>
      <c r="C79" s="7"/>
      <c r="D79" s="7"/>
      <c r="E79" s="7"/>
    </row>
    <row r="80" spans="1:18">
      <c r="A80" s="7"/>
      <c r="B80" s="7"/>
      <c r="C80" s="7"/>
      <c r="D80" s="7"/>
      <c r="E80" s="7"/>
    </row>
    <row r="81" spans="1:5">
      <c r="A81" s="7"/>
      <c r="B81" s="7"/>
      <c r="C81" s="7"/>
      <c r="D81" s="7"/>
      <c r="E81" s="7"/>
    </row>
  </sheetData>
  <sheetProtection algorithmName="SHA-512" hashValue="6QUc3IUweRn/CmR42oWUeY3blCaqs4cnotRaLGctv6BUczzeIucJ4zHYHGAnCyF4dcvPtWal0zHDJnWG8I0rLQ==" saltValue="HeFflB43Zn9mzWohXtBJBA=="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14999847407452621"/>
  </sheetPr>
  <dimension ref="A1:P79"/>
  <sheetViews>
    <sheetView workbookViewId="0"/>
  </sheetViews>
  <sheetFormatPr defaultColWidth="9.21875" defaultRowHeight="13.2"/>
  <cols>
    <col min="1" max="1" width="9.21875" style="6"/>
    <col min="2" max="2" width="2.21875" style="6" customWidth="1"/>
    <col min="3" max="3" width="19.5546875" style="6" customWidth="1"/>
    <col min="4" max="8" width="11.77734375" style="6" customWidth="1"/>
    <col min="9" max="16384" width="9.21875" style="6"/>
  </cols>
  <sheetData>
    <row r="1" spans="1:16" ht="15.6">
      <c r="A1" s="308"/>
      <c r="B1" s="308"/>
      <c r="C1" s="308"/>
    </row>
    <row r="2" spans="1:16" ht="15.6">
      <c r="A2" s="25"/>
      <c r="B2" s="27"/>
      <c r="C2" s="27"/>
    </row>
    <row r="3" spans="1:16">
      <c r="A3" s="10" t="s">
        <v>448</v>
      </c>
    </row>
    <row r="4" spans="1:16">
      <c r="A4" s="9" t="s">
        <v>80</v>
      </c>
    </row>
    <row r="5" spans="1:16">
      <c r="A5" s="8" t="str">
        <f ca="1">CELL("filename")</f>
        <v>C:\Users\kyle.konold\Downloads\[FY25 Budget - Delta Academy_Final.xlsx]Form 1 Cover</v>
      </c>
    </row>
    <row r="6" spans="1:16">
      <c r="A6" s="7"/>
      <c r="B6" s="7"/>
      <c r="C6" s="7"/>
      <c r="D6" s="7"/>
      <c r="E6" s="7"/>
      <c r="F6" s="7"/>
      <c r="G6" s="7"/>
      <c r="H6" s="7"/>
      <c r="I6" s="7"/>
      <c r="J6" s="7"/>
      <c r="K6" s="7"/>
      <c r="L6" s="7"/>
      <c r="M6" s="7"/>
      <c r="N6" s="7"/>
      <c r="O6" s="7"/>
      <c r="P6" s="7"/>
    </row>
    <row r="7" spans="1:16">
      <c r="A7" s="7"/>
      <c r="B7" s="7"/>
      <c r="C7" s="7"/>
      <c r="D7" s="7"/>
      <c r="E7" s="7"/>
      <c r="F7" s="7"/>
      <c r="G7" s="7"/>
      <c r="H7" s="7"/>
      <c r="I7" s="7"/>
      <c r="J7" s="7"/>
      <c r="K7" s="7"/>
      <c r="L7" s="7"/>
      <c r="M7" s="7"/>
      <c r="N7" s="7"/>
      <c r="O7" s="7"/>
      <c r="P7" s="7"/>
    </row>
    <row r="8" spans="1:16">
      <c r="A8" s="7"/>
      <c r="B8" s="7"/>
      <c r="I8" s="7"/>
      <c r="J8" s="7"/>
      <c r="K8" s="7"/>
      <c r="L8" s="7"/>
      <c r="M8" s="7"/>
      <c r="N8" s="7"/>
      <c r="O8" s="7"/>
      <c r="P8" s="7"/>
    </row>
    <row r="9" spans="1:16">
      <c r="A9" s="7"/>
      <c r="B9" s="7"/>
      <c r="C9" s="6" t="s">
        <v>1450</v>
      </c>
      <c r="I9" s="7"/>
      <c r="J9" s="7"/>
      <c r="K9" s="7"/>
      <c r="L9" s="7"/>
      <c r="M9" s="7"/>
      <c r="N9" s="7"/>
      <c r="O9" s="7"/>
      <c r="P9" s="7"/>
    </row>
    <row r="10" spans="1:16">
      <c r="A10" s="7"/>
      <c r="B10" s="7"/>
      <c r="I10" s="7"/>
      <c r="J10" s="7"/>
      <c r="K10" s="7"/>
      <c r="L10" s="7"/>
      <c r="M10" s="7"/>
      <c r="N10" s="7"/>
      <c r="O10" s="7"/>
      <c r="P10" s="7"/>
    </row>
    <row r="11" spans="1:16">
      <c r="A11" s="7"/>
      <c r="B11" s="7"/>
      <c r="I11" s="7"/>
      <c r="J11" s="7"/>
      <c r="K11" s="7"/>
      <c r="L11" s="7"/>
      <c r="M11" s="7"/>
      <c r="N11" s="7"/>
      <c r="O11" s="7"/>
      <c r="P11" s="7"/>
    </row>
    <row r="12" spans="1:16">
      <c r="A12" s="7"/>
      <c r="B12" s="7"/>
      <c r="I12" s="7"/>
      <c r="J12" s="7"/>
      <c r="K12" s="7"/>
      <c r="L12" s="7"/>
      <c r="M12" s="7"/>
      <c r="N12" s="7"/>
      <c r="O12" s="7"/>
      <c r="P12" s="7"/>
    </row>
    <row r="13" spans="1:16">
      <c r="A13" s="7"/>
      <c r="B13" s="7"/>
      <c r="I13" s="7"/>
      <c r="J13" s="7"/>
      <c r="K13" s="7"/>
      <c r="L13" s="7"/>
      <c r="M13" s="7"/>
      <c r="N13" s="7"/>
      <c r="O13" s="7"/>
      <c r="P13" s="7"/>
    </row>
    <row r="14" spans="1:16">
      <c r="A14" s="7"/>
      <c r="B14" s="7"/>
      <c r="I14" s="7"/>
      <c r="J14" s="7"/>
      <c r="K14" s="7"/>
      <c r="L14" s="7"/>
      <c r="M14" s="7"/>
      <c r="N14" s="7"/>
      <c r="O14" s="7"/>
      <c r="P14" s="7"/>
    </row>
    <row r="15" spans="1:16">
      <c r="A15" s="7"/>
      <c r="B15" s="7"/>
      <c r="I15" s="7"/>
      <c r="J15" s="7"/>
      <c r="K15" s="7"/>
      <c r="L15" s="7"/>
      <c r="M15" s="7"/>
      <c r="N15" s="7"/>
      <c r="O15" s="7"/>
      <c r="P15" s="7"/>
    </row>
    <row r="16" spans="1:16">
      <c r="A16" s="7"/>
      <c r="B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7"/>
      <c r="K20" s="7"/>
      <c r="L20" s="7"/>
      <c r="M20" s="7"/>
      <c r="N20" s="7"/>
      <c r="O20" s="7"/>
      <c r="P20" s="7"/>
    </row>
    <row r="21" spans="1:16">
      <c r="A21" s="7"/>
      <c r="B21" s="7"/>
      <c r="C21" s="7"/>
      <c r="D21" s="7"/>
      <c r="E21" s="7"/>
      <c r="F21" s="7"/>
      <c r="G21" s="7"/>
      <c r="H21" s="7"/>
      <c r="I21" s="7"/>
      <c r="J21" s="7"/>
      <c r="K21" s="7"/>
      <c r="L21" s="7"/>
      <c r="M21" s="7"/>
      <c r="N21" s="7"/>
      <c r="O21" s="7"/>
      <c r="P21" s="7"/>
    </row>
    <row r="22" spans="1:16">
      <c r="A22" s="7"/>
      <c r="B22" s="7"/>
      <c r="C22" s="7"/>
      <c r="D22" s="7"/>
      <c r="E22" s="7"/>
      <c r="F22" s="7"/>
      <c r="G22" s="7"/>
      <c r="H22" s="7"/>
      <c r="I22" s="7"/>
      <c r="J22" s="7"/>
      <c r="K22" s="7"/>
      <c r="L22" s="7"/>
      <c r="M22" s="7"/>
      <c r="N22" s="7"/>
      <c r="O22" s="7"/>
      <c r="P22" s="7"/>
    </row>
    <row r="23" spans="1:16">
      <c r="A23" s="7"/>
      <c r="B23" s="7"/>
      <c r="C23" s="7"/>
      <c r="D23" s="7"/>
      <c r="E23" s="7"/>
      <c r="F23" s="7"/>
      <c r="G23" s="7"/>
      <c r="H23" s="7"/>
      <c r="I23" s="7"/>
      <c r="J23" s="7"/>
      <c r="K23" s="7"/>
      <c r="L23" s="7"/>
      <c r="M23" s="7"/>
      <c r="N23" s="7"/>
      <c r="O23" s="7"/>
      <c r="P23" s="7"/>
    </row>
    <row r="24" spans="1:16">
      <c r="A24" s="7"/>
      <c r="B24" s="7"/>
      <c r="C24" s="7"/>
      <c r="D24" s="7"/>
      <c r="E24" s="7"/>
      <c r="F24" s="7"/>
      <c r="G24" s="7"/>
      <c r="H24" s="7"/>
      <c r="I24" s="7"/>
      <c r="J24" s="7"/>
      <c r="K24" s="7"/>
      <c r="L24" s="7"/>
      <c r="M24" s="7"/>
      <c r="N24" s="7"/>
      <c r="O24" s="7"/>
      <c r="P24" s="7"/>
    </row>
    <row r="25" spans="1:16">
      <c r="A25" s="7"/>
      <c r="B25" s="7"/>
      <c r="C25" s="7"/>
      <c r="D25" s="7"/>
      <c r="E25" s="7"/>
      <c r="F25" s="7"/>
      <c r="G25" s="7"/>
      <c r="H25" s="7"/>
      <c r="I25" s="7"/>
      <c r="J25" s="7"/>
      <c r="K25" s="7"/>
      <c r="L25" s="7"/>
      <c r="M25" s="7"/>
      <c r="N25" s="7"/>
      <c r="O25" s="7"/>
      <c r="P25" s="7"/>
    </row>
    <row r="26" spans="1:16">
      <c r="A26" s="7"/>
      <c r="B26" s="7"/>
      <c r="C26" s="7"/>
      <c r="D26" s="7"/>
      <c r="E26" s="7"/>
      <c r="F26" s="7"/>
      <c r="G26" s="7"/>
      <c r="H26" s="7"/>
      <c r="I26" s="7"/>
      <c r="J26" s="7"/>
      <c r="K26" s="7"/>
      <c r="L26" s="7"/>
      <c r="M26" s="7"/>
      <c r="N26" s="7"/>
      <c r="O26" s="7"/>
      <c r="P26" s="7"/>
    </row>
    <row r="27" spans="1:16">
      <c r="A27" s="7"/>
      <c r="B27" s="7"/>
      <c r="C27" s="7"/>
      <c r="D27" s="7"/>
      <c r="E27" s="7"/>
      <c r="F27" s="7"/>
      <c r="G27" s="7"/>
      <c r="H27" s="7"/>
      <c r="I27" s="7"/>
      <c r="J27" s="7"/>
      <c r="K27" s="7"/>
      <c r="L27" s="7"/>
      <c r="M27" s="7"/>
      <c r="N27" s="7"/>
      <c r="O27" s="7"/>
      <c r="P27" s="7"/>
    </row>
    <row r="28" spans="1:16">
      <c r="A28" s="7"/>
      <c r="B28" s="7"/>
      <c r="C28" s="7"/>
      <c r="D28" s="7"/>
      <c r="E28" s="7"/>
      <c r="F28" s="7"/>
      <c r="G28" s="7"/>
      <c r="H28" s="7"/>
      <c r="I28" s="7"/>
      <c r="J28" s="7"/>
      <c r="K28" s="7"/>
      <c r="L28" s="7"/>
      <c r="M28" s="7"/>
      <c r="N28" s="7"/>
      <c r="O28" s="7"/>
      <c r="P28" s="7"/>
    </row>
    <row r="29" spans="1:16">
      <c r="A29" s="7"/>
      <c r="B29" s="7"/>
      <c r="C29" s="7"/>
      <c r="D29" s="7"/>
      <c r="E29" s="7"/>
      <c r="F29" s="7"/>
      <c r="G29" s="7"/>
      <c r="H29" s="7"/>
      <c r="I29" s="7"/>
      <c r="J29" s="7"/>
      <c r="K29" s="7"/>
      <c r="L29" s="7"/>
      <c r="M29" s="7"/>
      <c r="N29" s="7"/>
      <c r="O29" s="7"/>
      <c r="P29" s="7"/>
    </row>
    <row r="30" spans="1:16">
      <c r="A30" s="7"/>
      <c r="B30" s="7"/>
      <c r="C30" s="7"/>
      <c r="D30" s="7"/>
      <c r="E30" s="7"/>
      <c r="F30" s="7"/>
      <c r="G30" s="7"/>
      <c r="H30" s="7"/>
      <c r="I30" s="7"/>
      <c r="J30" s="7"/>
      <c r="K30" s="7"/>
      <c r="L30" s="7"/>
      <c r="M30" s="7"/>
      <c r="N30" s="7"/>
      <c r="O30" s="7"/>
      <c r="P30" s="7"/>
    </row>
    <row r="31" spans="1:16">
      <c r="A31" s="7"/>
      <c r="B31" s="7"/>
      <c r="C31" s="7"/>
      <c r="D31" s="7"/>
      <c r="E31" s="7"/>
      <c r="F31" s="7"/>
      <c r="G31" s="7"/>
      <c r="H31" s="7"/>
      <c r="I31" s="7"/>
      <c r="J31" s="7"/>
      <c r="K31" s="7"/>
      <c r="L31" s="7"/>
      <c r="M31" s="7"/>
      <c r="N31" s="7"/>
      <c r="O31" s="7"/>
      <c r="P31" s="7"/>
    </row>
    <row r="32" spans="1:16">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sheetData>
  <sheetProtection algorithmName="SHA-512" hashValue="bB/SwBpLAH1slXjNra8RZqexBD6zGqj5ed1RKcaTyUZxFqlxu/g5UabjTQF9bg+SQTlzHgL5o4yCyUJAg0vlsQ==" saltValue="vPByv0PpCRyYz/lfMpvbdg=="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249977111117893"/>
  </sheetPr>
  <dimension ref="A1:P80"/>
  <sheetViews>
    <sheetView workbookViewId="0"/>
  </sheetViews>
  <sheetFormatPr defaultColWidth="9.21875" defaultRowHeight="13.2"/>
  <cols>
    <col min="1" max="16384" width="9.21875" style="6"/>
  </cols>
  <sheetData>
    <row r="1" spans="1:16" ht="15.6">
      <c r="A1" s="308"/>
      <c r="B1" s="308"/>
      <c r="C1" s="308"/>
    </row>
    <row r="2" spans="1:16" ht="15.6">
      <c r="A2" s="25"/>
      <c r="B2" s="27"/>
      <c r="C2" s="27"/>
    </row>
    <row r="3" spans="1:16">
      <c r="A3" s="10" t="s">
        <v>448</v>
      </c>
    </row>
    <row r="4" spans="1:16">
      <c r="A4" s="9" t="s">
        <v>80</v>
      </c>
    </row>
    <row r="5" spans="1:16">
      <c r="A5" s="8" t="str">
        <f ca="1">CELL("filename")</f>
        <v>C:\Users\kyle.konold\Downloads\[FY25 Budget - Delta Academy_Final.xlsx]Form 1 Cover</v>
      </c>
    </row>
    <row r="6" spans="1:16">
      <c r="A6" s="7"/>
      <c r="B6" s="7"/>
      <c r="C6" s="7"/>
      <c r="D6" s="7"/>
      <c r="E6" s="7"/>
      <c r="F6" s="7"/>
      <c r="G6" s="7"/>
      <c r="H6" s="7"/>
      <c r="I6" s="7"/>
      <c r="J6" s="7"/>
      <c r="K6" s="7"/>
      <c r="L6" s="7"/>
      <c r="M6" s="7"/>
      <c r="N6" s="7"/>
      <c r="O6" s="7"/>
      <c r="P6" s="7"/>
    </row>
    <row r="7" spans="1:16">
      <c r="A7" s="7"/>
      <c r="B7" s="7"/>
      <c r="C7" s="7"/>
      <c r="D7" s="7"/>
      <c r="E7" s="7"/>
      <c r="F7" s="7"/>
      <c r="G7" s="7"/>
      <c r="H7" s="7"/>
      <c r="I7" s="7"/>
      <c r="J7" s="7"/>
      <c r="K7" s="7"/>
      <c r="L7" s="7"/>
      <c r="M7" s="7"/>
      <c r="N7" s="7"/>
      <c r="O7" s="7"/>
      <c r="P7" s="7"/>
    </row>
    <row r="8" spans="1:16">
      <c r="A8" s="7"/>
      <c r="B8" s="7" t="s">
        <v>1450</v>
      </c>
      <c r="C8" s="7"/>
      <c r="D8" s="7"/>
      <c r="E8" s="7"/>
      <c r="F8" s="7"/>
      <c r="G8" s="7"/>
      <c r="H8" s="7"/>
      <c r="I8" s="7"/>
      <c r="J8" s="7"/>
      <c r="K8" s="7"/>
      <c r="L8" s="7"/>
      <c r="M8" s="7"/>
      <c r="N8" s="7"/>
      <c r="O8" s="7"/>
      <c r="P8" s="7"/>
    </row>
    <row r="9" spans="1:16">
      <c r="A9" s="7"/>
      <c r="B9" s="7"/>
      <c r="C9" s="7"/>
      <c r="D9" s="7"/>
      <c r="E9" s="7"/>
      <c r="F9" s="7"/>
      <c r="G9" s="7"/>
      <c r="H9" s="7"/>
      <c r="I9" s="7"/>
      <c r="J9" s="7"/>
      <c r="K9" s="7"/>
      <c r="L9" s="7"/>
      <c r="M9" s="7"/>
      <c r="N9" s="7"/>
      <c r="O9" s="7"/>
      <c r="P9" s="7"/>
    </row>
    <row r="10" spans="1:16">
      <c r="A10" s="7"/>
      <c r="B10" s="7"/>
      <c r="C10" s="7"/>
      <c r="D10" s="7"/>
      <c r="E10" s="7"/>
      <c r="F10" s="7"/>
      <c r="G10" s="7"/>
      <c r="H10" s="7"/>
      <c r="I10" s="7"/>
      <c r="J10" s="7"/>
      <c r="K10" s="7"/>
      <c r="L10" s="7"/>
      <c r="M10" s="7"/>
      <c r="N10" s="7"/>
      <c r="O10" s="7"/>
      <c r="P10" s="7"/>
    </row>
    <row r="11" spans="1:16">
      <c r="A11" s="7"/>
      <c r="B11" s="7"/>
      <c r="C11" s="7"/>
      <c r="D11" s="7"/>
      <c r="E11" s="7"/>
      <c r="F11" s="7"/>
      <c r="G11" s="7"/>
      <c r="H11" s="7"/>
      <c r="I11" s="7"/>
      <c r="J11" s="7"/>
      <c r="K11" s="7"/>
      <c r="L11" s="7"/>
      <c r="M11" s="7"/>
      <c r="N11" s="7"/>
      <c r="O11" s="7"/>
      <c r="P11" s="7"/>
    </row>
    <row r="12" spans="1:16">
      <c r="A12" s="7"/>
      <c r="B12" s="7"/>
      <c r="C12" s="7"/>
      <c r="D12" s="7"/>
      <c r="E12" s="7"/>
      <c r="F12" s="7"/>
      <c r="G12" s="7"/>
      <c r="H12" s="7"/>
      <c r="I12" s="7"/>
      <c r="J12" s="7"/>
      <c r="K12" s="7"/>
      <c r="L12" s="7"/>
      <c r="M12" s="7"/>
      <c r="N12" s="7"/>
      <c r="O12" s="7"/>
      <c r="P12" s="7"/>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7"/>
      <c r="K20" s="7"/>
      <c r="L20" s="7"/>
      <c r="M20" s="7"/>
      <c r="N20" s="7"/>
      <c r="O20" s="7"/>
      <c r="P20" s="7"/>
    </row>
    <row r="21" spans="1:16">
      <c r="A21" s="7"/>
      <c r="B21" s="7"/>
      <c r="C21" s="7"/>
      <c r="D21" s="7"/>
      <c r="E21" s="7"/>
      <c r="F21" s="7"/>
      <c r="G21" s="7"/>
      <c r="H21" s="7"/>
      <c r="I21" s="7"/>
      <c r="J21" s="7"/>
      <c r="K21" s="7"/>
      <c r="L21" s="7"/>
      <c r="M21" s="7"/>
      <c r="N21" s="7"/>
      <c r="O21" s="7"/>
      <c r="P21" s="7"/>
    </row>
    <row r="22" spans="1:16">
      <c r="A22" s="7"/>
      <c r="B22" s="7"/>
      <c r="C22" s="7"/>
      <c r="D22" s="7"/>
      <c r="E22" s="7"/>
      <c r="F22" s="7"/>
      <c r="G22" s="7"/>
      <c r="H22" s="7"/>
      <c r="I22" s="7"/>
      <c r="J22" s="7"/>
      <c r="K22" s="7"/>
      <c r="L22" s="7"/>
      <c r="M22" s="7"/>
      <c r="N22" s="7"/>
      <c r="O22" s="7"/>
      <c r="P22" s="7"/>
    </row>
    <row r="23" spans="1:16">
      <c r="A23" s="7"/>
      <c r="B23" s="7"/>
      <c r="C23" s="7"/>
      <c r="D23" s="7"/>
      <c r="E23" s="7"/>
      <c r="F23" s="7"/>
      <c r="G23" s="7"/>
      <c r="H23" s="7"/>
      <c r="I23" s="7"/>
      <c r="J23" s="7"/>
      <c r="K23" s="7"/>
      <c r="L23" s="7"/>
      <c r="M23" s="7"/>
      <c r="N23" s="7"/>
      <c r="O23" s="7"/>
      <c r="P23" s="7"/>
    </row>
    <row r="24" spans="1:16">
      <c r="A24" s="7"/>
      <c r="B24" s="7"/>
      <c r="C24" s="7"/>
      <c r="D24" s="7"/>
      <c r="E24" s="7"/>
      <c r="F24" s="7"/>
      <c r="G24" s="7"/>
      <c r="H24" s="7"/>
      <c r="I24" s="7"/>
      <c r="J24" s="7"/>
      <c r="K24" s="7"/>
      <c r="L24" s="7"/>
      <c r="M24" s="7"/>
      <c r="N24" s="7"/>
      <c r="O24" s="7"/>
      <c r="P24" s="7"/>
    </row>
    <row r="25" spans="1:16">
      <c r="A25" s="7"/>
      <c r="B25" s="7"/>
      <c r="C25" s="7"/>
      <c r="D25" s="7"/>
      <c r="E25" s="7"/>
      <c r="F25" s="7"/>
      <c r="G25" s="7"/>
      <c r="H25" s="7"/>
      <c r="I25" s="7"/>
      <c r="J25" s="7"/>
      <c r="K25" s="7"/>
      <c r="L25" s="7"/>
      <c r="M25" s="7"/>
      <c r="N25" s="7"/>
      <c r="O25" s="7"/>
      <c r="P25" s="7"/>
    </row>
    <row r="26" spans="1:16">
      <c r="A26" s="7"/>
      <c r="B26" s="7"/>
      <c r="C26" s="7"/>
      <c r="D26" s="7"/>
      <c r="E26" s="7"/>
      <c r="F26" s="7"/>
      <c r="G26" s="7"/>
      <c r="H26" s="7"/>
      <c r="I26" s="7"/>
      <c r="J26" s="7"/>
      <c r="K26" s="7"/>
      <c r="L26" s="7"/>
      <c r="M26" s="7"/>
      <c r="N26" s="7"/>
      <c r="O26" s="7"/>
      <c r="P26" s="7"/>
    </row>
    <row r="27" spans="1:16">
      <c r="A27" s="7"/>
      <c r="B27" s="7"/>
      <c r="C27" s="7"/>
      <c r="D27" s="7"/>
      <c r="E27" s="7"/>
      <c r="F27" s="7"/>
      <c r="G27" s="7"/>
      <c r="H27" s="7"/>
      <c r="I27" s="7"/>
      <c r="J27" s="7"/>
      <c r="K27" s="7"/>
      <c r="L27" s="7"/>
      <c r="M27" s="7"/>
      <c r="N27" s="7"/>
      <c r="O27" s="7"/>
      <c r="P27" s="7"/>
    </row>
    <row r="28" spans="1:16">
      <c r="A28" s="7"/>
      <c r="B28" s="7"/>
      <c r="C28" s="7"/>
      <c r="D28" s="7"/>
      <c r="E28" s="7"/>
      <c r="F28" s="7"/>
      <c r="G28" s="7"/>
      <c r="H28" s="7"/>
      <c r="I28" s="7"/>
      <c r="J28" s="7"/>
      <c r="K28" s="7"/>
      <c r="L28" s="7"/>
      <c r="M28" s="7"/>
      <c r="N28" s="7"/>
      <c r="O28" s="7"/>
      <c r="P28" s="7"/>
    </row>
    <row r="29" spans="1:16">
      <c r="A29" s="7"/>
      <c r="B29" s="7"/>
      <c r="C29" s="7"/>
      <c r="D29" s="7"/>
      <c r="E29" s="7"/>
      <c r="F29" s="7"/>
      <c r="G29" s="7"/>
      <c r="H29" s="7"/>
      <c r="I29" s="7"/>
      <c r="J29" s="7"/>
      <c r="K29" s="7"/>
      <c r="L29" s="7"/>
      <c r="M29" s="7"/>
      <c r="N29" s="7"/>
      <c r="O29" s="7"/>
      <c r="P29" s="7"/>
    </row>
    <row r="30" spans="1:16">
      <c r="A30" s="7"/>
      <c r="B30" s="7"/>
      <c r="C30" s="7"/>
      <c r="D30" s="7"/>
      <c r="E30" s="7"/>
      <c r="F30" s="7"/>
      <c r="G30" s="7"/>
      <c r="H30" s="7"/>
      <c r="I30" s="7"/>
      <c r="J30" s="7"/>
      <c r="K30" s="7"/>
      <c r="L30" s="7"/>
      <c r="M30" s="7"/>
      <c r="N30" s="7"/>
      <c r="O30" s="7"/>
      <c r="P30" s="7"/>
    </row>
    <row r="31" spans="1:16">
      <c r="A31" s="7"/>
      <c r="B31" s="7"/>
      <c r="C31" s="7"/>
      <c r="D31" s="7"/>
      <c r="E31" s="7"/>
      <c r="F31" s="7"/>
      <c r="G31" s="7"/>
      <c r="H31" s="7"/>
      <c r="I31" s="7"/>
      <c r="J31" s="7"/>
      <c r="K31" s="7"/>
      <c r="L31" s="7"/>
      <c r="M31" s="7"/>
      <c r="N31" s="7"/>
      <c r="O31" s="7"/>
      <c r="P31" s="7"/>
    </row>
    <row r="32" spans="1:16">
      <c r="A32" s="7"/>
      <c r="B32" s="7"/>
      <c r="C32" s="7"/>
      <c r="D32" s="7"/>
      <c r="E32" s="7"/>
      <c r="F32" s="7"/>
      <c r="G32" s="7"/>
      <c r="H32" s="7"/>
      <c r="I32" s="7"/>
      <c r="J32" s="7"/>
      <c r="K32" s="7"/>
      <c r="L32" s="7"/>
      <c r="M32" s="7"/>
      <c r="N32" s="7"/>
      <c r="O32" s="7"/>
      <c r="P32" s="7"/>
    </row>
    <row r="33" spans="1:16">
      <c r="A33" s="7"/>
      <c r="B33" s="7"/>
      <c r="C33" s="7"/>
      <c r="D33" s="7"/>
      <c r="E33" s="7"/>
      <c r="F33" s="7"/>
      <c r="G33" s="7"/>
      <c r="H33" s="7"/>
      <c r="I33" s="7"/>
      <c r="J33" s="7"/>
      <c r="K33" s="7"/>
      <c r="L33" s="7"/>
      <c r="M33" s="7"/>
      <c r="N33" s="7"/>
      <c r="O33" s="7"/>
      <c r="P33" s="7"/>
    </row>
    <row r="34" spans="1:16">
      <c r="A34" s="7"/>
      <c r="B34" s="7"/>
      <c r="C34" s="7"/>
      <c r="D34" s="7"/>
      <c r="E34" s="7"/>
      <c r="F34" s="7"/>
      <c r="G34" s="7"/>
      <c r="H34" s="7"/>
      <c r="I34" s="7"/>
      <c r="J34" s="7"/>
      <c r="K34" s="7"/>
      <c r="L34" s="7"/>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row r="50" spans="1:16">
      <c r="A50" s="7"/>
      <c r="B50" s="7"/>
      <c r="C50" s="7"/>
      <c r="D50" s="7"/>
      <c r="E50" s="7"/>
      <c r="F50" s="7"/>
      <c r="G50" s="7"/>
      <c r="H50" s="7"/>
      <c r="I50" s="7"/>
      <c r="J50" s="7"/>
      <c r="K50" s="7"/>
      <c r="L50" s="7"/>
      <c r="M50" s="7"/>
      <c r="N50" s="7"/>
      <c r="O50" s="7"/>
      <c r="P50" s="7"/>
    </row>
    <row r="51" spans="1:16">
      <c r="A51" s="7"/>
      <c r="B51" s="7"/>
      <c r="C51" s="7"/>
      <c r="D51" s="7"/>
      <c r="E51" s="7"/>
      <c r="F51" s="7"/>
      <c r="G51" s="7"/>
      <c r="H51" s="7"/>
      <c r="I51" s="7"/>
      <c r="J51" s="7"/>
      <c r="K51" s="7"/>
      <c r="L51" s="7"/>
      <c r="M51" s="7"/>
      <c r="N51" s="7"/>
      <c r="O51" s="7"/>
      <c r="P51" s="7"/>
    </row>
    <row r="52" spans="1:16">
      <c r="A52" s="7"/>
      <c r="B52" s="7"/>
      <c r="C52" s="7"/>
      <c r="D52" s="7"/>
      <c r="E52" s="7"/>
      <c r="F52" s="7"/>
      <c r="G52" s="7"/>
      <c r="H52" s="7"/>
      <c r="I52" s="7"/>
      <c r="J52" s="7"/>
      <c r="K52" s="7"/>
      <c r="L52" s="7"/>
      <c r="M52" s="7"/>
      <c r="N52" s="7"/>
      <c r="O52" s="7"/>
      <c r="P52" s="7"/>
    </row>
    <row r="53" spans="1:16">
      <c r="A53" s="7"/>
      <c r="B53" s="7"/>
      <c r="C53" s="7"/>
      <c r="D53" s="7"/>
      <c r="E53" s="7"/>
      <c r="F53" s="7"/>
      <c r="G53" s="7"/>
      <c r="H53" s="7"/>
      <c r="I53" s="7"/>
      <c r="J53" s="7"/>
      <c r="K53" s="7"/>
      <c r="L53" s="7"/>
      <c r="M53" s="7"/>
      <c r="N53" s="7"/>
      <c r="O53" s="7"/>
      <c r="P53" s="7"/>
    </row>
    <row r="54" spans="1:16">
      <c r="A54" s="7"/>
      <c r="B54" s="7"/>
      <c r="C54" s="7"/>
      <c r="D54" s="7"/>
      <c r="E54" s="7"/>
      <c r="F54" s="7"/>
      <c r="G54" s="7"/>
      <c r="H54" s="7"/>
      <c r="I54" s="7"/>
      <c r="J54" s="7"/>
      <c r="K54" s="7"/>
      <c r="L54" s="7"/>
      <c r="M54" s="7"/>
      <c r="N54" s="7"/>
      <c r="O54" s="7"/>
      <c r="P54" s="7"/>
    </row>
    <row r="55" spans="1:16">
      <c r="A55" s="7"/>
      <c r="B55" s="7"/>
      <c r="C55" s="7"/>
      <c r="D55" s="7"/>
      <c r="E55" s="7"/>
      <c r="F55" s="7"/>
      <c r="G55" s="7"/>
      <c r="H55" s="7"/>
      <c r="I55" s="7"/>
      <c r="J55" s="7"/>
      <c r="K55" s="7"/>
      <c r="L55" s="7"/>
      <c r="M55" s="7"/>
      <c r="N55" s="7"/>
      <c r="O55" s="7"/>
      <c r="P55" s="7"/>
    </row>
    <row r="56" spans="1:16">
      <c r="A56" s="7"/>
      <c r="B56" s="7"/>
      <c r="C56" s="7"/>
      <c r="D56" s="7"/>
      <c r="E56" s="7"/>
      <c r="F56" s="7"/>
      <c r="G56" s="7"/>
      <c r="H56" s="7"/>
      <c r="I56" s="7"/>
      <c r="J56" s="7"/>
      <c r="K56" s="7"/>
      <c r="L56" s="7"/>
      <c r="M56" s="7"/>
      <c r="N56" s="7"/>
      <c r="O56" s="7"/>
      <c r="P56" s="7"/>
    </row>
    <row r="57" spans="1:16">
      <c r="A57" s="7"/>
      <c r="B57" s="7"/>
      <c r="C57" s="7"/>
      <c r="D57" s="7"/>
      <c r="E57" s="7"/>
      <c r="F57" s="7"/>
      <c r="G57" s="7"/>
      <c r="H57" s="7"/>
      <c r="I57" s="7"/>
      <c r="J57" s="7"/>
      <c r="K57" s="7"/>
      <c r="L57" s="7"/>
      <c r="M57" s="7"/>
      <c r="N57" s="7"/>
      <c r="O57" s="7"/>
      <c r="P57" s="7"/>
    </row>
    <row r="58" spans="1:16">
      <c r="A58" s="7"/>
      <c r="B58" s="7"/>
      <c r="C58" s="7"/>
      <c r="D58" s="7"/>
      <c r="E58" s="7"/>
      <c r="F58" s="7"/>
      <c r="G58" s="7"/>
      <c r="H58" s="7"/>
      <c r="I58" s="7"/>
      <c r="J58" s="7"/>
      <c r="K58" s="7"/>
      <c r="L58" s="7"/>
      <c r="M58" s="7"/>
      <c r="N58" s="7"/>
      <c r="O58" s="7"/>
      <c r="P58" s="7"/>
    </row>
    <row r="59" spans="1:16">
      <c r="A59" s="7"/>
      <c r="B59" s="7"/>
      <c r="C59" s="7"/>
      <c r="D59" s="7"/>
      <c r="E59" s="7"/>
      <c r="F59" s="7"/>
      <c r="G59" s="7"/>
      <c r="H59" s="7"/>
      <c r="I59" s="7"/>
      <c r="J59" s="7"/>
      <c r="K59" s="7"/>
      <c r="L59" s="7"/>
      <c r="M59" s="7"/>
      <c r="N59" s="7"/>
      <c r="O59" s="7"/>
      <c r="P59" s="7"/>
    </row>
    <row r="60" spans="1:16">
      <c r="A60" s="7"/>
      <c r="B60" s="7"/>
      <c r="C60" s="7"/>
      <c r="D60" s="7"/>
      <c r="E60" s="7"/>
      <c r="F60" s="7"/>
      <c r="G60" s="7"/>
      <c r="H60" s="7"/>
      <c r="I60" s="7"/>
      <c r="J60" s="7"/>
      <c r="K60" s="7"/>
      <c r="L60" s="7"/>
      <c r="M60" s="7"/>
      <c r="N60" s="7"/>
      <c r="O60" s="7"/>
      <c r="P60" s="7"/>
    </row>
    <row r="61" spans="1:16">
      <c r="A61" s="7"/>
      <c r="B61" s="7"/>
      <c r="C61" s="7"/>
      <c r="D61" s="7"/>
      <c r="E61" s="7"/>
      <c r="F61" s="7"/>
      <c r="G61" s="7"/>
      <c r="H61" s="7"/>
      <c r="I61" s="7"/>
      <c r="J61" s="7"/>
      <c r="K61" s="7"/>
      <c r="L61" s="7"/>
      <c r="M61" s="7"/>
      <c r="N61" s="7"/>
      <c r="O61" s="7"/>
      <c r="P61" s="7"/>
    </row>
    <row r="62" spans="1:16">
      <c r="A62" s="7"/>
      <c r="B62" s="7"/>
      <c r="C62" s="7"/>
      <c r="D62" s="7"/>
      <c r="E62" s="7"/>
      <c r="F62" s="7"/>
      <c r="G62" s="7"/>
      <c r="H62" s="7"/>
      <c r="I62" s="7"/>
      <c r="J62" s="7"/>
      <c r="K62" s="7"/>
      <c r="L62" s="7"/>
      <c r="M62" s="7"/>
      <c r="N62" s="7"/>
      <c r="O62" s="7"/>
      <c r="P62" s="7"/>
    </row>
    <row r="63" spans="1:16">
      <c r="A63" s="7"/>
      <c r="B63" s="7"/>
      <c r="C63" s="7"/>
      <c r="D63" s="7"/>
      <c r="E63" s="7"/>
      <c r="F63" s="7"/>
      <c r="G63" s="7"/>
      <c r="H63" s="7"/>
      <c r="I63" s="7"/>
      <c r="J63" s="7"/>
      <c r="K63" s="7"/>
      <c r="L63" s="7"/>
      <c r="M63" s="7"/>
      <c r="N63" s="7"/>
      <c r="O63" s="7"/>
      <c r="P63" s="7"/>
    </row>
    <row r="64" spans="1:16">
      <c r="A64" s="7"/>
      <c r="B64" s="7"/>
      <c r="C64" s="7"/>
      <c r="D64" s="7"/>
      <c r="E64" s="7"/>
      <c r="F64" s="7"/>
      <c r="G64" s="7"/>
      <c r="H64" s="7"/>
      <c r="I64" s="7"/>
      <c r="J64" s="7"/>
      <c r="K64" s="7"/>
      <c r="L64" s="7"/>
      <c r="M64" s="7"/>
      <c r="N64" s="7"/>
      <c r="O64" s="7"/>
      <c r="P64" s="7"/>
    </row>
    <row r="65" spans="1:16">
      <c r="A65" s="7"/>
      <c r="B65" s="7"/>
      <c r="C65" s="7"/>
      <c r="D65" s="7"/>
      <c r="E65" s="7"/>
      <c r="F65" s="7"/>
      <c r="G65" s="7"/>
      <c r="H65" s="7"/>
      <c r="I65" s="7"/>
      <c r="J65" s="7"/>
      <c r="K65" s="7"/>
      <c r="L65" s="7"/>
      <c r="M65" s="7"/>
      <c r="N65" s="7"/>
      <c r="O65" s="7"/>
      <c r="P65" s="7"/>
    </row>
    <row r="66" spans="1:16">
      <c r="A66" s="7"/>
      <c r="B66" s="7"/>
      <c r="C66" s="7"/>
      <c r="D66" s="7"/>
      <c r="E66" s="7"/>
      <c r="F66" s="7"/>
      <c r="G66" s="7"/>
      <c r="H66" s="7"/>
      <c r="I66" s="7"/>
      <c r="J66" s="7"/>
      <c r="K66" s="7"/>
      <c r="L66" s="7"/>
      <c r="M66" s="7"/>
      <c r="N66" s="7"/>
      <c r="O66" s="7"/>
      <c r="P66" s="7"/>
    </row>
    <row r="67" spans="1:16">
      <c r="A67" s="7"/>
      <c r="B67" s="7"/>
      <c r="C67" s="7"/>
      <c r="D67" s="7"/>
      <c r="E67" s="7"/>
      <c r="F67" s="7"/>
      <c r="G67" s="7"/>
      <c r="H67" s="7"/>
      <c r="I67" s="7"/>
      <c r="J67" s="7"/>
      <c r="K67" s="7"/>
      <c r="L67" s="7"/>
      <c r="M67" s="7"/>
      <c r="N67" s="7"/>
      <c r="O67" s="7"/>
      <c r="P67" s="7"/>
    </row>
    <row r="68" spans="1:16">
      <c r="A68" s="7"/>
      <c r="B68" s="7"/>
      <c r="C68" s="7"/>
      <c r="D68" s="7"/>
      <c r="E68" s="7"/>
      <c r="F68" s="7"/>
      <c r="G68" s="7"/>
      <c r="H68" s="7"/>
      <c r="I68" s="7"/>
      <c r="J68" s="7"/>
      <c r="K68" s="7"/>
      <c r="L68" s="7"/>
      <c r="M68" s="7"/>
      <c r="N68" s="7"/>
      <c r="O68" s="7"/>
      <c r="P68" s="7"/>
    </row>
    <row r="69" spans="1:16">
      <c r="A69" s="7"/>
      <c r="B69" s="7"/>
      <c r="C69" s="7"/>
      <c r="D69" s="7"/>
      <c r="E69" s="7"/>
      <c r="F69" s="7"/>
      <c r="G69" s="7"/>
      <c r="H69" s="7"/>
      <c r="I69" s="7"/>
      <c r="J69" s="7"/>
      <c r="K69" s="7"/>
      <c r="L69" s="7"/>
      <c r="M69" s="7"/>
      <c r="N69" s="7"/>
      <c r="O69" s="7"/>
      <c r="P69" s="7"/>
    </row>
    <row r="70" spans="1:16">
      <c r="A70" s="7"/>
      <c r="B70" s="7"/>
      <c r="C70" s="7"/>
      <c r="D70" s="7"/>
      <c r="E70" s="7"/>
      <c r="F70" s="7"/>
      <c r="G70" s="7"/>
      <c r="H70" s="7"/>
      <c r="I70" s="7"/>
      <c r="J70" s="7"/>
      <c r="K70" s="7"/>
      <c r="L70" s="7"/>
      <c r="M70" s="7"/>
      <c r="N70" s="7"/>
      <c r="O70" s="7"/>
      <c r="P70" s="7"/>
    </row>
    <row r="71" spans="1:16">
      <c r="A71" s="7"/>
      <c r="B71" s="7"/>
      <c r="C71" s="7"/>
      <c r="D71" s="7"/>
      <c r="E71" s="7"/>
      <c r="F71" s="7"/>
      <c r="G71" s="7"/>
      <c r="H71" s="7"/>
      <c r="I71" s="7"/>
      <c r="J71" s="7"/>
      <c r="K71" s="7"/>
      <c r="L71" s="7"/>
      <c r="M71" s="7"/>
      <c r="N71" s="7"/>
      <c r="O71" s="7"/>
      <c r="P71" s="7"/>
    </row>
    <row r="72" spans="1:16">
      <c r="A72" s="7"/>
      <c r="B72" s="7"/>
      <c r="C72" s="7"/>
      <c r="D72" s="7"/>
      <c r="E72" s="7"/>
      <c r="F72" s="7"/>
      <c r="G72" s="7"/>
      <c r="H72" s="7"/>
      <c r="I72" s="7"/>
      <c r="J72" s="7"/>
      <c r="K72" s="7"/>
      <c r="L72" s="7"/>
      <c r="M72" s="7"/>
      <c r="N72" s="7"/>
      <c r="O72" s="7"/>
      <c r="P72" s="7"/>
    </row>
    <row r="73" spans="1:16">
      <c r="A73" s="7"/>
      <c r="B73" s="7"/>
      <c r="C73" s="7"/>
      <c r="D73" s="7"/>
      <c r="E73" s="7"/>
      <c r="F73" s="7"/>
      <c r="G73" s="7"/>
      <c r="H73" s="7"/>
      <c r="I73" s="7"/>
      <c r="J73" s="7"/>
      <c r="K73" s="7"/>
      <c r="L73" s="7"/>
      <c r="M73" s="7"/>
      <c r="N73" s="7"/>
      <c r="O73" s="7"/>
      <c r="P73" s="7"/>
    </row>
    <row r="74" spans="1:16">
      <c r="A74" s="7"/>
      <c r="B74" s="7"/>
      <c r="C74" s="7"/>
      <c r="D74" s="7"/>
      <c r="E74" s="7"/>
      <c r="F74" s="7"/>
      <c r="G74" s="7"/>
      <c r="H74" s="7"/>
      <c r="I74" s="7"/>
      <c r="J74" s="7"/>
      <c r="K74" s="7"/>
      <c r="L74" s="7"/>
      <c r="M74" s="7"/>
      <c r="N74" s="7"/>
      <c r="O74" s="7"/>
      <c r="P74" s="7"/>
    </row>
    <row r="75" spans="1:16">
      <c r="A75" s="7"/>
      <c r="B75" s="7"/>
      <c r="C75" s="7"/>
      <c r="D75" s="7"/>
      <c r="E75" s="7"/>
      <c r="F75" s="7"/>
      <c r="G75" s="7"/>
      <c r="H75" s="7"/>
      <c r="I75" s="7"/>
      <c r="J75" s="7"/>
      <c r="K75" s="7"/>
      <c r="L75" s="7"/>
      <c r="M75" s="7"/>
      <c r="N75" s="7"/>
      <c r="O75" s="7"/>
      <c r="P75" s="7"/>
    </row>
    <row r="76" spans="1:16">
      <c r="A76" s="7"/>
      <c r="B76" s="7"/>
      <c r="C76" s="7"/>
      <c r="D76" s="7"/>
      <c r="E76" s="7"/>
      <c r="F76" s="7"/>
      <c r="G76" s="7"/>
      <c r="H76" s="7"/>
      <c r="I76" s="7"/>
      <c r="J76" s="7"/>
      <c r="K76" s="7"/>
      <c r="L76" s="7"/>
      <c r="M76" s="7"/>
      <c r="N76" s="7"/>
      <c r="O76" s="7"/>
      <c r="P76" s="7"/>
    </row>
    <row r="77" spans="1:16">
      <c r="A77" s="7"/>
      <c r="B77" s="7"/>
      <c r="C77" s="7"/>
      <c r="D77" s="7"/>
      <c r="E77" s="7"/>
      <c r="F77" s="7"/>
      <c r="G77" s="7"/>
      <c r="H77" s="7"/>
      <c r="I77" s="7"/>
      <c r="J77" s="7"/>
      <c r="K77" s="7"/>
      <c r="L77" s="7"/>
      <c r="M77" s="7"/>
      <c r="N77" s="7"/>
      <c r="O77" s="7"/>
      <c r="P77" s="7"/>
    </row>
    <row r="78" spans="1:16">
      <c r="A78" s="7"/>
      <c r="B78" s="7"/>
      <c r="C78" s="7"/>
      <c r="D78" s="7"/>
      <c r="E78" s="7"/>
      <c r="F78" s="7"/>
      <c r="G78" s="7"/>
      <c r="H78" s="7"/>
      <c r="I78" s="7"/>
      <c r="J78" s="7"/>
      <c r="K78" s="7"/>
      <c r="L78" s="7"/>
      <c r="M78" s="7"/>
      <c r="N78" s="7"/>
      <c r="O78" s="7"/>
      <c r="P78" s="7"/>
    </row>
    <row r="79" spans="1:16">
      <c r="A79" s="7"/>
      <c r="B79" s="7"/>
      <c r="C79" s="7"/>
      <c r="D79" s="7"/>
      <c r="E79" s="7"/>
      <c r="F79" s="7"/>
      <c r="G79" s="7"/>
      <c r="H79" s="7"/>
      <c r="I79" s="7"/>
      <c r="J79" s="7"/>
      <c r="K79" s="7"/>
      <c r="L79" s="7"/>
      <c r="M79" s="7"/>
      <c r="N79" s="7"/>
      <c r="O79" s="7"/>
      <c r="P79" s="7"/>
    </row>
    <row r="80" spans="1:16">
      <c r="A80" s="7"/>
      <c r="B80" s="7"/>
      <c r="C80" s="7"/>
      <c r="D80" s="7"/>
      <c r="E80" s="7"/>
      <c r="F80" s="7"/>
      <c r="G80" s="7"/>
      <c r="H80" s="7"/>
      <c r="I80" s="7"/>
      <c r="J80" s="7"/>
      <c r="K80" s="7"/>
      <c r="L80" s="7"/>
      <c r="M80" s="7"/>
      <c r="N80" s="7"/>
      <c r="O80" s="7"/>
      <c r="P80" s="7"/>
    </row>
  </sheetData>
  <sheetProtection algorithmName="SHA-512" hashValue="AqPC546tTP1xfr2fv45fVKq/AexAnK/clMfPinnuvOIgRXpSN8hSgTU9VfFxfTLQN9T0UNHU08LFRnQqjPkRFA==" saltValue="CucexEYLI/dleukGDuOLWw==" spinCount="100000" sheet="1" objects="1" scenarios="1"/>
  <pageMargins left="0.35" right="0.25" top="0.32" bottom="0.5" header="0.32" footer="0.3"/>
  <pageSetup orientation="portrait" r:id="rId1"/>
  <headerFooter alignWithMargins="0">
    <oddFooter>&amp;L&amp;7&amp;D  at &amp;T Mike 702.486.8879&amp;C&amp;7Page &amp;P of &amp;N&amp;R&amp;7&amp;F  &amp;A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9224003f-e6e7-470a-941a-44de56618887">
      <UserInfo>
        <DisplayName>Michael Hutchins</DisplayName>
        <AccountId>78</AccountId>
        <AccountType/>
      </UserInfo>
      <UserInfo>
        <DisplayName>Danny Peltier</DisplayName>
        <AccountId>51</AccountId>
        <AccountType/>
      </UserInfo>
      <UserInfo>
        <DisplayName>Michael Dang</DisplayName>
        <AccountId>21</AccountId>
        <AccountType/>
      </UserInfo>
    </SharedWithUsers>
    <Dateandtime xmlns="edb173ee-3fb8-4f75-bf43-79a22ca96f2e" xsi:nil="true"/>
    <TaxCatchAll xmlns="9224003f-e6e7-470a-941a-44de56618887" xsi:nil="true"/>
    <lcf76f155ced4ddcb4097134ff3c332f xmlns="edb173ee-3fb8-4f75-bf43-79a22ca96f2e">
      <Terms xmlns="http://schemas.microsoft.com/office/infopath/2007/PartnerControls"/>
    </lcf76f155ced4ddcb4097134ff3c332f>
    <DateTimeMod xmlns="edb173ee-3fb8-4f75-bf43-79a22ca96f2e" xsi:nil="true"/>
    <NOC_x002d_FIP xmlns="edb173ee-3fb8-4f75-bf43-79a22ca96f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7" ma:contentTypeDescription="Create a new document." ma:contentTypeScope="" ma:versionID="a461ea5d2484736acc45bfcb9cf30d18">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8247d748e6d79b0805e49deee670f41f"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NOC_x002d_FIP"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Time" ma:internalName="Dateandtim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C_x002d_FIP" ma:index="29" nillable="true" ma:displayName="NOC-FIP" ma:description="School received or is continuing under a Notice Of Concern (NOC) or is required to submit a Financial Improvement Plan (FIP)" ma:format="Dropdown" ma:internalName="NOC_x002d_FIP">
      <xsd:simpleType>
        <xsd:restriction base="dms:Text">
          <xsd:maxLength value="255"/>
        </xsd:restriction>
      </xsd:simpleType>
    </xsd:element>
    <xsd:element name="DateTimeMod" ma:index="30" nillable="true" ma:displayName="Date &amp; Time Mod" ma:format="DateTime" ma:internalName="DateTimeMo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1d1bbaf-8935-41e2-b6d1-001bd16c079b}" ma:internalName="TaxCatchAll"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D409FB-C47F-4DBF-9CFF-B7D64C5F0F2A}">
  <ds:schemaRefs>
    <ds:schemaRef ds:uri="http://schemas.microsoft.com/office/2006/documentManagement/types"/>
    <ds:schemaRef ds:uri="http://schemas.microsoft.com/sharepoint/v3"/>
    <ds:schemaRef ds:uri="9224003f-e6e7-470a-941a-44de56618887"/>
    <ds:schemaRef ds:uri="http://purl.org/dc/terms/"/>
    <ds:schemaRef ds:uri="http://schemas.openxmlformats.org/package/2006/metadata/core-properties"/>
    <ds:schemaRef ds:uri="http://purl.org/dc/elements/1.1/"/>
    <ds:schemaRef ds:uri="http://schemas.microsoft.com/office/infopath/2007/PartnerControls"/>
    <ds:schemaRef ds:uri="edb173ee-3fb8-4f75-bf43-79a22ca96f2e"/>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5D3422B-E249-4494-9C4D-065E7900828C}">
  <ds:schemaRefs>
    <ds:schemaRef ds:uri="http://schemas.microsoft.com/sharepoint/v3/contenttype/forms"/>
  </ds:schemaRefs>
</ds:datastoreItem>
</file>

<file path=customXml/itemProps3.xml><?xml version="1.0" encoding="utf-8"?>
<ds:datastoreItem xmlns:ds="http://schemas.openxmlformats.org/officeDocument/2006/customXml" ds:itemID="{353464F6-73FA-458E-AD5A-87785E8602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69</vt:i4>
      </vt:variant>
    </vt:vector>
  </HeadingPairs>
  <TitlesOfParts>
    <vt:vector size="99" baseType="lpstr">
      <vt:lpstr>Instructions</vt:lpstr>
      <vt:lpstr>Cover</vt:lpstr>
      <vt:lpstr>Checklist &amp; TOC</vt:lpstr>
      <vt:lpstr>Summary</vt:lpstr>
      <vt:lpstr>Statistics</vt:lpstr>
      <vt:lpstr>Mkt Res</vt:lpstr>
      <vt:lpstr> Enrol &amp; Rev</vt:lpstr>
      <vt:lpstr>Pre Y1 (Incubation)</vt:lpstr>
      <vt:lpstr>CF Y1 Mo</vt:lpstr>
      <vt:lpstr>Staff</vt:lpstr>
      <vt:lpstr>Facilities</vt:lpstr>
      <vt:lpstr>Gen Optg</vt:lpstr>
      <vt:lpstr>FFE&amp;T</vt:lpstr>
      <vt:lpstr>Ins</vt:lpstr>
      <vt:lpstr>Marketing</vt:lpstr>
      <vt:lpstr>EMO-CMO-BOSP</vt:lpstr>
      <vt:lpstr>Info--&gt;</vt:lpstr>
      <vt:lpstr>Demographics</vt:lpstr>
      <vt:lpstr>PCFP Rates</vt:lpstr>
      <vt:lpstr>Facilities wkst</vt:lpstr>
      <vt:lpstr>Dev Notes</vt:lpstr>
      <vt:lpstr>Note FFE</vt:lpstr>
      <vt:lpstr>Eq wip</vt:lpstr>
      <vt:lpstr>Scratchpad (2)</vt:lpstr>
      <vt:lpstr>Levers</vt:lpstr>
      <vt:lpstr>Scratchpad</vt:lpstr>
      <vt:lpstr>Transp</vt:lpstr>
      <vt:lpstr>Sheet1</vt:lpstr>
      <vt:lpstr>Star Ratings</vt:lpstr>
      <vt:lpstr>Sheet2</vt:lpstr>
      <vt:lpstr>Counties</vt:lpstr>
      <vt:lpstr>County</vt:lpstr>
      <vt:lpstr>FICA_Rate</vt:lpstr>
      <vt:lpstr>HypLink10</vt:lpstr>
      <vt:lpstr>HypLink11</vt:lpstr>
      <vt:lpstr>HypLink12</vt:lpstr>
      <vt:lpstr>HypLink13</vt:lpstr>
      <vt:lpstr>HypLink14</vt:lpstr>
      <vt:lpstr>HypLink15</vt:lpstr>
      <vt:lpstr>HypLink16</vt:lpstr>
      <vt:lpstr>HypLink17</vt:lpstr>
      <vt:lpstr>HypLink18</vt:lpstr>
      <vt:lpstr>HypLink19</vt:lpstr>
      <vt:lpstr>HypLink2</vt:lpstr>
      <vt:lpstr>HypLink20</vt:lpstr>
      <vt:lpstr>HypLink21</vt:lpstr>
      <vt:lpstr>HypLink22</vt:lpstr>
      <vt:lpstr>HypLink23</vt:lpstr>
      <vt:lpstr>HypLink24</vt:lpstr>
      <vt:lpstr>HypLink25</vt:lpstr>
      <vt:lpstr>HypLink26</vt:lpstr>
      <vt:lpstr>HypLink3</vt:lpstr>
      <vt:lpstr>HypLink4</vt:lpstr>
      <vt:lpstr>HypLink5</vt:lpstr>
      <vt:lpstr>'Gen Optg'!HypLink6</vt:lpstr>
      <vt:lpstr>Staff!HypLink6</vt:lpstr>
      <vt:lpstr>HypLink6</vt:lpstr>
      <vt:lpstr>HypLink7</vt:lpstr>
      <vt:lpstr>HypLink8</vt:lpstr>
      <vt:lpstr>HypLink9</vt:lpstr>
      <vt:lpstr>' Enrol &amp; Rev'!Print_Area</vt:lpstr>
      <vt:lpstr>'CF Y1 Mo'!Print_Area</vt:lpstr>
      <vt:lpstr>'Checklist &amp; TOC'!Print_Area</vt:lpstr>
      <vt:lpstr>Cover!Print_Area</vt:lpstr>
      <vt:lpstr>Demographics!Print_Area</vt:lpstr>
      <vt:lpstr>'Dev Notes'!Print_Area</vt:lpstr>
      <vt:lpstr>'EMO-CMO-BOSP'!Print_Area</vt:lpstr>
      <vt:lpstr>'Eq wip'!Print_Area</vt:lpstr>
      <vt:lpstr>Facilities!Print_Area</vt:lpstr>
      <vt:lpstr>'FFE&amp;T'!Print_Area</vt:lpstr>
      <vt:lpstr>'Gen Optg'!Print_Area</vt:lpstr>
      <vt:lpstr>Ins!Print_Area</vt:lpstr>
      <vt:lpstr>Instructions!Print_Area</vt:lpstr>
      <vt:lpstr>Levers!Print_Area</vt:lpstr>
      <vt:lpstr>Marketing!Print_Area</vt:lpstr>
      <vt:lpstr>'Mkt Res'!Print_Area</vt:lpstr>
      <vt:lpstr>'Note FFE'!Print_Area</vt:lpstr>
      <vt:lpstr>'PCFP Rates'!Print_Area</vt:lpstr>
      <vt:lpstr>'Pre Y1 (Incubation)'!Print_Area</vt:lpstr>
      <vt:lpstr>Scratchpad!Print_Area</vt:lpstr>
      <vt:lpstr>'Scratchpad (2)'!Print_Area</vt:lpstr>
      <vt:lpstr>Staff!Print_Area</vt:lpstr>
      <vt:lpstr>'Star Ratings'!Print_Area</vt:lpstr>
      <vt:lpstr>Statistics!Print_Area</vt:lpstr>
      <vt:lpstr>Summary!Print_Area</vt:lpstr>
      <vt:lpstr>Transp!Print_Area</vt:lpstr>
      <vt:lpstr>' Enrol &amp; Rev'!Print_Titles</vt:lpstr>
      <vt:lpstr>'CF Y1 Mo'!Print_Titles</vt:lpstr>
      <vt:lpstr>'EMO-CMO-BOSP'!Print_Titles</vt:lpstr>
      <vt:lpstr>Facilities!Print_Titles</vt:lpstr>
      <vt:lpstr>'Facilities wkst'!Print_Titles</vt:lpstr>
      <vt:lpstr>'FFE&amp;T'!Print_Titles</vt:lpstr>
      <vt:lpstr>'Gen Optg'!Print_Titles</vt:lpstr>
      <vt:lpstr>Levers!Print_Titles</vt:lpstr>
      <vt:lpstr>Marketing!Print_Titles</vt:lpstr>
      <vt:lpstr>'Mkt Res'!Print_Titles</vt:lpstr>
      <vt:lpstr>Staff!Print_Titles</vt:lpstr>
      <vt:lpstr>Summary!Print_Titles</vt:lpstr>
      <vt:lpstr>SchoolName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Thompson</dc:creator>
  <cp:keywords/>
  <dc:description/>
  <cp:lastModifiedBy>Konold, Kyle</cp:lastModifiedBy>
  <cp:revision/>
  <dcterms:created xsi:type="dcterms:W3CDTF">2009-03-05T15:43:16Z</dcterms:created>
  <dcterms:modified xsi:type="dcterms:W3CDTF">2024-11-24T22:00:06Z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y fmtid="{D5CDD505-2E9C-101B-9397-08002B2CF9AE}" pid="3" name="MediaServiceImageTags">
    <vt:lpwstr/>
  </property>
</Properties>
</file>